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teamsite.maerskgroup.com/teams/InditexControlTower/Shared Documents/Control Tower - NETHERLANDS (CT NL)/OCEAN FLOW/KPIS - Ocean/POWERBI_UPDATED/"/>
    </mc:Choice>
  </mc:AlternateContent>
  <xr:revisionPtr revIDLastSave="1360" documentId="8_{EE5A4558-6933-4A6E-B788-245B56BF4AA0}" xr6:coauthVersionLast="47" xr6:coauthVersionMax="47" xr10:uidLastSave="{F91EF53D-44AB-4A75-831B-5D96BEC83A0B}"/>
  <bookViews>
    <workbookView xWindow="28680" yWindow="-120" windowWidth="29040" windowHeight="15720" tabRatio="790" activeTab="3" xr2:uid="{00000000-000D-0000-FFFF-FFFF00000000}"/>
  </bookViews>
  <sheets>
    <sheet name="TRACKER" sheetId="1" r:id="rId1"/>
    <sheet name="DASHBOARD" sheetId="14" r:id="rId2"/>
    <sheet name="PIVOTS" sheetId="15" r:id="rId3"/>
    <sheet name="Invoicing" sheetId="13" r:id="rId4"/>
    <sheet name="VENDOR PAYMENTS" sheetId="16" r:id="rId5"/>
    <sheet name="TASKS" sheetId="18" r:id="rId6"/>
  </sheets>
  <externalReferences>
    <externalReference r:id="rId7"/>
    <externalReference r:id="rId8"/>
  </externalReferences>
  <definedNames>
    <definedName name="_xlnm._FilterDatabase" localSheetId="3" hidden="1">Invoicing!$A$1:$L$12</definedName>
    <definedName name="_xlnm._FilterDatabase" localSheetId="2" hidden="1">PIVOTS!$AV$1:$AX$51</definedName>
    <definedName name="_xlnm._FilterDatabase" localSheetId="0">TRACKER!$A$1:$BC$455</definedName>
    <definedName name="_xlnm._FilterDatabase" localSheetId="4" hidden="1">'VENDOR PAYMENTS'!$A$1:$K$37</definedName>
    <definedName name="_xlcn.WorksheetConnection_KPIs2025NL_PRUEBAMEJORA.xlsxTable21" hidden="1">Table2[]</definedName>
    <definedName name="_xlcn.WorksheetConnection_MEDIASA1E641" hidden="1">[1]MEDIAS!$A$1:$E$62</definedName>
    <definedName name="_xlcn.WorksheetConnection_MEDIASA1J661" hidden="1">[1]MEDIAS!$A$1:$K$67</definedName>
    <definedName name="_xlcn.WorksheetConnection_MEDIASA1L91" hidden="1">[1]MEDIAS!$A$1:$K$9</definedName>
    <definedName name="_xlcn.WorksheetConnection_TRACKERE1P30571" hidden="1">TRACKER!$E$1:$S$1</definedName>
    <definedName name="_xlcn.WorksheetConnection_TRACKEREP1" hidden="1">TRACKER!$E:$S</definedName>
    <definedName name="_xlcn.WorksheetConnection_TRANSPORTISTAE1G71" hidden="1">[2]TRANSPORTISTA!$B$2:$E$126</definedName>
    <definedName name="_xleta.N" hidden="1" xlm="1">#NAME?</definedName>
    <definedName name="_xleta.TEXT" hidden="1" xlm="1">#NAME?</definedName>
    <definedName name="NativeTimeline_TRUCK_SHOW_UP">#N/A</definedName>
    <definedName name="Slicer_AVAILABILITY___48H">#N/A</definedName>
    <definedName name="Slicer_DELIVERED_IN__48H">#N/A</definedName>
    <definedName name="Slicer_HAULER">#N/A</definedName>
    <definedName name="Slicer_TERMINAL">#N/A</definedName>
    <definedName name="Slicer_TRANSPORT_MODE">#N/A</definedName>
  </definedNames>
  <calcPr calcId="191028"/>
  <pivotCaches>
    <pivotCache cacheId="98" r:id="rId9"/>
    <pivotCache cacheId="99"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1" name="Range 1" connection="WorksheetConnection_TRANSPORTISTA!$E$1:$G$7"/>
          <x15:modelTable id="Range 5" name="Range 5" connection="WorksheetConnection_TRACKER!$E:$P"/>
          <x15:modelTable id="Range 6" name="Range 6" connection="WorksheetConnection_TRACKER!$E$1:$P$3057"/>
          <x15:modelTable id="Range 2" name="Range 2" connection="WorksheetConnection_MEDIAS!$A$1:$L$9"/>
          <x15:modelTable id="Range 4" name="Range 4" connection="WorksheetConnection_MEDIAS!$A$1:$J$66"/>
          <x15:modelTable id="Range 9" name="Range 9" connection="WorksheetConnection_MEDIAS!$A$1:$E$64"/>
          <x15:modelTable id="Table2" name="Table2" connection="WorksheetConnection_KPIs2025-NL_PRUEBAMEJORA.xlsx!Table2"/>
        </x15:modelTables>
        <x15:extLst>
          <ext xmlns:x16="http://schemas.microsoft.com/office/spreadsheetml/2014/11/main" uri="{9835A34E-60A6-4A7C-AAB8-D5F71C897F49}">
            <x16:modelTimeGroupings>
              <x16:modelTimeGrouping tableName="Table2" columnName="TIMESLOT" columnId="TIMESLOT">
                <x16:calculatedTimeColumn columnName="TIMESLOT (Month Index)" columnId="TIMESLOT (Month Index)" contentType="monthsindex" isSelected="1"/>
                <x16:calculatedTimeColumn columnName="TIMESLOT (Month)" columnId="TIMESLOT (Month)" contentType="months" isSelected="1"/>
              </x16:modelTimeGrouping>
              <x16:modelTimeGrouping tableName="Table2" columnName="ETA" columnId="ETA">
                <x16:calculatedTimeColumn columnName="ETA (Year)" columnId="ETA (Year)" contentType="years" isSelected="1"/>
                <x16:calculatedTimeColumn columnName="ETA (Quarter)" columnId="ETA (Quarter)" contentType="quarters" isSelected="1"/>
                <x16:calculatedTimeColumn columnName="ETA (Month Index)" columnId="ETA (Month Index)" contentType="monthsindex" isSelected="1"/>
                <x16:calculatedTimeColumn columnName="ETA (Month)" columnId="ET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1" l="1"/>
  <c r="S2" i="1" s="1"/>
  <c r="U2" i="1"/>
  <c r="W2" i="1" s="1"/>
  <c r="X2" i="1"/>
  <c r="Z2" i="1" s="1"/>
  <c r="AA2" i="1"/>
  <c r="AB2" i="1" s="1"/>
  <c r="AF2" i="1"/>
  <c r="AG2" i="1" s="1"/>
  <c r="AH2" i="1" s="1"/>
  <c r="AJ2" i="1"/>
  <c r="AL2" i="1"/>
  <c r="AM2" i="1"/>
  <c r="AN2" i="1"/>
  <c r="BB2" i="1" s="1"/>
  <c r="AP2" i="1"/>
  <c r="AQ2" i="1"/>
  <c r="AR2" i="1"/>
  <c r="AS2" i="1"/>
  <c r="AT2" i="1" s="1"/>
  <c r="T3" i="1"/>
  <c r="R3" i="1" s="1"/>
  <c r="U3" i="1"/>
  <c r="V3" i="1" s="1"/>
  <c r="X3" i="1"/>
  <c r="AA3" i="1"/>
  <c r="AB3" i="1" s="1"/>
  <c r="AF3" i="1"/>
  <c r="AG3" i="1" s="1"/>
  <c r="AH3" i="1" s="1"/>
  <c r="AJ3" i="1"/>
  <c r="AL3" i="1"/>
  <c r="AM3" i="1"/>
  <c r="AN3" i="1"/>
  <c r="BA3" i="1" s="1"/>
  <c r="AP3" i="1"/>
  <c r="AQ3" i="1"/>
  <c r="AR3" i="1" s="1"/>
  <c r="AS3" i="1"/>
  <c r="AT3" i="1" s="1"/>
  <c r="T4" i="1"/>
  <c r="R4" i="1" s="1"/>
  <c r="U4" i="1"/>
  <c r="V4" i="1" s="1"/>
  <c r="X4" i="1"/>
  <c r="Y4" i="1" s="1"/>
  <c r="AA4" i="1"/>
  <c r="AB4" i="1" s="1"/>
  <c r="AF4" i="1"/>
  <c r="AG4" i="1" s="1"/>
  <c r="AH4" i="1" s="1"/>
  <c r="AJ4" i="1"/>
  <c r="AL4" i="1"/>
  <c r="AM4" i="1"/>
  <c r="AN4" i="1"/>
  <c r="BA4" i="1" s="1"/>
  <c r="AP4" i="1"/>
  <c r="AQ4" i="1"/>
  <c r="AR4" i="1"/>
  <c r="AS4" i="1"/>
  <c r="AT4" i="1" s="1"/>
  <c r="T5" i="1"/>
  <c r="R5" i="1" s="1"/>
  <c r="U5" i="1"/>
  <c r="W5" i="1" s="1"/>
  <c r="X5" i="1"/>
  <c r="Z5" i="1" s="1"/>
  <c r="AA5" i="1"/>
  <c r="AB5" i="1" s="1"/>
  <c r="AF5" i="1"/>
  <c r="AG5" i="1" s="1"/>
  <c r="AH5" i="1" s="1"/>
  <c r="AJ5" i="1"/>
  <c r="AL5" i="1"/>
  <c r="AM5" i="1"/>
  <c r="AN5" i="1"/>
  <c r="AP5" i="1"/>
  <c r="AQ5" i="1"/>
  <c r="AR5" i="1"/>
  <c r="AS5" i="1"/>
  <c r="AT5" i="1" s="1"/>
  <c r="T6" i="1"/>
  <c r="R6" i="1" s="1"/>
  <c r="U6" i="1"/>
  <c r="X6" i="1"/>
  <c r="Y6" i="1" s="1"/>
  <c r="AA6" i="1"/>
  <c r="AB6" i="1" s="1"/>
  <c r="AF6" i="1"/>
  <c r="AG6" i="1" s="1"/>
  <c r="AH6" i="1" s="1"/>
  <c r="AJ6" i="1"/>
  <c r="AL6" i="1"/>
  <c r="AM6" i="1"/>
  <c r="AN6" i="1"/>
  <c r="AW6" i="1" s="1"/>
  <c r="AP6" i="1"/>
  <c r="AQ6" i="1"/>
  <c r="AR6" i="1"/>
  <c r="AS6" i="1"/>
  <c r="AT6" i="1" s="1"/>
  <c r="T7" i="1"/>
  <c r="U7" i="1"/>
  <c r="V7" i="1" s="1"/>
  <c r="X7" i="1"/>
  <c r="Y7" i="1" s="1"/>
  <c r="AA7" i="1"/>
  <c r="AB7" i="1" s="1"/>
  <c r="AF7" i="1"/>
  <c r="AG7" i="1" s="1"/>
  <c r="AH7" i="1" s="1"/>
  <c r="AJ7" i="1"/>
  <c r="AL7" i="1"/>
  <c r="AM7" i="1"/>
  <c r="AN7" i="1"/>
  <c r="BA7" i="1" s="1"/>
  <c r="AP7" i="1"/>
  <c r="AQ7" i="1"/>
  <c r="AR7" i="1"/>
  <c r="AS7" i="1"/>
  <c r="AT7" i="1" s="1"/>
  <c r="T8" i="1"/>
  <c r="AC8" i="1" s="1"/>
  <c r="U8" i="1"/>
  <c r="V8" i="1" s="1"/>
  <c r="X8" i="1"/>
  <c r="Z8" i="1" s="1"/>
  <c r="AA8" i="1"/>
  <c r="AB8" i="1" s="1"/>
  <c r="AF8" i="1"/>
  <c r="AG8" i="1" s="1"/>
  <c r="AH8" i="1" s="1"/>
  <c r="AJ8" i="1"/>
  <c r="AL8" i="1"/>
  <c r="AM8" i="1"/>
  <c r="AN8" i="1"/>
  <c r="BA8" i="1" s="1"/>
  <c r="AP8" i="1"/>
  <c r="AQ8" i="1"/>
  <c r="AR8" i="1"/>
  <c r="AS8" i="1"/>
  <c r="AT8" i="1" s="1"/>
  <c r="T9" i="1"/>
  <c r="S9" i="1" s="1"/>
  <c r="U9" i="1"/>
  <c r="V9" i="1" s="1"/>
  <c r="X9" i="1"/>
  <c r="Y9" i="1" s="1"/>
  <c r="AA9" i="1"/>
  <c r="AB9" i="1" s="1"/>
  <c r="AF9" i="1"/>
  <c r="AG9" i="1" s="1"/>
  <c r="AH9" i="1" s="1"/>
  <c r="AJ9" i="1"/>
  <c r="AL9" i="1"/>
  <c r="AM9" i="1"/>
  <c r="AN9" i="1"/>
  <c r="AW9" i="1" s="1"/>
  <c r="AP9" i="1"/>
  <c r="AQ9" i="1"/>
  <c r="AR9" i="1"/>
  <c r="AS9" i="1"/>
  <c r="AT9" i="1" s="1"/>
  <c r="T10" i="1"/>
  <c r="R10" i="1" s="1"/>
  <c r="U10" i="1"/>
  <c r="V10" i="1" s="1"/>
  <c r="X10" i="1"/>
  <c r="Z10" i="1" s="1"/>
  <c r="AA10" i="1"/>
  <c r="AB10" i="1" s="1"/>
  <c r="AF10" i="1"/>
  <c r="AG10" i="1" s="1"/>
  <c r="AH10" i="1" s="1"/>
  <c r="AJ10" i="1"/>
  <c r="AL10" i="1"/>
  <c r="AM10" i="1"/>
  <c r="AN10" i="1"/>
  <c r="BB10" i="1" s="1"/>
  <c r="AP10" i="1"/>
  <c r="AQ10" i="1"/>
  <c r="AR10" i="1"/>
  <c r="AS10" i="1"/>
  <c r="AT10" i="1" s="1"/>
  <c r="T11" i="1"/>
  <c r="AC11" i="1" s="1"/>
  <c r="U11" i="1"/>
  <c r="V11" i="1" s="1"/>
  <c r="X11" i="1"/>
  <c r="AA11" i="1"/>
  <c r="AB11" i="1" s="1"/>
  <c r="AF11" i="1"/>
  <c r="AG11" i="1" s="1"/>
  <c r="AH11" i="1" s="1"/>
  <c r="AJ11" i="1"/>
  <c r="AL11" i="1"/>
  <c r="AM11" i="1"/>
  <c r="AN11" i="1"/>
  <c r="BA11" i="1" s="1"/>
  <c r="AP11" i="1"/>
  <c r="AQ11" i="1"/>
  <c r="AR11" i="1"/>
  <c r="AS11" i="1"/>
  <c r="AT11" i="1" s="1"/>
  <c r="T12" i="1"/>
  <c r="R12" i="1" s="1"/>
  <c r="U12" i="1"/>
  <c r="V12" i="1" s="1"/>
  <c r="X12" i="1"/>
  <c r="AA12" i="1"/>
  <c r="AB12" i="1" s="1"/>
  <c r="AF12" i="1"/>
  <c r="AG12" i="1" s="1"/>
  <c r="AH12" i="1" s="1"/>
  <c r="AJ12" i="1"/>
  <c r="AL12" i="1"/>
  <c r="AM12" i="1"/>
  <c r="AN12" i="1"/>
  <c r="AP12" i="1"/>
  <c r="AQ12" i="1"/>
  <c r="AR12" i="1"/>
  <c r="AS12" i="1"/>
  <c r="AT12" i="1" s="1"/>
  <c r="T13" i="1"/>
  <c r="R13" i="1" s="1"/>
  <c r="U13" i="1"/>
  <c r="W13" i="1" s="1"/>
  <c r="X13" i="1"/>
  <c r="Z13" i="1" s="1"/>
  <c r="AA13" i="1"/>
  <c r="AB13" i="1" s="1"/>
  <c r="AF13" i="1"/>
  <c r="AG13" i="1" s="1"/>
  <c r="AH13" i="1" s="1"/>
  <c r="AJ13" i="1"/>
  <c r="AL13" i="1"/>
  <c r="AM13" i="1"/>
  <c r="AN13" i="1"/>
  <c r="AP13" i="1"/>
  <c r="AQ13" i="1"/>
  <c r="AR13" i="1" s="1"/>
  <c r="AS13" i="1"/>
  <c r="AT13" i="1" s="1"/>
  <c r="T14" i="1"/>
  <c r="U14" i="1"/>
  <c r="X14" i="1"/>
  <c r="Y14" i="1" s="1"/>
  <c r="AA14" i="1"/>
  <c r="AB14" i="1" s="1"/>
  <c r="AF14" i="1"/>
  <c r="AG14" i="1" s="1"/>
  <c r="AH14" i="1" s="1"/>
  <c r="AJ14" i="1"/>
  <c r="AL14" i="1"/>
  <c r="AM14" i="1"/>
  <c r="AN14" i="1"/>
  <c r="AW14" i="1" s="1"/>
  <c r="AP14" i="1"/>
  <c r="AQ14" i="1"/>
  <c r="AR14" i="1"/>
  <c r="AS14" i="1"/>
  <c r="AT14" i="1" s="1"/>
  <c r="T15" i="1"/>
  <c r="U15" i="1"/>
  <c r="V15" i="1" s="1"/>
  <c r="X15" i="1"/>
  <c r="Y15" i="1" s="1"/>
  <c r="AA15" i="1"/>
  <c r="AB15" i="1" s="1"/>
  <c r="AF15" i="1"/>
  <c r="AG15" i="1" s="1"/>
  <c r="AH15" i="1" s="1"/>
  <c r="AJ15" i="1"/>
  <c r="AL15" i="1"/>
  <c r="AM15" i="1"/>
  <c r="AN15" i="1"/>
  <c r="BA15" i="1" s="1"/>
  <c r="AP15" i="1"/>
  <c r="AQ15" i="1"/>
  <c r="AR15" i="1"/>
  <c r="AS15" i="1"/>
  <c r="AT15" i="1" s="1"/>
  <c r="T16" i="1"/>
  <c r="AC16" i="1" s="1"/>
  <c r="U16" i="1"/>
  <c r="V16" i="1" s="1"/>
  <c r="X16" i="1"/>
  <c r="Y16" i="1" s="1"/>
  <c r="AA16" i="1"/>
  <c r="AB16" i="1" s="1"/>
  <c r="AF16" i="1"/>
  <c r="AG16" i="1" s="1"/>
  <c r="AH16" i="1" s="1"/>
  <c r="AJ16" i="1"/>
  <c r="AL16" i="1"/>
  <c r="AM16" i="1"/>
  <c r="AN16" i="1"/>
  <c r="AP16" i="1"/>
  <c r="AQ16" i="1"/>
  <c r="AR16" i="1"/>
  <c r="AS16" i="1"/>
  <c r="AT16" i="1" s="1"/>
  <c r="T17" i="1"/>
  <c r="R17" i="1" s="1"/>
  <c r="U17" i="1"/>
  <c r="V17" i="1" s="1"/>
  <c r="X17" i="1"/>
  <c r="Y17" i="1" s="1"/>
  <c r="AA17" i="1"/>
  <c r="AB17" i="1" s="1"/>
  <c r="AF17" i="1"/>
  <c r="AG17" i="1" s="1"/>
  <c r="AH17" i="1" s="1"/>
  <c r="AJ17" i="1"/>
  <c r="AL17" i="1"/>
  <c r="AM17" i="1"/>
  <c r="AN17" i="1"/>
  <c r="AW17" i="1" s="1"/>
  <c r="AP17" i="1"/>
  <c r="AQ17" i="1"/>
  <c r="AR17" i="1"/>
  <c r="AS17" i="1"/>
  <c r="AT17" i="1" s="1"/>
  <c r="T18" i="1"/>
  <c r="R18" i="1" s="1"/>
  <c r="U18" i="1"/>
  <c r="V18" i="1" s="1"/>
  <c r="X18" i="1"/>
  <c r="Z18" i="1" s="1"/>
  <c r="AA18" i="1"/>
  <c r="AB18" i="1" s="1"/>
  <c r="AF18" i="1"/>
  <c r="AG18" i="1" s="1"/>
  <c r="AH18" i="1" s="1"/>
  <c r="AJ18" i="1"/>
  <c r="AL18" i="1"/>
  <c r="AM18" i="1"/>
  <c r="AN18" i="1"/>
  <c r="AW18" i="1" s="1"/>
  <c r="AP18" i="1"/>
  <c r="AQ18" i="1"/>
  <c r="AR18" i="1"/>
  <c r="AS18" i="1"/>
  <c r="AT18" i="1" s="1"/>
  <c r="T19" i="1"/>
  <c r="AC19" i="1" s="1"/>
  <c r="U19" i="1"/>
  <c r="W19" i="1" s="1"/>
  <c r="X19" i="1"/>
  <c r="AA19" i="1"/>
  <c r="AB19" i="1" s="1"/>
  <c r="AF19" i="1"/>
  <c r="AG19" i="1" s="1"/>
  <c r="AH19" i="1" s="1"/>
  <c r="AJ19" i="1"/>
  <c r="AL19" i="1"/>
  <c r="AM19" i="1"/>
  <c r="AN19" i="1"/>
  <c r="BA19" i="1" s="1"/>
  <c r="AP19" i="1"/>
  <c r="AQ19" i="1"/>
  <c r="AR19" i="1"/>
  <c r="AS19" i="1"/>
  <c r="AT19" i="1" s="1"/>
  <c r="T20" i="1"/>
  <c r="S20" i="1" s="1"/>
  <c r="U20" i="1"/>
  <c r="V20" i="1" s="1"/>
  <c r="X20" i="1"/>
  <c r="Y20" i="1" s="1"/>
  <c r="AA20" i="1"/>
  <c r="AB20" i="1" s="1"/>
  <c r="AF20" i="1"/>
  <c r="AG20" i="1" s="1"/>
  <c r="AH20" i="1" s="1"/>
  <c r="AJ20" i="1"/>
  <c r="AL20" i="1"/>
  <c r="AM20" i="1"/>
  <c r="AN20" i="1"/>
  <c r="BA20" i="1" s="1"/>
  <c r="AP20" i="1"/>
  <c r="AQ20" i="1"/>
  <c r="AR20" i="1"/>
  <c r="AS20" i="1"/>
  <c r="AT20" i="1" s="1"/>
  <c r="T21" i="1"/>
  <c r="R21" i="1" s="1"/>
  <c r="U21" i="1"/>
  <c r="W21" i="1" s="1"/>
  <c r="X21" i="1"/>
  <c r="AA21" i="1"/>
  <c r="AB21" i="1" s="1"/>
  <c r="AF21" i="1"/>
  <c r="AG21" i="1" s="1"/>
  <c r="AH21" i="1" s="1"/>
  <c r="AJ21" i="1"/>
  <c r="AL21" i="1"/>
  <c r="AM21" i="1"/>
  <c r="AN21" i="1"/>
  <c r="AP21" i="1"/>
  <c r="AQ21" i="1"/>
  <c r="AR21" i="1"/>
  <c r="AS21" i="1"/>
  <c r="AT21" i="1" s="1"/>
  <c r="T22" i="1"/>
  <c r="U22" i="1"/>
  <c r="X22" i="1"/>
  <c r="Y22" i="1" s="1"/>
  <c r="AA22" i="1"/>
  <c r="AB22" i="1" s="1"/>
  <c r="AF22" i="1"/>
  <c r="AG22" i="1" s="1"/>
  <c r="AH22" i="1" s="1"/>
  <c r="AJ22" i="1"/>
  <c r="AL22" i="1"/>
  <c r="AM22" i="1"/>
  <c r="AN22" i="1"/>
  <c r="AW22" i="1" s="1"/>
  <c r="AP22" i="1"/>
  <c r="AQ22" i="1"/>
  <c r="AR22" i="1"/>
  <c r="AS22" i="1"/>
  <c r="AT22" i="1" s="1"/>
  <c r="T23" i="1"/>
  <c r="U23" i="1"/>
  <c r="X23" i="1"/>
  <c r="Y23" i="1" s="1"/>
  <c r="AA23" i="1"/>
  <c r="AB23" i="1" s="1"/>
  <c r="AF23" i="1"/>
  <c r="AG23" i="1" s="1"/>
  <c r="AH23" i="1" s="1"/>
  <c r="AJ23" i="1"/>
  <c r="AL23" i="1"/>
  <c r="AM23" i="1"/>
  <c r="AN23" i="1"/>
  <c r="BA23" i="1" s="1"/>
  <c r="AP23" i="1"/>
  <c r="AQ23" i="1"/>
  <c r="AR23" i="1"/>
  <c r="AS23" i="1"/>
  <c r="AT23" i="1" s="1"/>
  <c r="T24" i="1"/>
  <c r="AC24" i="1" s="1"/>
  <c r="U24" i="1"/>
  <c r="W24" i="1" s="1"/>
  <c r="X24" i="1"/>
  <c r="AA24" i="1"/>
  <c r="AB24" i="1" s="1"/>
  <c r="AF24" i="1"/>
  <c r="AG24" i="1" s="1"/>
  <c r="AH24" i="1" s="1"/>
  <c r="AJ24" i="1"/>
  <c r="AL24" i="1"/>
  <c r="AM24" i="1"/>
  <c r="AN24" i="1"/>
  <c r="BB24" i="1" s="1"/>
  <c r="AP24" i="1"/>
  <c r="AQ24" i="1"/>
  <c r="AR24" i="1"/>
  <c r="AS24" i="1"/>
  <c r="AT24" i="1" s="1"/>
  <c r="T25" i="1"/>
  <c r="AC25" i="1" s="1"/>
  <c r="AD25" i="1" s="1"/>
  <c r="U25" i="1"/>
  <c r="V25" i="1" s="1"/>
  <c r="X25" i="1"/>
  <c r="Y25" i="1" s="1"/>
  <c r="AA25" i="1"/>
  <c r="AB25" i="1" s="1"/>
  <c r="AF25" i="1"/>
  <c r="AG25" i="1" s="1"/>
  <c r="AH25" i="1" s="1"/>
  <c r="AJ25" i="1"/>
  <c r="AL25" i="1"/>
  <c r="AM25" i="1"/>
  <c r="AN25" i="1"/>
  <c r="AW25" i="1" s="1"/>
  <c r="AP25" i="1"/>
  <c r="AQ25" i="1"/>
  <c r="AR25" i="1"/>
  <c r="AS25" i="1"/>
  <c r="AT25" i="1" s="1"/>
  <c r="T26" i="1"/>
  <c r="R26" i="1" s="1"/>
  <c r="U26" i="1"/>
  <c r="V26" i="1" s="1"/>
  <c r="X26" i="1"/>
  <c r="Z26" i="1" s="1"/>
  <c r="AA26" i="1"/>
  <c r="AB26" i="1" s="1"/>
  <c r="AF26" i="1"/>
  <c r="AG26" i="1" s="1"/>
  <c r="AH26" i="1" s="1"/>
  <c r="AJ26" i="1"/>
  <c r="AL26" i="1"/>
  <c r="AM26" i="1"/>
  <c r="AN26" i="1"/>
  <c r="BA26" i="1" s="1"/>
  <c r="AP26" i="1"/>
  <c r="AQ26" i="1"/>
  <c r="AR26" i="1"/>
  <c r="AS26" i="1"/>
  <c r="AT26" i="1" s="1"/>
  <c r="T27" i="1"/>
  <c r="AC27" i="1" s="1"/>
  <c r="AE27" i="1" s="1"/>
  <c r="U27" i="1"/>
  <c r="V27" i="1" s="1"/>
  <c r="X27" i="1"/>
  <c r="AA27" i="1"/>
  <c r="AB27" i="1" s="1"/>
  <c r="AF27" i="1"/>
  <c r="AG27" i="1" s="1"/>
  <c r="AH27" i="1" s="1"/>
  <c r="AJ27" i="1"/>
  <c r="AL27" i="1"/>
  <c r="AM27" i="1"/>
  <c r="AN27" i="1"/>
  <c r="AW27" i="1" s="1"/>
  <c r="AP27" i="1"/>
  <c r="AQ27" i="1"/>
  <c r="AR27" i="1" s="1"/>
  <c r="AS27" i="1"/>
  <c r="AT27" i="1" s="1"/>
  <c r="T28" i="1"/>
  <c r="AC28" i="1" s="1"/>
  <c r="U28" i="1"/>
  <c r="V28" i="1" s="1"/>
  <c r="X28" i="1"/>
  <c r="Y28" i="1" s="1"/>
  <c r="AA28" i="1"/>
  <c r="AB28" i="1" s="1"/>
  <c r="AF28" i="1"/>
  <c r="AG28" i="1" s="1"/>
  <c r="AH28" i="1" s="1"/>
  <c r="AJ28" i="1"/>
  <c r="AL28" i="1"/>
  <c r="AM28" i="1"/>
  <c r="AN28" i="1"/>
  <c r="AW28" i="1" s="1"/>
  <c r="AP28" i="1"/>
  <c r="AQ28" i="1"/>
  <c r="AR28" i="1"/>
  <c r="AS28" i="1"/>
  <c r="AT28" i="1" s="1"/>
  <c r="T29" i="1"/>
  <c r="AC29" i="1" s="1"/>
  <c r="U29" i="1"/>
  <c r="X29" i="1"/>
  <c r="Z29" i="1" s="1"/>
  <c r="AA29" i="1"/>
  <c r="AB29" i="1" s="1"/>
  <c r="AF29" i="1"/>
  <c r="AG29" i="1" s="1"/>
  <c r="AH29" i="1" s="1"/>
  <c r="AJ29" i="1"/>
  <c r="AL29" i="1"/>
  <c r="AM29" i="1"/>
  <c r="AN29" i="1"/>
  <c r="BA29" i="1" s="1"/>
  <c r="AP29" i="1"/>
  <c r="AQ29" i="1"/>
  <c r="AR29" i="1"/>
  <c r="AS29" i="1"/>
  <c r="AT29" i="1" s="1"/>
  <c r="T30" i="1"/>
  <c r="R30" i="1" s="1"/>
  <c r="U30" i="1"/>
  <c r="X30" i="1"/>
  <c r="AA30" i="1"/>
  <c r="AB30" i="1" s="1"/>
  <c r="AF30" i="1"/>
  <c r="AG30" i="1" s="1"/>
  <c r="AH30" i="1" s="1"/>
  <c r="AJ30" i="1"/>
  <c r="AL30" i="1"/>
  <c r="AM30" i="1"/>
  <c r="AN30" i="1"/>
  <c r="AP30" i="1"/>
  <c r="AQ30" i="1"/>
  <c r="AR30" i="1"/>
  <c r="AS30" i="1"/>
  <c r="AT30" i="1" s="1"/>
  <c r="T31" i="1"/>
  <c r="U31" i="1"/>
  <c r="V31" i="1" s="1"/>
  <c r="X31" i="1"/>
  <c r="Y31" i="1" s="1"/>
  <c r="AA31" i="1"/>
  <c r="AB31" i="1" s="1"/>
  <c r="AF31" i="1"/>
  <c r="AG31" i="1" s="1"/>
  <c r="AH31" i="1" s="1"/>
  <c r="AJ31" i="1"/>
  <c r="AL31" i="1"/>
  <c r="AM31" i="1"/>
  <c r="AN31" i="1"/>
  <c r="BA31" i="1" s="1"/>
  <c r="AP31" i="1"/>
  <c r="AQ31" i="1"/>
  <c r="AR31" i="1"/>
  <c r="AS31" i="1"/>
  <c r="AT31" i="1" s="1"/>
  <c r="T32" i="1"/>
  <c r="AC32" i="1" s="1"/>
  <c r="AE32" i="1" s="1"/>
  <c r="U32" i="1"/>
  <c r="X32" i="1"/>
  <c r="Z32" i="1" s="1"/>
  <c r="AA32" i="1"/>
  <c r="AB32" i="1" s="1"/>
  <c r="AF32" i="1"/>
  <c r="AG32" i="1" s="1"/>
  <c r="AH32" i="1" s="1"/>
  <c r="AJ32" i="1"/>
  <c r="AL32" i="1"/>
  <c r="AM32" i="1"/>
  <c r="AN32" i="1"/>
  <c r="BA32" i="1" s="1"/>
  <c r="AP32" i="1"/>
  <c r="AQ32" i="1"/>
  <c r="AR32" i="1" s="1"/>
  <c r="AS32" i="1"/>
  <c r="AT32" i="1" s="1"/>
  <c r="T33" i="1"/>
  <c r="AC33" i="1" s="1"/>
  <c r="U33" i="1"/>
  <c r="X33" i="1"/>
  <c r="Y33" i="1" s="1"/>
  <c r="AA33" i="1"/>
  <c r="AB33" i="1" s="1"/>
  <c r="AF33" i="1"/>
  <c r="AG33" i="1" s="1"/>
  <c r="AH33" i="1" s="1"/>
  <c r="AJ33" i="1"/>
  <c r="AL33" i="1"/>
  <c r="AM33" i="1"/>
  <c r="AN33" i="1"/>
  <c r="AP33" i="1"/>
  <c r="AQ33" i="1"/>
  <c r="AR33" i="1"/>
  <c r="AS33" i="1"/>
  <c r="AT33" i="1" s="1"/>
  <c r="T34" i="1"/>
  <c r="U34" i="1"/>
  <c r="V34" i="1" s="1"/>
  <c r="X34" i="1"/>
  <c r="Y34" i="1" s="1"/>
  <c r="AA34" i="1"/>
  <c r="AB34" i="1" s="1"/>
  <c r="AF34" i="1"/>
  <c r="AG34" i="1" s="1"/>
  <c r="AH34" i="1" s="1"/>
  <c r="AJ34" i="1"/>
  <c r="AL34" i="1"/>
  <c r="AM34" i="1"/>
  <c r="AN34" i="1"/>
  <c r="BB34" i="1" s="1"/>
  <c r="AP34" i="1"/>
  <c r="AQ34" i="1"/>
  <c r="AR34" i="1" s="1"/>
  <c r="AS34" i="1"/>
  <c r="AT34" i="1" s="1"/>
  <c r="T35" i="1"/>
  <c r="AC35" i="1" s="1"/>
  <c r="AD35" i="1" s="1"/>
  <c r="U35" i="1"/>
  <c r="X35" i="1"/>
  <c r="Z35" i="1" s="1"/>
  <c r="AA35" i="1"/>
  <c r="AB35" i="1" s="1"/>
  <c r="AF35" i="1"/>
  <c r="AG35" i="1" s="1"/>
  <c r="AH35" i="1" s="1"/>
  <c r="AJ35" i="1"/>
  <c r="AL35" i="1"/>
  <c r="AM35" i="1"/>
  <c r="AN35" i="1"/>
  <c r="AW35" i="1" s="1"/>
  <c r="AP35" i="1"/>
  <c r="AQ35" i="1"/>
  <c r="AR35" i="1"/>
  <c r="AS35" i="1"/>
  <c r="AT35" i="1" s="1"/>
  <c r="T36" i="1"/>
  <c r="R36" i="1" s="1"/>
  <c r="U36" i="1"/>
  <c r="V36" i="1" s="1"/>
  <c r="X36" i="1"/>
  <c r="Y36" i="1" s="1"/>
  <c r="AA36" i="1"/>
  <c r="AB36" i="1" s="1"/>
  <c r="AF36" i="1"/>
  <c r="AG36" i="1" s="1"/>
  <c r="AH36" i="1" s="1"/>
  <c r="AJ36" i="1"/>
  <c r="AL36" i="1"/>
  <c r="AM36" i="1"/>
  <c r="AN36" i="1"/>
  <c r="AW36" i="1" s="1"/>
  <c r="AP36" i="1"/>
  <c r="AQ36" i="1"/>
  <c r="AR36" i="1"/>
  <c r="AS36" i="1"/>
  <c r="AT36" i="1" s="1"/>
  <c r="T37" i="1"/>
  <c r="U37" i="1"/>
  <c r="W37" i="1" s="1"/>
  <c r="X37" i="1"/>
  <c r="AA37" i="1"/>
  <c r="AB37" i="1" s="1"/>
  <c r="AF37" i="1"/>
  <c r="AG37" i="1" s="1"/>
  <c r="AH37" i="1" s="1"/>
  <c r="AJ37" i="1"/>
  <c r="AL37" i="1"/>
  <c r="AM37" i="1"/>
  <c r="AN37" i="1"/>
  <c r="AW37" i="1" s="1"/>
  <c r="AP37" i="1"/>
  <c r="AQ37" i="1"/>
  <c r="AR37" i="1" s="1"/>
  <c r="AS37" i="1"/>
  <c r="AT37" i="1" s="1"/>
  <c r="T38" i="1"/>
  <c r="S38" i="1" s="1"/>
  <c r="U38" i="1"/>
  <c r="X38" i="1"/>
  <c r="AA38" i="1"/>
  <c r="AB38" i="1" s="1"/>
  <c r="AF38" i="1"/>
  <c r="AG38" i="1" s="1"/>
  <c r="AH38" i="1" s="1"/>
  <c r="AJ38" i="1"/>
  <c r="AL38" i="1"/>
  <c r="AM38" i="1"/>
  <c r="AN38" i="1"/>
  <c r="BB38" i="1" s="1"/>
  <c r="AP38" i="1"/>
  <c r="AQ38" i="1"/>
  <c r="AR38" i="1" s="1"/>
  <c r="AS38" i="1"/>
  <c r="AT38" i="1" s="1"/>
  <c r="T39" i="1"/>
  <c r="U39" i="1"/>
  <c r="V39" i="1" s="1"/>
  <c r="X39" i="1"/>
  <c r="Y39" i="1" s="1"/>
  <c r="AA39" i="1"/>
  <c r="AB39" i="1" s="1"/>
  <c r="AF39" i="1"/>
  <c r="AG39" i="1" s="1"/>
  <c r="AH39" i="1" s="1"/>
  <c r="AJ39" i="1"/>
  <c r="AL39" i="1"/>
  <c r="AM39" i="1"/>
  <c r="AN39" i="1"/>
  <c r="AP39" i="1"/>
  <c r="AQ39" i="1"/>
  <c r="AR39" i="1"/>
  <c r="AS39" i="1"/>
  <c r="AT39" i="1" s="1"/>
  <c r="T40" i="1"/>
  <c r="U40" i="1"/>
  <c r="W40" i="1" s="1"/>
  <c r="X40" i="1"/>
  <c r="Y40" i="1" s="1"/>
  <c r="AA40" i="1"/>
  <c r="AB40" i="1" s="1"/>
  <c r="AF40" i="1"/>
  <c r="AG40" i="1" s="1"/>
  <c r="AH40" i="1" s="1"/>
  <c r="AJ40" i="1"/>
  <c r="AL40" i="1"/>
  <c r="AM40" i="1"/>
  <c r="AN40" i="1"/>
  <c r="BB40" i="1" s="1"/>
  <c r="AP40" i="1"/>
  <c r="AQ40" i="1"/>
  <c r="AR40" i="1"/>
  <c r="AS40" i="1"/>
  <c r="AT40" i="1" s="1"/>
  <c r="T41" i="1"/>
  <c r="R41" i="1" s="1"/>
  <c r="U41" i="1"/>
  <c r="X41" i="1"/>
  <c r="Z41" i="1" s="1"/>
  <c r="AA41" i="1"/>
  <c r="AB41" i="1" s="1"/>
  <c r="AF41" i="1"/>
  <c r="AG41" i="1" s="1"/>
  <c r="AH41" i="1" s="1"/>
  <c r="AJ41" i="1"/>
  <c r="AL41" i="1"/>
  <c r="AM41" i="1"/>
  <c r="AN41" i="1"/>
  <c r="BB41" i="1" s="1"/>
  <c r="AP41" i="1"/>
  <c r="AQ41" i="1"/>
  <c r="AR41" i="1" s="1"/>
  <c r="AS41" i="1"/>
  <c r="AT41" i="1" s="1"/>
  <c r="T42" i="1"/>
  <c r="U42" i="1"/>
  <c r="V42" i="1" s="1"/>
  <c r="X42" i="1"/>
  <c r="AA42" i="1"/>
  <c r="AB42" i="1" s="1"/>
  <c r="AF42" i="1"/>
  <c r="AG42" i="1" s="1"/>
  <c r="AH42" i="1" s="1"/>
  <c r="AJ42" i="1"/>
  <c r="AL42" i="1"/>
  <c r="AM42" i="1"/>
  <c r="AN42" i="1"/>
  <c r="AP42" i="1"/>
  <c r="AQ42" i="1"/>
  <c r="AR42" i="1"/>
  <c r="AS42" i="1"/>
  <c r="AT42" i="1" s="1"/>
  <c r="T43" i="1"/>
  <c r="U43" i="1"/>
  <c r="X43" i="1"/>
  <c r="Y43" i="1" s="1"/>
  <c r="AA43" i="1"/>
  <c r="AB43" i="1" s="1"/>
  <c r="AF43" i="1"/>
  <c r="AG43" i="1" s="1"/>
  <c r="AH43" i="1" s="1"/>
  <c r="AJ43" i="1"/>
  <c r="AL43" i="1"/>
  <c r="AM43" i="1"/>
  <c r="AN43" i="1"/>
  <c r="AW43" i="1" s="1"/>
  <c r="AP43" i="1"/>
  <c r="AQ43" i="1"/>
  <c r="AR43" i="1"/>
  <c r="AS43" i="1"/>
  <c r="AT43" i="1" s="1"/>
  <c r="T44" i="1"/>
  <c r="AC44" i="1" s="1"/>
  <c r="U44" i="1"/>
  <c r="X44" i="1"/>
  <c r="Y44" i="1" s="1"/>
  <c r="AA44" i="1"/>
  <c r="AB44" i="1" s="1"/>
  <c r="AF44" i="1"/>
  <c r="AG44" i="1" s="1"/>
  <c r="AH44" i="1" s="1"/>
  <c r="AJ44" i="1"/>
  <c r="AL44" i="1"/>
  <c r="AM44" i="1"/>
  <c r="AN44" i="1"/>
  <c r="BB44" i="1" s="1"/>
  <c r="AP44" i="1"/>
  <c r="AQ44" i="1"/>
  <c r="AR44" i="1"/>
  <c r="AS44" i="1"/>
  <c r="AT44" i="1" s="1"/>
  <c r="T45" i="1"/>
  <c r="AC45" i="1" s="1"/>
  <c r="U45" i="1"/>
  <c r="X45" i="1"/>
  <c r="Y45" i="1" s="1"/>
  <c r="AA45" i="1"/>
  <c r="AB45" i="1" s="1"/>
  <c r="AF45" i="1"/>
  <c r="AG45" i="1" s="1"/>
  <c r="AH45" i="1" s="1"/>
  <c r="AJ45" i="1"/>
  <c r="AL45" i="1"/>
  <c r="AM45" i="1"/>
  <c r="AN45" i="1"/>
  <c r="BA45" i="1" s="1"/>
  <c r="AP45" i="1"/>
  <c r="AQ45" i="1"/>
  <c r="AR45" i="1" s="1"/>
  <c r="AS45" i="1"/>
  <c r="AT45" i="1" s="1"/>
  <c r="T46" i="1"/>
  <c r="S46" i="1" s="1"/>
  <c r="U46" i="1"/>
  <c r="V46" i="1" s="1"/>
  <c r="X46" i="1"/>
  <c r="Z46" i="1" s="1"/>
  <c r="AA46" i="1"/>
  <c r="AB46" i="1" s="1"/>
  <c r="AF46" i="1"/>
  <c r="AG46" i="1" s="1"/>
  <c r="AH46" i="1" s="1"/>
  <c r="AJ46" i="1"/>
  <c r="AL46" i="1"/>
  <c r="AM46" i="1"/>
  <c r="AN46" i="1"/>
  <c r="AP46" i="1"/>
  <c r="AQ46" i="1"/>
  <c r="AR46" i="1" s="1"/>
  <c r="AS46" i="1"/>
  <c r="AT46" i="1" s="1"/>
  <c r="T47" i="1"/>
  <c r="R47" i="1" s="1"/>
  <c r="U47" i="1"/>
  <c r="V47" i="1" s="1"/>
  <c r="X47" i="1"/>
  <c r="Y47" i="1" s="1"/>
  <c r="AA47" i="1"/>
  <c r="AB47" i="1" s="1"/>
  <c r="AF47" i="1"/>
  <c r="AG47" i="1" s="1"/>
  <c r="AH47" i="1" s="1"/>
  <c r="AJ47" i="1"/>
  <c r="AL47" i="1"/>
  <c r="AM47" i="1"/>
  <c r="AN47" i="1"/>
  <c r="BA47" i="1" s="1"/>
  <c r="AP47" i="1"/>
  <c r="AQ47" i="1"/>
  <c r="AR47" i="1"/>
  <c r="AS47" i="1"/>
  <c r="AT47" i="1" s="1"/>
  <c r="T48" i="1"/>
  <c r="U48" i="1"/>
  <c r="W48" i="1" s="1"/>
  <c r="X48" i="1"/>
  <c r="Y48" i="1" s="1"/>
  <c r="AA48" i="1"/>
  <c r="AB48" i="1" s="1"/>
  <c r="AF48" i="1"/>
  <c r="AG48" i="1" s="1"/>
  <c r="AH48" i="1" s="1"/>
  <c r="AJ48" i="1"/>
  <c r="AL48" i="1"/>
  <c r="AM48" i="1"/>
  <c r="AN48" i="1"/>
  <c r="BA48" i="1" s="1"/>
  <c r="AP48" i="1"/>
  <c r="AQ48" i="1"/>
  <c r="AR48" i="1" s="1"/>
  <c r="AS48" i="1"/>
  <c r="AT48" i="1" s="1"/>
  <c r="T49" i="1"/>
  <c r="R49" i="1" s="1"/>
  <c r="U49" i="1"/>
  <c r="W49" i="1" s="1"/>
  <c r="X49" i="1"/>
  <c r="AA49" i="1"/>
  <c r="AB49" i="1" s="1"/>
  <c r="AF49" i="1"/>
  <c r="AG49" i="1" s="1"/>
  <c r="AH49" i="1" s="1"/>
  <c r="AJ49" i="1"/>
  <c r="AL49" i="1"/>
  <c r="AM49" i="1"/>
  <c r="AN49" i="1"/>
  <c r="BA49" i="1" s="1"/>
  <c r="AP49" i="1"/>
  <c r="AQ49" i="1"/>
  <c r="AR49" i="1"/>
  <c r="AS49" i="1"/>
  <c r="AT49" i="1" s="1"/>
  <c r="T50" i="1"/>
  <c r="S50" i="1" s="1"/>
  <c r="U50" i="1"/>
  <c r="X50" i="1"/>
  <c r="Y50" i="1" s="1"/>
  <c r="AA50" i="1"/>
  <c r="AB50" i="1" s="1"/>
  <c r="AF50" i="1"/>
  <c r="AG50" i="1" s="1"/>
  <c r="AH50" i="1" s="1"/>
  <c r="AJ50" i="1"/>
  <c r="AL50" i="1"/>
  <c r="AM50" i="1"/>
  <c r="AN50" i="1"/>
  <c r="BA50" i="1" s="1"/>
  <c r="AP50" i="1"/>
  <c r="AQ50" i="1"/>
  <c r="AR50" i="1"/>
  <c r="AS50" i="1"/>
  <c r="AT50" i="1" s="1"/>
  <c r="T51" i="1"/>
  <c r="S51" i="1" s="1"/>
  <c r="U51" i="1"/>
  <c r="V51" i="1" s="1"/>
  <c r="X51" i="1"/>
  <c r="Y51" i="1" s="1"/>
  <c r="AA51" i="1"/>
  <c r="AB51" i="1" s="1"/>
  <c r="AF51" i="1"/>
  <c r="AG51" i="1" s="1"/>
  <c r="AH51" i="1" s="1"/>
  <c r="AJ51" i="1"/>
  <c r="AL51" i="1"/>
  <c r="AM51" i="1"/>
  <c r="AN51" i="1"/>
  <c r="BA51" i="1" s="1"/>
  <c r="AP51" i="1"/>
  <c r="AQ51" i="1"/>
  <c r="AR51" i="1"/>
  <c r="AS51" i="1"/>
  <c r="AT51" i="1" s="1"/>
  <c r="T52" i="1"/>
  <c r="AC52" i="1" s="1"/>
  <c r="U52" i="1"/>
  <c r="W52" i="1" s="1"/>
  <c r="X52" i="1"/>
  <c r="AA52" i="1"/>
  <c r="AB52" i="1" s="1"/>
  <c r="AF52" i="1"/>
  <c r="AG52" i="1" s="1"/>
  <c r="AH52" i="1" s="1"/>
  <c r="AJ52" i="1"/>
  <c r="AL52" i="1"/>
  <c r="AM52" i="1"/>
  <c r="AN52" i="1"/>
  <c r="AP52" i="1"/>
  <c r="AQ52" i="1"/>
  <c r="AR52" i="1"/>
  <c r="AS52" i="1"/>
  <c r="AT52" i="1" s="1"/>
  <c r="BB52" i="1"/>
  <c r="T53" i="1"/>
  <c r="S53" i="1" s="1"/>
  <c r="U53" i="1"/>
  <c r="V53" i="1" s="1"/>
  <c r="X53" i="1"/>
  <c r="AA53" i="1"/>
  <c r="AB53" i="1" s="1"/>
  <c r="AF53" i="1"/>
  <c r="AG53" i="1" s="1"/>
  <c r="AH53" i="1" s="1"/>
  <c r="AJ53" i="1"/>
  <c r="AL53" i="1"/>
  <c r="AM53" i="1"/>
  <c r="AN53" i="1"/>
  <c r="AW53" i="1" s="1"/>
  <c r="AP53" i="1"/>
  <c r="AQ53" i="1"/>
  <c r="AR53" i="1"/>
  <c r="AS53" i="1"/>
  <c r="AT53" i="1" s="1"/>
  <c r="T54" i="1"/>
  <c r="U54" i="1"/>
  <c r="V54" i="1" s="1"/>
  <c r="X54" i="1"/>
  <c r="Z54" i="1" s="1"/>
  <c r="AA54" i="1"/>
  <c r="AB54" i="1" s="1"/>
  <c r="AF54" i="1"/>
  <c r="AG54" i="1" s="1"/>
  <c r="AH54" i="1" s="1"/>
  <c r="AJ54" i="1"/>
  <c r="AL54" i="1"/>
  <c r="AM54" i="1"/>
  <c r="AN54" i="1"/>
  <c r="BA54" i="1" s="1"/>
  <c r="AP54" i="1"/>
  <c r="AQ54" i="1"/>
  <c r="AR54" i="1"/>
  <c r="AS54" i="1"/>
  <c r="AT54" i="1" s="1"/>
  <c r="T55" i="1"/>
  <c r="U55" i="1"/>
  <c r="X55" i="1"/>
  <c r="Y55" i="1" s="1"/>
  <c r="AA55" i="1"/>
  <c r="AB55" i="1" s="1"/>
  <c r="AF55" i="1"/>
  <c r="AG55" i="1" s="1"/>
  <c r="AH55" i="1" s="1"/>
  <c r="AJ55" i="1"/>
  <c r="AL55" i="1"/>
  <c r="AM55" i="1"/>
  <c r="AN55" i="1"/>
  <c r="BA55" i="1" s="1"/>
  <c r="AP55" i="1"/>
  <c r="AQ55" i="1"/>
  <c r="AR55" i="1" s="1"/>
  <c r="AS55" i="1"/>
  <c r="AT55" i="1" s="1"/>
  <c r="T56" i="1"/>
  <c r="R56" i="1" s="1"/>
  <c r="U56" i="1"/>
  <c r="V56" i="1" s="1"/>
  <c r="X56" i="1"/>
  <c r="Y56" i="1" s="1"/>
  <c r="AA56" i="1"/>
  <c r="AB56" i="1" s="1"/>
  <c r="AF56" i="1"/>
  <c r="AG56" i="1" s="1"/>
  <c r="AH56" i="1" s="1"/>
  <c r="AJ56" i="1"/>
  <c r="AL56" i="1"/>
  <c r="AM56" i="1"/>
  <c r="AN56" i="1"/>
  <c r="AW56" i="1" s="1"/>
  <c r="AP56" i="1"/>
  <c r="AQ56" i="1"/>
  <c r="AR56" i="1"/>
  <c r="AS56" i="1"/>
  <c r="AT56" i="1" s="1"/>
  <c r="T57" i="1"/>
  <c r="AC57" i="1" s="1"/>
  <c r="AE57" i="1" s="1"/>
  <c r="U57" i="1"/>
  <c r="W57" i="1" s="1"/>
  <c r="X57" i="1"/>
  <c r="Z57" i="1" s="1"/>
  <c r="AA57" i="1"/>
  <c r="AB57" i="1" s="1"/>
  <c r="AF57" i="1"/>
  <c r="AG57" i="1" s="1"/>
  <c r="AH57" i="1" s="1"/>
  <c r="AJ57" i="1"/>
  <c r="AL57" i="1"/>
  <c r="AM57" i="1"/>
  <c r="AN57" i="1"/>
  <c r="AP57" i="1"/>
  <c r="AQ57" i="1"/>
  <c r="AR57" i="1"/>
  <c r="AS57" i="1"/>
  <c r="AT57" i="1" s="1"/>
  <c r="T58" i="1"/>
  <c r="R58" i="1" s="1"/>
  <c r="U58" i="1"/>
  <c r="V58" i="1" s="1"/>
  <c r="X58" i="1"/>
  <c r="AA58" i="1"/>
  <c r="AB58" i="1" s="1"/>
  <c r="AF58" i="1"/>
  <c r="AG58" i="1" s="1"/>
  <c r="AH58" i="1" s="1"/>
  <c r="AJ58" i="1"/>
  <c r="AL58" i="1"/>
  <c r="AM58" i="1"/>
  <c r="AN58" i="1"/>
  <c r="AP58" i="1"/>
  <c r="AQ58" i="1"/>
  <c r="AR58" i="1"/>
  <c r="AS58" i="1"/>
  <c r="AT58" i="1" s="1"/>
  <c r="T59" i="1"/>
  <c r="U59" i="1"/>
  <c r="X59" i="1"/>
  <c r="Y59" i="1" s="1"/>
  <c r="AA59" i="1"/>
  <c r="AB59" i="1" s="1"/>
  <c r="AF59" i="1"/>
  <c r="AG59" i="1" s="1"/>
  <c r="AH59" i="1" s="1"/>
  <c r="AJ59" i="1"/>
  <c r="AL59" i="1"/>
  <c r="AM59" i="1"/>
  <c r="AN59" i="1"/>
  <c r="AW59" i="1" s="1"/>
  <c r="AP59" i="1"/>
  <c r="AQ59" i="1"/>
  <c r="AR59" i="1"/>
  <c r="AS59" i="1"/>
  <c r="AT59" i="1" s="1"/>
  <c r="T60" i="1"/>
  <c r="R60" i="1" s="1"/>
  <c r="U60" i="1"/>
  <c r="W60" i="1" s="1"/>
  <c r="X60" i="1"/>
  <c r="AA60" i="1"/>
  <c r="AB60" i="1" s="1"/>
  <c r="AF60" i="1"/>
  <c r="AG60" i="1" s="1"/>
  <c r="AH60" i="1" s="1"/>
  <c r="AJ60" i="1"/>
  <c r="AL60" i="1"/>
  <c r="AM60" i="1"/>
  <c r="AN60" i="1"/>
  <c r="AP60" i="1"/>
  <c r="AQ60" i="1"/>
  <c r="AR60" i="1"/>
  <c r="AS60" i="1"/>
  <c r="AT60" i="1" s="1"/>
  <c r="T61" i="1"/>
  <c r="AC61" i="1" s="1"/>
  <c r="AD61" i="1" s="1"/>
  <c r="U61" i="1"/>
  <c r="X61" i="1"/>
  <c r="AA61" i="1"/>
  <c r="AB61" i="1" s="1"/>
  <c r="AF61" i="1"/>
  <c r="AG61" i="1" s="1"/>
  <c r="AH61" i="1" s="1"/>
  <c r="AJ61" i="1"/>
  <c r="AL61" i="1"/>
  <c r="AM61" i="1"/>
  <c r="AN61" i="1"/>
  <c r="BA61" i="1" s="1"/>
  <c r="AP61" i="1"/>
  <c r="AQ61" i="1"/>
  <c r="AR61" i="1"/>
  <c r="AS61" i="1"/>
  <c r="AT61" i="1" s="1"/>
  <c r="T62" i="1"/>
  <c r="U62" i="1"/>
  <c r="V62" i="1" s="1"/>
  <c r="X62" i="1"/>
  <c r="Z62" i="1" s="1"/>
  <c r="AA62" i="1"/>
  <c r="AB62" i="1" s="1"/>
  <c r="AF62" i="1"/>
  <c r="AG62" i="1" s="1"/>
  <c r="AH62" i="1" s="1"/>
  <c r="AJ62" i="1"/>
  <c r="AL62" i="1"/>
  <c r="AM62" i="1"/>
  <c r="AN62" i="1"/>
  <c r="BA62" i="1" s="1"/>
  <c r="AP62" i="1"/>
  <c r="AQ62" i="1"/>
  <c r="AR62" i="1"/>
  <c r="AS62" i="1"/>
  <c r="AT62" i="1" s="1"/>
  <c r="T63" i="1"/>
  <c r="S63" i="1" s="1"/>
  <c r="U63" i="1"/>
  <c r="X63" i="1"/>
  <c r="Y63" i="1" s="1"/>
  <c r="AA63" i="1"/>
  <c r="AB63" i="1" s="1"/>
  <c r="AF63" i="1"/>
  <c r="AG63" i="1" s="1"/>
  <c r="AH63" i="1" s="1"/>
  <c r="AJ63" i="1"/>
  <c r="AL63" i="1"/>
  <c r="AM63" i="1"/>
  <c r="AN63" i="1"/>
  <c r="AW63" i="1" s="1"/>
  <c r="AP63" i="1"/>
  <c r="AQ63" i="1"/>
  <c r="AR63" i="1"/>
  <c r="AS63" i="1"/>
  <c r="AT63" i="1" s="1"/>
  <c r="T64" i="1"/>
  <c r="AC64" i="1" s="1"/>
  <c r="U64" i="1"/>
  <c r="V64" i="1" s="1"/>
  <c r="X64" i="1"/>
  <c r="Y64" i="1" s="1"/>
  <c r="AA64" i="1"/>
  <c r="AB64" i="1" s="1"/>
  <c r="AF64" i="1"/>
  <c r="AG64" i="1" s="1"/>
  <c r="AH64" i="1" s="1"/>
  <c r="AJ64" i="1"/>
  <c r="AL64" i="1"/>
  <c r="AM64" i="1"/>
  <c r="AN64" i="1"/>
  <c r="BA64" i="1" s="1"/>
  <c r="AP64" i="1"/>
  <c r="AQ64" i="1"/>
  <c r="AR64" i="1" s="1"/>
  <c r="AS64" i="1"/>
  <c r="AT64" i="1" s="1"/>
  <c r="T65" i="1"/>
  <c r="AC65" i="1" s="1"/>
  <c r="AE65" i="1" s="1"/>
  <c r="U65" i="1"/>
  <c r="X65" i="1"/>
  <c r="Z65" i="1" s="1"/>
  <c r="AA65" i="1"/>
  <c r="AB65" i="1" s="1"/>
  <c r="AF65" i="1"/>
  <c r="AG65" i="1" s="1"/>
  <c r="AH65" i="1" s="1"/>
  <c r="AJ65" i="1"/>
  <c r="AL65" i="1"/>
  <c r="AM65" i="1"/>
  <c r="AN65" i="1"/>
  <c r="AW65" i="1" s="1"/>
  <c r="AP65" i="1"/>
  <c r="AQ65" i="1"/>
  <c r="AR65" i="1"/>
  <c r="AS65" i="1"/>
  <c r="AT65" i="1" s="1"/>
  <c r="T66" i="1"/>
  <c r="U66" i="1"/>
  <c r="V66" i="1" s="1"/>
  <c r="X66" i="1"/>
  <c r="Y66" i="1" s="1"/>
  <c r="AA66" i="1"/>
  <c r="AB66" i="1" s="1"/>
  <c r="AF66" i="1"/>
  <c r="AG66" i="1" s="1"/>
  <c r="AH66" i="1" s="1"/>
  <c r="AJ66" i="1"/>
  <c r="AL66" i="1"/>
  <c r="AM66" i="1"/>
  <c r="AN66" i="1"/>
  <c r="BB66" i="1" s="1"/>
  <c r="AP66" i="1"/>
  <c r="AQ66" i="1"/>
  <c r="AR66" i="1"/>
  <c r="AS66" i="1"/>
  <c r="T67" i="1"/>
  <c r="S67" i="1" s="1"/>
  <c r="U67" i="1"/>
  <c r="V67" i="1" s="1"/>
  <c r="X67" i="1"/>
  <c r="Y67" i="1" s="1"/>
  <c r="AA67" i="1"/>
  <c r="AB67" i="1" s="1"/>
  <c r="AF67" i="1"/>
  <c r="AG67" i="1" s="1"/>
  <c r="AH67" i="1" s="1"/>
  <c r="AJ67" i="1"/>
  <c r="AL67" i="1"/>
  <c r="AM67" i="1"/>
  <c r="AN67" i="1"/>
  <c r="AP67" i="1"/>
  <c r="AQ67" i="1"/>
  <c r="AR67" i="1"/>
  <c r="AS67" i="1"/>
  <c r="AT67" i="1" s="1"/>
  <c r="T68" i="1"/>
  <c r="R68" i="1" s="1"/>
  <c r="U68" i="1"/>
  <c r="V68" i="1" s="1"/>
  <c r="X68" i="1"/>
  <c r="Z68" i="1" s="1"/>
  <c r="AA68" i="1"/>
  <c r="AB68" i="1" s="1"/>
  <c r="AF68" i="1"/>
  <c r="AG68" i="1" s="1"/>
  <c r="AH68" i="1" s="1"/>
  <c r="AJ68" i="1"/>
  <c r="AL68" i="1"/>
  <c r="AM68" i="1"/>
  <c r="AN68" i="1"/>
  <c r="AW68" i="1" s="1"/>
  <c r="AP68" i="1"/>
  <c r="AQ68" i="1"/>
  <c r="AR68" i="1"/>
  <c r="AS68" i="1"/>
  <c r="AT68" i="1" s="1"/>
  <c r="T69" i="1"/>
  <c r="AC69" i="1" s="1"/>
  <c r="U69" i="1"/>
  <c r="W69" i="1" s="1"/>
  <c r="X69" i="1"/>
  <c r="Z69" i="1" s="1"/>
  <c r="AA69" i="1"/>
  <c r="AB69" i="1" s="1"/>
  <c r="AF69" i="1"/>
  <c r="AG69" i="1" s="1"/>
  <c r="AH69" i="1" s="1"/>
  <c r="AJ69" i="1"/>
  <c r="AL69" i="1"/>
  <c r="AM69" i="1"/>
  <c r="AN69" i="1"/>
  <c r="AP69" i="1"/>
  <c r="AQ69" i="1"/>
  <c r="AR69" i="1"/>
  <c r="AS69" i="1"/>
  <c r="AT69" i="1" s="1"/>
  <c r="T70" i="1"/>
  <c r="U70" i="1"/>
  <c r="W70" i="1" s="1"/>
  <c r="X70" i="1"/>
  <c r="Y70" i="1" s="1"/>
  <c r="AA70" i="1"/>
  <c r="AB70" i="1" s="1"/>
  <c r="AF70" i="1"/>
  <c r="AG70" i="1" s="1"/>
  <c r="AH70" i="1" s="1"/>
  <c r="AJ70" i="1"/>
  <c r="AL70" i="1"/>
  <c r="AM70" i="1"/>
  <c r="AN70" i="1"/>
  <c r="BA70" i="1" s="1"/>
  <c r="AP70" i="1"/>
  <c r="AQ70" i="1"/>
  <c r="AR70" i="1"/>
  <c r="AS70" i="1"/>
  <c r="AT70" i="1" s="1"/>
  <c r="AW70" i="1"/>
  <c r="T71" i="1"/>
  <c r="AC71" i="1" s="1"/>
  <c r="AE71" i="1" s="1"/>
  <c r="U71" i="1"/>
  <c r="V71" i="1" s="1"/>
  <c r="X71" i="1"/>
  <c r="AA71" i="1"/>
  <c r="AB71" i="1" s="1"/>
  <c r="AF71" i="1"/>
  <c r="AG71" i="1" s="1"/>
  <c r="AH71" i="1" s="1"/>
  <c r="AJ71" i="1"/>
  <c r="AL71" i="1"/>
  <c r="AM71" i="1"/>
  <c r="AN71" i="1"/>
  <c r="AP71" i="1"/>
  <c r="AQ71" i="1"/>
  <c r="AR71" i="1"/>
  <c r="AS71" i="1"/>
  <c r="AT71" i="1" s="1"/>
  <c r="T72" i="1"/>
  <c r="R72" i="1" s="1"/>
  <c r="U72" i="1"/>
  <c r="W72" i="1" s="1"/>
  <c r="X72" i="1"/>
  <c r="AA72" i="1"/>
  <c r="AB72" i="1" s="1"/>
  <c r="AF72" i="1"/>
  <c r="AG72" i="1" s="1"/>
  <c r="AH72" i="1" s="1"/>
  <c r="AJ72" i="1"/>
  <c r="AL72" i="1"/>
  <c r="AM72" i="1"/>
  <c r="AN72" i="1"/>
  <c r="AP72" i="1"/>
  <c r="AQ72" i="1"/>
  <c r="AR72" i="1"/>
  <c r="AS72" i="1"/>
  <c r="AT72" i="1" s="1"/>
  <c r="T73" i="1"/>
  <c r="U73" i="1"/>
  <c r="X73" i="1"/>
  <c r="Y73" i="1" s="1"/>
  <c r="AA73" i="1"/>
  <c r="AB73" i="1" s="1"/>
  <c r="AF73" i="1"/>
  <c r="AG73" i="1" s="1"/>
  <c r="AH73" i="1" s="1"/>
  <c r="AJ73" i="1"/>
  <c r="AL73" i="1"/>
  <c r="AM73" i="1"/>
  <c r="AN73" i="1"/>
  <c r="AP73" i="1"/>
  <c r="AQ73" i="1"/>
  <c r="AR73" i="1"/>
  <c r="AS73" i="1"/>
  <c r="AT73" i="1" s="1"/>
  <c r="T74" i="1"/>
  <c r="U74" i="1"/>
  <c r="X74" i="1"/>
  <c r="Y74" i="1" s="1"/>
  <c r="AA74" i="1"/>
  <c r="AB74" i="1" s="1"/>
  <c r="AF74" i="1"/>
  <c r="AG74" i="1" s="1"/>
  <c r="AH74" i="1" s="1"/>
  <c r="AJ74" i="1"/>
  <c r="AL74" i="1"/>
  <c r="AM74" i="1"/>
  <c r="AN74" i="1"/>
  <c r="AP74" i="1"/>
  <c r="AQ74" i="1"/>
  <c r="AR74" i="1"/>
  <c r="AS74" i="1"/>
  <c r="AT74" i="1" s="1"/>
  <c r="T75" i="1"/>
  <c r="S75" i="1" s="1"/>
  <c r="U75" i="1"/>
  <c r="X75" i="1"/>
  <c r="Y75" i="1" s="1"/>
  <c r="AA75" i="1"/>
  <c r="AB75" i="1" s="1"/>
  <c r="AF75" i="1"/>
  <c r="AG75" i="1" s="1"/>
  <c r="AH75" i="1" s="1"/>
  <c r="AJ75" i="1"/>
  <c r="AL75" i="1"/>
  <c r="AM75" i="1"/>
  <c r="AN75" i="1"/>
  <c r="AW75" i="1" s="1"/>
  <c r="AP75" i="1"/>
  <c r="AQ75" i="1"/>
  <c r="AR75" i="1"/>
  <c r="AS75" i="1"/>
  <c r="AT75" i="1" s="1"/>
  <c r="T76" i="1"/>
  <c r="R76" i="1" s="1"/>
  <c r="U76" i="1"/>
  <c r="W76" i="1" s="1"/>
  <c r="X76" i="1"/>
  <c r="Z76" i="1" s="1"/>
  <c r="AA76" i="1"/>
  <c r="AB76" i="1" s="1"/>
  <c r="AF76" i="1"/>
  <c r="AG76" i="1" s="1"/>
  <c r="AH76" i="1" s="1"/>
  <c r="AJ76" i="1"/>
  <c r="AL76" i="1"/>
  <c r="AM76" i="1"/>
  <c r="AN76" i="1"/>
  <c r="BB76" i="1" s="1"/>
  <c r="AP76" i="1"/>
  <c r="AQ76" i="1"/>
  <c r="AR76" i="1"/>
  <c r="AS76" i="1"/>
  <c r="AT76" i="1" s="1"/>
  <c r="T77" i="1"/>
  <c r="R77" i="1" s="1"/>
  <c r="U77" i="1"/>
  <c r="V77" i="1" s="1"/>
  <c r="X77" i="1"/>
  <c r="Z77" i="1" s="1"/>
  <c r="AA77" i="1"/>
  <c r="AB77" i="1" s="1"/>
  <c r="AF77" i="1"/>
  <c r="AG77" i="1" s="1"/>
  <c r="AH77" i="1" s="1"/>
  <c r="AJ77" i="1"/>
  <c r="AL77" i="1"/>
  <c r="AM77" i="1"/>
  <c r="AN77" i="1"/>
  <c r="AW77" i="1" s="1"/>
  <c r="AP77" i="1"/>
  <c r="AQ77" i="1"/>
  <c r="AR77" i="1"/>
  <c r="AS77" i="1"/>
  <c r="AT77" i="1" s="1"/>
  <c r="T78" i="1"/>
  <c r="U78" i="1"/>
  <c r="X78" i="1"/>
  <c r="Y78" i="1" s="1"/>
  <c r="AA78" i="1"/>
  <c r="AB78" i="1" s="1"/>
  <c r="AF78" i="1"/>
  <c r="AG78" i="1" s="1"/>
  <c r="AH78" i="1" s="1"/>
  <c r="AJ78" i="1"/>
  <c r="AL78" i="1"/>
  <c r="AM78" i="1"/>
  <c r="AN78" i="1"/>
  <c r="AP78" i="1"/>
  <c r="AQ78" i="1"/>
  <c r="AR78" i="1"/>
  <c r="AS78" i="1"/>
  <c r="AT78" i="1" s="1"/>
  <c r="T79" i="1"/>
  <c r="U79" i="1"/>
  <c r="W79" i="1" s="1"/>
  <c r="X79" i="1"/>
  <c r="Z79" i="1" s="1"/>
  <c r="AA79" i="1"/>
  <c r="AB79" i="1" s="1"/>
  <c r="AF79" i="1"/>
  <c r="AG79" i="1" s="1"/>
  <c r="AH79" i="1" s="1"/>
  <c r="AJ79" i="1"/>
  <c r="AL79" i="1"/>
  <c r="AM79" i="1"/>
  <c r="AN79" i="1"/>
  <c r="AP79" i="1"/>
  <c r="AQ79" i="1"/>
  <c r="AR79" i="1"/>
  <c r="AS79" i="1"/>
  <c r="AT79" i="1" s="1"/>
  <c r="T80" i="1"/>
  <c r="U80" i="1"/>
  <c r="X80" i="1"/>
  <c r="AA80" i="1"/>
  <c r="AB80" i="1" s="1"/>
  <c r="AF80" i="1"/>
  <c r="AG80" i="1" s="1"/>
  <c r="AH80" i="1" s="1"/>
  <c r="AJ80" i="1"/>
  <c r="AL80" i="1"/>
  <c r="AM80" i="1"/>
  <c r="AN80" i="1"/>
  <c r="AP80" i="1"/>
  <c r="AQ80" i="1"/>
  <c r="AR80" i="1"/>
  <c r="AS80" i="1"/>
  <c r="AT80" i="1" s="1"/>
  <c r="T81" i="1"/>
  <c r="U81" i="1"/>
  <c r="V81" i="1" s="1"/>
  <c r="X81" i="1"/>
  <c r="Y81" i="1" s="1"/>
  <c r="AA81" i="1"/>
  <c r="AB81" i="1" s="1"/>
  <c r="AF81" i="1"/>
  <c r="AG81" i="1" s="1"/>
  <c r="AH81" i="1" s="1"/>
  <c r="AJ81" i="1"/>
  <c r="AL81" i="1"/>
  <c r="AM81" i="1"/>
  <c r="AN81" i="1"/>
  <c r="BA81" i="1" s="1"/>
  <c r="AP81" i="1"/>
  <c r="AQ81" i="1"/>
  <c r="AR81" i="1"/>
  <c r="AS81" i="1"/>
  <c r="AT81" i="1" s="1"/>
  <c r="T82" i="1"/>
  <c r="S82" i="1" s="1"/>
  <c r="U82" i="1"/>
  <c r="W82" i="1" s="1"/>
  <c r="X82" i="1"/>
  <c r="Y82" i="1" s="1"/>
  <c r="AA82" i="1"/>
  <c r="AB82" i="1" s="1"/>
  <c r="AF82" i="1"/>
  <c r="AG82" i="1" s="1"/>
  <c r="AH82" i="1" s="1"/>
  <c r="AJ82" i="1"/>
  <c r="AL82" i="1"/>
  <c r="AM82" i="1"/>
  <c r="AN82" i="1"/>
  <c r="AP82" i="1"/>
  <c r="AQ82" i="1"/>
  <c r="AR82" i="1" s="1"/>
  <c r="AS82" i="1"/>
  <c r="AT82" i="1" s="1"/>
  <c r="T83" i="1"/>
  <c r="R83" i="1" s="1"/>
  <c r="U83" i="1"/>
  <c r="X83" i="1"/>
  <c r="AA83" i="1"/>
  <c r="AB83" i="1" s="1"/>
  <c r="AF83" i="1"/>
  <c r="AG83" i="1" s="1"/>
  <c r="AH83" i="1" s="1"/>
  <c r="AJ83" i="1"/>
  <c r="AL83" i="1"/>
  <c r="AM83" i="1"/>
  <c r="AN83" i="1"/>
  <c r="BA83" i="1" s="1"/>
  <c r="AP83" i="1"/>
  <c r="AQ83" i="1"/>
  <c r="AR83" i="1"/>
  <c r="AS83" i="1"/>
  <c r="AT83" i="1" s="1"/>
  <c r="T84" i="1"/>
  <c r="R84" i="1" s="1"/>
  <c r="U84" i="1"/>
  <c r="W84" i="1" s="1"/>
  <c r="X84" i="1"/>
  <c r="Y84" i="1" s="1"/>
  <c r="AA84" i="1"/>
  <c r="AB84" i="1" s="1"/>
  <c r="AF84" i="1"/>
  <c r="AG84" i="1" s="1"/>
  <c r="AH84" i="1" s="1"/>
  <c r="AJ84" i="1"/>
  <c r="AL84" i="1"/>
  <c r="AM84" i="1"/>
  <c r="AN84" i="1"/>
  <c r="BB84" i="1" s="1"/>
  <c r="AP84" i="1"/>
  <c r="AQ84" i="1"/>
  <c r="AR84" i="1"/>
  <c r="AS84" i="1"/>
  <c r="AT84" i="1" s="1"/>
  <c r="T85" i="1"/>
  <c r="U85" i="1"/>
  <c r="V85" i="1" s="1"/>
  <c r="X85" i="1"/>
  <c r="Y85" i="1" s="1"/>
  <c r="AA85" i="1"/>
  <c r="AB85" i="1" s="1"/>
  <c r="AF85" i="1"/>
  <c r="AG85" i="1" s="1"/>
  <c r="AH85" i="1" s="1"/>
  <c r="AJ85" i="1"/>
  <c r="AL85" i="1"/>
  <c r="AM85" i="1"/>
  <c r="AN85" i="1"/>
  <c r="AW85" i="1" s="1"/>
  <c r="AP85" i="1"/>
  <c r="AQ85" i="1"/>
  <c r="AR85" i="1"/>
  <c r="AS85" i="1"/>
  <c r="AT85" i="1" s="1"/>
  <c r="T86" i="1"/>
  <c r="R86" i="1" s="1"/>
  <c r="U86" i="1"/>
  <c r="V86" i="1" s="1"/>
  <c r="X86" i="1"/>
  <c r="Y86" i="1" s="1"/>
  <c r="AA86" i="1"/>
  <c r="AB86" i="1" s="1"/>
  <c r="AF86" i="1"/>
  <c r="AG86" i="1" s="1"/>
  <c r="AH86" i="1" s="1"/>
  <c r="AJ86" i="1"/>
  <c r="AL86" i="1"/>
  <c r="AM86" i="1"/>
  <c r="AN86" i="1"/>
  <c r="BB86" i="1" s="1"/>
  <c r="AP86" i="1"/>
  <c r="AQ86" i="1"/>
  <c r="AR86" i="1"/>
  <c r="AS86" i="1"/>
  <c r="AT86" i="1" s="1"/>
  <c r="T87" i="1"/>
  <c r="R87" i="1" s="1"/>
  <c r="U87" i="1"/>
  <c r="V87" i="1" s="1"/>
  <c r="X87" i="1"/>
  <c r="AA87" i="1"/>
  <c r="AB87" i="1" s="1"/>
  <c r="AF87" i="1"/>
  <c r="AG87" i="1" s="1"/>
  <c r="AH87" i="1" s="1"/>
  <c r="AJ87" i="1"/>
  <c r="AL87" i="1"/>
  <c r="AM87" i="1"/>
  <c r="AN87" i="1"/>
  <c r="BB87" i="1" s="1"/>
  <c r="AP87" i="1"/>
  <c r="AQ87" i="1"/>
  <c r="AR87" i="1" s="1"/>
  <c r="AS87" i="1"/>
  <c r="AT87" i="1" s="1"/>
  <c r="T88" i="1"/>
  <c r="U88" i="1"/>
  <c r="V88" i="1" s="1"/>
  <c r="X88" i="1"/>
  <c r="Y88" i="1" s="1"/>
  <c r="AA88" i="1"/>
  <c r="AB88" i="1" s="1"/>
  <c r="AF88" i="1"/>
  <c r="AG88" i="1" s="1"/>
  <c r="AH88" i="1" s="1"/>
  <c r="AJ88" i="1"/>
  <c r="AL88" i="1"/>
  <c r="AM88" i="1"/>
  <c r="AN88" i="1"/>
  <c r="AP88" i="1"/>
  <c r="AQ88" i="1"/>
  <c r="AR88" i="1" s="1"/>
  <c r="AS88" i="1"/>
  <c r="AT88" i="1" s="1"/>
  <c r="T89" i="1"/>
  <c r="U89" i="1"/>
  <c r="W89" i="1" s="1"/>
  <c r="X89" i="1"/>
  <c r="AA89" i="1"/>
  <c r="AB89" i="1" s="1"/>
  <c r="AF89" i="1"/>
  <c r="AG89" i="1" s="1"/>
  <c r="AH89" i="1" s="1"/>
  <c r="AJ89" i="1"/>
  <c r="AL89" i="1"/>
  <c r="AM89" i="1"/>
  <c r="AN89" i="1"/>
  <c r="AP89" i="1"/>
  <c r="AQ89" i="1"/>
  <c r="AR89" i="1"/>
  <c r="AS89" i="1"/>
  <c r="AT89" i="1" s="1"/>
  <c r="T90" i="1"/>
  <c r="U90" i="1"/>
  <c r="V90" i="1" s="1"/>
  <c r="X90" i="1"/>
  <c r="AA90" i="1"/>
  <c r="AB90" i="1" s="1"/>
  <c r="AF90" i="1"/>
  <c r="AG90" i="1" s="1"/>
  <c r="AH90" i="1" s="1"/>
  <c r="AJ90" i="1"/>
  <c r="AL90" i="1"/>
  <c r="AM90" i="1"/>
  <c r="AN90" i="1"/>
  <c r="BA90" i="1" s="1"/>
  <c r="AP90" i="1"/>
  <c r="AQ90" i="1"/>
  <c r="AR90" i="1" s="1"/>
  <c r="AS90" i="1"/>
  <c r="AT90" i="1" s="1"/>
  <c r="T91" i="1"/>
  <c r="R91" i="1" s="1"/>
  <c r="U91" i="1"/>
  <c r="V91" i="1" s="1"/>
  <c r="X91" i="1"/>
  <c r="AA91" i="1"/>
  <c r="AB91" i="1" s="1"/>
  <c r="AF91" i="1"/>
  <c r="AG91" i="1" s="1"/>
  <c r="AH91" i="1" s="1"/>
  <c r="AJ91" i="1"/>
  <c r="AL91" i="1"/>
  <c r="AM91" i="1"/>
  <c r="AN91" i="1"/>
  <c r="AW91" i="1" s="1"/>
  <c r="AP91" i="1"/>
  <c r="AQ91" i="1"/>
  <c r="AR91" i="1"/>
  <c r="AS91" i="1"/>
  <c r="AT91" i="1" s="1"/>
  <c r="T92" i="1"/>
  <c r="U92" i="1"/>
  <c r="X92" i="1"/>
  <c r="AA92" i="1"/>
  <c r="AB92" i="1" s="1"/>
  <c r="AF92" i="1"/>
  <c r="AG92" i="1" s="1"/>
  <c r="AH92" i="1" s="1"/>
  <c r="AJ92" i="1"/>
  <c r="AL92" i="1"/>
  <c r="AM92" i="1"/>
  <c r="AN92" i="1"/>
  <c r="AP92" i="1"/>
  <c r="AQ92" i="1"/>
  <c r="AR92" i="1"/>
  <c r="AS92" i="1"/>
  <c r="AT92" i="1" s="1"/>
  <c r="T93" i="1"/>
  <c r="U93" i="1"/>
  <c r="V93" i="1" s="1"/>
  <c r="X93" i="1"/>
  <c r="Y93" i="1" s="1"/>
  <c r="AA93" i="1"/>
  <c r="AB93" i="1" s="1"/>
  <c r="AF93" i="1"/>
  <c r="AG93" i="1" s="1"/>
  <c r="AH93" i="1" s="1"/>
  <c r="AJ93" i="1"/>
  <c r="AL93" i="1"/>
  <c r="AM93" i="1"/>
  <c r="AN93" i="1"/>
  <c r="AW93" i="1" s="1"/>
  <c r="AP93" i="1"/>
  <c r="AQ93" i="1"/>
  <c r="AR93" i="1"/>
  <c r="AS93" i="1"/>
  <c r="AT93" i="1" s="1"/>
  <c r="T94" i="1"/>
  <c r="U94" i="1"/>
  <c r="V94" i="1" s="1"/>
  <c r="X94" i="1"/>
  <c r="Z94" i="1" s="1"/>
  <c r="AA94" i="1"/>
  <c r="AB94" i="1" s="1"/>
  <c r="AF94" i="1"/>
  <c r="AG94" i="1" s="1"/>
  <c r="AH94" i="1" s="1"/>
  <c r="AJ94" i="1"/>
  <c r="AL94" i="1"/>
  <c r="AM94" i="1"/>
  <c r="AN94" i="1"/>
  <c r="AP94" i="1"/>
  <c r="AQ94" i="1"/>
  <c r="AR94" i="1"/>
  <c r="AS94" i="1"/>
  <c r="AT94" i="1" s="1"/>
  <c r="T95" i="1"/>
  <c r="S95" i="1" s="1"/>
  <c r="U95" i="1"/>
  <c r="W95" i="1" s="1"/>
  <c r="X95" i="1"/>
  <c r="AA95" i="1"/>
  <c r="AB95" i="1" s="1"/>
  <c r="AF95" i="1"/>
  <c r="AG95" i="1" s="1"/>
  <c r="AH95" i="1" s="1"/>
  <c r="AJ95" i="1"/>
  <c r="AL95" i="1"/>
  <c r="AM95" i="1"/>
  <c r="AN95" i="1"/>
  <c r="AP95" i="1"/>
  <c r="AQ95" i="1"/>
  <c r="AR95" i="1" s="1"/>
  <c r="AS95" i="1"/>
  <c r="AT95" i="1" s="1"/>
  <c r="T96" i="1"/>
  <c r="U96" i="1"/>
  <c r="V96" i="1" s="1"/>
  <c r="X96" i="1"/>
  <c r="Y96" i="1" s="1"/>
  <c r="AA96" i="1"/>
  <c r="AB96" i="1" s="1"/>
  <c r="AF96" i="1"/>
  <c r="AG96" i="1" s="1"/>
  <c r="AH96" i="1" s="1"/>
  <c r="AJ96" i="1"/>
  <c r="AL96" i="1"/>
  <c r="AM96" i="1"/>
  <c r="AN96" i="1"/>
  <c r="AW96" i="1" s="1"/>
  <c r="AP96" i="1"/>
  <c r="AQ96" i="1"/>
  <c r="AR96" i="1"/>
  <c r="AS96" i="1"/>
  <c r="AT96" i="1" s="1"/>
  <c r="T97" i="1"/>
  <c r="S97" i="1" s="1"/>
  <c r="U97" i="1"/>
  <c r="V97" i="1" s="1"/>
  <c r="X97" i="1"/>
  <c r="Z97" i="1" s="1"/>
  <c r="AA97" i="1"/>
  <c r="AB97" i="1" s="1"/>
  <c r="AF97" i="1"/>
  <c r="AG97" i="1" s="1"/>
  <c r="AH97" i="1" s="1"/>
  <c r="AJ97" i="1"/>
  <c r="AL97" i="1"/>
  <c r="AM97" i="1"/>
  <c r="AN97" i="1"/>
  <c r="BA97" i="1" s="1"/>
  <c r="AP97" i="1"/>
  <c r="AQ97" i="1"/>
  <c r="AR97" i="1"/>
  <c r="AS97" i="1"/>
  <c r="AT97" i="1" s="1"/>
  <c r="T98" i="1"/>
  <c r="U98" i="1"/>
  <c r="X98" i="1"/>
  <c r="Y98" i="1" s="1"/>
  <c r="AA98" i="1"/>
  <c r="AB98" i="1" s="1"/>
  <c r="AF98" i="1"/>
  <c r="AG98" i="1" s="1"/>
  <c r="AH98" i="1" s="1"/>
  <c r="AJ98" i="1"/>
  <c r="AL98" i="1"/>
  <c r="AM98" i="1"/>
  <c r="AN98" i="1"/>
  <c r="BB98" i="1" s="1"/>
  <c r="AP98" i="1"/>
  <c r="AQ98" i="1"/>
  <c r="AR98" i="1" s="1"/>
  <c r="AS98" i="1"/>
  <c r="AT98" i="1" s="1"/>
  <c r="T99" i="1"/>
  <c r="R99" i="1" s="1"/>
  <c r="U99" i="1"/>
  <c r="V99" i="1" s="1"/>
  <c r="X99" i="1"/>
  <c r="AA99" i="1"/>
  <c r="AB99" i="1" s="1"/>
  <c r="AF99" i="1"/>
  <c r="AG99" i="1" s="1"/>
  <c r="AH99" i="1" s="1"/>
  <c r="AJ99" i="1"/>
  <c r="AL99" i="1"/>
  <c r="AM99" i="1"/>
  <c r="AN99" i="1"/>
  <c r="BA99" i="1" s="1"/>
  <c r="AP99" i="1"/>
  <c r="AQ99" i="1"/>
  <c r="AR99" i="1" s="1"/>
  <c r="AS99" i="1"/>
  <c r="AT99" i="1" s="1"/>
  <c r="T100" i="1"/>
  <c r="R100" i="1" s="1"/>
  <c r="U100" i="1"/>
  <c r="X100" i="1"/>
  <c r="Z100" i="1" s="1"/>
  <c r="AA100" i="1"/>
  <c r="AB100" i="1" s="1"/>
  <c r="AF100" i="1"/>
  <c r="AG100" i="1" s="1"/>
  <c r="AH100" i="1" s="1"/>
  <c r="AJ100" i="1"/>
  <c r="AL100" i="1"/>
  <c r="AM100" i="1"/>
  <c r="AN100" i="1"/>
  <c r="BA100" i="1" s="1"/>
  <c r="AP100" i="1"/>
  <c r="AQ100" i="1"/>
  <c r="AR100" i="1"/>
  <c r="AS100" i="1"/>
  <c r="AT100" i="1" s="1"/>
  <c r="T101" i="1"/>
  <c r="S101" i="1" s="1"/>
  <c r="U101" i="1"/>
  <c r="V101" i="1" s="1"/>
  <c r="X101" i="1"/>
  <c r="Y101" i="1" s="1"/>
  <c r="AA101" i="1"/>
  <c r="AB101" i="1" s="1"/>
  <c r="AF101" i="1"/>
  <c r="AG101" i="1" s="1"/>
  <c r="AH101" i="1" s="1"/>
  <c r="AJ101" i="1"/>
  <c r="AL101" i="1"/>
  <c r="AM101" i="1"/>
  <c r="AN101" i="1"/>
  <c r="BA101" i="1" s="1"/>
  <c r="AP101" i="1"/>
  <c r="AQ101" i="1"/>
  <c r="AR101" i="1" s="1"/>
  <c r="AS101" i="1"/>
  <c r="AT101" i="1" s="1"/>
  <c r="T102" i="1"/>
  <c r="U102" i="1"/>
  <c r="X102" i="1"/>
  <c r="Y102" i="1" s="1"/>
  <c r="AA102" i="1"/>
  <c r="AB102" i="1" s="1"/>
  <c r="AF102" i="1"/>
  <c r="AG102" i="1" s="1"/>
  <c r="AH102" i="1" s="1"/>
  <c r="AJ102" i="1"/>
  <c r="AL102" i="1"/>
  <c r="AM102" i="1"/>
  <c r="AN102" i="1"/>
  <c r="BA102" i="1" s="1"/>
  <c r="AP102" i="1"/>
  <c r="AQ102" i="1"/>
  <c r="AR102" i="1" s="1"/>
  <c r="AS102" i="1"/>
  <c r="AT102" i="1" s="1"/>
  <c r="T103" i="1"/>
  <c r="R103" i="1" s="1"/>
  <c r="U103" i="1"/>
  <c r="W103" i="1" s="1"/>
  <c r="X103" i="1"/>
  <c r="Y103" i="1" s="1"/>
  <c r="AA103" i="1"/>
  <c r="AB103" i="1" s="1"/>
  <c r="AF103" i="1"/>
  <c r="AG103" i="1" s="1"/>
  <c r="AH103" i="1" s="1"/>
  <c r="AJ103" i="1"/>
  <c r="AL103" i="1"/>
  <c r="AM103" i="1"/>
  <c r="AN103" i="1"/>
  <c r="BB103" i="1" s="1"/>
  <c r="AP103" i="1"/>
  <c r="AQ103" i="1"/>
  <c r="AR103" i="1" s="1"/>
  <c r="AS103" i="1"/>
  <c r="AT103" i="1" s="1"/>
  <c r="T104" i="1"/>
  <c r="S104" i="1" s="1"/>
  <c r="U104" i="1"/>
  <c r="V104" i="1" s="1"/>
  <c r="X104" i="1"/>
  <c r="Z104" i="1" s="1"/>
  <c r="AA104" i="1"/>
  <c r="AB104" i="1" s="1"/>
  <c r="AF104" i="1"/>
  <c r="AG104" i="1" s="1"/>
  <c r="AH104" i="1" s="1"/>
  <c r="AJ104" i="1"/>
  <c r="AL104" i="1"/>
  <c r="AM104" i="1"/>
  <c r="AN104" i="1"/>
  <c r="AP104" i="1"/>
  <c r="AQ104" i="1"/>
  <c r="AR104" i="1"/>
  <c r="AS104" i="1"/>
  <c r="AT104" i="1" s="1"/>
  <c r="T105" i="1"/>
  <c r="S105" i="1" s="1"/>
  <c r="U105" i="1"/>
  <c r="V105" i="1" s="1"/>
  <c r="X105" i="1"/>
  <c r="Z105" i="1" s="1"/>
  <c r="AA105" i="1"/>
  <c r="AB105" i="1" s="1"/>
  <c r="AF105" i="1"/>
  <c r="AG105" i="1" s="1"/>
  <c r="AH105" i="1" s="1"/>
  <c r="AJ105" i="1"/>
  <c r="AL105" i="1"/>
  <c r="AM105" i="1"/>
  <c r="AN105" i="1"/>
  <c r="BA105" i="1" s="1"/>
  <c r="AP105" i="1"/>
  <c r="AQ105" i="1"/>
  <c r="AR105" i="1" s="1"/>
  <c r="AS105" i="1"/>
  <c r="AT105" i="1" s="1"/>
  <c r="T106" i="1"/>
  <c r="S106" i="1" s="1"/>
  <c r="U106" i="1"/>
  <c r="X106" i="1"/>
  <c r="Y106" i="1" s="1"/>
  <c r="AA106" i="1"/>
  <c r="AB106" i="1" s="1"/>
  <c r="AF106" i="1"/>
  <c r="AG106" i="1" s="1"/>
  <c r="AH106" i="1" s="1"/>
  <c r="AJ106" i="1"/>
  <c r="AL106" i="1"/>
  <c r="AM106" i="1"/>
  <c r="AN106" i="1"/>
  <c r="BA106" i="1" s="1"/>
  <c r="AP106" i="1"/>
  <c r="AQ106" i="1"/>
  <c r="AR106" i="1"/>
  <c r="AS106" i="1"/>
  <c r="AT106" i="1" s="1"/>
  <c r="T107" i="1"/>
  <c r="R107" i="1" s="1"/>
  <c r="U107" i="1"/>
  <c r="W107" i="1" s="1"/>
  <c r="X107" i="1"/>
  <c r="Z107" i="1" s="1"/>
  <c r="AA107" i="1"/>
  <c r="AB107" i="1" s="1"/>
  <c r="AF107" i="1"/>
  <c r="AG107" i="1" s="1"/>
  <c r="AH107" i="1" s="1"/>
  <c r="AJ107" i="1"/>
  <c r="AL107" i="1"/>
  <c r="AM107" i="1"/>
  <c r="AN107" i="1"/>
  <c r="AW107" i="1" s="1"/>
  <c r="AP107" i="1"/>
  <c r="AQ107" i="1"/>
  <c r="AR107" i="1"/>
  <c r="AS107" i="1"/>
  <c r="AT107" i="1" s="1"/>
  <c r="T108" i="1"/>
  <c r="R108" i="1" s="1"/>
  <c r="U108" i="1"/>
  <c r="W108" i="1" s="1"/>
  <c r="X108" i="1"/>
  <c r="Z108" i="1" s="1"/>
  <c r="AA108" i="1"/>
  <c r="AB108" i="1" s="1"/>
  <c r="AF108" i="1"/>
  <c r="AG108" i="1" s="1"/>
  <c r="AH108" i="1" s="1"/>
  <c r="AJ108" i="1"/>
  <c r="AL108" i="1"/>
  <c r="AM108" i="1"/>
  <c r="AN108" i="1"/>
  <c r="AP108" i="1"/>
  <c r="AQ108" i="1"/>
  <c r="AR108" i="1"/>
  <c r="AS108" i="1"/>
  <c r="AT108" i="1" s="1"/>
  <c r="T109" i="1"/>
  <c r="S109" i="1" s="1"/>
  <c r="U109" i="1"/>
  <c r="V109" i="1" s="1"/>
  <c r="X109" i="1"/>
  <c r="Y109" i="1" s="1"/>
  <c r="AA109" i="1"/>
  <c r="AB109" i="1" s="1"/>
  <c r="AF109" i="1"/>
  <c r="AG109" i="1" s="1"/>
  <c r="AH109" i="1" s="1"/>
  <c r="AJ109" i="1"/>
  <c r="AL109" i="1"/>
  <c r="AM109" i="1"/>
  <c r="AN109" i="1"/>
  <c r="BA109" i="1" s="1"/>
  <c r="AP109" i="1"/>
  <c r="AQ109" i="1"/>
  <c r="AR109" i="1"/>
  <c r="AS109" i="1"/>
  <c r="AT109" i="1" s="1"/>
  <c r="T110" i="1"/>
  <c r="S110" i="1" s="1"/>
  <c r="U110" i="1"/>
  <c r="V110" i="1" s="1"/>
  <c r="X110" i="1"/>
  <c r="AA110" i="1"/>
  <c r="AB110" i="1" s="1"/>
  <c r="AF110" i="1"/>
  <c r="AG110" i="1" s="1"/>
  <c r="AH110" i="1" s="1"/>
  <c r="AJ110" i="1"/>
  <c r="AL110" i="1"/>
  <c r="AM110" i="1"/>
  <c r="AN110" i="1"/>
  <c r="AP110" i="1"/>
  <c r="AQ110" i="1"/>
  <c r="AR110" i="1" s="1"/>
  <c r="AS110" i="1"/>
  <c r="AT110" i="1" s="1"/>
  <c r="T111" i="1"/>
  <c r="S111" i="1" s="1"/>
  <c r="U111" i="1"/>
  <c r="X111" i="1"/>
  <c r="Y111" i="1" s="1"/>
  <c r="AA111" i="1"/>
  <c r="AB111" i="1" s="1"/>
  <c r="AF111" i="1"/>
  <c r="AG111" i="1" s="1"/>
  <c r="AH111" i="1" s="1"/>
  <c r="AJ111" i="1"/>
  <c r="AL111" i="1"/>
  <c r="AM111" i="1"/>
  <c r="AN111" i="1"/>
  <c r="AP111" i="1"/>
  <c r="AQ111" i="1"/>
  <c r="AR111" i="1"/>
  <c r="AS111" i="1"/>
  <c r="AT111" i="1" s="1"/>
  <c r="T112" i="1"/>
  <c r="S112" i="1" s="1"/>
  <c r="U112" i="1"/>
  <c r="V112" i="1" s="1"/>
  <c r="X112" i="1"/>
  <c r="Z112" i="1" s="1"/>
  <c r="AA112" i="1"/>
  <c r="AB112" i="1" s="1"/>
  <c r="AF112" i="1"/>
  <c r="AG112" i="1" s="1"/>
  <c r="AH112" i="1" s="1"/>
  <c r="AJ112" i="1"/>
  <c r="AL112" i="1"/>
  <c r="AM112" i="1"/>
  <c r="AN112" i="1"/>
  <c r="BB112" i="1" s="1"/>
  <c r="AP112" i="1"/>
  <c r="AQ112" i="1"/>
  <c r="AR112" i="1"/>
  <c r="AS112" i="1"/>
  <c r="AT112" i="1" s="1"/>
  <c r="AW112" i="1"/>
  <c r="T113" i="1"/>
  <c r="AC113" i="1" s="1"/>
  <c r="AD113" i="1" s="1"/>
  <c r="U113" i="1"/>
  <c r="V113" i="1" s="1"/>
  <c r="X113" i="1"/>
  <c r="AA113" i="1"/>
  <c r="AB113" i="1" s="1"/>
  <c r="AF113" i="1"/>
  <c r="AG113" i="1" s="1"/>
  <c r="AH113" i="1" s="1"/>
  <c r="AJ113" i="1"/>
  <c r="AL113" i="1"/>
  <c r="AM113" i="1"/>
  <c r="AN113" i="1"/>
  <c r="AP113" i="1"/>
  <c r="AQ113" i="1"/>
  <c r="AR113" i="1"/>
  <c r="AS113" i="1"/>
  <c r="AT113" i="1" s="1"/>
  <c r="T114" i="1"/>
  <c r="AC114" i="1" s="1"/>
  <c r="AD114" i="1" s="1"/>
  <c r="U114" i="1"/>
  <c r="V114" i="1" s="1"/>
  <c r="X114" i="1"/>
  <c r="AA114" i="1"/>
  <c r="AB114" i="1" s="1"/>
  <c r="AF114" i="1"/>
  <c r="AG114" i="1" s="1"/>
  <c r="AH114" i="1" s="1"/>
  <c r="AJ114" i="1"/>
  <c r="AL114" i="1"/>
  <c r="AM114" i="1"/>
  <c r="AN114" i="1"/>
  <c r="BA114" i="1" s="1"/>
  <c r="AP114" i="1"/>
  <c r="AQ114" i="1"/>
  <c r="AR114" i="1"/>
  <c r="AS114" i="1"/>
  <c r="AT114" i="1" s="1"/>
  <c r="T115" i="1"/>
  <c r="S115" i="1" s="1"/>
  <c r="U115" i="1"/>
  <c r="V115" i="1" s="1"/>
  <c r="X115" i="1"/>
  <c r="Y115" i="1" s="1"/>
  <c r="AA115" i="1"/>
  <c r="AB115" i="1" s="1"/>
  <c r="AF115" i="1"/>
  <c r="AG115" i="1" s="1"/>
  <c r="AH115" i="1" s="1"/>
  <c r="AJ115" i="1"/>
  <c r="AL115" i="1"/>
  <c r="AM115" i="1"/>
  <c r="AN115" i="1"/>
  <c r="BB115" i="1" s="1"/>
  <c r="AP115" i="1"/>
  <c r="AQ115" i="1"/>
  <c r="AR115" i="1" s="1"/>
  <c r="AS115" i="1"/>
  <c r="AT115" i="1" s="1"/>
  <c r="T116" i="1"/>
  <c r="AC116" i="1" s="1"/>
  <c r="U116" i="1"/>
  <c r="X116" i="1"/>
  <c r="Y116" i="1" s="1"/>
  <c r="AA116" i="1"/>
  <c r="AB116" i="1" s="1"/>
  <c r="AF116" i="1"/>
  <c r="AG116" i="1" s="1"/>
  <c r="AH116" i="1" s="1"/>
  <c r="AJ116" i="1"/>
  <c r="AL116" i="1"/>
  <c r="AM116" i="1"/>
  <c r="AN116" i="1"/>
  <c r="BA116" i="1" s="1"/>
  <c r="AP116" i="1"/>
  <c r="AQ116" i="1"/>
  <c r="AR116" i="1"/>
  <c r="AS116" i="1"/>
  <c r="AT116" i="1" s="1"/>
  <c r="T117" i="1"/>
  <c r="R117" i="1" s="1"/>
  <c r="U117" i="1"/>
  <c r="V117" i="1" s="1"/>
  <c r="X117" i="1"/>
  <c r="Z117" i="1" s="1"/>
  <c r="AA117" i="1"/>
  <c r="AB117" i="1" s="1"/>
  <c r="AF117" i="1"/>
  <c r="AG117" i="1" s="1"/>
  <c r="AH117" i="1" s="1"/>
  <c r="AJ117" i="1"/>
  <c r="AL117" i="1"/>
  <c r="AM117" i="1"/>
  <c r="AN117" i="1"/>
  <c r="AP117" i="1"/>
  <c r="AQ117" i="1"/>
  <c r="AR117" i="1"/>
  <c r="AS117" i="1"/>
  <c r="AT117" i="1" s="1"/>
  <c r="T118" i="1"/>
  <c r="S118" i="1" s="1"/>
  <c r="U118" i="1"/>
  <c r="W118" i="1" s="1"/>
  <c r="X118" i="1"/>
  <c r="AA118" i="1"/>
  <c r="AB118" i="1" s="1"/>
  <c r="AF118" i="1"/>
  <c r="AG118" i="1" s="1"/>
  <c r="AH118" i="1" s="1"/>
  <c r="AJ118" i="1"/>
  <c r="AL118" i="1"/>
  <c r="AM118" i="1"/>
  <c r="AN118" i="1"/>
  <c r="AW118" i="1" s="1"/>
  <c r="AP118" i="1"/>
  <c r="AQ118" i="1"/>
  <c r="AR118" i="1"/>
  <c r="AS118" i="1"/>
  <c r="AT118" i="1" s="1"/>
  <c r="T119" i="1"/>
  <c r="R119" i="1" s="1"/>
  <c r="U119" i="1"/>
  <c r="X119" i="1"/>
  <c r="Y119" i="1" s="1"/>
  <c r="AA119" i="1"/>
  <c r="AB119" i="1" s="1"/>
  <c r="AF119" i="1"/>
  <c r="AG119" i="1" s="1"/>
  <c r="AH119" i="1" s="1"/>
  <c r="AJ119" i="1"/>
  <c r="AL119" i="1"/>
  <c r="AM119" i="1"/>
  <c r="AN119" i="1"/>
  <c r="AP119" i="1"/>
  <c r="AQ119" i="1"/>
  <c r="AR119" i="1"/>
  <c r="AS119" i="1"/>
  <c r="AT119" i="1" s="1"/>
  <c r="T120" i="1"/>
  <c r="R120" i="1" s="1"/>
  <c r="U120" i="1"/>
  <c r="W120" i="1" s="1"/>
  <c r="X120" i="1"/>
  <c r="Y120" i="1" s="1"/>
  <c r="AA120" i="1"/>
  <c r="AB120" i="1" s="1"/>
  <c r="AF120" i="1"/>
  <c r="AG120" i="1" s="1"/>
  <c r="AH120" i="1" s="1"/>
  <c r="AJ120" i="1"/>
  <c r="AL120" i="1"/>
  <c r="AM120" i="1"/>
  <c r="AN120" i="1"/>
  <c r="AP120" i="1"/>
  <c r="AQ120" i="1"/>
  <c r="AR120" i="1"/>
  <c r="AS120" i="1"/>
  <c r="AT120" i="1" s="1"/>
  <c r="T121" i="1"/>
  <c r="AC121" i="1" s="1"/>
  <c r="U121" i="1"/>
  <c r="X121" i="1"/>
  <c r="Z121" i="1" s="1"/>
  <c r="AA121" i="1"/>
  <c r="AB121" i="1" s="1"/>
  <c r="AF121" i="1"/>
  <c r="AG121" i="1" s="1"/>
  <c r="AH121" i="1" s="1"/>
  <c r="AJ121" i="1"/>
  <c r="AL121" i="1"/>
  <c r="AM121" i="1"/>
  <c r="AN121" i="1"/>
  <c r="AP121" i="1"/>
  <c r="AQ121" i="1"/>
  <c r="AR121" i="1"/>
  <c r="AS121" i="1"/>
  <c r="AT121" i="1" s="1"/>
  <c r="T122" i="1"/>
  <c r="S122" i="1" s="1"/>
  <c r="U122" i="1"/>
  <c r="V122" i="1" s="1"/>
  <c r="X122" i="1"/>
  <c r="Y122" i="1" s="1"/>
  <c r="AA122" i="1"/>
  <c r="AB122" i="1" s="1"/>
  <c r="AF122" i="1"/>
  <c r="AG122" i="1" s="1"/>
  <c r="AH122" i="1" s="1"/>
  <c r="AJ122" i="1"/>
  <c r="AL122" i="1"/>
  <c r="AM122" i="1"/>
  <c r="AN122" i="1"/>
  <c r="AW122" i="1" s="1"/>
  <c r="AP122" i="1"/>
  <c r="AQ122" i="1"/>
  <c r="AR122" i="1" s="1"/>
  <c r="AS122" i="1"/>
  <c r="AT122" i="1" s="1"/>
  <c r="T123" i="1"/>
  <c r="U123" i="1"/>
  <c r="V123" i="1" s="1"/>
  <c r="X123" i="1"/>
  <c r="AA123" i="1"/>
  <c r="AB123" i="1" s="1"/>
  <c r="AF123" i="1"/>
  <c r="AG123" i="1" s="1"/>
  <c r="AH123" i="1" s="1"/>
  <c r="AJ123" i="1"/>
  <c r="AL123" i="1"/>
  <c r="AM123" i="1"/>
  <c r="AN123" i="1"/>
  <c r="AW123" i="1" s="1"/>
  <c r="AP123" i="1"/>
  <c r="AQ123" i="1"/>
  <c r="AR123" i="1"/>
  <c r="AS123" i="1"/>
  <c r="AT123" i="1" s="1"/>
  <c r="T124" i="1"/>
  <c r="U124" i="1"/>
  <c r="W124" i="1" s="1"/>
  <c r="X124" i="1"/>
  <c r="AA124" i="1"/>
  <c r="AB124" i="1" s="1"/>
  <c r="AF124" i="1"/>
  <c r="AG124" i="1" s="1"/>
  <c r="AH124" i="1" s="1"/>
  <c r="AJ124" i="1"/>
  <c r="AL124" i="1"/>
  <c r="AM124" i="1"/>
  <c r="AN124" i="1"/>
  <c r="BA124" i="1" s="1"/>
  <c r="AP124" i="1"/>
  <c r="AQ124" i="1"/>
  <c r="AR124" i="1"/>
  <c r="AS124" i="1"/>
  <c r="AT124" i="1" s="1"/>
  <c r="T125" i="1"/>
  <c r="AC125" i="1" s="1"/>
  <c r="U125" i="1"/>
  <c r="V125" i="1" s="1"/>
  <c r="X125" i="1"/>
  <c r="AA125" i="1"/>
  <c r="AB125" i="1" s="1"/>
  <c r="AF125" i="1"/>
  <c r="AG125" i="1" s="1"/>
  <c r="AH125" i="1" s="1"/>
  <c r="AJ125" i="1"/>
  <c r="AL125" i="1"/>
  <c r="AM125" i="1"/>
  <c r="AN125" i="1"/>
  <c r="BA125" i="1" s="1"/>
  <c r="AP125" i="1"/>
  <c r="AQ125" i="1"/>
  <c r="AR125" i="1"/>
  <c r="AS125" i="1"/>
  <c r="AT125" i="1" s="1"/>
  <c r="T126" i="1"/>
  <c r="U126" i="1"/>
  <c r="V126" i="1" s="1"/>
  <c r="X126" i="1"/>
  <c r="AA126" i="1"/>
  <c r="AB126" i="1" s="1"/>
  <c r="AF126" i="1"/>
  <c r="AG126" i="1" s="1"/>
  <c r="AH126" i="1" s="1"/>
  <c r="AJ126" i="1"/>
  <c r="AL126" i="1"/>
  <c r="AM126" i="1"/>
  <c r="AN126" i="1"/>
  <c r="AP126" i="1"/>
  <c r="AQ126" i="1"/>
  <c r="AR126" i="1"/>
  <c r="AS126" i="1"/>
  <c r="AT126" i="1" s="1"/>
  <c r="T127" i="1"/>
  <c r="U127" i="1"/>
  <c r="X127" i="1"/>
  <c r="AA127" i="1"/>
  <c r="AB127" i="1" s="1"/>
  <c r="AF127" i="1"/>
  <c r="AG127" i="1" s="1"/>
  <c r="AH127" i="1" s="1"/>
  <c r="AJ127" i="1"/>
  <c r="AL127" i="1"/>
  <c r="AM127" i="1"/>
  <c r="AN127" i="1"/>
  <c r="AP127" i="1"/>
  <c r="AQ127" i="1"/>
  <c r="AR127" i="1" s="1"/>
  <c r="AS127" i="1"/>
  <c r="AT127" i="1" s="1"/>
  <c r="T128" i="1"/>
  <c r="R128" i="1" s="1"/>
  <c r="U128" i="1"/>
  <c r="V128" i="1" s="1"/>
  <c r="X128" i="1"/>
  <c r="Y128" i="1" s="1"/>
  <c r="AA128" i="1"/>
  <c r="AB128" i="1" s="1"/>
  <c r="AF128" i="1"/>
  <c r="AG128" i="1" s="1"/>
  <c r="AH128" i="1" s="1"/>
  <c r="AJ128" i="1"/>
  <c r="AL128" i="1"/>
  <c r="AM128" i="1"/>
  <c r="AN128" i="1"/>
  <c r="AP128" i="1"/>
  <c r="AQ128" i="1"/>
  <c r="AR128" i="1"/>
  <c r="AS128" i="1"/>
  <c r="AT128" i="1" s="1"/>
  <c r="T129" i="1"/>
  <c r="AC129" i="1" s="1"/>
  <c r="AE129" i="1" s="1"/>
  <c r="U129" i="1"/>
  <c r="W129" i="1" s="1"/>
  <c r="X129" i="1"/>
  <c r="AA129" i="1"/>
  <c r="AB129" i="1" s="1"/>
  <c r="AF129" i="1"/>
  <c r="AG129" i="1" s="1"/>
  <c r="AH129" i="1" s="1"/>
  <c r="AJ129" i="1"/>
  <c r="AL129" i="1"/>
  <c r="AM129" i="1"/>
  <c r="AN129" i="1"/>
  <c r="AP129" i="1"/>
  <c r="AQ129" i="1"/>
  <c r="AR129" i="1"/>
  <c r="AS129" i="1"/>
  <c r="AT129" i="1" s="1"/>
  <c r="T130" i="1"/>
  <c r="R130" i="1" s="1"/>
  <c r="U130" i="1"/>
  <c r="X130" i="1"/>
  <c r="Y130" i="1" s="1"/>
  <c r="AA130" i="1"/>
  <c r="AB130" i="1" s="1"/>
  <c r="AF130" i="1"/>
  <c r="AG130" i="1" s="1"/>
  <c r="AH130" i="1" s="1"/>
  <c r="AJ130" i="1"/>
  <c r="AL130" i="1"/>
  <c r="AM130" i="1"/>
  <c r="AN130" i="1"/>
  <c r="AW130" i="1" s="1"/>
  <c r="AP130" i="1"/>
  <c r="AQ130" i="1"/>
  <c r="AR130" i="1"/>
  <c r="AS130" i="1"/>
  <c r="AT130" i="1" s="1"/>
  <c r="T131" i="1"/>
  <c r="AC131" i="1" s="1"/>
  <c r="U131" i="1"/>
  <c r="V131" i="1" s="1"/>
  <c r="X131" i="1"/>
  <c r="Y131" i="1"/>
  <c r="Z131" i="1"/>
  <c r="AA131" i="1"/>
  <c r="AB131" i="1" s="1"/>
  <c r="AF131" i="1"/>
  <c r="AG131" i="1" s="1"/>
  <c r="AH131" i="1" s="1"/>
  <c r="AJ131" i="1"/>
  <c r="AL131" i="1"/>
  <c r="AM131" i="1"/>
  <c r="AN131" i="1"/>
  <c r="AW131" i="1" s="1"/>
  <c r="AP131" i="1"/>
  <c r="AQ131" i="1"/>
  <c r="AR131" i="1" s="1"/>
  <c r="AS131" i="1"/>
  <c r="AT131" i="1" s="1"/>
  <c r="T132" i="1"/>
  <c r="U132" i="1"/>
  <c r="X132" i="1"/>
  <c r="AA132" i="1"/>
  <c r="AB132" i="1" s="1"/>
  <c r="AF132" i="1"/>
  <c r="AG132" i="1"/>
  <c r="AH132" i="1" s="1"/>
  <c r="AJ132" i="1"/>
  <c r="AL132" i="1"/>
  <c r="AM132" i="1"/>
  <c r="AN132" i="1"/>
  <c r="AP132" i="1"/>
  <c r="AQ132" i="1"/>
  <c r="AR132" i="1"/>
  <c r="AS132" i="1"/>
  <c r="AT132" i="1" s="1"/>
  <c r="T133" i="1"/>
  <c r="AC133" i="1" s="1"/>
  <c r="AD133" i="1" s="1"/>
  <c r="U133" i="1"/>
  <c r="V133" i="1" s="1"/>
  <c r="X133" i="1"/>
  <c r="Y133" i="1" s="1"/>
  <c r="AA133" i="1"/>
  <c r="AB133" i="1" s="1"/>
  <c r="AF133" i="1"/>
  <c r="AG133" i="1" s="1"/>
  <c r="AH133" i="1" s="1"/>
  <c r="AJ133" i="1"/>
  <c r="AL133" i="1"/>
  <c r="AM133" i="1"/>
  <c r="AN133" i="1"/>
  <c r="AP133" i="1"/>
  <c r="AQ133" i="1"/>
  <c r="AR133" i="1"/>
  <c r="AS133" i="1"/>
  <c r="AT133" i="1" s="1"/>
  <c r="T134" i="1"/>
  <c r="U134" i="1"/>
  <c r="V134" i="1" s="1"/>
  <c r="X134" i="1"/>
  <c r="Z134" i="1" s="1"/>
  <c r="AA134" i="1"/>
  <c r="AB134" i="1" s="1"/>
  <c r="AF134" i="1"/>
  <c r="AG134" i="1" s="1"/>
  <c r="AH134" i="1" s="1"/>
  <c r="AJ134" i="1"/>
  <c r="AL134" i="1"/>
  <c r="AM134" i="1"/>
  <c r="AN134" i="1"/>
  <c r="AP134" i="1"/>
  <c r="AQ134" i="1"/>
  <c r="AR134" i="1"/>
  <c r="AS134" i="1"/>
  <c r="AT134" i="1" s="1"/>
  <c r="T135" i="1"/>
  <c r="U135" i="1"/>
  <c r="W135" i="1" s="1"/>
  <c r="X135" i="1"/>
  <c r="Z135" i="1" s="1"/>
  <c r="AA135" i="1"/>
  <c r="AB135" i="1" s="1"/>
  <c r="AF135" i="1"/>
  <c r="AG135" i="1" s="1"/>
  <c r="AH135" i="1" s="1"/>
  <c r="AJ135" i="1"/>
  <c r="AL135" i="1"/>
  <c r="AM135" i="1"/>
  <c r="AN135" i="1"/>
  <c r="BB135" i="1" s="1"/>
  <c r="AP135" i="1"/>
  <c r="AQ135" i="1"/>
  <c r="AR135" i="1" s="1"/>
  <c r="AS135" i="1"/>
  <c r="AT135" i="1" s="1"/>
  <c r="T136" i="1"/>
  <c r="U136" i="1"/>
  <c r="X136" i="1"/>
  <c r="AA136" i="1"/>
  <c r="AB136" i="1" s="1"/>
  <c r="AF136" i="1"/>
  <c r="AG136" i="1" s="1"/>
  <c r="AH136" i="1" s="1"/>
  <c r="AJ136" i="1"/>
  <c r="AL136" i="1"/>
  <c r="AM136" i="1"/>
  <c r="AN136" i="1"/>
  <c r="AW136" i="1" s="1"/>
  <c r="AP136" i="1"/>
  <c r="AQ136" i="1"/>
  <c r="AR136" i="1"/>
  <c r="AS136" i="1"/>
  <c r="AT136" i="1" s="1"/>
  <c r="T137" i="1"/>
  <c r="U137" i="1"/>
  <c r="W137" i="1" s="1"/>
  <c r="X137" i="1"/>
  <c r="Y137" i="1" s="1"/>
  <c r="AA137" i="1"/>
  <c r="AB137" i="1" s="1"/>
  <c r="AF137" i="1"/>
  <c r="AG137" i="1" s="1"/>
  <c r="AH137" i="1" s="1"/>
  <c r="AJ137" i="1"/>
  <c r="AL137" i="1"/>
  <c r="AM137" i="1"/>
  <c r="AN137" i="1"/>
  <c r="BB137" i="1" s="1"/>
  <c r="AP137" i="1"/>
  <c r="AQ137" i="1"/>
  <c r="AR137" i="1"/>
  <c r="AS137" i="1"/>
  <c r="AT137" i="1" s="1"/>
  <c r="T138" i="1"/>
  <c r="R138" i="1" s="1"/>
  <c r="U138" i="1"/>
  <c r="X138" i="1"/>
  <c r="Y138" i="1" s="1"/>
  <c r="AA138" i="1"/>
  <c r="AB138" i="1" s="1"/>
  <c r="AF138" i="1"/>
  <c r="AG138" i="1" s="1"/>
  <c r="AH138" i="1" s="1"/>
  <c r="AJ138" i="1"/>
  <c r="AL138" i="1"/>
  <c r="AM138" i="1"/>
  <c r="AN138" i="1"/>
  <c r="BB138" i="1" s="1"/>
  <c r="AP138" i="1"/>
  <c r="AQ138" i="1"/>
  <c r="AR138" i="1"/>
  <c r="AS138" i="1"/>
  <c r="AT138" i="1" s="1"/>
  <c r="T139" i="1"/>
  <c r="R139" i="1" s="1"/>
  <c r="U139" i="1"/>
  <c r="V139" i="1" s="1"/>
  <c r="X139" i="1"/>
  <c r="Z139" i="1" s="1"/>
  <c r="AA139" i="1"/>
  <c r="AB139" i="1" s="1"/>
  <c r="AF139" i="1"/>
  <c r="AG139" i="1" s="1"/>
  <c r="AH139" i="1" s="1"/>
  <c r="AJ139" i="1"/>
  <c r="AL139" i="1"/>
  <c r="AM139" i="1"/>
  <c r="AN139" i="1"/>
  <c r="AP139" i="1"/>
  <c r="AQ139" i="1"/>
  <c r="AR139" i="1"/>
  <c r="AS139" i="1"/>
  <c r="AT139" i="1" s="1"/>
  <c r="T140" i="1"/>
  <c r="U140" i="1"/>
  <c r="V140" i="1" s="1"/>
  <c r="X140" i="1"/>
  <c r="AA140" i="1"/>
  <c r="AB140" i="1" s="1"/>
  <c r="AF140" i="1"/>
  <c r="AG140" i="1" s="1"/>
  <c r="AH140" i="1" s="1"/>
  <c r="AJ140" i="1"/>
  <c r="AL140" i="1"/>
  <c r="AM140" i="1"/>
  <c r="AN140" i="1"/>
  <c r="BA140" i="1" s="1"/>
  <c r="AP140" i="1"/>
  <c r="AQ140" i="1"/>
  <c r="AR140" i="1"/>
  <c r="AS140" i="1"/>
  <c r="AT140" i="1" s="1"/>
  <c r="T141" i="1"/>
  <c r="U141" i="1"/>
  <c r="X141" i="1"/>
  <c r="AA141" i="1"/>
  <c r="AB141" i="1" s="1"/>
  <c r="AF141" i="1"/>
  <c r="AG141" i="1" s="1"/>
  <c r="AH141" i="1" s="1"/>
  <c r="AJ141" i="1"/>
  <c r="AL141" i="1"/>
  <c r="AM141" i="1"/>
  <c r="AN141" i="1"/>
  <c r="AP141" i="1"/>
  <c r="AQ141" i="1"/>
  <c r="AR141" i="1"/>
  <c r="AS141" i="1"/>
  <c r="AT141" i="1" s="1"/>
  <c r="T142" i="1"/>
  <c r="R142" i="1" s="1"/>
  <c r="U142" i="1"/>
  <c r="W142" i="1" s="1"/>
  <c r="X142" i="1"/>
  <c r="Y142" i="1" s="1"/>
  <c r="AA142" i="1"/>
  <c r="AB142" i="1" s="1"/>
  <c r="AF142" i="1"/>
  <c r="AG142" i="1" s="1"/>
  <c r="AH142" i="1" s="1"/>
  <c r="AJ142" i="1"/>
  <c r="AL142" i="1"/>
  <c r="AM142" i="1"/>
  <c r="AN142" i="1"/>
  <c r="AP142" i="1"/>
  <c r="AQ142" i="1"/>
  <c r="AR142" i="1"/>
  <c r="AS142" i="1"/>
  <c r="AT142" i="1" s="1"/>
  <c r="T143" i="1"/>
  <c r="U143" i="1"/>
  <c r="W143" i="1" s="1"/>
  <c r="X143" i="1"/>
  <c r="Z143" i="1" s="1"/>
  <c r="AA143" i="1"/>
  <c r="AB143" i="1" s="1"/>
  <c r="AF143" i="1"/>
  <c r="AG143" i="1" s="1"/>
  <c r="AH143" i="1" s="1"/>
  <c r="AJ143" i="1"/>
  <c r="AL143" i="1"/>
  <c r="AM143" i="1"/>
  <c r="AN143" i="1"/>
  <c r="BB143" i="1" s="1"/>
  <c r="AP143" i="1"/>
  <c r="AQ143" i="1"/>
  <c r="AR143" i="1"/>
  <c r="AS143" i="1"/>
  <c r="AT143" i="1" s="1"/>
  <c r="T144" i="1"/>
  <c r="U144" i="1"/>
  <c r="V144" i="1" s="1"/>
  <c r="X144" i="1"/>
  <c r="AA144" i="1"/>
  <c r="AB144" i="1" s="1"/>
  <c r="AF144" i="1"/>
  <c r="AG144" i="1" s="1"/>
  <c r="AH144" i="1" s="1"/>
  <c r="AJ144" i="1"/>
  <c r="AL144" i="1"/>
  <c r="AM144" i="1"/>
  <c r="AN144" i="1"/>
  <c r="AP144" i="1"/>
  <c r="AQ144" i="1"/>
  <c r="AR144" i="1"/>
  <c r="AS144" i="1"/>
  <c r="AT144" i="1" s="1"/>
  <c r="T145" i="1"/>
  <c r="R145" i="1" s="1"/>
  <c r="U145" i="1"/>
  <c r="X145" i="1"/>
  <c r="AA145" i="1"/>
  <c r="AB145" i="1" s="1"/>
  <c r="AF145" i="1"/>
  <c r="AG145" i="1" s="1"/>
  <c r="AH145" i="1" s="1"/>
  <c r="AJ145" i="1"/>
  <c r="AL145" i="1"/>
  <c r="AM145" i="1"/>
  <c r="AN145" i="1"/>
  <c r="AP145" i="1"/>
  <c r="AQ145" i="1"/>
  <c r="AR145" i="1"/>
  <c r="AS145" i="1"/>
  <c r="AT145" i="1" s="1"/>
  <c r="T146" i="1"/>
  <c r="AC146" i="1" s="1"/>
  <c r="U146" i="1"/>
  <c r="W146" i="1" s="1"/>
  <c r="X146" i="1"/>
  <c r="Y146" i="1" s="1"/>
  <c r="AA146" i="1"/>
  <c r="AB146" i="1" s="1"/>
  <c r="AF146" i="1"/>
  <c r="AG146" i="1" s="1"/>
  <c r="AH146" i="1" s="1"/>
  <c r="AJ146" i="1"/>
  <c r="AL146" i="1"/>
  <c r="AM146" i="1"/>
  <c r="AN146" i="1"/>
  <c r="AW146" i="1" s="1"/>
  <c r="AP146" i="1"/>
  <c r="AQ146" i="1"/>
  <c r="AR146" i="1"/>
  <c r="AS146" i="1"/>
  <c r="AT146" i="1" s="1"/>
  <c r="T147" i="1"/>
  <c r="U147" i="1"/>
  <c r="X147" i="1"/>
  <c r="AA147" i="1"/>
  <c r="AB147" i="1" s="1"/>
  <c r="AF147" i="1"/>
  <c r="AG147" i="1" s="1"/>
  <c r="AH147" i="1" s="1"/>
  <c r="AJ147" i="1"/>
  <c r="AL147" i="1"/>
  <c r="AM147" i="1"/>
  <c r="AN147" i="1"/>
  <c r="BA147" i="1" s="1"/>
  <c r="AP147" i="1"/>
  <c r="AQ147" i="1"/>
  <c r="AR147" i="1"/>
  <c r="AS147" i="1"/>
  <c r="AT147" i="1" s="1"/>
  <c r="T148" i="1"/>
  <c r="AC148" i="1" s="1"/>
  <c r="AD148" i="1" s="1"/>
  <c r="U148" i="1"/>
  <c r="X148" i="1"/>
  <c r="Y148" i="1" s="1"/>
  <c r="AA148" i="1"/>
  <c r="AB148" i="1" s="1"/>
  <c r="AF148" i="1"/>
  <c r="AG148" i="1" s="1"/>
  <c r="AH148" i="1" s="1"/>
  <c r="AJ148" i="1"/>
  <c r="AL148" i="1"/>
  <c r="AM148" i="1"/>
  <c r="AN148" i="1"/>
  <c r="AW148" i="1" s="1"/>
  <c r="AP148" i="1"/>
  <c r="AQ148" i="1"/>
  <c r="AR148" i="1" s="1"/>
  <c r="AS148" i="1"/>
  <c r="AT148" i="1" s="1"/>
  <c r="T149" i="1"/>
  <c r="S149" i="1" s="1"/>
  <c r="U149" i="1"/>
  <c r="V149" i="1" s="1"/>
  <c r="X149" i="1"/>
  <c r="AA149" i="1"/>
  <c r="AB149" i="1" s="1"/>
  <c r="AF149" i="1"/>
  <c r="AG149" i="1" s="1"/>
  <c r="AH149" i="1" s="1"/>
  <c r="AJ149" i="1"/>
  <c r="AL149" i="1"/>
  <c r="AM149" i="1"/>
  <c r="AN149" i="1"/>
  <c r="BB149" i="1" s="1"/>
  <c r="AP149" i="1"/>
  <c r="AQ149" i="1"/>
  <c r="AR149" i="1" s="1"/>
  <c r="AS149" i="1"/>
  <c r="AT149" i="1" s="1"/>
  <c r="T150" i="1"/>
  <c r="U150" i="1"/>
  <c r="V150" i="1" s="1"/>
  <c r="X150" i="1"/>
  <c r="AA150" i="1"/>
  <c r="AB150" i="1" s="1"/>
  <c r="AF150" i="1"/>
  <c r="AG150" i="1" s="1"/>
  <c r="AH150" i="1" s="1"/>
  <c r="AJ150" i="1"/>
  <c r="AL150" i="1"/>
  <c r="AM150" i="1"/>
  <c r="AN150" i="1"/>
  <c r="BA150" i="1" s="1"/>
  <c r="AP150" i="1"/>
  <c r="AQ150" i="1"/>
  <c r="AR150" i="1" s="1"/>
  <c r="AS150" i="1"/>
  <c r="AT150" i="1" s="1"/>
  <c r="T151" i="1"/>
  <c r="R151" i="1" s="1"/>
  <c r="U151" i="1"/>
  <c r="W151" i="1" s="1"/>
  <c r="X151" i="1"/>
  <c r="Y151" i="1" s="1"/>
  <c r="AA151" i="1"/>
  <c r="AB151" i="1" s="1"/>
  <c r="AF151" i="1"/>
  <c r="AG151" i="1" s="1"/>
  <c r="AH151" i="1" s="1"/>
  <c r="AJ151" i="1"/>
  <c r="AL151" i="1"/>
  <c r="AM151" i="1"/>
  <c r="AN151" i="1"/>
  <c r="AP151" i="1"/>
  <c r="AQ151" i="1"/>
  <c r="AR151" i="1"/>
  <c r="AS151" i="1"/>
  <c r="AT151" i="1" s="1"/>
  <c r="T152" i="1"/>
  <c r="R152" i="1" s="1"/>
  <c r="U152" i="1"/>
  <c r="W152" i="1" s="1"/>
  <c r="X152" i="1"/>
  <c r="Y152" i="1" s="1"/>
  <c r="AA152" i="1"/>
  <c r="AB152" i="1" s="1"/>
  <c r="AF152" i="1"/>
  <c r="AG152" i="1" s="1"/>
  <c r="AH152" i="1" s="1"/>
  <c r="AJ152" i="1"/>
  <c r="AL152" i="1"/>
  <c r="AM152" i="1"/>
  <c r="AN152" i="1"/>
  <c r="AP152" i="1"/>
  <c r="AQ152" i="1"/>
  <c r="AR152" i="1" s="1"/>
  <c r="AS152" i="1"/>
  <c r="AT152" i="1" s="1"/>
  <c r="T153" i="1"/>
  <c r="U153" i="1"/>
  <c r="X153" i="1"/>
  <c r="Z153" i="1" s="1"/>
  <c r="AA153" i="1"/>
  <c r="AB153" i="1" s="1"/>
  <c r="AF153" i="1"/>
  <c r="AG153" i="1" s="1"/>
  <c r="AH153" i="1" s="1"/>
  <c r="AJ153" i="1"/>
  <c r="AL153" i="1"/>
  <c r="AM153" i="1"/>
  <c r="AN153" i="1"/>
  <c r="AW153" i="1" s="1"/>
  <c r="AP153" i="1"/>
  <c r="AQ153" i="1"/>
  <c r="AR153" i="1" s="1"/>
  <c r="AS153" i="1"/>
  <c r="AT153" i="1" s="1"/>
  <c r="T154" i="1"/>
  <c r="S154" i="1" s="1"/>
  <c r="U154" i="1"/>
  <c r="V154" i="1" s="1"/>
  <c r="X154" i="1"/>
  <c r="AA154" i="1"/>
  <c r="AB154" i="1" s="1"/>
  <c r="AF154" i="1"/>
  <c r="AG154" i="1" s="1"/>
  <c r="AH154" i="1" s="1"/>
  <c r="AJ154" i="1"/>
  <c r="AL154" i="1"/>
  <c r="AM154" i="1"/>
  <c r="AN154" i="1"/>
  <c r="AP154" i="1"/>
  <c r="AQ154" i="1"/>
  <c r="AR154" i="1"/>
  <c r="AS154" i="1"/>
  <c r="AT154" i="1" s="1"/>
  <c r="T155" i="1"/>
  <c r="R155" i="1" s="1"/>
  <c r="U155" i="1"/>
  <c r="W155" i="1" s="1"/>
  <c r="X155" i="1"/>
  <c r="Y155" i="1" s="1"/>
  <c r="AA155" i="1"/>
  <c r="AB155" i="1" s="1"/>
  <c r="AF155" i="1"/>
  <c r="AG155" i="1" s="1"/>
  <c r="AH155" i="1" s="1"/>
  <c r="AJ155" i="1"/>
  <c r="AL155" i="1"/>
  <c r="AM155" i="1"/>
  <c r="AN155" i="1"/>
  <c r="AW155" i="1" s="1"/>
  <c r="AP155" i="1"/>
  <c r="AQ155" i="1"/>
  <c r="AR155" i="1"/>
  <c r="AS155" i="1"/>
  <c r="AT155" i="1" s="1"/>
  <c r="T156" i="1"/>
  <c r="R156" i="1" s="1"/>
  <c r="U156" i="1"/>
  <c r="W156" i="1" s="1"/>
  <c r="X156" i="1"/>
  <c r="AA156" i="1"/>
  <c r="AB156" i="1" s="1"/>
  <c r="AF156" i="1"/>
  <c r="AG156" i="1" s="1"/>
  <c r="AH156" i="1" s="1"/>
  <c r="AJ156" i="1"/>
  <c r="AL156" i="1"/>
  <c r="AM156" i="1"/>
  <c r="AN156" i="1"/>
  <c r="BA156" i="1" s="1"/>
  <c r="AP156" i="1"/>
  <c r="AQ156" i="1"/>
  <c r="AR156" i="1"/>
  <c r="AS156" i="1"/>
  <c r="AT156" i="1" s="1"/>
  <c r="T157" i="1"/>
  <c r="R157" i="1" s="1"/>
  <c r="U157" i="1"/>
  <c r="X157" i="1"/>
  <c r="Z157" i="1" s="1"/>
  <c r="AA157" i="1"/>
  <c r="AB157" i="1" s="1"/>
  <c r="AF157" i="1"/>
  <c r="AG157" i="1" s="1"/>
  <c r="AH157" i="1" s="1"/>
  <c r="AJ157" i="1"/>
  <c r="AL157" i="1"/>
  <c r="AM157" i="1"/>
  <c r="AN157" i="1"/>
  <c r="AP157" i="1"/>
  <c r="AQ157" i="1"/>
  <c r="AR157" i="1"/>
  <c r="AS157" i="1"/>
  <c r="AT157" i="1" s="1"/>
  <c r="T158" i="1"/>
  <c r="U158" i="1"/>
  <c r="V158" i="1" s="1"/>
  <c r="X158" i="1"/>
  <c r="AA158" i="1"/>
  <c r="AB158" i="1" s="1"/>
  <c r="AF158" i="1"/>
  <c r="AG158" i="1" s="1"/>
  <c r="AH158" i="1" s="1"/>
  <c r="AJ158" i="1"/>
  <c r="AL158" i="1"/>
  <c r="AM158" i="1"/>
  <c r="AN158" i="1"/>
  <c r="AP158" i="1"/>
  <c r="AQ158" i="1"/>
  <c r="AR158" i="1"/>
  <c r="AS158" i="1"/>
  <c r="AT158" i="1" s="1"/>
  <c r="T159" i="1"/>
  <c r="R159" i="1" s="1"/>
  <c r="U159" i="1"/>
  <c r="W159" i="1" s="1"/>
  <c r="X159" i="1"/>
  <c r="AA159" i="1"/>
  <c r="AB159" i="1" s="1"/>
  <c r="AF159" i="1"/>
  <c r="AG159" i="1" s="1"/>
  <c r="AH159" i="1" s="1"/>
  <c r="AJ159" i="1"/>
  <c r="AL159" i="1"/>
  <c r="AM159" i="1"/>
  <c r="AN159" i="1"/>
  <c r="AP159" i="1"/>
  <c r="AQ159" i="1"/>
  <c r="AR159" i="1" s="1"/>
  <c r="AS159" i="1"/>
  <c r="AT159" i="1" s="1"/>
  <c r="T160" i="1"/>
  <c r="R160" i="1" s="1"/>
  <c r="U160" i="1"/>
  <c r="W160" i="1" s="1"/>
  <c r="X160" i="1"/>
  <c r="Z160" i="1" s="1"/>
  <c r="AA160" i="1"/>
  <c r="AB160" i="1" s="1"/>
  <c r="AF160" i="1"/>
  <c r="AG160" i="1" s="1"/>
  <c r="AH160" i="1" s="1"/>
  <c r="AJ160" i="1"/>
  <c r="AL160" i="1"/>
  <c r="AM160" i="1"/>
  <c r="AN160" i="1"/>
  <c r="AP160" i="1"/>
  <c r="AQ160" i="1"/>
  <c r="AR160" i="1"/>
  <c r="AS160" i="1"/>
  <c r="AT160" i="1" s="1"/>
  <c r="T161" i="1"/>
  <c r="S161" i="1" s="1"/>
  <c r="U161" i="1"/>
  <c r="X161" i="1"/>
  <c r="Y161" i="1" s="1"/>
  <c r="AA161" i="1"/>
  <c r="AB161" i="1" s="1"/>
  <c r="AF161" i="1"/>
  <c r="AG161" i="1" s="1"/>
  <c r="AH161" i="1" s="1"/>
  <c r="AJ161" i="1"/>
  <c r="AL161" i="1"/>
  <c r="AM161" i="1"/>
  <c r="AN161" i="1"/>
  <c r="AW161" i="1" s="1"/>
  <c r="AP161" i="1"/>
  <c r="AQ161" i="1"/>
  <c r="AR161" i="1"/>
  <c r="AS161" i="1"/>
  <c r="AT161" i="1" s="1"/>
  <c r="T162" i="1"/>
  <c r="U162" i="1"/>
  <c r="V162" i="1" s="1"/>
  <c r="X162" i="1"/>
  <c r="Z162" i="1" s="1"/>
  <c r="AA162" i="1"/>
  <c r="AB162" i="1" s="1"/>
  <c r="AF162" i="1"/>
  <c r="AG162" i="1" s="1"/>
  <c r="AH162" i="1" s="1"/>
  <c r="AJ162" i="1"/>
  <c r="AL162" i="1"/>
  <c r="AM162" i="1"/>
  <c r="AN162" i="1"/>
  <c r="BA162" i="1" s="1"/>
  <c r="AP162" i="1"/>
  <c r="AQ162" i="1"/>
  <c r="AR162" i="1"/>
  <c r="AS162" i="1"/>
  <c r="AT162" i="1" s="1"/>
  <c r="T163" i="1"/>
  <c r="AC163" i="1" s="1"/>
  <c r="AD163" i="1" s="1"/>
  <c r="U163" i="1"/>
  <c r="X163" i="1"/>
  <c r="AA163" i="1"/>
  <c r="AB163" i="1" s="1"/>
  <c r="AF163" i="1"/>
  <c r="AG163" i="1" s="1"/>
  <c r="AH163" i="1" s="1"/>
  <c r="AJ163" i="1"/>
  <c r="AL163" i="1"/>
  <c r="AM163" i="1"/>
  <c r="AN163" i="1"/>
  <c r="BB163" i="1" s="1"/>
  <c r="AP163" i="1"/>
  <c r="AQ163" i="1"/>
  <c r="AR163" i="1" s="1"/>
  <c r="AS163" i="1"/>
  <c r="AT163" i="1" s="1"/>
  <c r="T164" i="1"/>
  <c r="U164" i="1"/>
  <c r="W164" i="1" s="1"/>
  <c r="X164" i="1"/>
  <c r="Y164" i="1" s="1"/>
  <c r="AA164" i="1"/>
  <c r="AB164" i="1" s="1"/>
  <c r="AF164" i="1"/>
  <c r="AG164" i="1" s="1"/>
  <c r="AH164" i="1" s="1"/>
  <c r="AJ164" i="1"/>
  <c r="AL164" i="1"/>
  <c r="AM164" i="1"/>
  <c r="AN164" i="1"/>
  <c r="AW164" i="1" s="1"/>
  <c r="AZ164" i="1" s="1"/>
  <c r="AQ164" i="1"/>
  <c r="AS164" i="1"/>
  <c r="AT164" i="1" s="1"/>
  <c r="T165" i="1"/>
  <c r="U165" i="1"/>
  <c r="X165" i="1"/>
  <c r="Y165" i="1" s="1"/>
  <c r="AA165" i="1"/>
  <c r="AB165" i="1" s="1"/>
  <c r="AF165" i="1"/>
  <c r="AG165" i="1" s="1"/>
  <c r="AH165" i="1" s="1"/>
  <c r="AJ165" i="1"/>
  <c r="AL165" i="1"/>
  <c r="AM165" i="1"/>
  <c r="AN165" i="1"/>
  <c r="BA165" i="1" s="1"/>
  <c r="AQ165" i="1"/>
  <c r="AS165" i="1"/>
  <c r="AT165" i="1" s="1"/>
  <c r="T166" i="1"/>
  <c r="R166" i="1" s="1"/>
  <c r="U166" i="1"/>
  <c r="X166" i="1"/>
  <c r="AA166" i="1"/>
  <c r="AB166" i="1" s="1"/>
  <c r="AF166" i="1"/>
  <c r="AG166" i="1" s="1"/>
  <c r="AH166" i="1" s="1"/>
  <c r="AJ166" i="1"/>
  <c r="AL166" i="1"/>
  <c r="AM166" i="1"/>
  <c r="AN166" i="1"/>
  <c r="AP166" i="1"/>
  <c r="AQ166" i="1"/>
  <c r="AR166" i="1"/>
  <c r="AS166" i="1"/>
  <c r="AT166" i="1" s="1"/>
  <c r="T167" i="1"/>
  <c r="U167" i="1"/>
  <c r="W167" i="1" s="1"/>
  <c r="X167" i="1"/>
  <c r="AA167" i="1"/>
  <c r="AB167" i="1" s="1"/>
  <c r="AF167" i="1"/>
  <c r="AG167" i="1" s="1"/>
  <c r="AH167" i="1" s="1"/>
  <c r="AJ167" i="1"/>
  <c r="AL167" i="1"/>
  <c r="AM167" i="1"/>
  <c r="AN167" i="1"/>
  <c r="BB167" i="1" s="1"/>
  <c r="AQ167" i="1"/>
  <c r="AS167" i="1"/>
  <c r="AT167" i="1" s="1"/>
  <c r="T168" i="1"/>
  <c r="R168" i="1" s="1"/>
  <c r="U168" i="1"/>
  <c r="V168" i="1" s="1"/>
  <c r="X168" i="1"/>
  <c r="AA168" i="1"/>
  <c r="AB168" i="1" s="1"/>
  <c r="AF168" i="1"/>
  <c r="AG168" i="1" s="1"/>
  <c r="AH168" i="1" s="1"/>
  <c r="AJ168" i="1"/>
  <c r="AL168" i="1"/>
  <c r="AM168" i="1"/>
  <c r="AN168" i="1"/>
  <c r="AQ168" i="1"/>
  <c r="AS168" i="1"/>
  <c r="AT168" i="1" s="1"/>
  <c r="T169" i="1"/>
  <c r="U169" i="1"/>
  <c r="X169" i="1"/>
  <c r="AA169" i="1"/>
  <c r="AB169" i="1" s="1"/>
  <c r="AF169" i="1"/>
  <c r="AG169" i="1" s="1"/>
  <c r="AH169" i="1" s="1"/>
  <c r="AJ169" i="1"/>
  <c r="AL169" i="1"/>
  <c r="AM169" i="1"/>
  <c r="AN169" i="1"/>
  <c r="AQ169" i="1"/>
  <c r="AS169" i="1"/>
  <c r="AT169" i="1" s="1"/>
  <c r="T170" i="1"/>
  <c r="R170" i="1" s="1"/>
  <c r="U170" i="1"/>
  <c r="V170" i="1" s="1"/>
  <c r="X170" i="1"/>
  <c r="Z170" i="1" s="1"/>
  <c r="AA170" i="1"/>
  <c r="AB170" i="1" s="1"/>
  <c r="AF170" i="1"/>
  <c r="AG170" i="1" s="1"/>
  <c r="AH170" i="1" s="1"/>
  <c r="AJ170" i="1"/>
  <c r="AL170" i="1"/>
  <c r="AM170" i="1"/>
  <c r="AN170" i="1"/>
  <c r="AQ170" i="1"/>
  <c r="AS170" i="1"/>
  <c r="AT170" i="1" s="1"/>
  <c r="T171" i="1"/>
  <c r="U171" i="1"/>
  <c r="W171" i="1" s="1"/>
  <c r="X171" i="1"/>
  <c r="AA171" i="1"/>
  <c r="AB171" i="1" s="1"/>
  <c r="AF171" i="1"/>
  <c r="AG171" i="1" s="1"/>
  <c r="AH171" i="1" s="1"/>
  <c r="AJ171" i="1"/>
  <c r="AL171" i="1"/>
  <c r="AM171" i="1"/>
  <c r="AN171" i="1"/>
  <c r="AQ171" i="1"/>
  <c r="AS171" i="1"/>
  <c r="AT171" i="1" s="1"/>
  <c r="T172" i="1"/>
  <c r="U172" i="1"/>
  <c r="X172" i="1"/>
  <c r="AA172" i="1"/>
  <c r="AB172" i="1" s="1"/>
  <c r="AF172" i="1"/>
  <c r="AG172" i="1" s="1"/>
  <c r="AH172" i="1" s="1"/>
  <c r="AJ172" i="1"/>
  <c r="AL172" i="1"/>
  <c r="AM172" i="1"/>
  <c r="AN172" i="1"/>
  <c r="BB172" i="1" s="1"/>
  <c r="AQ172" i="1"/>
  <c r="AS172" i="1"/>
  <c r="AT172" i="1" s="1"/>
  <c r="T173" i="1"/>
  <c r="U173" i="1"/>
  <c r="X173" i="1"/>
  <c r="Y173" i="1" s="1"/>
  <c r="AA173" i="1"/>
  <c r="AB173" i="1" s="1"/>
  <c r="AF173" i="1"/>
  <c r="AG173" i="1" s="1"/>
  <c r="AH173" i="1" s="1"/>
  <c r="AJ173" i="1"/>
  <c r="AL173" i="1"/>
  <c r="AM173" i="1"/>
  <c r="AN173" i="1"/>
  <c r="AQ173" i="1"/>
  <c r="AS173" i="1"/>
  <c r="AT173" i="1" s="1"/>
  <c r="T174" i="1"/>
  <c r="S174" i="1" s="1"/>
  <c r="U174" i="1"/>
  <c r="V174" i="1" s="1"/>
  <c r="X174" i="1"/>
  <c r="Z174" i="1" s="1"/>
  <c r="AA174" i="1"/>
  <c r="AB174" i="1" s="1"/>
  <c r="AF174" i="1"/>
  <c r="AG174" i="1" s="1"/>
  <c r="AH174" i="1" s="1"/>
  <c r="AJ174" i="1"/>
  <c r="AL174" i="1"/>
  <c r="AM174" i="1"/>
  <c r="AN174" i="1"/>
  <c r="AQ174" i="1"/>
  <c r="AS174" i="1"/>
  <c r="AT174" i="1" s="1"/>
  <c r="T175" i="1"/>
  <c r="R175" i="1" s="1"/>
  <c r="U175" i="1"/>
  <c r="X175" i="1"/>
  <c r="AA175" i="1"/>
  <c r="AB175" i="1" s="1"/>
  <c r="AF175" i="1"/>
  <c r="AG175" i="1" s="1"/>
  <c r="AH175" i="1" s="1"/>
  <c r="AJ175" i="1"/>
  <c r="AL175" i="1"/>
  <c r="AM175" i="1"/>
  <c r="AN175" i="1"/>
  <c r="AQ175" i="1"/>
  <c r="AS175" i="1"/>
  <c r="AT175" i="1" s="1"/>
  <c r="T176" i="1"/>
  <c r="U176" i="1"/>
  <c r="X176" i="1"/>
  <c r="AA176" i="1"/>
  <c r="AB176" i="1" s="1"/>
  <c r="AF176" i="1"/>
  <c r="AG176" i="1" s="1"/>
  <c r="AH176" i="1" s="1"/>
  <c r="AJ176" i="1"/>
  <c r="AL176" i="1"/>
  <c r="AM176" i="1"/>
  <c r="AN176" i="1"/>
  <c r="BB176" i="1" s="1"/>
  <c r="AQ176" i="1"/>
  <c r="AS176" i="1"/>
  <c r="AT176" i="1" s="1"/>
  <c r="T177" i="1"/>
  <c r="R177" i="1" s="1"/>
  <c r="U177" i="1"/>
  <c r="W177" i="1" s="1"/>
  <c r="X177" i="1"/>
  <c r="AA177" i="1"/>
  <c r="AB177" i="1" s="1"/>
  <c r="AF177" i="1"/>
  <c r="AG177" i="1" s="1"/>
  <c r="AH177" i="1" s="1"/>
  <c r="AJ177" i="1"/>
  <c r="AL177" i="1"/>
  <c r="AM177" i="1"/>
  <c r="AN177" i="1"/>
  <c r="AQ177" i="1"/>
  <c r="AS177" i="1"/>
  <c r="AT177" i="1" s="1"/>
  <c r="T178" i="1"/>
  <c r="R178" i="1" s="1"/>
  <c r="U178" i="1"/>
  <c r="W178" i="1" s="1"/>
  <c r="X178" i="1"/>
  <c r="Z178" i="1" s="1"/>
  <c r="AA178" i="1"/>
  <c r="AB178" i="1" s="1"/>
  <c r="AF178" i="1"/>
  <c r="AG178" i="1" s="1"/>
  <c r="AH178" i="1" s="1"/>
  <c r="AJ178" i="1"/>
  <c r="AL178" i="1"/>
  <c r="AM178" i="1"/>
  <c r="AN178" i="1"/>
  <c r="BB178" i="1" s="1"/>
  <c r="AQ178" i="1"/>
  <c r="AS178" i="1"/>
  <c r="AT178" i="1" s="1"/>
  <c r="T179" i="1"/>
  <c r="U179" i="1"/>
  <c r="W179" i="1" s="1"/>
  <c r="X179" i="1"/>
  <c r="Y179" i="1" s="1"/>
  <c r="AA179" i="1"/>
  <c r="AB179" i="1" s="1"/>
  <c r="AF179" i="1"/>
  <c r="AG179" i="1" s="1"/>
  <c r="AH179" i="1" s="1"/>
  <c r="AJ179" i="1"/>
  <c r="AL179" i="1"/>
  <c r="AM179" i="1"/>
  <c r="AN179" i="1"/>
  <c r="AQ179" i="1"/>
  <c r="AS179" i="1"/>
  <c r="AT179" i="1" s="1"/>
  <c r="T180" i="1"/>
  <c r="U180" i="1"/>
  <c r="W180" i="1" s="1"/>
  <c r="X180" i="1"/>
  <c r="Z180" i="1" s="1"/>
  <c r="AA180" i="1"/>
  <c r="AB180" i="1" s="1"/>
  <c r="AF180" i="1"/>
  <c r="AG180" i="1" s="1"/>
  <c r="AH180" i="1" s="1"/>
  <c r="AJ180" i="1"/>
  <c r="AL180" i="1"/>
  <c r="AM180" i="1"/>
  <c r="AN180" i="1"/>
  <c r="BB180" i="1" s="1"/>
  <c r="AQ180" i="1"/>
  <c r="AS180" i="1"/>
  <c r="AT180" i="1" s="1"/>
  <c r="T181" i="1"/>
  <c r="U181" i="1"/>
  <c r="V181" i="1" s="1"/>
  <c r="X181" i="1"/>
  <c r="Z181" i="1" s="1"/>
  <c r="AA181" i="1"/>
  <c r="AB181" i="1" s="1"/>
  <c r="AF181" i="1"/>
  <c r="AG181" i="1" s="1"/>
  <c r="AH181" i="1" s="1"/>
  <c r="AJ181" i="1"/>
  <c r="AL181" i="1"/>
  <c r="AM181" i="1"/>
  <c r="AN181" i="1"/>
  <c r="BA181" i="1" s="1"/>
  <c r="AQ181" i="1"/>
  <c r="AS181" i="1"/>
  <c r="AT181" i="1" s="1"/>
  <c r="T182" i="1"/>
  <c r="S182" i="1" s="1"/>
  <c r="U182" i="1"/>
  <c r="W182" i="1" s="1"/>
  <c r="X182" i="1"/>
  <c r="Y182" i="1" s="1"/>
  <c r="AA182" i="1"/>
  <c r="AB182" i="1" s="1"/>
  <c r="AF182" i="1"/>
  <c r="AG182" i="1" s="1"/>
  <c r="AH182" i="1" s="1"/>
  <c r="AJ182" i="1"/>
  <c r="AL182" i="1"/>
  <c r="AM182" i="1"/>
  <c r="AN182" i="1"/>
  <c r="AQ182" i="1"/>
  <c r="AS182" i="1"/>
  <c r="AT182" i="1" s="1"/>
  <c r="T183" i="1"/>
  <c r="U183" i="1"/>
  <c r="V183" i="1" s="1"/>
  <c r="X183" i="1"/>
  <c r="AA183" i="1"/>
  <c r="AB183" i="1" s="1"/>
  <c r="AF183" i="1"/>
  <c r="AG183" i="1" s="1"/>
  <c r="AH183" i="1" s="1"/>
  <c r="AJ183" i="1"/>
  <c r="AL183" i="1"/>
  <c r="AM183" i="1"/>
  <c r="AN183" i="1"/>
  <c r="AW183" i="1" s="1"/>
  <c r="AP183" i="1"/>
  <c r="AQ183" i="1"/>
  <c r="AR183" i="1"/>
  <c r="AS183" i="1"/>
  <c r="AT183" i="1" s="1"/>
  <c r="T184" i="1"/>
  <c r="U184" i="1"/>
  <c r="X184" i="1"/>
  <c r="Z184" i="1" s="1"/>
  <c r="AA184" i="1"/>
  <c r="AB184" i="1" s="1"/>
  <c r="AF184" i="1"/>
  <c r="AG184" i="1" s="1"/>
  <c r="AH184" i="1" s="1"/>
  <c r="AJ184" i="1"/>
  <c r="AL184" i="1"/>
  <c r="AM184" i="1"/>
  <c r="AN184" i="1"/>
  <c r="AQ184" i="1"/>
  <c r="AS184" i="1"/>
  <c r="AT184" i="1" s="1"/>
  <c r="T185" i="1"/>
  <c r="AC185" i="1" s="1"/>
  <c r="U185" i="1"/>
  <c r="X185" i="1"/>
  <c r="Y185" i="1" s="1"/>
  <c r="AA185" i="1"/>
  <c r="AB185" i="1" s="1"/>
  <c r="AF185" i="1"/>
  <c r="AG185" i="1" s="1"/>
  <c r="AH185" i="1" s="1"/>
  <c r="AJ185" i="1"/>
  <c r="AL185" i="1"/>
  <c r="AM185" i="1"/>
  <c r="AN185" i="1"/>
  <c r="AW185" i="1" s="1"/>
  <c r="AZ185" i="1" s="1"/>
  <c r="AQ185" i="1"/>
  <c r="AS185" i="1"/>
  <c r="AT185" i="1" s="1"/>
  <c r="T186" i="1"/>
  <c r="U186" i="1"/>
  <c r="V186" i="1" s="1"/>
  <c r="X186" i="1"/>
  <c r="Y186" i="1" s="1"/>
  <c r="AA186" i="1"/>
  <c r="AB186" i="1" s="1"/>
  <c r="AF186" i="1"/>
  <c r="AG186" i="1" s="1"/>
  <c r="AH186" i="1" s="1"/>
  <c r="AJ186" i="1"/>
  <c r="AL186" i="1"/>
  <c r="AM186" i="1"/>
  <c r="AN186" i="1"/>
  <c r="AQ186" i="1"/>
  <c r="AS186" i="1"/>
  <c r="AT186" i="1" s="1"/>
  <c r="T187" i="1"/>
  <c r="S187" i="1" s="1"/>
  <c r="U187" i="1"/>
  <c r="X187" i="1"/>
  <c r="AA187" i="1"/>
  <c r="AB187" i="1" s="1"/>
  <c r="AF187" i="1"/>
  <c r="AG187" i="1" s="1"/>
  <c r="AH187" i="1" s="1"/>
  <c r="AJ187" i="1"/>
  <c r="AL187" i="1"/>
  <c r="AM187" i="1"/>
  <c r="AN187" i="1"/>
  <c r="AW187" i="1" s="1"/>
  <c r="AZ187" i="1" s="1"/>
  <c r="AQ187" i="1"/>
  <c r="AS187" i="1"/>
  <c r="AT187" i="1" s="1"/>
  <c r="T188" i="1"/>
  <c r="R188" i="1" s="1"/>
  <c r="U188" i="1"/>
  <c r="X188" i="1"/>
  <c r="Y188" i="1" s="1"/>
  <c r="AA188" i="1"/>
  <c r="AB188" i="1" s="1"/>
  <c r="AF188" i="1"/>
  <c r="AG188" i="1" s="1"/>
  <c r="AH188" i="1" s="1"/>
  <c r="AJ188" i="1"/>
  <c r="AL188" i="1"/>
  <c r="AM188" i="1"/>
  <c r="AN188" i="1"/>
  <c r="AQ188" i="1"/>
  <c r="AS188" i="1"/>
  <c r="AT188" i="1" s="1"/>
  <c r="T189" i="1"/>
  <c r="U189" i="1"/>
  <c r="V189" i="1" s="1"/>
  <c r="X189" i="1"/>
  <c r="AA189" i="1"/>
  <c r="AB189" i="1" s="1"/>
  <c r="AF189" i="1"/>
  <c r="AG189" i="1" s="1"/>
  <c r="AH189" i="1" s="1"/>
  <c r="AJ189" i="1"/>
  <c r="AL189" i="1"/>
  <c r="AM189" i="1"/>
  <c r="AN189" i="1"/>
  <c r="BA189" i="1" s="1"/>
  <c r="AQ189" i="1"/>
  <c r="AS189" i="1"/>
  <c r="AT189" i="1" s="1"/>
  <c r="T190" i="1"/>
  <c r="S190" i="1" s="1"/>
  <c r="U190" i="1"/>
  <c r="V190" i="1" s="1"/>
  <c r="X190" i="1"/>
  <c r="Z190" i="1" s="1"/>
  <c r="AA190" i="1"/>
  <c r="AB190" i="1" s="1"/>
  <c r="AF190" i="1"/>
  <c r="AG190" i="1" s="1"/>
  <c r="AH190" i="1" s="1"/>
  <c r="AJ190" i="1"/>
  <c r="AL190" i="1"/>
  <c r="AM190" i="1"/>
  <c r="AN190" i="1"/>
  <c r="AW190" i="1" s="1"/>
  <c r="AZ190" i="1" s="1"/>
  <c r="AQ190" i="1"/>
  <c r="AS190" i="1"/>
  <c r="AT190" i="1" s="1"/>
  <c r="T191" i="1"/>
  <c r="R191" i="1" s="1"/>
  <c r="U191" i="1"/>
  <c r="W191" i="1" s="1"/>
  <c r="X191" i="1"/>
  <c r="AA191" i="1"/>
  <c r="AB191" i="1" s="1"/>
  <c r="AF191" i="1"/>
  <c r="AG191" i="1" s="1"/>
  <c r="AH191" i="1" s="1"/>
  <c r="AJ191" i="1"/>
  <c r="AL191" i="1"/>
  <c r="AM191" i="1"/>
  <c r="AN191" i="1"/>
  <c r="AQ191" i="1"/>
  <c r="AS191" i="1"/>
  <c r="AT191" i="1" s="1"/>
  <c r="T192" i="1"/>
  <c r="AC192" i="1" s="1"/>
  <c r="U192" i="1"/>
  <c r="V192" i="1" s="1"/>
  <c r="X192" i="1"/>
  <c r="AA192" i="1"/>
  <c r="AB192" i="1" s="1"/>
  <c r="AF192" i="1"/>
  <c r="AG192" i="1" s="1"/>
  <c r="AH192" i="1" s="1"/>
  <c r="AJ192" i="1"/>
  <c r="AL192" i="1"/>
  <c r="AM192" i="1"/>
  <c r="AN192" i="1"/>
  <c r="AQ192" i="1"/>
  <c r="AS192" i="1"/>
  <c r="AT192" i="1" s="1"/>
  <c r="T193" i="1"/>
  <c r="AC193" i="1" s="1"/>
  <c r="AE193" i="1" s="1"/>
  <c r="U193" i="1"/>
  <c r="X193" i="1"/>
  <c r="Y193" i="1" s="1"/>
  <c r="AA193" i="1"/>
  <c r="AB193" i="1" s="1"/>
  <c r="AF193" i="1"/>
  <c r="AG193" i="1" s="1"/>
  <c r="AH193" i="1" s="1"/>
  <c r="AJ193" i="1"/>
  <c r="AL193" i="1"/>
  <c r="AM193" i="1"/>
  <c r="AN193" i="1"/>
  <c r="AQ193" i="1"/>
  <c r="AS193" i="1"/>
  <c r="AT193" i="1" s="1"/>
  <c r="T194" i="1"/>
  <c r="R194" i="1" s="1"/>
  <c r="U194" i="1"/>
  <c r="V194" i="1" s="1"/>
  <c r="X194" i="1"/>
  <c r="Z194" i="1" s="1"/>
  <c r="AA194" i="1"/>
  <c r="AB194" i="1" s="1"/>
  <c r="AF194" i="1"/>
  <c r="AG194" i="1" s="1"/>
  <c r="AH194" i="1" s="1"/>
  <c r="AJ194" i="1"/>
  <c r="AL194" i="1"/>
  <c r="AM194" i="1"/>
  <c r="AN194" i="1"/>
  <c r="BB194" i="1" s="1"/>
  <c r="AQ194" i="1"/>
  <c r="AS194" i="1"/>
  <c r="AT194" i="1" s="1"/>
  <c r="T195" i="1"/>
  <c r="S195" i="1" s="1"/>
  <c r="U195" i="1"/>
  <c r="V195" i="1" s="1"/>
  <c r="X195" i="1"/>
  <c r="Y195" i="1" s="1"/>
  <c r="AA195" i="1"/>
  <c r="AB195" i="1" s="1"/>
  <c r="AF195" i="1"/>
  <c r="AG195" i="1" s="1"/>
  <c r="AH195" i="1" s="1"/>
  <c r="AJ195" i="1"/>
  <c r="AL195" i="1"/>
  <c r="AM195" i="1"/>
  <c r="AN195" i="1"/>
  <c r="AW195" i="1" s="1"/>
  <c r="AZ195" i="1" s="1"/>
  <c r="AQ195" i="1"/>
  <c r="AS195" i="1"/>
  <c r="AT195" i="1" s="1"/>
  <c r="T196" i="1"/>
  <c r="R196" i="1" s="1"/>
  <c r="U196" i="1"/>
  <c r="V196" i="1" s="1"/>
  <c r="X196" i="1"/>
  <c r="AA196" i="1"/>
  <c r="AB196" i="1" s="1"/>
  <c r="AF196" i="1"/>
  <c r="AG196" i="1" s="1"/>
  <c r="AH196" i="1" s="1"/>
  <c r="AJ196" i="1"/>
  <c r="AL196" i="1"/>
  <c r="AM196" i="1"/>
  <c r="AN196" i="1"/>
  <c r="AQ196" i="1"/>
  <c r="AS196" i="1"/>
  <c r="AT196" i="1" s="1"/>
  <c r="T197" i="1"/>
  <c r="AC197" i="1" s="1"/>
  <c r="U197" i="1"/>
  <c r="V197" i="1" s="1"/>
  <c r="X197" i="1"/>
  <c r="Y197" i="1" s="1"/>
  <c r="AA197" i="1"/>
  <c r="AB197" i="1" s="1"/>
  <c r="AF197" i="1"/>
  <c r="AG197" i="1" s="1"/>
  <c r="AH197" i="1" s="1"/>
  <c r="AJ197" i="1"/>
  <c r="AL197" i="1"/>
  <c r="AM197" i="1"/>
  <c r="AN197" i="1"/>
  <c r="AQ197" i="1"/>
  <c r="AS197" i="1"/>
  <c r="AT197" i="1" s="1"/>
  <c r="T198" i="1"/>
  <c r="R198" i="1" s="1"/>
  <c r="U198" i="1"/>
  <c r="X198" i="1"/>
  <c r="Y198" i="1" s="1"/>
  <c r="AA198" i="1"/>
  <c r="AB198" i="1" s="1"/>
  <c r="AF198" i="1"/>
  <c r="AG198" i="1" s="1"/>
  <c r="AH198" i="1" s="1"/>
  <c r="AJ198" i="1"/>
  <c r="AL198" i="1"/>
  <c r="AM198" i="1"/>
  <c r="AN198" i="1"/>
  <c r="AW198" i="1" s="1"/>
  <c r="AZ198" i="1" s="1"/>
  <c r="AQ198" i="1"/>
  <c r="AS198" i="1"/>
  <c r="AT198" i="1" s="1"/>
  <c r="T199" i="1"/>
  <c r="S199" i="1" s="1"/>
  <c r="U199" i="1"/>
  <c r="X199" i="1"/>
  <c r="AA199" i="1"/>
  <c r="AB199" i="1" s="1"/>
  <c r="AF199" i="1"/>
  <c r="AG199" i="1" s="1"/>
  <c r="AH199" i="1" s="1"/>
  <c r="AJ199" i="1"/>
  <c r="AL199" i="1"/>
  <c r="AM199" i="1"/>
  <c r="AN199" i="1"/>
  <c r="AW199" i="1" s="1"/>
  <c r="AZ199" i="1" s="1"/>
  <c r="AQ199" i="1"/>
  <c r="AS199" i="1"/>
  <c r="AT199" i="1" s="1"/>
  <c r="T200" i="1"/>
  <c r="R200" i="1" s="1"/>
  <c r="U200" i="1"/>
  <c r="V200" i="1" s="1"/>
  <c r="X200" i="1"/>
  <c r="AA200" i="1"/>
  <c r="AB200" i="1" s="1"/>
  <c r="AF200" i="1"/>
  <c r="AG200" i="1" s="1"/>
  <c r="AH200" i="1" s="1"/>
  <c r="AJ200" i="1"/>
  <c r="AL200" i="1"/>
  <c r="AM200" i="1"/>
  <c r="AN200" i="1"/>
  <c r="BA200" i="1" s="1"/>
  <c r="AQ200" i="1"/>
  <c r="AS200" i="1"/>
  <c r="AT200" i="1" s="1"/>
  <c r="T201" i="1"/>
  <c r="S201" i="1" s="1"/>
  <c r="U201" i="1"/>
  <c r="V201" i="1" s="1"/>
  <c r="X201" i="1"/>
  <c r="Y201" i="1" s="1"/>
  <c r="AA201" i="1"/>
  <c r="AB201" i="1" s="1"/>
  <c r="AF201" i="1"/>
  <c r="AG201" i="1" s="1"/>
  <c r="AH201" i="1" s="1"/>
  <c r="AJ201" i="1"/>
  <c r="AL201" i="1"/>
  <c r="AM201" i="1"/>
  <c r="AN201" i="1"/>
  <c r="BA201" i="1" s="1"/>
  <c r="AQ201" i="1"/>
  <c r="AS201" i="1"/>
  <c r="AT201" i="1" s="1"/>
  <c r="T202" i="1"/>
  <c r="S202" i="1" s="1"/>
  <c r="U202" i="1"/>
  <c r="W202" i="1" s="1"/>
  <c r="X202" i="1"/>
  <c r="Y202" i="1" s="1"/>
  <c r="AA202" i="1"/>
  <c r="AB202" i="1" s="1"/>
  <c r="AF202" i="1"/>
  <c r="AG202" i="1" s="1"/>
  <c r="AH202" i="1" s="1"/>
  <c r="AJ202" i="1"/>
  <c r="AL202" i="1"/>
  <c r="AM202" i="1"/>
  <c r="AN202" i="1"/>
  <c r="BB202" i="1" s="1"/>
  <c r="AQ202" i="1"/>
  <c r="AS202" i="1"/>
  <c r="AT202" i="1" s="1"/>
  <c r="T203" i="1"/>
  <c r="R203" i="1" s="1"/>
  <c r="U203" i="1"/>
  <c r="W203" i="1" s="1"/>
  <c r="X203" i="1"/>
  <c r="Z203" i="1" s="1"/>
  <c r="AA203" i="1"/>
  <c r="AB203" i="1" s="1"/>
  <c r="AF203" i="1"/>
  <c r="AG203" i="1" s="1"/>
  <c r="AH203" i="1" s="1"/>
  <c r="AJ203" i="1"/>
  <c r="AL203" i="1"/>
  <c r="AM203" i="1"/>
  <c r="AN203" i="1"/>
  <c r="BB203" i="1" s="1"/>
  <c r="AQ203" i="1"/>
  <c r="AS203" i="1"/>
  <c r="AT203" i="1" s="1"/>
  <c r="T204" i="1"/>
  <c r="U204" i="1"/>
  <c r="X204" i="1"/>
  <c r="Y204" i="1" s="1"/>
  <c r="AA204" i="1"/>
  <c r="AB204" i="1" s="1"/>
  <c r="AF204" i="1"/>
  <c r="AG204" i="1" s="1"/>
  <c r="AH204" i="1" s="1"/>
  <c r="AJ204" i="1"/>
  <c r="AL204" i="1"/>
  <c r="AM204" i="1"/>
  <c r="AN204" i="1"/>
  <c r="AQ204" i="1"/>
  <c r="AS204" i="1"/>
  <c r="AT204" i="1" s="1"/>
  <c r="T205" i="1"/>
  <c r="R205" i="1" s="1"/>
  <c r="U205" i="1"/>
  <c r="V205" i="1" s="1"/>
  <c r="X205" i="1"/>
  <c r="Y205" i="1" s="1"/>
  <c r="AA205" i="1"/>
  <c r="AB205" i="1" s="1"/>
  <c r="AF205" i="1"/>
  <c r="AG205" i="1" s="1"/>
  <c r="AH205" i="1" s="1"/>
  <c r="AJ205" i="1"/>
  <c r="AL205" i="1"/>
  <c r="AM205" i="1"/>
  <c r="AN205" i="1"/>
  <c r="AQ205" i="1"/>
  <c r="AS205" i="1"/>
  <c r="AT205" i="1" s="1"/>
  <c r="T206" i="1"/>
  <c r="R206" i="1" s="1"/>
  <c r="U206" i="1"/>
  <c r="V206" i="1" s="1"/>
  <c r="X206" i="1"/>
  <c r="AA206" i="1"/>
  <c r="AB206" i="1" s="1"/>
  <c r="AF206" i="1"/>
  <c r="AG206" i="1" s="1"/>
  <c r="AH206" i="1" s="1"/>
  <c r="AJ206" i="1"/>
  <c r="AL206" i="1"/>
  <c r="AM206" i="1"/>
  <c r="AN206" i="1"/>
  <c r="AW206" i="1" s="1"/>
  <c r="AZ206" i="1" s="1"/>
  <c r="AQ206" i="1"/>
  <c r="AS206" i="1"/>
  <c r="AT206" i="1" s="1"/>
  <c r="T207" i="1"/>
  <c r="S207" i="1" s="1"/>
  <c r="U207" i="1"/>
  <c r="X207" i="1"/>
  <c r="Y207" i="1" s="1"/>
  <c r="AA207" i="1"/>
  <c r="AB207" i="1" s="1"/>
  <c r="AF207" i="1"/>
  <c r="AG207" i="1" s="1"/>
  <c r="AH207" i="1" s="1"/>
  <c r="AJ207" i="1"/>
  <c r="AL207" i="1"/>
  <c r="AM207" i="1"/>
  <c r="AN207" i="1"/>
  <c r="AQ207" i="1"/>
  <c r="AS207" i="1"/>
  <c r="AT207" i="1" s="1"/>
  <c r="T208" i="1"/>
  <c r="R208" i="1" s="1"/>
  <c r="U208" i="1"/>
  <c r="V208" i="1" s="1"/>
  <c r="X208" i="1"/>
  <c r="AA208" i="1"/>
  <c r="AB208" i="1" s="1"/>
  <c r="AF208" i="1"/>
  <c r="AG208" i="1" s="1"/>
  <c r="AH208" i="1" s="1"/>
  <c r="AJ208" i="1"/>
  <c r="AL208" i="1"/>
  <c r="AM208" i="1"/>
  <c r="AN208" i="1"/>
  <c r="AW208" i="1" s="1"/>
  <c r="AZ208" i="1" s="1"/>
  <c r="AQ208" i="1"/>
  <c r="AS208" i="1"/>
  <c r="AT208" i="1" s="1"/>
  <c r="T209" i="1"/>
  <c r="R209" i="1" s="1"/>
  <c r="U209" i="1"/>
  <c r="X209" i="1"/>
  <c r="Y209" i="1" s="1"/>
  <c r="AA209" i="1"/>
  <c r="AB209" i="1" s="1"/>
  <c r="AF209" i="1"/>
  <c r="AG209" i="1" s="1"/>
  <c r="AH209" i="1" s="1"/>
  <c r="AJ209" i="1"/>
  <c r="AL209" i="1"/>
  <c r="AM209" i="1"/>
  <c r="AN209" i="1"/>
  <c r="AQ209" i="1"/>
  <c r="AS209" i="1"/>
  <c r="AT209" i="1" s="1"/>
  <c r="T210" i="1"/>
  <c r="U210" i="1"/>
  <c r="W210" i="1" s="1"/>
  <c r="X210" i="1"/>
  <c r="Y210" i="1" s="1"/>
  <c r="AA210" i="1"/>
  <c r="AB210" i="1" s="1"/>
  <c r="AF210" i="1"/>
  <c r="AG210" i="1" s="1"/>
  <c r="AH210" i="1" s="1"/>
  <c r="AJ210" i="1"/>
  <c r="AL210" i="1"/>
  <c r="AM210" i="1"/>
  <c r="AN210" i="1"/>
  <c r="AQ210" i="1"/>
  <c r="AS210" i="1"/>
  <c r="AT210" i="1" s="1"/>
  <c r="T211" i="1"/>
  <c r="R211" i="1" s="1"/>
  <c r="U211" i="1"/>
  <c r="V211" i="1" s="1"/>
  <c r="X211" i="1"/>
  <c r="Z211" i="1" s="1"/>
  <c r="AA211" i="1"/>
  <c r="AB211" i="1" s="1"/>
  <c r="AF211" i="1"/>
  <c r="AG211" i="1" s="1"/>
  <c r="AH211" i="1" s="1"/>
  <c r="AJ211" i="1"/>
  <c r="AL211" i="1"/>
  <c r="AM211" i="1"/>
  <c r="AN211" i="1"/>
  <c r="BB211" i="1" s="1"/>
  <c r="AQ211" i="1"/>
  <c r="AS211" i="1"/>
  <c r="AT211" i="1" s="1"/>
  <c r="T212" i="1"/>
  <c r="U212" i="1"/>
  <c r="V212" i="1" s="1"/>
  <c r="X212" i="1"/>
  <c r="Z212" i="1" s="1"/>
  <c r="AA212" i="1"/>
  <c r="AB212" i="1" s="1"/>
  <c r="AF212" i="1"/>
  <c r="AG212" i="1" s="1"/>
  <c r="AH212" i="1" s="1"/>
  <c r="AJ212" i="1"/>
  <c r="AL212" i="1"/>
  <c r="AM212" i="1"/>
  <c r="AN212" i="1"/>
  <c r="AQ212" i="1"/>
  <c r="AS212" i="1"/>
  <c r="AT212" i="1" s="1"/>
  <c r="T213" i="1"/>
  <c r="R213" i="1" s="1"/>
  <c r="U213" i="1"/>
  <c r="X213" i="1"/>
  <c r="Y213" i="1" s="1"/>
  <c r="AA213" i="1"/>
  <c r="AB213" i="1" s="1"/>
  <c r="AF213" i="1"/>
  <c r="AG213" i="1" s="1"/>
  <c r="AH213" i="1" s="1"/>
  <c r="AJ213" i="1"/>
  <c r="AL213" i="1"/>
  <c r="AM213" i="1"/>
  <c r="AN213" i="1"/>
  <c r="AW213" i="1" s="1"/>
  <c r="AZ213" i="1" s="1"/>
  <c r="AQ213" i="1"/>
  <c r="AS213" i="1"/>
  <c r="AT213" i="1" s="1"/>
  <c r="T214" i="1"/>
  <c r="U214" i="1"/>
  <c r="V214" i="1" s="1"/>
  <c r="X214" i="1"/>
  <c r="Y214" i="1" s="1"/>
  <c r="AA214" i="1"/>
  <c r="AB214" i="1" s="1"/>
  <c r="AF214" i="1"/>
  <c r="AG214" i="1" s="1"/>
  <c r="AH214" i="1" s="1"/>
  <c r="AJ214" i="1"/>
  <c r="AL214" i="1"/>
  <c r="AM214" i="1"/>
  <c r="AN214" i="1"/>
  <c r="AW214" i="1" s="1"/>
  <c r="AZ214" i="1" s="1"/>
  <c r="AQ214" i="1"/>
  <c r="AS214" i="1"/>
  <c r="AT214" i="1" s="1"/>
  <c r="T215" i="1"/>
  <c r="S215" i="1" s="1"/>
  <c r="U215" i="1"/>
  <c r="X215" i="1"/>
  <c r="AA215" i="1"/>
  <c r="AB215" i="1" s="1"/>
  <c r="AF215" i="1"/>
  <c r="AG215" i="1" s="1"/>
  <c r="AH215" i="1" s="1"/>
  <c r="AJ215" i="1"/>
  <c r="AL215" i="1"/>
  <c r="AM215" i="1"/>
  <c r="AN215" i="1"/>
  <c r="AW215" i="1" s="1"/>
  <c r="AZ215" i="1" s="1"/>
  <c r="AQ215" i="1"/>
  <c r="AS215" i="1"/>
  <c r="AT215" i="1" s="1"/>
  <c r="T216" i="1"/>
  <c r="R216" i="1" s="1"/>
  <c r="U216" i="1"/>
  <c r="V216" i="1" s="1"/>
  <c r="X216" i="1"/>
  <c r="AA216" i="1"/>
  <c r="AB216" i="1" s="1"/>
  <c r="AF216" i="1"/>
  <c r="AG216" i="1" s="1"/>
  <c r="AH216" i="1" s="1"/>
  <c r="AJ216" i="1"/>
  <c r="AL216" i="1"/>
  <c r="AM216" i="1"/>
  <c r="AN216" i="1"/>
  <c r="AQ216" i="1"/>
  <c r="AS216" i="1"/>
  <c r="AT216" i="1" s="1"/>
  <c r="T217" i="1"/>
  <c r="AC217" i="1" s="1"/>
  <c r="U217" i="1"/>
  <c r="V217" i="1" s="1"/>
  <c r="X217" i="1"/>
  <c r="Y217" i="1" s="1"/>
  <c r="AA217" i="1"/>
  <c r="AB217" i="1" s="1"/>
  <c r="AF217" i="1"/>
  <c r="AG217" i="1" s="1"/>
  <c r="AH217" i="1" s="1"/>
  <c r="AJ217" i="1"/>
  <c r="AL217" i="1"/>
  <c r="AM217" i="1"/>
  <c r="AN217" i="1"/>
  <c r="BA217" i="1" s="1"/>
  <c r="AQ217" i="1"/>
  <c r="AS217" i="1"/>
  <c r="AT217" i="1" s="1"/>
  <c r="T218" i="1"/>
  <c r="R218" i="1" s="1"/>
  <c r="U218" i="1"/>
  <c r="W218" i="1" s="1"/>
  <c r="X218" i="1"/>
  <c r="Z218" i="1" s="1"/>
  <c r="AA218" i="1"/>
  <c r="AB218" i="1" s="1"/>
  <c r="AF218" i="1"/>
  <c r="AG218" i="1" s="1"/>
  <c r="AH218" i="1" s="1"/>
  <c r="AJ218" i="1"/>
  <c r="AL218" i="1"/>
  <c r="AM218" i="1"/>
  <c r="AN218" i="1"/>
  <c r="AQ218" i="1"/>
  <c r="AS218" i="1"/>
  <c r="AT218" i="1" s="1"/>
  <c r="T219" i="1"/>
  <c r="R219" i="1" s="1"/>
  <c r="U219" i="1"/>
  <c r="V219" i="1" s="1"/>
  <c r="X219" i="1"/>
  <c r="Z219" i="1" s="1"/>
  <c r="AA219" i="1"/>
  <c r="AB219" i="1" s="1"/>
  <c r="AF219" i="1"/>
  <c r="AG219" i="1" s="1"/>
  <c r="AH219" i="1" s="1"/>
  <c r="AJ219" i="1"/>
  <c r="AL219" i="1"/>
  <c r="AM219" i="1"/>
  <c r="AN219" i="1"/>
  <c r="BB219" i="1" s="1"/>
  <c r="AQ219" i="1"/>
  <c r="AS219" i="1"/>
  <c r="AT219" i="1" s="1"/>
  <c r="T220" i="1"/>
  <c r="U220" i="1"/>
  <c r="X220" i="1"/>
  <c r="Y220" i="1" s="1"/>
  <c r="AA220" i="1"/>
  <c r="AB220" i="1" s="1"/>
  <c r="AF220" i="1"/>
  <c r="AG220" i="1" s="1"/>
  <c r="AH220" i="1" s="1"/>
  <c r="AJ220" i="1"/>
  <c r="AL220" i="1"/>
  <c r="AM220" i="1"/>
  <c r="AN220" i="1"/>
  <c r="AW220" i="1" s="1"/>
  <c r="AZ220" i="1" s="1"/>
  <c r="AQ220" i="1"/>
  <c r="AS220" i="1"/>
  <c r="AT220" i="1" s="1"/>
  <c r="T221" i="1"/>
  <c r="R221" i="1" s="1"/>
  <c r="U221" i="1"/>
  <c r="X221" i="1"/>
  <c r="Y221" i="1" s="1"/>
  <c r="AA221" i="1"/>
  <c r="AB221" i="1" s="1"/>
  <c r="AF221" i="1"/>
  <c r="AG221" i="1" s="1"/>
  <c r="AH221" i="1" s="1"/>
  <c r="AJ221" i="1"/>
  <c r="AL221" i="1"/>
  <c r="AM221" i="1"/>
  <c r="AN221" i="1"/>
  <c r="AQ221" i="1"/>
  <c r="AS221" i="1"/>
  <c r="AT221" i="1" s="1"/>
  <c r="T222" i="1"/>
  <c r="R222" i="1" s="1"/>
  <c r="U222" i="1"/>
  <c r="X222" i="1"/>
  <c r="Y222" i="1" s="1"/>
  <c r="AA222" i="1"/>
  <c r="AB222" i="1" s="1"/>
  <c r="AF222" i="1"/>
  <c r="AG222" i="1" s="1"/>
  <c r="AH222" i="1" s="1"/>
  <c r="AJ222" i="1"/>
  <c r="AL222" i="1"/>
  <c r="AM222" i="1"/>
  <c r="AN222" i="1"/>
  <c r="AW222" i="1" s="1"/>
  <c r="AZ222" i="1" s="1"/>
  <c r="AQ222" i="1"/>
  <c r="AS222" i="1"/>
  <c r="AT222" i="1" s="1"/>
  <c r="T223" i="1"/>
  <c r="U223" i="1"/>
  <c r="X223" i="1"/>
  <c r="Y223" i="1" s="1"/>
  <c r="AA223" i="1"/>
  <c r="AB223" i="1" s="1"/>
  <c r="AF223" i="1"/>
  <c r="AG223" i="1" s="1"/>
  <c r="AH223" i="1" s="1"/>
  <c r="AJ223" i="1"/>
  <c r="AL223" i="1"/>
  <c r="AM223" i="1"/>
  <c r="AN223" i="1"/>
  <c r="AQ223" i="1"/>
  <c r="AS223" i="1"/>
  <c r="AT223" i="1" s="1"/>
  <c r="T224" i="1"/>
  <c r="U224" i="1"/>
  <c r="V224" i="1" s="1"/>
  <c r="X224" i="1"/>
  <c r="AA224" i="1"/>
  <c r="AB224" i="1" s="1"/>
  <c r="AF224" i="1"/>
  <c r="AG224" i="1" s="1"/>
  <c r="AH224" i="1" s="1"/>
  <c r="AJ224" i="1"/>
  <c r="AL224" i="1"/>
  <c r="AM224" i="1"/>
  <c r="AN224" i="1"/>
  <c r="AQ224" i="1"/>
  <c r="AS224" i="1"/>
  <c r="AT224" i="1" s="1"/>
  <c r="T225" i="1"/>
  <c r="AC225" i="1" s="1"/>
  <c r="U225" i="1"/>
  <c r="V225" i="1" s="1"/>
  <c r="X225" i="1"/>
  <c r="Y225" i="1" s="1"/>
  <c r="AA225" i="1"/>
  <c r="AB225" i="1" s="1"/>
  <c r="AF225" i="1"/>
  <c r="AG225" i="1" s="1"/>
  <c r="AH225" i="1" s="1"/>
  <c r="AJ225" i="1"/>
  <c r="AL225" i="1"/>
  <c r="AM225" i="1"/>
  <c r="AN225" i="1"/>
  <c r="BA225" i="1" s="1"/>
  <c r="AQ225" i="1"/>
  <c r="AS225" i="1"/>
  <c r="AT225" i="1" s="1"/>
  <c r="T226" i="1"/>
  <c r="R226" i="1" s="1"/>
  <c r="U226" i="1"/>
  <c r="X226" i="1"/>
  <c r="AA226" i="1"/>
  <c r="AB226" i="1" s="1"/>
  <c r="AF226" i="1"/>
  <c r="AG226" i="1" s="1"/>
  <c r="AH226" i="1" s="1"/>
  <c r="AJ226" i="1"/>
  <c r="AL226" i="1"/>
  <c r="AM226" i="1"/>
  <c r="AN226" i="1"/>
  <c r="BA226" i="1" s="1"/>
  <c r="AQ226" i="1"/>
  <c r="AS226" i="1"/>
  <c r="AT226" i="1" s="1"/>
  <c r="T227" i="1"/>
  <c r="R227" i="1" s="1"/>
  <c r="U227" i="1"/>
  <c r="V227" i="1" s="1"/>
  <c r="X227" i="1"/>
  <c r="Z227" i="1" s="1"/>
  <c r="AA227" i="1"/>
  <c r="AB227" i="1" s="1"/>
  <c r="AF227" i="1"/>
  <c r="AG227" i="1" s="1"/>
  <c r="AH227" i="1" s="1"/>
  <c r="AJ227" i="1"/>
  <c r="AL227" i="1"/>
  <c r="AM227" i="1"/>
  <c r="AN227" i="1"/>
  <c r="BB227" i="1" s="1"/>
  <c r="AQ227" i="1"/>
  <c r="AS227" i="1"/>
  <c r="AT227" i="1" s="1"/>
  <c r="T228" i="1"/>
  <c r="U228" i="1"/>
  <c r="V228" i="1" s="1"/>
  <c r="X228" i="1"/>
  <c r="Y228" i="1" s="1"/>
  <c r="AA228" i="1"/>
  <c r="AB228" i="1" s="1"/>
  <c r="AF228" i="1"/>
  <c r="AG228" i="1" s="1"/>
  <c r="AH228" i="1" s="1"/>
  <c r="AJ228" i="1"/>
  <c r="AL228" i="1"/>
  <c r="AM228" i="1"/>
  <c r="AN228" i="1"/>
  <c r="AQ228" i="1"/>
  <c r="AS228" i="1"/>
  <c r="AT228" i="1" s="1"/>
  <c r="T229" i="1"/>
  <c r="R229" i="1" s="1"/>
  <c r="U229" i="1"/>
  <c r="X229" i="1"/>
  <c r="Y229" i="1" s="1"/>
  <c r="AA229" i="1"/>
  <c r="AB229" i="1" s="1"/>
  <c r="AF229" i="1"/>
  <c r="AG229" i="1" s="1"/>
  <c r="AH229" i="1" s="1"/>
  <c r="AJ229" i="1"/>
  <c r="AL229" i="1"/>
  <c r="AM229" i="1"/>
  <c r="AN229" i="1"/>
  <c r="AQ229" i="1"/>
  <c r="AS229" i="1"/>
  <c r="AT229" i="1" s="1"/>
  <c r="T230" i="1"/>
  <c r="R230" i="1" s="1"/>
  <c r="U230" i="1"/>
  <c r="X230" i="1"/>
  <c r="Y230" i="1" s="1"/>
  <c r="AA230" i="1"/>
  <c r="AB230" i="1" s="1"/>
  <c r="AF230" i="1"/>
  <c r="AG230" i="1" s="1"/>
  <c r="AH230" i="1" s="1"/>
  <c r="AJ230" i="1"/>
  <c r="AL230" i="1"/>
  <c r="AM230" i="1"/>
  <c r="AN230" i="1"/>
  <c r="AQ230" i="1"/>
  <c r="AS230" i="1"/>
  <c r="AT230" i="1" s="1"/>
  <c r="T231" i="1"/>
  <c r="U231" i="1"/>
  <c r="X231" i="1"/>
  <c r="Y231" i="1" s="1"/>
  <c r="AA231" i="1"/>
  <c r="AB231" i="1" s="1"/>
  <c r="AF231" i="1"/>
  <c r="AG231" i="1" s="1"/>
  <c r="AH231" i="1" s="1"/>
  <c r="AJ231" i="1"/>
  <c r="AL231" i="1"/>
  <c r="AM231" i="1"/>
  <c r="AN231" i="1"/>
  <c r="BB231" i="1" s="1"/>
  <c r="AQ231" i="1"/>
  <c r="AS231" i="1"/>
  <c r="AT231" i="1" s="1"/>
  <c r="T232" i="1"/>
  <c r="U232" i="1"/>
  <c r="X232" i="1"/>
  <c r="AA232" i="1"/>
  <c r="AB232" i="1" s="1"/>
  <c r="AF232" i="1"/>
  <c r="AG232" i="1" s="1"/>
  <c r="AH232" i="1" s="1"/>
  <c r="AJ232" i="1"/>
  <c r="AL232" i="1"/>
  <c r="AM232" i="1"/>
  <c r="AN232" i="1"/>
  <c r="AW232" i="1" s="1"/>
  <c r="AZ232" i="1" s="1"/>
  <c r="AQ232" i="1"/>
  <c r="AS232" i="1"/>
  <c r="AT232" i="1" s="1"/>
  <c r="T233" i="1"/>
  <c r="AC233" i="1" s="1"/>
  <c r="U233" i="1"/>
  <c r="V233" i="1" s="1"/>
  <c r="X233" i="1"/>
  <c r="Y233" i="1" s="1"/>
  <c r="AA233" i="1"/>
  <c r="AB233" i="1" s="1"/>
  <c r="AF233" i="1"/>
  <c r="AG233" i="1" s="1"/>
  <c r="AH233" i="1" s="1"/>
  <c r="AJ233" i="1"/>
  <c r="AL233" i="1"/>
  <c r="AM233" i="1"/>
  <c r="AN233" i="1"/>
  <c r="BA233" i="1" s="1"/>
  <c r="AQ233" i="1"/>
  <c r="AS233" i="1"/>
  <c r="AT233" i="1" s="1"/>
  <c r="T234" i="1"/>
  <c r="R234" i="1" s="1"/>
  <c r="U234" i="1"/>
  <c r="W234" i="1" s="1"/>
  <c r="X234" i="1"/>
  <c r="AA234" i="1"/>
  <c r="AB234" i="1" s="1"/>
  <c r="AF234" i="1"/>
  <c r="AG234" i="1" s="1"/>
  <c r="AH234" i="1" s="1"/>
  <c r="AJ234" i="1"/>
  <c r="AL234" i="1"/>
  <c r="AM234" i="1"/>
  <c r="AN234" i="1"/>
  <c r="BA234" i="1" s="1"/>
  <c r="AQ234" i="1"/>
  <c r="AS234" i="1"/>
  <c r="AT234" i="1" s="1"/>
  <c r="T235" i="1"/>
  <c r="R235" i="1" s="1"/>
  <c r="U235" i="1"/>
  <c r="W235" i="1" s="1"/>
  <c r="X235" i="1"/>
  <c r="Z235" i="1" s="1"/>
  <c r="AA235" i="1"/>
  <c r="AB235" i="1" s="1"/>
  <c r="AF235" i="1"/>
  <c r="AG235" i="1" s="1"/>
  <c r="AH235" i="1" s="1"/>
  <c r="AJ235" i="1"/>
  <c r="AL235" i="1"/>
  <c r="AM235" i="1"/>
  <c r="AN235" i="1"/>
  <c r="BB235" i="1" s="1"/>
  <c r="AQ235" i="1"/>
  <c r="AS235" i="1"/>
  <c r="AT235" i="1" s="1"/>
  <c r="T236" i="1"/>
  <c r="U236" i="1"/>
  <c r="V236" i="1" s="1"/>
  <c r="X236" i="1"/>
  <c r="Y236" i="1" s="1"/>
  <c r="AA236" i="1"/>
  <c r="AB236" i="1" s="1"/>
  <c r="AF236" i="1"/>
  <c r="AG236" i="1" s="1"/>
  <c r="AH236" i="1" s="1"/>
  <c r="AJ236" i="1"/>
  <c r="AL236" i="1"/>
  <c r="AM236" i="1"/>
  <c r="AN236" i="1"/>
  <c r="BA236" i="1" s="1"/>
  <c r="AQ236" i="1"/>
  <c r="AS236" i="1"/>
  <c r="AT236" i="1" s="1"/>
  <c r="T237" i="1"/>
  <c r="U237" i="1"/>
  <c r="W237" i="1" s="1"/>
  <c r="X237" i="1"/>
  <c r="Y237" i="1" s="1"/>
  <c r="AA237" i="1"/>
  <c r="AB237" i="1" s="1"/>
  <c r="AF237" i="1"/>
  <c r="AG237" i="1" s="1"/>
  <c r="AH237" i="1" s="1"/>
  <c r="AJ237" i="1"/>
  <c r="AL237" i="1"/>
  <c r="AM237" i="1"/>
  <c r="AN237" i="1"/>
  <c r="AQ237" i="1"/>
  <c r="AS237" i="1"/>
  <c r="AT237" i="1" s="1"/>
  <c r="T238" i="1"/>
  <c r="S238" i="1" s="1"/>
  <c r="U238" i="1"/>
  <c r="V238" i="1" s="1"/>
  <c r="X238" i="1"/>
  <c r="AA238" i="1"/>
  <c r="AB238" i="1" s="1"/>
  <c r="AF238" i="1"/>
  <c r="AG238" i="1" s="1"/>
  <c r="AH238" i="1" s="1"/>
  <c r="AJ238" i="1"/>
  <c r="AL238" i="1"/>
  <c r="AM238" i="1"/>
  <c r="AN238" i="1"/>
  <c r="AQ238" i="1"/>
  <c r="AS238" i="1"/>
  <c r="AT238" i="1" s="1"/>
  <c r="T239" i="1"/>
  <c r="AC239" i="1" s="1"/>
  <c r="U239" i="1"/>
  <c r="X239" i="1"/>
  <c r="Y239" i="1" s="1"/>
  <c r="AA239" i="1"/>
  <c r="AB239" i="1" s="1"/>
  <c r="AF239" i="1"/>
  <c r="AG239" i="1" s="1"/>
  <c r="AH239" i="1" s="1"/>
  <c r="AJ239" i="1"/>
  <c r="AL239" i="1"/>
  <c r="AM239" i="1"/>
  <c r="AN239" i="1"/>
  <c r="AW239" i="1" s="1"/>
  <c r="AZ239" i="1" s="1"/>
  <c r="AQ239" i="1"/>
  <c r="AS239" i="1"/>
  <c r="AT239" i="1" s="1"/>
  <c r="T240" i="1"/>
  <c r="R240" i="1" s="1"/>
  <c r="U240" i="1"/>
  <c r="V240" i="1" s="1"/>
  <c r="X240" i="1"/>
  <c r="AA240" i="1"/>
  <c r="AB240" i="1" s="1"/>
  <c r="AF240" i="1"/>
  <c r="AG240" i="1" s="1"/>
  <c r="AH240" i="1" s="1"/>
  <c r="AJ240" i="1"/>
  <c r="AL240" i="1"/>
  <c r="AM240" i="1"/>
  <c r="AN240" i="1"/>
  <c r="BA240" i="1" s="1"/>
  <c r="AQ240" i="1"/>
  <c r="AS240" i="1"/>
  <c r="AT240" i="1" s="1"/>
  <c r="T241" i="1"/>
  <c r="AC241" i="1" s="1"/>
  <c r="U241" i="1"/>
  <c r="X241" i="1"/>
  <c r="Y241" i="1" s="1"/>
  <c r="AA241" i="1"/>
  <c r="AB241" i="1" s="1"/>
  <c r="AF241" i="1"/>
  <c r="AG241" i="1" s="1"/>
  <c r="AH241" i="1" s="1"/>
  <c r="AJ241" i="1"/>
  <c r="AL241" i="1"/>
  <c r="AM241" i="1"/>
  <c r="AN241" i="1"/>
  <c r="BA241" i="1" s="1"/>
  <c r="AQ241" i="1"/>
  <c r="AS241" i="1"/>
  <c r="AT241" i="1" s="1"/>
  <c r="T242" i="1"/>
  <c r="U242" i="1"/>
  <c r="W242" i="1" s="1"/>
  <c r="X242" i="1"/>
  <c r="Y242" i="1" s="1"/>
  <c r="AA242" i="1"/>
  <c r="AB242" i="1" s="1"/>
  <c r="AF242" i="1"/>
  <c r="AG242" i="1" s="1"/>
  <c r="AH242" i="1" s="1"/>
  <c r="AJ242" i="1"/>
  <c r="AL242" i="1"/>
  <c r="AM242" i="1"/>
  <c r="AN242" i="1"/>
  <c r="AQ242" i="1"/>
  <c r="AS242" i="1"/>
  <c r="AT242" i="1" s="1"/>
  <c r="T243" i="1"/>
  <c r="R243" i="1" s="1"/>
  <c r="U243" i="1"/>
  <c r="V243" i="1" s="1"/>
  <c r="X243" i="1"/>
  <c r="AA243" i="1"/>
  <c r="AB243" i="1" s="1"/>
  <c r="AF243" i="1"/>
  <c r="AG243" i="1" s="1"/>
  <c r="AH243" i="1" s="1"/>
  <c r="AJ243" i="1"/>
  <c r="AL243" i="1"/>
  <c r="AM243" i="1"/>
  <c r="AN243" i="1"/>
  <c r="BB243" i="1" s="1"/>
  <c r="AQ243" i="1"/>
  <c r="AS243" i="1"/>
  <c r="AT243" i="1" s="1"/>
  <c r="T244" i="1"/>
  <c r="U244" i="1"/>
  <c r="V244" i="1" s="1"/>
  <c r="X244" i="1"/>
  <c r="Y244" i="1" s="1"/>
  <c r="AA244" i="1"/>
  <c r="AB244" i="1" s="1"/>
  <c r="AF244" i="1"/>
  <c r="AG244" i="1" s="1"/>
  <c r="AH244" i="1" s="1"/>
  <c r="AJ244" i="1"/>
  <c r="AL244" i="1"/>
  <c r="AM244" i="1"/>
  <c r="AN244" i="1"/>
  <c r="AQ244" i="1"/>
  <c r="AS244" i="1"/>
  <c r="AT244" i="1" s="1"/>
  <c r="T245" i="1"/>
  <c r="S245" i="1" s="1"/>
  <c r="U245" i="1"/>
  <c r="V245" i="1" s="1"/>
  <c r="X245" i="1"/>
  <c r="Y245" i="1" s="1"/>
  <c r="AA245" i="1"/>
  <c r="AB245" i="1" s="1"/>
  <c r="AF245" i="1"/>
  <c r="AG245" i="1" s="1"/>
  <c r="AH245" i="1" s="1"/>
  <c r="AJ245" i="1"/>
  <c r="AL245" i="1"/>
  <c r="AM245" i="1"/>
  <c r="AN245" i="1"/>
  <c r="BB245" i="1" s="1"/>
  <c r="AQ245" i="1"/>
  <c r="AS245" i="1"/>
  <c r="AT245" i="1" s="1"/>
  <c r="T246" i="1"/>
  <c r="S246" i="1" s="1"/>
  <c r="U246" i="1"/>
  <c r="V246" i="1" s="1"/>
  <c r="X246" i="1"/>
  <c r="Z246" i="1" s="1"/>
  <c r="AA246" i="1"/>
  <c r="AB246" i="1" s="1"/>
  <c r="AF246" i="1"/>
  <c r="AG246" i="1" s="1"/>
  <c r="AH246" i="1" s="1"/>
  <c r="AJ246" i="1"/>
  <c r="AL246" i="1"/>
  <c r="AM246" i="1"/>
  <c r="AN246" i="1"/>
  <c r="AQ246" i="1"/>
  <c r="AS246" i="1"/>
  <c r="AT246" i="1" s="1"/>
  <c r="T247" i="1"/>
  <c r="U247" i="1"/>
  <c r="X247" i="1"/>
  <c r="AA247" i="1"/>
  <c r="AB247" i="1" s="1"/>
  <c r="AF247" i="1"/>
  <c r="AG247" i="1" s="1"/>
  <c r="AH247" i="1" s="1"/>
  <c r="AJ247" i="1"/>
  <c r="AL247" i="1"/>
  <c r="AM247" i="1"/>
  <c r="AN247" i="1"/>
  <c r="AW247" i="1" s="1"/>
  <c r="AZ247" i="1" s="1"/>
  <c r="AQ247" i="1"/>
  <c r="AS247" i="1"/>
  <c r="AT247" i="1" s="1"/>
  <c r="T248" i="1"/>
  <c r="R248" i="1" s="1"/>
  <c r="U248" i="1"/>
  <c r="V248" i="1" s="1"/>
  <c r="X248" i="1"/>
  <c r="AA248" i="1"/>
  <c r="AB248" i="1" s="1"/>
  <c r="AF248" i="1"/>
  <c r="AG248" i="1" s="1"/>
  <c r="AH248" i="1" s="1"/>
  <c r="AJ248" i="1"/>
  <c r="AL248" i="1"/>
  <c r="AM248" i="1"/>
  <c r="AN248" i="1"/>
  <c r="BA248" i="1" s="1"/>
  <c r="AQ248" i="1"/>
  <c r="AS248" i="1"/>
  <c r="AT248" i="1" s="1"/>
  <c r="T249" i="1"/>
  <c r="AC249" i="1" s="1"/>
  <c r="AE249" i="1" s="1"/>
  <c r="U249" i="1"/>
  <c r="V249" i="1" s="1"/>
  <c r="X249" i="1"/>
  <c r="AA249" i="1"/>
  <c r="AB249" i="1" s="1"/>
  <c r="AF249" i="1"/>
  <c r="AG249" i="1" s="1"/>
  <c r="AH249" i="1" s="1"/>
  <c r="AJ249" i="1"/>
  <c r="AL249" i="1"/>
  <c r="AM249" i="1"/>
  <c r="AN249" i="1"/>
  <c r="AQ249" i="1"/>
  <c r="AS249" i="1"/>
  <c r="AT249" i="1" s="1"/>
  <c r="T250" i="1"/>
  <c r="R250" i="1" s="1"/>
  <c r="U250" i="1"/>
  <c r="W250" i="1" s="1"/>
  <c r="X250" i="1"/>
  <c r="AA250" i="1"/>
  <c r="AB250" i="1" s="1"/>
  <c r="AF250" i="1"/>
  <c r="AG250" i="1" s="1"/>
  <c r="AH250" i="1" s="1"/>
  <c r="AJ250" i="1"/>
  <c r="AL250" i="1"/>
  <c r="AM250" i="1"/>
  <c r="AN250" i="1"/>
  <c r="AQ250" i="1"/>
  <c r="AS250" i="1"/>
  <c r="AT250" i="1" s="1"/>
  <c r="T251" i="1"/>
  <c r="U251" i="1"/>
  <c r="X251" i="1"/>
  <c r="Z251" i="1" s="1"/>
  <c r="AA251" i="1"/>
  <c r="AB251" i="1" s="1"/>
  <c r="AF251" i="1"/>
  <c r="AG251" i="1" s="1"/>
  <c r="AH251" i="1" s="1"/>
  <c r="AJ251" i="1"/>
  <c r="AL251" i="1"/>
  <c r="AM251" i="1"/>
  <c r="AN251" i="1"/>
  <c r="BB251" i="1" s="1"/>
  <c r="AQ251" i="1"/>
  <c r="AS251" i="1"/>
  <c r="AT251" i="1" s="1"/>
  <c r="T252" i="1"/>
  <c r="S252" i="1" s="1"/>
  <c r="U252" i="1"/>
  <c r="V252" i="1" s="1"/>
  <c r="X252" i="1"/>
  <c r="Y252" i="1" s="1"/>
  <c r="AA252" i="1"/>
  <c r="AB252" i="1" s="1"/>
  <c r="AF252" i="1"/>
  <c r="AG252" i="1" s="1"/>
  <c r="AH252" i="1" s="1"/>
  <c r="AJ252" i="1"/>
  <c r="AL252" i="1"/>
  <c r="AM252" i="1"/>
  <c r="AN252" i="1"/>
  <c r="AQ252" i="1"/>
  <c r="AS252" i="1"/>
  <c r="AT252" i="1" s="1"/>
  <c r="T253" i="1"/>
  <c r="R253" i="1" s="1"/>
  <c r="U253" i="1"/>
  <c r="X253" i="1"/>
  <c r="Y253" i="1" s="1"/>
  <c r="AA253" i="1"/>
  <c r="AB253" i="1" s="1"/>
  <c r="AF253" i="1"/>
  <c r="AG253" i="1" s="1"/>
  <c r="AH253" i="1" s="1"/>
  <c r="AJ253" i="1"/>
  <c r="AL253" i="1"/>
  <c r="AM253" i="1"/>
  <c r="AN253" i="1"/>
  <c r="AQ253" i="1"/>
  <c r="AS253" i="1"/>
  <c r="AT253" i="1" s="1"/>
  <c r="T254" i="1"/>
  <c r="U254" i="1"/>
  <c r="V254" i="1" s="1"/>
  <c r="X254" i="1"/>
  <c r="Y254" i="1" s="1"/>
  <c r="AA254" i="1"/>
  <c r="AB254" i="1" s="1"/>
  <c r="AF254" i="1"/>
  <c r="AG254" i="1" s="1"/>
  <c r="AH254" i="1" s="1"/>
  <c r="AJ254" i="1"/>
  <c r="AL254" i="1"/>
  <c r="AM254" i="1"/>
  <c r="AN254" i="1"/>
  <c r="AQ254" i="1"/>
  <c r="AS254" i="1"/>
  <c r="AT254" i="1" s="1"/>
  <c r="T255" i="1"/>
  <c r="U255" i="1"/>
  <c r="X255" i="1"/>
  <c r="AA255" i="1"/>
  <c r="AB255" i="1" s="1"/>
  <c r="AF255" i="1"/>
  <c r="AG255" i="1" s="1"/>
  <c r="AH255" i="1" s="1"/>
  <c r="AJ255" i="1"/>
  <c r="AL255" i="1"/>
  <c r="AM255" i="1"/>
  <c r="AN255" i="1"/>
  <c r="AQ255" i="1"/>
  <c r="AS255" i="1"/>
  <c r="AT255" i="1" s="1"/>
  <c r="T256" i="1"/>
  <c r="R256" i="1" s="1"/>
  <c r="U256" i="1"/>
  <c r="V256" i="1" s="1"/>
  <c r="X256" i="1"/>
  <c r="AA256" i="1"/>
  <c r="AB256" i="1" s="1"/>
  <c r="AF256" i="1"/>
  <c r="AG256" i="1" s="1"/>
  <c r="AH256" i="1" s="1"/>
  <c r="AJ256" i="1"/>
  <c r="AL256" i="1"/>
  <c r="AM256" i="1"/>
  <c r="AN256" i="1"/>
  <c r="AQ256" i="1"/>
  <c r="AS256" i="1"/>
  <c r="AT256" i="1" s="1"/>
  <c r="T257" i="1"/>
  <c r="AC257" i="1" s="1"/>
  <c r="AE257" i="1" s="1"/>
  <c r="U257" i="1"/>
  <c r="V257" i="1" s="1"/>
  <c r="X257" i="1"/>
  <c r="AA257" i="1"/>
  <c r="AB257" i="1" s="1"/>
  <c r="AF257" i="1"/>
  <c r="AG257" i="1" s="1"/>
  <c r="AH257" i="1" s="1"/>
  <c r="AJ257" i="1"/>
  <c r="AL257" i="1"/>
  <c r="AM257" i="1"/>
  <c r="AN257" i="1"/>
  <c r="AQ257" i="1"/>
  <c r="AS257" i="1"/>
  <c r="AT257" i="1" s="1"/>
  <c r="T258" i="1"/>
  <c r="R258" i="1" s="1"/>
  <c r="U258" i="1"/>
  <c r="W258" i="1" s="1"/>
  <c r="X258" i="1"/>
  <c r="Y258" i="1" s="1"/>
  <c r="AA258" i="1"/>
  <c r="AB258" i="1" s="1"/>
  <c r="AF258" i="1"/>
  <c r="AG258" i="1" s="1"/>
  <c r="AH258" i="1" s="1"/>
  <c r="AJ258" i="1"/>
  <c r="AL258" i="1"/>
  <c r="AM258" i="1"/>
  <c r="AN258" i="1"/>
  <c r="AQ258" i="1"/>
  <c r="AS258" i="1"/>
  <c r="AT258" i="1" s="1"/>
  <c r="T259" i="1"/>
  <c r="U259" i="1"/>
  <c r="W259" i="1" s="1"/>
  <c r="X259" i="1"/>
  <c r="Z259" i="1" s="1"/>
  <c r="AA259" i="1"/>
  <c r="AB259" i="1" s="1"/>
  <c r="AF259" i="1"/>
  <c r="AG259" i="1" s="1"/>
  <c r="AH259" i="1" s="1"/>
  <c r="AJ259" i="1"/>
  <c r="AL259" i="1"/>
  <c r="AM259" i="1"/>
  <c r="AN259" i="1"/>
  <c r="AQ259" i="1"/>
  <c r="AS259" i="1"/>
  <c r="AT259" i="1" s="1"/>
  <c r="T260" i="1"/>
  <c r="AC260" i="1" s="1"/>
  <c r="AD260" i="1" s="1"/>
  <c r="U260" i="1"/>
  <c r="V260" i="1" s="1"/>
  <c r="X260" i="1"/>
  <c r="AA260" i="1"/>
  <c r="AB260" i="1" s="1"/>
  <c r="AF260" i="1"/>
  <c r="AG260" i="1" s="1"/>
  <c r="AH260" i="1" s="1"/>
  <c r="AJ260" i="1"/>
  <c r="AL260" i="1"/>
  <c r="AM260" i="1"/>
  <c r="AN260" i="1"/>
  <c r="AW260" i="1" s="1"/>
  <c r="AZ260" i="1" s="1"/>
  <c r="AQ260" i="1"/>
  <c r="AS260" i="1"/>
  <c r="AT260" i="1" s="1"/>
  <c r="T261" i="1"/>
  <c r="AC261" i="1" s="1"/>
  <c r="U261" i="1"/>
  <c r="V261" i="1" s="1"/>
  <c r="X261" i="1"/>
  <c r="Y261" i="1" s="1"/>
  <c r="AA261" i="1"/>
  <c r="AB261" i="1" s="1"/>
  <c r="AF261" i="1"/>
  <c r="AG261" i="1" s="1"/>
  <c r="AH261" i="1" s="1"/>
  <c r="AJ261" i="1"/>
  <c r="AL261" i="1"/>
  <c r="AM261" i="1"/>
  <c r="AN261" i="1"/>
  <c r="AQ261" i="1"/>
  <c r="AS261" i="1"/>
  <c r="AT261" i="1" s="1"/>
  <c r="T262" i="1"/>
  <c r="R262" i="1" s="1"/>
  <c r="U262" i="1"/>
  <c r="W262" i="1" s="1"/>
  <c r="X262" i="1"/>
  <c r="Y262" i="1" s="1"/>
  <c r="AA262" i="1"/>
  <c r="AB262" i="1" s="1"/>
  <c r="AF262" i="1"/>
  <c r="AG262" i="1" s="1"/>
  <c r="AH262" i="1" s="1"/>
  <c r="AJ262" i="1"/>
  <c r="AL262" i="1"/>
  <c r="AM262" i="1"/>
  <c r="AN262" i="1"/>
  <c r="BB262" i="1" s="1"/>
  <c r="AQ262" i="1"/>
  <c r="AS262" i="1"/>
  <c r="AT262" i="1" s="1"/>
  <c r="T263" i="1"/>
  <c r="S263" i="1" s="1"/>
  <c r="U263" i="1"/>
  <c r="W263" i="1" s="1"/>
  <c r="X263" i="1"/>
  <c r="AA263" i="1"/>
  <c r="AB263" i="1" s="1"/>
  <c r="AF263" i="1"/>
  <c r="AG263" i="1" s="1"/>
  <c r="AH263" i="1" s="1"/>
  <c r="AJ263" i="1"/>
  <c r="AL263" i="1"/>
  <c r="AM263" i="1"/>
  <c r="AN263" i="1"/>
  <c r="BA263" i="1" s="1"/>
  <c r="AQ263" i="1"/>
  <c r="AS263" i="1"/>
  <c r="AT263" i="1" s="1"/>
  <c r="T264" i="1"/>
  <c r="R264" i="1" s="1"/>
  <c r="U264" i="1"/>
  <c r="X264" i="1"/>
  <c r="AA264" i="1"/>
  <c r="AB264" i="1" s="1"/>
  <c r="AF264" i="1"/>
  <c r="AG264" i="1" s="1"/>
  <c r="AH264" i="1" s="1"/>
  <c r="AJ264" i="1"/>
  <c r="AL264" i="1"/>
  <c r="AM264" i="1"/>
  <c r="AN264" i="1"/>
  <c r="AQ264" i="1"/>
  <c r="AS264" i="1"/>
  <c r="AT264" i="1" s="1"/>
  <c r="T265" i="1"/>
  <c r="AC265" i="1" s="1"/>
  <c r="AD265" i="1" s="1"/>
  <c r="U265" i="1"/>
  <c r="V265" i="1" s="1"/>
  <c r="X265" i="1"/>
  <c r="AA265" i="1"/>
  <c r="AB265" i="1" s="1"/>
  <c r="AF265" i="1"/>
  <c r="AG265" i="1" s="1"/>
  <c r="AH265" i="1" s="1"/>
  <c r="AJ265" i="1"/>
  <c r="AL265" i="1"/>
  <c r="AM265" i="1"/>
  <c r="AN265" i="1"/>
  <c r="AW265" i="1" s="1"/>
  <c r="AZ265" i="1" s="1"/>
  <c r="AQ265" i="1"/>
  <c r="AS265" i="1"/>
  <c r="AT265" i="1" s="1"/>
  <c r="T266" i="1"/>
  <c r="R266" i="1" s="1"/>
  <c r="U266" i="1"/>
  <c r="V266" i="1" s="1"/>
  <c r="X266" i="1"/>
  <c r="Z266" i="1" s="1"/>
  <c r="AA266" i="1"/>
  <c r="AB266" i="1" s="1"/>
  <c r="AF266" i="1"/>
  <c r="AG266" i="1" s="1"/>
  <c r="AH266" i="1" s="1"/>
  <c r="AJ266" i="1"/>
  <c r="AL266" i="1"/>
  <c r="AM266" i="1"/>
  <c r="AN266" i="1"/>
  <c r="AQ266" i="1"/>
  <c r="AS266" i="1"/>
  <c r="AT266" i="1" s="1"/>
  <c r="T267" i="1"/>
  <c r="U267" i="1"/>
  <c r="V267" i="1" s="1"/>
  <c r="X267" i="1"/>
  <c r="Y267" i="1" s="1"/>
  <c r="AA267" i="1"/>
  <c r="AB267" i="1" s="1"/>
  <c r="AF267" i="1"/>
  <c r="AG267" i="1" s="1"/>
  <c r="AH267" i="1" s="1"/>
  <c r="AJ267" i="1"/>
  <c r="AL267" i="1"/>
  <c r="AM267" i="1"/>
  <c r="AN267" i="1"/>
  <c r="AQ267" i="1"/>
  <c r="AS267" i="1"/>
  <c r="AT267" i="1" s="1"/>
  <c r="T268" i="1"/>
  <c r="R268" i="1" s="1"/>
  <c r="U268" i="1"/>
  <c r="X268" i="1"/>
  <c r="AA268" i="1"/>
  <c r="AB268" i="1" s="1"/>
  <c r="AF268" i="1"/>
  <c r="AG268" i="1" s="1"/>
  <c r="AH268" i="1" s="1"/>
  <c r="AJ268" i="1"/>
  <c r="AL268" i="1"/>
  <c r="AM268" i="1"/>
  <c r="AN268" i="1"/>
  <c r="AW268" i="1" s="1"/>
  <c r="AZ268" i="1" s="1"/>
  <c r="AQ268" i="1"/>
  <c r="AS268" i="1"/>
  <c r="AT268" i="1" s="1"/>
  <c r="T269" i="1"/>
  <c r="U269" i="1"/>
  <c r="V269" i="1" s="1"/>
  <c r="X269" i="1"/>
  <c r="Y269" i="1" s="1"/>
  <c r="AA269" i="1"/>
  <c r="AB269" i="1" s="1"/>
  <c r="AF269" i="1"/>
  <c r="AG269" i="1" s="1"/>
  <c r="AH269" i="1" s="1"/>
  <c r="AJ269" i="1"/>
  <c r="AL269" i="1"/>
  <c r="AM269" i="1"/>
  <c r="AN269" i="1"/>
  <c r="AW269" i="1" s="1"/>
  <c r="AZ269" i="1" s="1"/>
  <c r="AQ269" i="1"/>
  <c r="AS269" i="1"/>
  <c r="AT269" i="1" s="1"/>
  <c r="T270" i="1"/>
  <c r="S270" i="1" s="1"/>
  <c r="U270" i="1"/>
  <c r="V270" i="1" s="1"/>
  <c r="X270" i="1"/>
  <c r="AA270" i="1"/>
  <c r="AB270" i="1" s="1"/>
  <c r="AF270" i="1"/>
  <c r="AG270" i="1" s="1"/>
  <c r="AH270" i="1" s="1"/>
  <c r="AJ270" i="1"/>
  <c r="AL270" i="1"/>
  <c r="AM270" i="1"/>
  <c r="AN270" i="1"/>
  <c r="BB270" i="1" s="1"/>
  <c r="AQ270" i="1"/>
  <c r="AS270" i="1"/>
  <c r="AT270" i="1" s="1"/>
  <c r="T271" i="1"/>
  <c r="U271" i="1"/>
  <c r="X271" i="1"/>
  <c r="AA271" i="1"/>
  <c r="AB271" i="1" s="1"/>
  <c r="AF271" i="1"/>
  <c r="AG271" i="1" s="1"/>
  <c r="AH271" i="1" s="1"/>
  <c r="AJ271" i="1"/>
  <c r="AL271" i="1"/>
  <c r="AM271" i="1"/>
  <c r="AN271" i="1"/>
  <c r="AQ271" i="1"/>
  <c r="AS271" i="1"/>
  <c r="AT271" i="1" s="1"/>
  <c r="T272" i="1"/>
  <c r="U272" i="1"/>
  <c r="X272" i="1"/>
  <c r="AA272" i="1"/>
  <c r="AB272" i="1" s="1"/>
  <c r="AF272" i="1"/>
  <c r="AG272" i="1" s="1"/>
  <c r="AH272" i="1" s="1"/>
  <c r="AJ272" i="1"/>
  <c r="AL272" i="1"/>
  <c r="AM272" i="1"/>
  <c r="AN272" i="1"/>
  <c r="AW272" i="1" s="1"/>
  <c r="AZ272" i="1" s="1"/>
  <c r="AQ272" i="1"/>
  <c r="AS272" i="1"/>
  <c r="AT272" i="1" s="1"/>
  <c r="T273" i="1"/>
  <c r="R273" i="1" s="1"/>
  <c r="U273" i="1"/>
  <c r="V273" i="1" s="1"/>
  <c r="X273" i="1"/>
  <c r="AA273" i="1"/>
  <c r="AB273" i="1" s="1"/>
  <c r="AF273" i="1"/>
  <c r="AG273" i="1" s="1"/>
  <c r="AH273" i="1" s="1"/>
  <c r="AJ273" i="1"/>
  <c r="AL273" i="1"/>
  <c r="AM273" i="1"/>
  <c r="AN273" i="1"/>
  <c r="BB273" i="1" s="1"/>
  <c r="AQ273" i="1"/>
  <c r="AS273" i="1"/>
  <c r="AT273" i="1" s="1"/>
  <c r="T274" i="1"/>
  <c r="R274" i="1" s="1"/>
  <c r="U274" i="1"/>
  <c r="V274" i="1" s="1"/>
  <c r="X274" i="1"/>
  <c r="Z274" i="1" s="1"/>
  <c r="AA274" i="1"/>
  <c r="AB274" i="1" s="1"/>
  <c r="AF274" i="1"/>
  <c r="AG274" i="1" s="1"/>
  <c r="AH274" i="1" s="1"/>
  <c r="AJ274" i="1"/>
  <c r="AL274" i="1"/>
  <c r="AM274" i="1"/>
  <c r="AN274" i="1"/>
  <c r="BA274" i="1" s="1"/>
  <c r="AQ274" i="1"/>
  <c r="AS274" i="1"/>
  <c r="AT274" i="1" s="1"/>
  <c r="T275" i="1"/>
  <c r="S275" i="1" s="1"/>
  <c r="U275" i="1"/>
  <c r="W275" i="1" s="1"/>
  <c r="X275" i="1"/>
  <c r="Z275" i="1" s="1"/>
  <c r="AA275" i="1"/>
  <c r="AB275" i="1" s="1"/>
  <c r="AF275" i="1"/>
  <c r="AG275" i="1" s="1"/>
  <c r="AH275" i="1" s="1"/>
  <c r="AJ275" i="1"/>
  <c r="AL275" i="1"/>
  <c r="AM275" i="1"/>
  <c r="AN275" i="1"/>
  <c r="AQ275" i="1"/>
  <c r="AS275" i="1"/>
  <c r="AT275" i="1" s="1"/>
  <c r="T276" i="1"/>
  <c r="R276" i="1" s="1"/>
  <c r="U276" i="1"/>
  <c r="V276" i="1" s="1"/>
  <c r="X276" i="1"/>
  <c r="Z276" i="1" s="1"/>
  <c r="AA276" i="1"/>
  <c r="AB276" i="1" s="1"/>
  <c r="AF276" i="1"/>
  <c r="AG276" i="1" s="1"/>
  <c r="AH276" i="1" s="1"/>
  <c r="AJ276" i="1"/>
  <c r="AL276" i="1"/>
  <c r="AM276" i="1"/>
  <c r="AN276" i="1"/>
  <c r="BA276" i="1" s="1"/>
  <c r="AQ276" i="1"/>
  <c r="AS276" i="1"/>
  <c r="AT276" i="1" s="1"/>
  <c r="T277" i="1"/>
  <c r="U277" i="1"/>
  <c r="X277" i="1"/>
  <c r="Y277" i="1" s="1"/>
  <c r="AA277" i="1"/>
  <c r="AB277" i="1" s="1"/>
  <c r="AF277" i="1"/>
  <c r="AG277" i="1" s="1"/>
  <c r="AH277" i="1" s="1"/>
  <c r="AJ277" i="1"/>
  <c r="AL277" i="1"/>
  <c r="AM277" i="1"/>
  <c r="AN277" i="1"/>
  <c r="AQ277" i="1"/>
  <c r="AS277" i="1"/>
  <c r="AT277" i="1" s="1"/>
  <c r="T278" i="1"/>
  <c r="S278" i="1" s="1"/>
  <c r="U278" i="1"/>
  <c r="V278" i="1" s="1"/>
  <c r="X278" i="1"/>
  <c r="AA278" i="1"/>
  <c r="AB278" i="1" s="1"/>
  <c r="AF278" i="1"/>
  <c r="AG278" i="1" s="1"/>
  <c r="AH278" i="1" s="1"/>
  <c r="AJ278" i="1"/>
  <c r="AL278" i="1"/>
  <c r="AM278" i="1"/>
  <c r="AN278" i="1"/>
  <c r="BB278" i="1" s="1"/>
  <c r="AQ278" i="1"/>
  <c r="AS278" i="1"/>
  <c r="AT278" i="1" s="1"/>
  <c r="T279" i="1"/>
  <c r="R279" i="1" s="1"/>
  <c r="U279" i="1"/>
  <c r="W279" i="1" s="1"/>
  <c r="X279" i="1"/>
  <c r="Y279" i="1" s="1"/>
  <c r="AA279" i="1"/>
  <c r="AB279" i="1" s="1"/>
  <c r="AF279" i="1"/>
  <c r="AG279" i="1" s="1"/>
  <c r="AH279" i="1" s="1"/>
  <c r="AJ279" i="1"/>
  <c r="AL279" i="1"/>
  <c r="AM279" i="1"/>
  <c r="AN279" i="1"/>
  <c r="AQ279" i="1"/>
  <c r="AS279" i="1"/>
  <c r="AT279" i="1" s="1"/>
  <c r="T280" i="1"/>
  <c r="R280" i="1" s="1"/>
  <c r="U280" i="1"/>
  <c r="X280" i="1"/>
  <c r="Z280" i="1" s="1"/>
  <c r="AA280" i="1"/>
  <c r="AB280" i="1" s="1"/>
  <c r="AF280" i="1"/>
  <c r="AG280" i="1" s="1"/>
  <c r="AH280" i="1" s="1"/>
  <c r="AJ280" i="1"/>
  <c r="AL280" i="1"/>
  <c r="AM280" i="1"/>
  <c r="AN280" i="1"/>
  <c r="BA280" i="1" s="1"/>
  <c r="AQ280" i="1"/>
  <c r="AS280" i="1"/>
  <c r="AT280" i="1" s="1"/>
  <c r="T281" i="1"/>
  <c r="R281" i="1" s="1"/>
  <c r="U281" i="1"/>
  <c r="W281" i="1" s="1"/>
  <c r="X281" i="1"/>
  <c r="AA281" i="1"/>
  <c r="AB281" i="1" s="1"/>
  <c r="AF281" i="1"/>
  <c r="AG281" i="1" s="1"/>
  <c r="AH281" i="1" s="1"/>
  <c r="AJ281" i="1"/>
  <c r="AL281" i="1"/>
  <c r="AM281" i="1"/>
  <c r="AN281" i="1"/>
  <c r="AQ281" i="1"/>
  <c r="AS281" i="1"/>
  <c r="AT281" i="1" s="1"/>
  <c r="BB281" i="1"/>
  <c r="T282" i="1"/>
  <c r="R282" i="1" s="1"/>
  <c r="U282" i="1"/>
  <c r="V282" i="1" s="1"/>
  <c r="X282" i="1"/>
  <c r="AA282" i="1"/>
  <c r="AB282" i="1" s="1"/>
  <c r="AF282" i="1"/>
  <c r="AG282" i="1" s="1"/>
  <c r="AH282" i="1" s="1"/>
  <c r="AJ282" i="1"/>
  <c r="AL282" i="1"/>
  <c r="AM282" i="1"/>
  <c r="AN282" i="1"/>
  <c r="AQ282" i="1"/>
  <c r="AS282" i="1"/>
  <c r="AT282" i="1" s="1"/>
  <c r="T283" i="1"/>
  <c r="AC283" i="1" s="1"/>
  <c r="U283" i="1"/>
  <c r="W283" i="1" s="1"/>
  <c r="X283" i="1"/>
  <c r="Y283" i="1" s="1"/>
  <c r="AA283" i="1"/>
  <c r="AB283" i="1" s="1"/>
  <c r="AF283" i="1"/>
  <c r="AG283" i="1" s="1"/>
  <c r="AH283" i="1" s="1"/>
  <c r="AJ283" i="1"/>
  <c r="AL283" i="1"/>
  <c r="AM283" i="1"/>
  <c r="AN283" i="1"/>
  <c r="AQ283" i="1"/>
  <c r="AS283" i="1"/>
  <c r="AT283" i="1" s="1"/>
  <c r="T284" i="1"/>
  <c r="U284" i="1"/>
  <c r="V284" i="1" s="1"/>
  <c r="X284" i="1"/>
  <c r="Z284" i="1" s="1"/>
  <c r="AA284" i="1"/>
  <c r="AB284" i="1" s="1"/>
  <c r="AF284" i="1"/>
  <c r="AG284" i="1" s="1"/>
  <c r="AH284" i="1" s="1"/>
  <c r="AJ284" i="1"/>
  <c r="AL284" i="1"/>
  <c r="AM284" i="1"/>
  <c r="AN284" i="1"/>
  <c r="AW284" i="1" s="1"/>
  <c r="AZ284" i="1" s="1"/>
  <c r="AQ284" i="1"/>
  <c r="AS284" i="1"/>
  <c r="AT284" i="1" s="1"/>
  <c r="T285" i="1"/>
  <c r="U285" i="1"/>
  <c r="V285" i="1" s="1"/>
  <c r="X285" i="1"/>
  <c r="Y285" i="1" s="1"/>
  <c r="AA285" i="1"/>
  <c r="AB285" i="1" s="1"/>
  <c r="AF285" i="1"/>
  <c r="AG285" i="1" s="1"/>
  <c r="AH285" i="1" s="1"/>
  <c r="AJ285" i="1"/>
  <c r="AL285" i="1"/>
  <c r="AM285" i="1"/>
  <c r="AN285" i="1"/>
  <c r="AQ285" i="1"/>
  <c r="AS285" i="1"/>
  <c r="AT285" i="1" s="1"/>
  <c r="T286" i="1"/>
  <c r="U286" i="1"/>
  <c r="X286" i="1"/>
  <c r="Y286" i="1" s="1"/>
  <c r="AA286" i="1"/>
  <c r="AB286" i="1" s="1"/>
  <c r="AF286" i="1"/>
  <c r="AG286" i="1" s="1"/>
  <c r="AH286" i="1" s="1"/>
  <c r="AJ286" i="1"/>
  <c r="AL286" i="1"/>
  <c r="AM286" i="1"/>
  <c r="AN286" i="1"/>
  <c r="BB286" i="1" s="1"/>
  <c r="AQ286" i="1"/>
  <c r="AS286" i="1"/>
  <c r="AT286" i="1" s="1"/>
  <c r="T287" i="1"/>
  <c r="U287" i="1"/>
  <c r="X287" i="1"/>
  <c r="Y287" i="1" s="1"/>
  <c r="AA287" i="1"/>
  <c r="AB287" i="1" s="1"/>
  <c r="AF287" i="1"/>
  <c r="AG287" i="1" s="1"/>
  <c r="AH287" i="1" s="1"/>
  <c r="AJ287" i="1"/>
  <c r="AL287" i="1"/>
  <c r="AM287" i="1"/>
  <c r="AN287" i="1"/>
  <c r="AW287" i="1" s="1"/>
  <c r="AZ287" i="1" s="1"/>
  <c r="AQ287" i="1"/>
  <c r="AS287" i="1"/>
  <c r="AT287" i="1" s="1"/>
  <c r="T288" i="1"/>
  <c r="U288" i="1"/>
  <c r="X288" i="1"/>
  <c r="Z288" i="1" s="1"/>
  <c r="AA288" i="1"/>
  <c r="AB288" i="1" s="1"/>
  <c r="AF288" i="1"/>
  <c r="AG288" i="1" s="1"/>
  <c r="AH288" i="1" s="1"/>
  <c r="AJ288" i="1"/>
  <c r="AL288" i="1"/>
  <c r="AM288" i="1"/>
  <c r="AN288" i="1"/>
  <c r="AW288" i="1" s="1"/>
  <c r="AZ288" i="1" s="1"/>
  <c r="AQ288" i="1"/>
  <c r="AS288" i="1"/>
  <c r="AT288" i="1" s="1"/>
  <c r="T289" i="1"/>
  <c r="R289" i="1" s="1"/>
  <c r="U289" i="1"/>
  <c r="X289" i="1"/>
  <c r="AA289" i="1"/>
  <c r="AB289" i="1" s="1"/>
  <c r="AF289" i="1"/>
  <c r="AG289" i="1" s="1"/>
  <c r="AH289" i="1" s="1"/>
  <c r="AJ289" i="1"/>
  <c r="AL289" i="1"/>
  <c r="AM289" i="1"/>
  <c r="AN289" i="1"/>
  <c r="BB289" i="1" s="1"/>
  <c r="AQ289" i="1"/>
  <c r="AS289" i="1"/>
  <c r="AT289" i="1" s="1"/>
  <c r="T290" i="1"/>
  <c r="U290" i="1"/>
  <c r="V290" i="1" s="1"/>
  <c r="X290" i="1"/>
  <c r="AA290" i="1"/>
  <c r="AB290" i="1" s="1"/>
  <c r="AF290" i="1"/>
  <c r="AG290" i="1" s="1"/>
  <c r="AH290" i="1" s="1"/>
  <c r="AJ290" i="1"/>
  <c r="AL290" i="1"/>
  <c r="AM290" i="1"/>
  <c r="AN290" i="1"/>
  <c r="AQ290" i="1"/>
  <c r="AS290" i="1"/>
  <c r="AT290" i="1" s="1"/>
  <c r="T291" i="1"/>
  <c r="AC291" i="1" s="1"/>
  <c r="U291" i="1"/>
  <c r="X291" i="1"/>
  <c r="Z291" i="1" s="1"/>
  <c r="AA291" i="1"/>
  <c r="AB291" i="1" s="1"/>
  <c r="AF291" i="1"/>
  <c r="AG291" i="1" s="1"/>
  <c r="AH291" i="1" s="1"/>
  <c r="AJ291" i="1"/>
  <c r="AL291" i="1"/>
  <c r="AM291" i="1"/>
  <c r="AN291" i="1"/>
  <c r="BB291" i="1" s="1"/>
  <c r="AQ291" i="1"/>
  <c r="AS291" i="1"/>
  <c r="AT291" i="1" s="1"/>
  <c r="T292" i="1"/>
  <c r="R292" i="1" s="1"/>
  <c r="U292" i="1"/>
  <c r="V292" i="1" s="1"/>
  <c r="X292" i="1"/>
  <c r="AA292" i="1"/>
  <c r="AB292" i="1" s="1"/>
  <c r="AF292" i="1"/>
  <c r="AG292" i="1" s="1"/>
  <c r="AH292" i="1" s="1"/>
  <c r="AJ292" i="1"/>
  <c r="AL292" i="1"/>
  <c r="AM292" i="1"/>
  <c r="AN292" i="1"/>
  <c r="BB292" i="1" s="1"/>
  <c r="AQ292" i="1"/>
  <c r="AS292" i="1"/>
  <c r="AT292" i="1" s="1"/>
  <c r="T293" i="1"/>
  <c r="U293" i="1"/>
  <c r="X293" i="1"/>
  <c r="Y293" i="1" s="1"/>
  <c r="AA293" i="1"/>
  <c r="AB293" i="1" s="1"/>
  <c r="AF293" i="1"/>
  <c r="AG293" i="1" s="1"/>
  <c r="AH293" i="1" s="1"/>
  <c r="AJ293" i="1"/>
  <c r="AL293" i="1"/>
  <c r="AM293" i="1"/>
  <c r="AN293" i="1"/>
  <c r="BB293" i="1" s="1"/>
  <c r="AQ293" i="1"/>
  <c r="AS293" i="1"/>
  <c r="AT293" i="1" s="1"/>
  <c r="T294" i="1"/>
  <c r="R294" i="1" s="1"/>
  <c r="U294" i="1"/>
  <c r="V294" i="1" s="1"/>
  <c r="X294" i="1"/>
  <c r="AA294" i="1"/>
  <c r="AB294" i="1" s="1"/>
  <c r="AF294" i="1"/>
  <c r="AG294" i="1" s="1"/>
  <c r="AH294" i="1" s="1"/>
  <c r="AJ294" i="1"/>
  <c r="AL294" i="1"/>
  <c r="AM294" i="1"/>
  <c r="AN294" i="1"/>
  <c r="AQ294" i="1"/>
  <c r="AS294" i="1"/>
  <c r="AT294" i="1" s="1"/>
  <c r="T295" i="1"/>
  <c r="S295" i="1" s="1"/>
  <c r="U295" i="1"/>
  <c r="W295" i="1" s="1"/>
  <c r="X295" i="1"/>
  <c r="AA295" i="1"/>
  <c r="AB295" i="1" s="1"/>
  <c r="AF295" i="1"/>
  <c r="AG295" i="1" s="1"/>
  <c r="AH295" i="1" s="1"/>
  <c r="AJ295" i="1"/>
  <c r="AL295" i="1"/>
  <c r="AM295" i="1"/>
  <c r="AN295" i="1"/>
  <c r="AQ295" i="1"/>
  <c r="AS295" i="1"/>
  <c r="AT295" i="1" s="1"/>
  <c r="T296" i="1"/>
  <c r="R296" i="1" s="1"/>
  <c r="U296" i="1"/>
  <c r="X296" i="1"/>
  <c r="AA296" i="1"/>
  <c r="AB296" i="1" s="1"/>
  <c r="AF296" i="1"/>
  <c r="AG296" i="1" s="1"/>
  <c r="AH296" i="1" s="1"/>
  <c r="AJ296" i="1"/>
  <c r="AL296" i="1"/>
  <c r="AM296" i="1"/>
  <c r="AN296" i="1"/>
  <c r="AW296" i="1" s="1"/>
  <c r="AZ296" i="1" s="1"/>
  <c r="AQ296" i="1"/>
  <c r="AS296" i="1"/>
  <c r="AT296" i="1" s="1"/>
  <c r="T297" i="1"/>
  <c r="R297" i="1" s="1"/>
  <c r="U297" i="1"/>
  <c r="X297" i="1"/>
  <c r="AA297" i="1"/>
  <c r="AB297" i="1" s="1"/>
  <c r="AF297" i="1"/>
  <c r="AG297" i="1" s="1"/>
  <c r="AH297" i="1" s="1"/>
  <c r="AJ297" i="1"/>
  <c r="AL297" i="1"/>
  <c r="AM297" i="1"/>
  <c r="AN297" i="1"/>
  <c r="BB297" i="1" s="1"/>
  <c r="AQ297" i="1"/>
  <c r="AS297" i="1"/>
  <c r="AT297" i="1" s="1"/>
  <c r="T298" i="1"/>
  <c r="U298" i="1"/>
  <c r="V298" i="1" s="1"/>
  <c r="X298" i="1"/>
  <c r="Y298" i="1" s="1"/>
  <c r="AA298" i="1"/>
  <c r="AB298" i="1" s="1"/>
  <c r="AF298" i="1"/>
  <c r="AG298" i="1" s="1"/>
  <c r="AH298" i="1" s="1"/>
  <c r="AJ298" i="1"/>
  <c r="AL298" i="1"/>
  <c r="AM298" i="1"/>
  <c r="AN298" i="1"/>
  <c r="AP298" i="1"/>
  <c r="AQ298" i="1"/>
  <c r="AR298" i="1" s="1"/>
  <c r="AS298" i="1"/>
  <c r="AT298" i="1" s="1"/>
  <c r="T299" i="1"/>
  <c r="S299" i="1" s="1"/>
  <c r="U299" i="1"/>
  <c r="W299" i="1" s="1"/>
  <c r="X299" i="1"/>
  <c r="Z299" i="1" s="1"/>
  <c r="AA299" i="1"/>
  <c r="AB299" i="1" s="1"/>
  <c r="AF299" i="1"/>
  <c r="AG299" i="1" s="1"/>
  <c r="AH299" i="1" s="1"/>
  <c r="AJ299" i="1"/>
  <c r="AL299" i="1"/>
  <c r="AM299" i="1"/>
  <c r="AN299" i="1"/>
  <c r="BA299" i="1" s="1"/>
  <c r="AP299" i="1"/>
  <c r="AQ299" i="1"/>
  <c r="AR299" i="1"/>
  <c r="AS299" i="1"/>
  <c r="AT299" i="1" s="1"/>
  <c r="T300" i="1"/>
  <c r="R300" i="1" s="1"/>
  <c r="U300" i="1"/>
  <c r="V300" i="1" s="1"/>
  <c r="X300" i="1"/>
  <c r="Z300" i="1" s="1"/>
  <c r="AA300" i="1"/>
  <c r="AB300" i="1" s="1"/>
  <c r="AF300" i="1"/>
  <c r="AG300" i="1" s="1"/>
  <c r="AH300" i="1" s="1"/>
  <c r="AJ300" i="1"/>
  <c r="AL300" i="1"/>
  <c r="AM300" i="1"/>
  <c r="AN300" i="1"/>
  <c r="BA300" i="1" s="1"/>
  <c r="AP300" i="1"/>
  <c r="AQ300" i="1"/>
  <c r="AR300" i="1" s="1"/>
  <c r="AS300" i="1"/>
  <c r="AT300" i="1" s="1"/>
  <c r="T301" i="1"/>
  <c r="R301" i="1" s="1"/>
  <c r="U301" i="1"/>
  <c r="V301" i="1" s="1"/>
  <c r="X301" i="1"/>
  <c r="AA301" i="1"/>
  <c r="AB301" i="1" s="1"/>
  <c r="AF301" i="1"/>
  <c r="AG301" i="1" s="1"/>
  <c r="AH301" i="1" s="1"/>
  <c r="AJ301" i="1"/>
  <c r="AL301" i="1"/>
  <c r="AM301" i="1"/>
  <c r="AN301" i="1"/>
  <c r="BA301" i="1" s="1"/>
  <c r="AP301" i="1"/>
  <c r="AQ301" i="1"/>
  <c r="AR301" i="1"/>
  <c r="AS301" i="1"/>
  <c r="AT301" i="1" s="1"/>
  <c r="T302" i="1"/>
  <c r="AC302" i="1" s="1"/>
  <c r="U302" i="1"/>
  <c r="V302" i="1" s="1"/>
  <c r="X302" i="1"/>
  <c r="Y302" i="1" s="1"/>
  <c r="AA302" i="1"/>
  <c r="AB302" i="1" s="1"/>
  <c r="AF302" i="1"/>
  <c r="AG302" i="1" s="1"/>
  <c r="AH302" i="1" s="1"/>
  <c r="AJ302" i="1"/>
  <c r="AL302" i="1"/>
  <c r="AM302" i="1"/>
  <c r="AN302" i="1"/>
  <c r="BA302" i="1" s="1"/>
  <c r="AP302" i="1"/>
  <c r="AQ302" i="1"/>
  <c r="AR302" i="1"/>
  <c r="AS302" i="1"/>
  <c r="AT302" i="1" s="1"/>
  <c r="T303" i="1"/>
  <c r="U303" i="1"/>
  <c r="W303" i="1" s="1"/>
  <c r="X303" i="1"/>
  <c r="AA303" i="1"/>
  <c r="AB303" i="1" s="1"/>
  <c r="AF303" i="1"/>
  <c r="AG303" i="1" s="1"/>
  <c r="AH303" i="1" s="1"/>
  <c r="AJ303" i="1"/>
  <c r="AL303" i="1"/>
  <c r="AM303" i="1"/>
  <c r="AN303" i="1"/>
  <c r="AP303" i="1"/>
  <c r="AQ303" i="1"/>
  <c r="AR303" i="1"/>
  <c r="AS303" i="1"/>
  <c r="AT303" i="1" s="1"/>
  <c r="T304" i="1"/>
  <c r="R304" i="1" s="1"/>
  <c r="U304" i="1"/>
  <c r="X304" i="1"/>
  <c r="AA304" i="1"/>
  <c r="AB304" i="1" s="1"/>
  <c r="AF304" i="1"/>
  <c r="AG304" i="1" s="1"/>
  <c r="AH304" i="1" s="1"/>
  <c r="AJ304" i="1"/>
  <c r="AL304" i="1"/>
  <c r="AM304" i="1"/>
  <c r="AN304" i="1"/>
  <c r="BB304" i="1" s="1"/>
  <c r="AP304" i="1"/>
  <c r="AQ304" i="1"/>
  <c r="AR304" i="1"/>
  <c r="AS304" i="1"/>
  <c r="AT304" i="1" s="1"/>
  <c r="T305" i="1"/>
  <c r="U305" i="1"/>
  <c r="V305" i="1" s="1"/>
  <c r="X305" i="1"/>
  <c r="Y305" i="1" s="1"/>
  <c r="AA305" i="1"/>
  <c r="AB305" i="1" s="1"/>
  <c r="AF305" i="1"/>
  <c r="AG305" i="1" s="1"/>
  <c r="AH305" i="1" s="1"/>
  <c r="AJ305" i="1"/>
  <c r="AL305" i="1"/>
  <c r="AM305" i="1"/>
  <c r="AN305" i="1"/>
  <c r="BB305" i="1" s="1"/>
  <c r="AP305" i="1"/>
  <c r="AQ305" i="1"/>
  <c r="AR305" i="1"/>
  <c r="AS305" i="1"/>
  <c r="AT305" i="1" s="1"/>
  <c r="T306" i="1"/>
  <c r="S306" i="1" s="1"/>
  <c r="U306" i="1"/>
  <c r="V306" i="1" s="1"/>
  <c r="X306" i="1"/>
  <c r="Y306" i="1" s="1"/>
  <c r="AA306" i="1"/>
  <c r="AB306" i="1" s="1"/>
  <c r="AF306" i="1"/>
  <c r="AG306" i="1" s="1"/>
  <c r="AH306" i="1" s="1"/>
  <c r="AJ306" i="1"/>
  <c r="AL306" i="1"/>
  <c r="AM306" i="1"/>
  <c r="AN306" i="1"/>
  <c r="AW306" i="1" s="1"/>
  <c r="AP306" i="1"/>
  <c r="AQ306" i="1"/>
  <c r="AR306" i="1"/>
  <c r="AS306" i="1"/>
  <c r="AT306" i="1" s="1"/>
  <c r="T307" i="1"/>
  <c r="U307" i="1"/>
  <c r="W307" i="1" s="1"/>
  <c r="X307" i="1"/>
  <c r="Y307" i="1" s="1"/>
  <c r="AA307" i="1"/>
  <c r="AB307" i="1" s="1"/>
  <c r="AF307" i="1"/>
  <c r="AG307" i="1" s="1"/>
  <c r="AH307" i="1" s="1"/>
  <c r="AJ307" i="1"/>
  <c r="AL307" i="1"/>
  <c r="AM307" i="1"/>
  <c r="AN307" i="1"/>
  <c r="AP307" i="1"/>
  <c r="AQ307" i="1"/>
  <c r="AR307" i="1"/>
  <c r="AS307" i="1"/>
  <c r="AT307" i="1" s="1"/>
  <c r="T308" i="1"/>
  <c r="U308" i="1"/>
  <c r="V308" i="1" s="1"/>
  <c r="X308" i="1"/>
  <c r="Z308" i="1" s="1"/>
  <c r="AA308" i="1"/>
  <c r="AB308" i="1" s="1"/>
  <c r="AF308" i="1"/>
  <c r="AG308" i="1" s="1"/>
  <c r="AH308" i="1" s="1"/>
  <c r="AJ308" i="1"/>
  <c r="AL308" i="1"/>
  <c r="AM308" i="1"/>
  <c r="AN308" i="1"/>
  <c r="BB308" i="1" s="1"/>
  <c r="AP308" i="1"/>
  <c r="AQ308" i="1"/>
  <c r="AR308" i="1"/>
  <c r="AS308" i="1"/>
  <c r="AT308" i="1" s="1"/>
  <c r="T309" i="1"/>
  <c r="R309" i="1" s="1"/>
  <c r="U309" i="1"/>
  <c r="V309" i="1" s="1"/>
  <c r="X309" i="1"/>
  <c r="AA309" i="1"/>
  <c r="AB309" i="1" s="1"/>
  <c r="AF309" i="1"/>
  <c r="AG309" i="1" s="1"/>
  <c r="AH309" i="1" s="1"/>
  <c r="AJ309" i="1"/>
  <c r="AL309" i="1"/>
  <c r="AM309" i="1"/>
  <c r="AN309" i="1"/>
  <c r="AW309" i="1" s="1"/>
  <c r="AP309" i="1"/>
  <c r="AQ309" i="1"/>
  <c r="AR309" i="1"/>
  <c r="AS309" i="1"/>
  <c r="AT309" i="1" s="1"/>
  <c r="T310" i="1"/>
  <c r="R310" i="1" s="1"/>
  <c r="U310" i="1"/>
  <c r="X310" i="1"/>
  <c r="Z310" i="1" s="1"/>
  <c r="AA310" i="1"/>
  <c r="AB310" i="1" s="1"/>
  <c r="AF310" i="1"/>
  <c r="AG310" i="1" s="1"/>
  <c r="AH310" i="1" s="1"/>
  <c r="AJ310" i="1"/>
  <c r="AL310" i="1"/>
  <c r="AM310" i="1"/>
  <c r="AN310" i="1"/>
  <c r="AW310" i="1" s="1"/>
  <c r="AP310" i="1"/>
  <c r="AQ310" i="1"/>
  <c r="AR310" i="1"/>
  <c r="AS310" i="1"/>
  <c r="AT310" i="1" s="1"/>
  <c r="T311" i="1"/>
  <c r="AC311" i="1" s="1"/>
  <c r="AE311" i="1" s="1"/>
  <c r="U311" i="1"/>
  <c r="X311" i="1"/>
  <c r="Z311" i="1" s="1"/>
  <c r="AA311" i="1"/>
  <c r="AB311" i="1" s="1"/>
  <c r="AF311" i="1"/>
  <c r="AG311" i="1" s="1"/>
  <c r="AH311" i="1" s="1"/>
  <c r="AJ311" i="1"/>
  <c r="AL311" i="1"/>
  <c r="AM311" i="1"/>
  <c r="AN311" i="1"/>
  <c r="AP311" i="1"/>
  <c r="AQ311" i="1"/>
  <c r="AR311" i="1"/>
  <c r="AS311" i="1"/>
  <c r="AT311" i="1" s="1"/>
  <c r="T312" i="1"/>
  <c r="U312" i="1"/>
  <c r="X312" i="1"/>
  <c r="AA312" i="1"/>
  <c r="AB312" i="1" s="1"/>
  <c r="AF312" i="1"/>
  <c r="AG312" i="1" s="1"/>
  <c r="AH312" i="1" s="1"/>
  <c r="AJ312" i="1"/>
  <c r="AL312" i="1"/>
  <c r="AM312" i="1"/>
  <c r="AN312" i="1"/>
  <c r="BB312" i="1" s="1"/>
  <c r="AP312" i="1"/>
  <c r="AQ312" i="1"/>
  <c r="AR312" i="1" s="1"/>
  <c r="AS312" i="1"/>
  <c r="AT312" i="1" s="1"/>
  <c r="T313" i="1"/>
  <c r="U313" i="1"/>
  <c r="W313" i="1" s="1"/>
  <c r="X313" i="1"/>
  <c r="AA313" i="1"/>
  <c r="AB313" i="1" s="1"/>
  <c r="AF313" i="1"/>
  <c r="AG313" i="1" s="1"/>
  <c r="AH313" i="1" s="1"/>
  <c r="AJ313" i="1"/>
  <c r="AL313" i="1"/>
  <c r="AM313" i="1"/>
  <c r="AN313" i="1"/>
  <c r="AP313" i="1"/>
  <c r="AQ313" i="1"/>
  <c r="AR313" i="1"/>
  <c r="AS313" i="1"/>
  <c r="AT313" i="1" s="1"/>
  <c r="T314" i="1"/>
  <c r="U314" i="1"/>
  <c r="X314" i="1"/>
  <c r="Y314" i="1" s="1"/>
  <c r="AA314" i="1"/>
  <c r="AB314" i="1" s="1"/>
  <c r="AF314" i="1"/>
  <c r="AG314" i="1" s="1"/>
  <c r="AH314" i="1" s="1"/>
  <c r="AJ314" i="1"/>
  <c r="AL314" i="1"/>
  <c r="AM314" i="1"/>
  <c r="AN314" i="1"/>
  <c r="AP314" i="1"/>
  <c r="AQ314" i="1"/>
  <c r="AR314" i="1" s="1"/>
  <c r="AS314" i="1"/>
  <c r="AT314" i="1" s="1"/>
  <c r="T315" i="1"/>
  <c r="U315" i="1"/>
  <c r="W315" i="1" s="1"/>
  <c r="X315" i="1"/>
  <c r="Y315" i="1" s="1"/>
  <c r="AA315" i="1"/>
  <c r="AB315" i="1" s="1"/>
  <c r="AF315" i="1"/>
  <c r="AG315" i="1" s="1"/>
  <c r="AH315" i="1" s="1"/>
  <c r="AJ315" i="1"/>
  <c r="AL315" i="1"/>
  <c r="AM315" i="1"/>
  <c r="AN315" i="1"/>
  <c r="BB315" i="1" s="1"/>
  <c r="AP315" i="1"/>
  <c r="AQ315" i="1"/>
  <c r="AR315" i="1" s="1"/>
  <c r="AS315" i="1"/>
  <c r="AT315" i="1" s="1"/>
  <c r="T316" i="1"/>
  <c r="R316" i="1" s="1"/>
  <c r="U316" i="1"/>
  <c r="V316" i="1" s="1"/>
  <c r="X316" i="1"/>
  <c r="Z316" i="1" s="1"/>
  <c r="AA316" i="1"/>
  <c r="AB316" i="1" s="1"/>
  <c r="AF316" i="1"/>
  <c r="AG316" i="1" s="1"/>
  <c r="AH316" i="1" s="1"/>
  <c r="AJ316" i="1"/>
  <c r="AL316" i="1"/>
  <c r="AM316" i="1"/>
  <c r="AN316" i="1"/>
  <c r="AP316" i="1"/>
  <c r="AQ316" i="1"/>
  <c r="AR316" i="1"/>
  <c r="AS316" i="1"/>
  <c r="AT316" i="1" s="1"/>
  <c r="T317" i="1"/>
  <c r="U317" i="1"/>
  <c r="V317" i="1" s="1"/>
  <c r="X317" i="1"/>
  <c r="AA317" i="1"/>
  <c r="AB317" i="1" s="1"/>
  <c r="AF317" i="1"/>
  <c r="AG317" i="1" s="1"/>
  <c r="AH317" i="1" s="1"/>
  <c r="AJ317" i="1"/>
  <c r="AL317" i="1"/>
  <c r="AM317" i="1"/>
  <c r="AN317" i="1"/>
  <c r="AW317" i="1" s="1"/>
  <c r="AP317" i="1"/>
  <c r="AQ317" i="1"/>
  <c r="AR317" i="1"/>
  <c r="AS317" i="1"/>
  <c r="AT317" i="1" s="1"/>
  <c r="T318" i="1"/>
  <c r="S318" i="1" s="1"/>
  <c r="U318" i="1"/>
  <c r="V318" i="1" s="1"/>
  <c r="X318" i="1"/>
  <c r="Y318" i="1" s="1"/>
  <c r="AA318" i="1"/>
  <c r="AB318" i="1" s="1"/>
  <c r="AF318" i="1"/>
  <c r="AG318" i="1" s="1"/>
  <c r="AH318" i="1" s="1"/>
  <c r="AJ318" i="1"/>
  <c r="AL318" i="1"/>
  <c r="AM318" i="1"/>
  <c r="AN318" i="1"/>
  <c r="BA318" i="1" s="1"/>
  <c r="AP318" i="1"/>
  <c r="AQ318" i="1"/>
  <c r="AR318" i="1"/>
  <c r="AS318" i="1"/>
  <c r="AT318" i="1" s="1"/>
  <c r="T319" i="1"/>
  <c r="AC319" i="1" s="1"/>
  <c r="U319" i="1"/>
  <c r="W319" i="1" s="1"/>
  <c r="X319" i="1"/>
  <c r="Z319" i="1" s="1"/>
  <c r="AA319" i="1"/>
  <c r="AB319" i="1" s="1"/>
  <c r="AF319" i="1"/>
  <c r="AG319" i="1" s="1"/>
  <c r="AH319" i="1" s="1"/>
  <c r="AJ319" i="1"/>
  <c r="AL319" i="1"/>
  <c r="AM319" i="1"/>
  <c r="AN319" i="1"/>
  <c r="AP319" i="1"/>
  <c r="AQ319" i="1"/>
  <c r="AR319" i="1"/>
  <c r="AS319" i="1"/>
  <c r="AT319" i="1" s="1"/>
  <c r="T320" i="1"/>
  <c r="R320" i="1" s="1"/>
  <c r="U320" i="1"/>
  <c r="V320" i="1" s="1"/>
  <c r="X320" i="1"/>
  <c r="Z320" i="1" s="1"/>
  <c r="AA320" i="1"/>
  <c r="AB320" i="1" s="1"/>
  <c r="AF320" i="1"/>
  <c r="AG320" i="1" s="1"/>
  <c r="AH320" i="1" s="1"/>
  <c r="AJ320" i="1"/>
  <c r="AL320" i="1"/>
  <c r="AM320" i="1"/>
  <c r="AN320" i="1"/>
  <c r="BB320" i="1" s="1"/>
  <c r="AP320" i="1"/>
  <c r="AQ320" i="1"/>
  <c r="AR320" i="1"/>
  <c r="AS320" i="1"/>
  <c r="AT320" i="1" s="1"/>
  <c r="T321" i="1"/>
  <c r="AC321" i="1" s="1"/>
  <c r="U321" i="1"/>
  <c r="V321" i="1" s="1"/>
  <c r="X321" i="1"/>
  <c r="AA321" i="1"/>
  <c r="AB321" i="1" s="1"/>
  <c r="AF321" i="1"/>
  <c r="AG321" i="1" s="1"/>
  <c r="AH321" i="1" s="1"/>
  <c r="AJ321" i="1"/>
  <c r="AL321" i="1"/>
  <c r="AM321" i="1"/>
  <c r="AN321" i="1"/>
  <c r="AW321" i="1" s="1"/>
  <c r="AP321" i="1"/>
  <c r="AQ321" i="1"/>
  <c r="AR321" i="1"/>
  <c r="AS321" i="1"/>
  <c r="AT321" i="1" s="1"/>
  <c r="T322" i="1"/>
  <c r="R322" i="1" s="1"/>
  <c r="U322" i="1"/>
  <c r="W322" i="1" s="1"/>
  <c r="X322" i="1"/>
  <c r="Y322" i="1" s="1"/>
  <c r="AA322" i="1"/>
  <c r="AB322" i="1" s="1"/>
  <c r="AF322" i="1"/>
  <c r="AG322" i="1" s="1"/>
  <c r="AH322" i="1" s="1"/>
  <c r="AJ322" i="1"/>
  <c r="AL322" i="1"/>
  <c r="AM322" i="1"/>
  <c r="AN322" i="1"/>
  <c r="AP322" i="1"/>
  <c r="AQ322" i="1"/>
  <c r="AR322" i="1" s="1"/>
  <c r="AS322" i="1"/>
  <c r="AT322" i="1" s="1"/>
  <c r="T323" i="1"/>
  <c r="U323" i="1"/>
  <c r="W323" i="1" s="1"/>
  <c r="X323" i="1"/>
  <c r="Y323" i="1" s="1"/>
  <c r="AA323" i="1"/>
  <c r="AB323" i="1" s="1"/>
  <c r="AF323" i="1"/>
  <c r="AG323" i="1" s="1"/>
  <c r="AH323" i="1" s="1"/>
  <c r="AJ323" i="1"/>
  <c r="AL323" i="1"/>
  <c r="AM323" i="1"/>
  <c r="AN323" i="1"/>
  <c r="AW323" i="1" s="1"/>
  <c r="AP323" i="1"/>
  <c r="AQ323" i="1"/>
  <c r="AR323" i="1"/>
  <c r="AS323" i="1"/>
  <c r="AT323" i="1" s="1"/>
  <c r="T324" i="1"/>
  <c r="AC324" i="1" s="1"/>
  <c r="U324" i="1"/>
  <c r="X324" i="1"/>
  <c r="Y324" i="1" s="1"/>
  <c r="AA324" i="1"/>
  <c r="AB324" i="1" s="1"/>
  <c r="AF324" i="1"/>
  <c r="AG324" i="1" s="1"/>
  <c r="AH324" i="1" s="1"/>
  <c r="AJ324" i="1"/>
  <c r="AL324" i="1"/>
  <c r="AM324" i="1"/>
  <c r="AN324" i="1"/>
  <c r="BB324" i="1" s="1"/>
  <c r="AP324" i="1"/>
  <c r="AQ324" i="1"/>
  <c r="AR324" i="1" s="1"/>
  <c r="AS324" i="1"/>
  <c r="AT324" i="1" s="1"/>
  <c r="T325" i="1"/>
  <c r="AC325" i="1" s="1"/>
  <c r="AD325" i="1" s="1"/>
  <c r="U325" i="1"/>
  <c r="V325" i="1" s="1"/>
  <c r="X325" i="1"/>
  <c r="Z325" i="1" s="1"/>
  <c r="AA325" i="1"/>
  <c r="AB325" i="1" s="1"/>
  <c r="AF325" i="1"/>
  <c r="AG325" i="1" s="1"/>
  <c r="AH325" i="1" s="1"/>
  <c r="AJ325" i="1"/>
  <c r="AL325" i="1"/>
  <c r="AM325" i="1"/>
  <c r="AN325" i="1"/>
  <c r="AW325" i="1" s="1"/>
  <c r="AP325" i="1"/>
  <c r="AQ325" i="1"/>
  <c r="AR325" i="1"/>
  <c r="AS325" i="1"/>
  <c r="AT325" i="1" s="1"/>
  <c r="T326" i="1"/>
  <c r="U326" i="1"/>
  <c r="V326" i="1" s="1"/>
  <c r="X326" i="1"/>
  <c r="AA326" i="1"/>
  <c r="AB326" i="1" s="1"/>
  <c r="AF326" i="1"/>
  <c r="AG326" i="1" s="1"/>
  <c r="AH326" i="1" s="1"/>
  <c r="AJ326" i="1"/>
  <c r="AL326" i="1"/>
  <c r="AM326" i="1"/>
  <c r="AN326" i="1"/>
  <c r="AP326" i="1"/>
  <c r="AQ326" i="1"/>
  <c r="AR326" i="1"/>
  <c r="AS326" i="1"/>
  <c r="AT326" i="1" s="1"/>
  <c r="T327" i="1"/>
  <c r="S327" i="1" s="1"/>
  <c r="U327" i="1"/>
  <c r="V327" i="1" s="1"/>
  <c r="X327" i="1"/>
  <c r="Y327" i="1" s="1"/>
  <c r="AA327" i="1"/>
  <c r="AB327" i="1" s="1"/>
  <c r="AF327" i="1"/>
  <c r="AG327" i="1" s="1"/>
  <c r="AH327" i="1" s="1"/>
  <c r="AJ327" i="1"/>
  <c r="AL327" i="1"/>
  <c r="AM327" i="1"/>
  <c r="AN327" i="1"/>
  <c r="AP327" i="1"/>
  <c r="AQ327" i="1"/>
  <c r="AR327" i="1" s="1"/>
  <c r="AS327" i="1"/>
  <c r="AT327" i="1" s="1"/>
  <c r="T328" i="1"/>
  <c r="R328" i="1" s="1"/>
  <c r="U328" i="1"/>
  <c r="V328" i="1" s="1"/>
  <c r="X328" i="1"/>
  <c r="AA328" i="1"/>
  <c r="AB328" i="1" s="1"/>
  <c r="AF328" i="1"/>
  <c r="AG328" i="1" s="1"/>
  <c r="AH328" i="1" s="1"/>
  <c r="AJ328" i="1"/>
  <c r="AL328" i="1"/>
  <c r="AM328" i="1"/>
  <c r="AN328" i="1"/>
  <c r="AW328" i="1" s="1"/>
  <c r="AP328" i="1"/>
  <c r="AQ328" i="1"/>
  <c r="AR328" i="1"/>
  <c r="AS328" i="1"/>
  <c r="AT328" i="1" s="1"/>
  <c r="T329" i="1"/>
  <c r="R329" i="1" s="1"/>
  <c r="U329" i="1"/>
  <c r="V329" i="1" s="1"/>
  <c r="X329" i="1"/>
  <c r="Z329" i="1" s="1"/>
  <c r="AA329" i="1"/>
  <c r="AB329" i="1" s="1"/>
  <c r="AF329" i="1"/>
  <c r="AG329" i="1" s="1"/>
  <c r="AH329" i="1" s="1"/>
  <c r="AJ329" i="1"/>
  <c r="AL329" i="1"/>
  <c r="AM329" i="1"/>
  <c r="AN329" i="1"/>
  <c r="BA329" i="1" s="1"/>
  <c r="AP329" i="1"/>
  <c r="AQ329" i="1"/>
  <c r="AR329" i="1"/>
  <c r="AS329" i="1"/>
  <c r="AT329" i="1" s="1"/>
  <c r="T330" i="1"/>
  <c r="S330" i="1" s="1"/>
  <c r="U330" i="1"/>
  <c r="X330" i="1"/>
  <c r="AA330" i="1"/>
  <c r="AB330" i="1" s="1"/>
  <c r="AF330" i="1"/>
  <c r="AG330" i="1" s="1"/>
  <c r="AH330" i="1" s="1"/>
  <c r="AJ330" i="1"/>
  <c r="AL330" i="1"/>
  <c r="AM330" i="1"/>
  <c r="AN330" i="1"/>
  <c r="BA330" i="1" s="1"/>
  <c r="AP330" i="1"/>
  <c r="AQ330" i="1"/>
  <c r="AR330" i="1" s="1"/>
  <c r="AS330" i="1"/>
  <c r="AT330" i="1" s="1"/>
  <c r="T331" i="1"/>
  <c r="U331" i="1"/>
  <c r="V331" i="1" s="1"/>
  <c r="X331" i="1"/>
  <c r="Y331" i="1" s="1"/>
  <c r="AA331" i="1"/>
  <c r="AB331" i="1" s="1"/>
  <c r="AF331" i="1"/>
  <c r="AG331" i="1" s="1"/>
  <c r="AH331" i="1" s="1"/>
  <c r="AJ331" i="1"/>
  <c r="AL331" i="1"/>
  <c r="AM331" i="1"/>
  <c r="AN331" i="1"/>
  <c r="AP331" i="1"/>
  <c r="AQ331" i="1"/>
  <c r="AR331" i="1"/>
  <c r="AS331" i="1"/>
  <c r="AT331" i="1" s="1"/>
  <c r="T332" i="1"/>
  <c r="R332" i="1" s="1"/>
  <c r="U332" i="1"/>
  <c r="W332" i="1" s="1"/>
  <c r="X332" i="1"/>
  <c r="Y332" i="1" s="1"/>
  <c r="AA332" i="1"/>
  <c r="AB332" i="1" s="1"/>
  <c r="AF332" i="1"/>
  <c r="AG332" i="1" s="1"/>
  <c r="AH332" i="1" s="1"/>
  <c r="AJ332" i="1"/>
  <c r="AL332" i="1"/>
  <c r="AM332" i="1"/>
  <c r="AN332" i="1"/>
  <c r="AP332" i="1"/>
  <c r="AQ332" i="1"/>
  <c r="AR332" i="1"/>
  <c r="AS332" i="1"/>
  <c r="AT332" i="1" s="1"/>
  <c r="T333" i="1"/>
  <c r="S333" i="1" s="1"/>
  <c r="U333" i="1"/>
  <c r="X333" i="1"/>
  <c r="AA333" i="1"/>
  <c r="AB333" i="1" s="1"/>
  <c r="AF333" i="1"/>
  <c r="AG333" i="1" s="1"/>
  <c r="AH333" i="1" s="1"/>
  <c r="AJ333" i="1"/>
  <c r="AL333" i="1"/>
  <c r="AM333" i="1"/>
  <c r="AN333" i="1"/>
  <c r="BB333" i="1" s="1"/>
  <c r="AP333" i="1"/>
  <c r="AQ333" i="1"/>
  <c r="AR333" i="1"/>
  <c r="AS333" i="1"/>
  <c r="AT333" i="1" s="1"/>
  <c r="T334" i="1"/>
  <c r="U334" i="1"/>
  <c r="X334" i="1"/>
  <c r="AA334" i="1"/>
  <c r="AB334" i="1" s="1"/>
  <c r="AF334" i="1"/>
  <c r="AG334" i="1" s="1"/>
  <c r="AH334" i="1" s="1"/>
  <c r="AJ334" i="1"/>
  <c r="AL334" i="1"/>
  <c r="AM334" i="1"/>
  <c r="AN334" i="1"/>
  <c r="AP334" i="1"/>
  <c r="AQ334" i="1"/>
  <c r="AR334" i="1"/>
  <c r="AS334" i="1"/>
  <c r="AT334" i="1" s="1"/>
  <c r="T335" i="1"/>
  <c r="U335" i="1"/>
  <c r="V335" i="1" s="1"/>
  <c r="X335" i="1"/>
  <c r="AA335" i="1"/>
  <c r="AB335" i="1" s="1"/>
  <c r="AF335" i="1"/>
  <c r="AG335" i="1" s="1"/>
  <c r="AH335" i="1" s="1"/>
  <c r="AJ335" i="1"/>
  <c r="AL335" i="1"/>
  <c r="AM335" i="1"/>
  <c r="AN335" i="1"/>
  <c r="AP335" i="1"/>
  <c r="AQ335" i="1"/>
  <c r="AR335" i="1"/>
  <c r="AS335" i="1"/>
  <c r="AT335" i="1" s="1"/>
  <c r="T336" i="1"/>
  <c r="U336" i="1"/>
  <c r="X336" i="1"/>
  <c r="AA336" i="1"/>
  <c r="AB336" i="1" s="1"/>
  <c r="AF336" i="1"/>
  <c r="AG336" i="1" s="1"/>
  <c r="AH336" i="1" s="1"/>
  <c r="AJ336" i="1"/>
  <c r="AL336" i="1"/>
  <c r="AM336" i="1"/>
  <c r="AN336" i="1"/>
  <c r="BB336" i="1" s="1"/>
  <c r="AP336" i="1"/>
  <c r="AQ336" i="1"/>
  <c r="AR336" i="1" s="1"/>
  <c r="AS336" i="1"/>
  <c r="AT336" i="1" s="1"/>
  <c r="T337" i="1"/>
  <c r="AC337" i="1" s="1"/>
  <c r="U337" i="1"/>
  <c r="V337" i="1" s="1"/>
  <c r="X337" i="1"/>
  <c r="Z337" i="1" s="1"/>
  <c r="AA337" i="1"/>
  <c r="AB337" i="1" s="1"/>
  <c r="AF337" i="1"/>
  <c r="AG337" i="1" s="1"/>
  <c r="AH337" i="1" s="1"/>
  <c r="AJ337" i="1"/>
  <c r="AL337" i="1"/>
  <c r="AM337" i="1"/>
  <c r="AN337" i="1"/>
  <c r="AP337" i="1"/>
  <c r="AV337" i="1" s="1"/>
  <c r="AZ337" i="1" s="1"/>
  <c r="AQ337" i="1"/>
  <c r="AS337" i="1"/>
  <c r="AT337" i="1" s="1"/>
  <c r="T338" i="1"/>
  <c r="U338" i="1"/>
  <c r="X338" i="1"/>
  <c r="Y338" i="1" s="1"/>
  <c r="AA338" i="1"/>
  <c r="AB338" i="1" s="1"/>
  <c r="AF338" i="1"/>
  <c r="AG338" i="1" s="1"/>
  <c r="AH338" i="1" s="1"/>
  <c r="AJ338" i="1"/>
  <c r="AL338" i="1"/>
  <c r="AM338" i="1"/>
  <c r="AN338" i="1"/>
  <c r="AP338" i="1"/>
  <c r="AV338" i="1" s="1"/>
  <c r="AZ338" i="1" s="1"/>
  <c r="AQ338" i="1"/>
  <c r="AS338" i="1"/>
  <c r="AT338" i="1" s="1"/>
  <c r="T339" i="1"/>
  <c r="S339" i="1" s="1"/>
  <c r="U339" i="1"/>
  <c r="V339" i="1" s="1"/>
  <c r="X339" i="1"/>
  <c r="Z339" i="1" s="1"/>
  <c r="AA339" i="1"/>
  <c r="AB339" i="1" s="1"/>
  <c r="AF339" i="1"/>
  <c r="AG339" i="1" s="1"/>
  <c r="AH339" i="1" s="1"/>
  <c r="AJ339" i="1"/>
  <c r="AL339" i="1"/>
  <c r="AM339" i="1"/>
  <c r="AN339" i="1"/>
  <c r="AP339" i="1"/>
  <c r="AV339" i="1" s="1"/>
  <c r="AZ339" i="1" s="1"/>
  <c r="AQ339" i="1"/>
  <c r="AS339" i="1"/>
  <c r="AT339" i="1" s="1"/>
  <c r="T340" i="1"/>
  <c r="S340" i="1" s="1"/>
  <c r="U340" i="1"/>
  <c r="X340" i="1"/>
  <c r="Y340" i="1" s="1"/>
  <c r="AA340" i="1"/>
  <c r="AB340" i="1" s="1"/>
  <c r="AF340" i="1"/>
  <c r="AG340" i="1" s="1"/>
  <c r="AH340" i="1" s="1"/>
  <c r="AJ340" i="1"/>
  <c r="AL340" i="1"/>
  <c r="AM340" i="1"/>
  <c r="AN340" i="1"/>
  <c r="AP340" i="1"/>
  <c r="AV340" i="1" s="1"/>
  <c r="AZ340" i="1" s="1"/>
  <c r="AQ340" i="1"/>
  <c r="AS340" i="1"/>
  <c r="AT340" i="1" s="1"/>
  <c r="T341" i="1"/>
  <c r="R341" i="1" s="1"/>
  <c r="U341" i="1"/>
  <c r="V341" i="1" s="1"/>
  <c r="X341" i="1"/>
  <c r="Z341" i="1" s="1"/>
  <c r="AA341" i="1"/>
  <c r="AB341" i="1" s="1"/>
  <c r="AF341" i="1"/>
  <c r="AG341" i="1" s="1"/>
  <c r="AH341" i="1" s="1"/>
  <c r="AJ341" i="1"/>
  <c r="AL341" i="1"/>
  <c r="AM341" i="1"/>
  <c r="AN341" i="1"/>
  <c r="BA341" i="1" s="1"/>
  <c r="AP341" i="1"/>
  <c r="AQ341" i="1"/>
  <c r="AR341" i="1" s="1"/>
  <c r="AS341" i="1"/>
  <c r="AT341" i="1" s="1"/>
  <c r="T342" i="1"/>
  <c r="AC342" i="1" s="1"/>
  <c r="U342" i="1"/>
  <c r="X342" i="1"/>
  <c r="AA342" i="1"/>
  <c r="AB342" i="1" s="1"/>
  <c r="AF342" i="1"/>
  <c r="AG342" i="1" s="1"/>
  <c r="AH342" i="1" s="1"/>
  <c r="AJ342" i="1"/>
  <c r="AL342" i="1"/>
  <c r="AM342" i="1"/>
  <c r="AN342" i="1"/>
  <c r="BA342" i="1" s="1"/>
  <c r="AP342" i="1"/>
  <c r="AQ342" i="1"/>
  <c r="AR342" i="1"/>
  <c r="AS342" i="1"/>
  <c r="AT342" i="1" s="1"/>
  <c r="T343" i="1"/>
  <c r="U343" i="1"/>
  <c r="V343" i="1" s="1"/>
  <c r="X343" i="1"/>
  <c r="Y343" i="1" s="1"/>
  <c r="AA343" i="1"/>
  <c r="AB343" i="1" s="1"/>
  <c r="AF343" i="1"/>
  <c r="AG343" i="1" s="1"/>
  <c r="AH343" i="1" s="1"/>
  <c r="AJ343" i="1"/>
  <c r="AL343" i="1"/>
  <c r="AM343" i="1"/>
  <c r="AN343" i="1"/>
  <c r="BB343" i="1" s="1"/>
  <c r="AP343" i="1"/>
  <c r="AQ343" i="1"/>
  <c r="AR343" i="1" s="1"/>
  <c r="AS343" i="1"/>
  <c r="AT343" i="1" s="1"/>
  <c r="T344" i="1"/>
  <c r="R344" i="1" s="1"/>
  <c r="U344" i="1"/>
  <c r="W344" i="1" s="1"/>
  <c r="X344" i="1"/>
  <c r="Y344" i="1" s="1"/>
  <c r="AA344" i="1"/>
  <c r="AB344" i="1" s="1"/>
  <c r="AF344" i="1"/>
  <c r="AG344" i="1" s="1"/>
  <c r="AH344" i="1" s="1"/>
  <c r="AJ344" i="1"/>
  <c r="AL344" i="1"/>
  <c r="AM344" i="1"/>
  <c r="AN344" i="1"/>
  <c r="AP344" i="1"/>
  <c r="AQ344" i="1"/>
  <c r="AR344" i="1"/>
  <c r="AS344" i="1"/>
  <c r="AT344" i="1" s="1"/>
  <c r="T345" i="1"/>
  <c r="S345" i="1" s="1"/>
  <c r="U345" i="1"/>
  <c r="X345" i="1"/>
  <c r="Y345" i="1" s="1"/>
  <c r="AA345" i="1"/>
  <c r="AB345" i="1" s="1"/>
  <c r="AF345" i="1"/>
  <c r="AG345" i="1" s="1"/>
  <c r="AH345" i="1" s="1"/>
  <c r="AJ345" i="1"/>
  <c r="AL345" i="1"/>
  <c r="AM345" i="1"/>
  <c r="AN345" i="1"/>
  <c r="AW345" i="1" s="1"/>
  <c r="AP345" i="1"/>
  <c r="AQ345" i="1"/>
  <c r="AR345" i="1"/>
  <c r="AS345" i="1"/>
  <c r="AT345" i="1" s="1"/>
  <c r="T346" i="1"/>
  <c r="U346" i="1"/>
  <c r="W346" i="1" s="1"/>
  <c r="X346" i="1"/>
  <c r="AA346" i="1"/>
  <c r="AB346" i="1" s="1"/>
  <c r="AF346" i="1"/>
  <c r="AG346" i="1" s="1"/>
  <c r="AH346" i="1" s="1"/>
  <c r="AJ346" i="1"/>
  <c r="AL346" i="1"/>
  <c r="AM346" i="1"/>
  <c r="AN346" i="1"/>
  <c r="BA346" i="1" s="1"/>
  <c r="AP346" i="1"/>
  <c r="AQ346" i="1"/>
  <c r="AR346" i="1"/>
  <c r="AS346" i="1"/>
  <c r="AT346" i="1" s="1"/>
  <c r="T347" i="1"/>
  <c r="U347" i="1"/>
  <c r="V347" i="1" s="1"/>
  <c r="X347" i="1"/>
  <c r="AA347" i="1"/>
  <c r="AB347" i="1" s="1"/>
  <c r="AF347" i="1"/>
  <c r="AG347" i="1" s="1"/>
  <c r="AH347" i="1" s="1"/>
  <c r="AJ347" i="1"/>
  <c r="AL347" i="1"/>
  <c r="AM347" i="1"/>
  <c r="AN347" i="1"/>
  <c r="BA347" i="1" s="1"/>
  <c r="AP347" i="1"/>
  <c r="AQ347" i="1"/>
  <c r="AR347" i="1" s="1"/>
  <c r="AS347" i="1"/>
  <c r="AT347" i="1" s="1"/>
  <c r="T348" i="1"/>
  <c r="S348" i="1" s="1"/>
  <c r="U348" i="1"/>
  <c r="W348" i="1" s="1"/>
  <c r="X348" i="1"/>
  <c r="AA348" i="1"/>
  <c r="AB348" i="1" s="1"/>
  <c r="AF348" i="1"/>
  <c r="AG348" i="1" s="1"/>
  <c r="AH348" i="1" s="1"/>
  <c r="AJ348" i="1"/>
  <c r="AL348" i="1"/>
  <c r="AM348" i="1"/>
  <c r="AN348" i="1"/>
  <c r="AP348" i="1"/>
  <c r="AQ348" i="1"/>
  <c r="AR348" i="1"/>
  <c r="AS348" i="1"/>
  <c r="AT348" i="1" s="1"/>
  <c r="T349" i="1"/>
  <c r="R349" i="1" s="1"/>
  <c r="U349" i="1"/>
  <c r="V349" i="1" s="1"/>
  <c r="X349" i="1"/>
  <c r="Z349" i="1" s="1"/>
  <c r="AA349" i="1"/>
  <c r="AB349" i="1" s="1"/>
  <c r="AF349" i="1"/>
  <c r="AG349" i="1" s="1"/>
  <c r="AH349" i="1" s="1"/>
  <c r="AJ349" i="1"/>
  <c r="AL349" i="1"/>
  <c r="AM349" i="1"/>
  <c r="AN349" i="1"/>
  <c r="BA349" i="1" s="1"/>
  <c r="AP349" i="1"/>
  <c r="AQ349" i="1"/>
  <c r="AR349" i="1"/>
  <c r="AS349" i="1"/>
  <c r="AT349" i="1" s="1"/>
  <c r="T350" i="1"/>
  <c r="AC350" i="1" s="1"/>
  <c r="U350" i="1"/>
  <c r="X350" i="1"/>
  <c r="AA350" i="1"/>
  <c r="AB350" i="1" s="1"/>
  <c r="AF350" i="1"/>
  <c r="AG350" i="1" s="1"/>
  <c r="AH350" i="1" s="1"/>
  <c r="AJ350" i="1"/>
  <c r="AL350" i="1"/>
  <c r="AM350" i="1"/>
  <c r="AN350" i="1"/>
  <c r="BB350" i="1" s="1"/>
  <c r="AP350" i="1"/>
  <c r="AQ350" i="1"/>
  <c r="AR350" i="1" s="1"/>
  <c r="AS350" i="1"/>
  <c r="AT350" i="1" s="1"/>
  <c r="T351" i="1"/>
  <c r="U351" i="1"/>
  <c r="V351" i="1" s="1"/>
  <c r="X351" i="1"/>
  <c r="Y351" i="1" s="1"/>
  <c r="AA351" i="1"/>
  <c r="AB351" i="1" s="1"/>
  <c r="AF351" i="1"/>
  <c r="AG351" i="1" s="1"/>
  <c r="AH351" i="1" s="1"/>
  <c r="AJ351" i="1"/>
  <c r="AL351" i="1"/>
  <c r="AM351" i="1"/>
  <c r="AN351" i="1"/>
  <c r="BB351" i="1" s="1"/>
  <c r="AP351" i="1"/>
  <c r="AQ351" i="1"/>
  <c r="AR351" i="1" s="1"/>
  <c r="AS351" i="1"/>
  <c r="AT351" i="1" s="1"/>
  <c r="T352" i="1"/>
  <c r="S352" i="1" s="1"/>
  <c r="U352" i="1"/>
  <c r="W352" i="1" s="1"/>
  <c r="X352" i="1"/>
  <c r="Y352" i="1" s="1"/>
  <c r="AA352" i="1"/>
  <c r="AB352" i="1" s="1"/>
  <c r="AF352" i="1"/>
  <c r="AG352" i="1" s="1"/>
  <c r="AH352" i="1" s="1"/>
  <c r="AJ352" i="1"/>
  <c r="AL352" i="1"/>
  <c r="AM352" i="1"/>
  <c r="AN352" i="1"/>
  <c r="AP352" i="1"/>
  <c r="AQ352" i="1"/>
  <c r="AR352" i="1" s="1"/>
  <c r="AS352" i="1"/>
  <c r="AT352" i="1" s="1"/>
  <c r="T353" i="1"/>
  <c r="S353" i="1" s="1"/>
  <c r="U353" i="1"/>
  <c r="X353" i="1"/>
  <c r="Y353" i="1" s="1"/>
  <c r="AA353" i="1"/>
  <c r="AB353" i="1" s="1"/>
  <c r="AF353" i="1"/>
  <c r="AG353" i="1" s="1"/>
  <c r="AH353" i="1" s="1"/>
  <c r="AJ353" i="1"/>
  <c r="AL353" i="1"/>
  <c r="AM353" i="1"/>
  <c r="AN353" i="1"/>
  <c r="BB353" i="1" s="1"/>
  <c r="AP353" i="1"/>
  <c r="AQ353" i="1"/>
  <c r="AR353" i="1"/>
  <c r="AS353" i="1"/>
  <c r="AT353" i="1" s="1"/>
  <c r="T354" i="1"/>
  <c r="U354" i="1"/>
  <c r="V354" i="1" s="1"/>
  <c r="X354" i="1"/>
  <c r="Y354" i="1" s="1"/>
  <c r="AA354" i="1"/>
  <c r="AB354" i="1" s="1"/>
  <c r="AF354" i="1"/>
  <c r="AG354" i="1" s="1"/>
  <c r="AH354" i="1" s="1"/>
  <c r="AJ354" i="1"/>
  <c r="AL354" i="1"/>
  <c r="AM354" i="1"/>
  <c r="AN354" i="1"/>
  <c r="BA354" i="1" s="1"/>
  <c r="AP354" i="1"/>
  <c r="AQ354" i="1"/>
  <c r="AR354" i="1" s="1"/>
  <c r="AS354" i="1"/>
  <c r="AT354" i="1" s="1"/>
  <c r="T355" i="1"/>
  <c r="U355" i="1"/>
  <c r="V355" i="1" s="1"/>
  <c r="X355" i="1"/>
  <c r="AA355" i="1"/>
  <c r="AB355" i="1" s="1"/>
  <c r="AF355" i="1"/>
  <c r="AG355" i="1" s="1"/>
  <c r="AH355" i="1" s="1"/>
  <c r="AJ355" i="1"/>
  <c r="AL355" i="1"/>
  <c r="AM355" i="1"/>
  <c r="AN355" i="1"/>
  <c r="BA355" i="1" s="1"/>
  <c r="AP355" i="1"/>
  <c r="AQ355" i="1"/>
  <c r="AR355" i="1"/>
  <c r="AS355" i="1"/>
  <c r="AT355" i="1" s="1"/>
  <c r="T356" i="1"/>
  <c r="U356" i="1"/>
  <c r="V356" i="1" s="1"/>
  <c r="X356" i="1"/>
  <c r="Z356" i="1" s="1"/>
  <c r="AA356" i="1"/>
  <c r="AB356" i="1" s="1"/>
  <c r="AF356" i="1"/>
  <c r="AG356" i="1" s="1"/>
  <c r="AH356" i="1" s="1"/>
  <c r="AJ356" i="1"/>
  <c r="AL356" i="1"/>
  <c r="AM356" i="1"/>
  <c r="AN356" i="1"/>
  <c r="AW356" i="1" s="1"/>
  <c r="AP356" i="1"/>
  <c r="AQ356" i="1"/>
  <c r="AR356" i="1"/>
  <c r="AS356" i="1"/>
  <c r="AT356" i="1" s="1"/>
  <c r="T357" i="1"/>
  <c r="R357" i="1" s="1"/>
  <c r="U357" i="1"/>
  <c r="V357" i="1" s="1"/>
  <c r="X357" i="1"/>
  <c r="Z357" i="1" s="1"/>
  <c r="AA357" i="1"/>
  <c r="AB357" i="1" s="1"/>
  <c r="AF357" i="1"/>
  <c r="AG357" i="1" s="1"/>
  <c r="AH357" i="1" s="1"/>
  <c r="AJ357" i="1"/>
  <c r="AL357" i="1"/>
  <c r="AM357" i="1"/>
  <c r="AN357" i="1"/>
  <c r="AP357" i="1"/>
  <c r="AQ357" i="1"/>
  <c r="AR357" i="1" s="1"/>
  <c r="AS357" i="1"/>
  <c r="AT357" i="1" s="1"/>
  <c r="T358" i="1"/>
  <c r="S358" i="1" s="1"/>
  <c r="U358" i="1"/>
  <c r="X358" i="1"/>
  <c r="Y358" i="1" s="1"/>
  <c r="AA358" i="1"/>
  <c r="AB358" i="1" s="1"/>
  <c r="AF358" i="1"/>
  <c r="AG358" i="1" s="1"/>
  <c r="AH358" i="1" s="1"/>
  <c r="AJ358" i="1"/>
  <c r="AL358" i="1"/>
  <c r="AM358" i="1"/>
  <c r="AN358" i="1"/>
  <c r="BA358" i="1" s="1"/>
  <c r="AP358" i="1"/>
  <c r="AQ358" i="1"/>
  <c r="AR358" i="1" s="1"/>
  <c r="AS358" i="1"/>
  <c r="AT358" i="1" s="1"/>
  <c r="T359" i="1"/>
  <c r="U359" i="1"/>
  <c r="W359" i="1" s="1"/>
  <c r="X359" i="1"/>
  <c r="Y359" i="1" s="1"/>
  <c r="AA359" i="1"/>
  <c r="AB359" i="1" s="1"/>
  <c r="AF359" i="1"/>
  <c r="AG359" i="1" s="1"/>
  <c r="AH359" i="1" s="1"/>
  <c r="AJ359" i="1"/>
  <c r="AL359" i="1"/>
  <c r="AM359" i="1"/>
  <c r="AN359" i="1"/>
  <c r="BB359" i="1" s="1"/>
  <c r="AP359" i="1"/>
  <c r="AQ359" i="1"/>
  <c r="AR359" i="1"/>
  <c r="AS359" i="1"/>
  <c r="AT359" i="1" s="1"/>
  <c r="T360" i="1"/>
  <c r="R360" i="1" s="1"/>
  <c r="U360" i="1"/>
  <c r="X360" i="1"/>
  <c r="AA360" i="1"/>
  <c r="AB360" i="1" s="1"/>
  <c r="AF360" i="1"/>
  <c r="AG360" i="1" s="1"/>
  <c r="AH360" i="1" s="1"/>
  <c r="AJ360" i="1"/>
  <c r="AL360" i="1"/>
  <c r="AM360" i="1"/>
  <c r="AN360" i="1"/>
  <c r="AP360" i="1"/>
  <c r="AQ360" i="1"/>
  <c r="AR360" i="1"/>
  <c r="AS360" i="1"/>
  <c r="AT360" i="1" s="1"/>
  <c r="T361" i="1"/>
  <c r="S361" i="1" s="1"/>
  <c r="U361" i="1"/>
  <c r="V361" i="1" s="1"/>
  <c r="X361" i="1"/>
  <c r="Y361" i="1" s="1"/>
  <c r="AA361" i="1"/>
  <c r="AB361" i="1" s="1"/>
  <c r="AF361" i="1"/>
  <c r="AG361" i="1" s="1"/>
  <c r="AH361" i="1" s="1"/>
  <c r="AJ361" i="1"/>
  <c r="AL361" i="1"/>
  <c r="AM361" i="1"/>
  <c r="AN361" i="1"/>
  <c r="BB361" i="1" s="1"/>
  <c r="AP361" i="1"/>
  <c r="AQ361" i="1"/>
  <c r="AR361" i="1" s="1"/>
  <c r="AS361" i="1"/>
  <c r="AT361" i="1" s="1"/>
  <c r="T362" i="1"/>
  <c r="U362" i="1"/>
  <c r="W362" i="1" s="1"/>
  <c r="X362" i="1"/>
  <c r="Y362" i="1" s="1"/>
  <c r="AA362" i="1"/>
  <c r="AB362" i="1" s="1"/>
  <c r="AF362" i="1"/>
  <c r="AG362" i="1" s="1"/>
  <c r="AH362" i="1" s="1"/>
  <c r="AJ362" i="1"/>
  <c r="AL362" i="1"/>
  <c r="AM362" i="1"/>
  <c r="AN362" i="1"/>
  <c r="AP362" i="1"/>
  <c r="AQ362" i="1"/>
  <c r="AR362" i="1"/>
  <c r="AS362" i="1"/>
  <c r="AT362" i="1" s="1"/>
  <c r="T363" i="1"/>
  <c r="S363" i="1" s="1"/>
  <c r="U363" i="1"/>
  <c r="X363" i="1"/>
  <c r="AA363" i="1"/>
  <c r="AB363" i="1" s="1"/>
  <c r="AF363" i="1"/>
  <c r="AG363" i="1" s="1"/>
  <c r="AH363" i="1" s="1"/>
  <c r="AJ363" i="1"/>
  <c r="AL363" i="1"/>
  <c r="AM363" i="1"/>
  <c r="AN363" i="1"/>
  <c r="AW363" i="1" s="1"/>
  <c r="AP363" i="1"/>
  <c r="AQ363" i="1"/>
  <c r="AR363" i="1"/>
  <c r="AS363" i="1"/>
  <c r="AT363" i="1" s="1"/>
  <c r="T364" i="1"/>
  <c r="U364" i="1"/>
  <c r="V364" i="1" s="1"/>
  <c r="X364" i="1"/>
  <c r="Y364" i="1" s="1"/>
  <c r="AA364" i="1"/>
  <c r="AB364" i="1" s="1"/>
  <c r="AF364" i="1"/>
  <c r="AG364" i="1" s="1"/>
  <c r="AH364" i="1" s="1"/>
  <c r="AJ364" i="1"/>
  <c r="AL364" i="1"/>
  <c r="AM364" i="1"/>
  <c r="AN364" i="1"/>
  <c r="AW364" i="1" s="1"/>
  <c r="AP364" i="1"/>
  <c r="AQ364" i="1"/>
  <c r="AR364" i="1"/>
  <c r="AS364" i="1"/>
  <c r="AT364" i="1" s="1"/>
  <c r="T365" i="1"/>
  <c r="R365" i="1" s="1"/>
  <c r="U365" i="1"/>
  <c r="W365" i="1" s="1"/>
  <c r="X365" i="1"/>
  <c r="Z365" i="1" s="1"/>
  <c r="AA365" i="1"/>
  <c r="AB365" i="1" s="1"/>
  <c r="AF365" i="1"/>
  <c r="AG365" i="1" s="1"/>
  <c r="AH365" i="1" s="1"/>
  <c r="AJ365" i="1"/>
  <c r="AL365" i="1"/>
  <c r="AM365" i="1"/>
  <c r="AN365" i="1"/>
  <c r="BA365" i="1" s="1"/>
  <c r="AP365" i="1"/>
  <c r="AQ365" i="1"/>
  <c r="AR365" i="1"/>
  <c r="AS365" i="1"/>
  <c r="AT365" i="1" s="1"/>
  <c r="T366" i="1"/>
  <c r="S366" i="1" s="1"/>
  <c r="U366" i="1"/>
  <c r="V366" i="1" s="1"/>
  <c r="W366" i="1"/>
  <c r="X366" i="1"/>
  <c r="Y366" i="1" s="1"/>
  <c r="AA366" i="1"/>
  <c r="AB366" i="1" s="1"/>
  <c r="AF366" i="1"/>
  <c r="AG366" i="1" s="1"/>
  <c r="AH366" i="1" s="1"/>
  <c r="AJ366" i="1"/>
  <c r="AL366" i="1"/>
  <c r="AM366" i="1"/>
  <c r="AN366" i="1"/>
  <c r="BA366" i="1" s="1"/>
  <c r="AP366" i="1"/>
  <c r="AQ366" i="1"/>
  <c r="AR366" i="1"/>
  <c r="AS366" i="1"/>
  <c r="AT366" i="1" s="1"/>
  <c r="T367" i="1"/>
  <c r="U367" i="1"/>
  <c r="V367" i="1" s="1"/>
  <c r="X367" i="1"/>
  <c r="Y367" i="1" s="1"/>
  <c r="AA367" i="1"/>
  <c r="AB367" i="1" s="1"/>
  <c r="AF367" i="1"/>
  <c r="AG367" i="1" s="1"/>
  <c r="AH367" i="1" s="1"/>
  <c r="AJ367" i="1"/>
  <c r="AL367" i="1"/>
  <c r="AM367" i="1"/>
  <c r="AN367" i="1"/>
  <c r="AW367" i="1" s="1"/>
  <c r="AP367" i="1"/>
  <c r="AQ367" i="1"/>
  <c r="AR367" i="1"/>
  <c r="AS367" i="1"/>
  <c r="AT367" i="1" s="1"/>
  <c r="T368" i="1"/>
  <c r="R368" i="1" s="1"/>
  <c r="U368" i="1"/>
  <c r="W368" i="1" s="1"/>
  <c r="X368" i="1"/>
  <c r="AA368" i="1"/>
  <c r="AB368" i="1" s="1"/>
  <c r="AF368" i="1"/>
  <c r="AG368" i="1" s="1"/>
  <c r="AH368" i="1" s="1"/>
  <c r="AJ368" i="1"/>
  <c r="AL368" i="1"/>
  <c r="AM368" i="1"/>
  <c r="AN368" i="1"/>
  <c r="AP368" i="1"/>
  <c r="AQ368" i="1"/>
  <c r="AR368" i="1"/>
  <c r="AS368" i="1"/>
  <c r="AT368" i="1" s="1"/>
  <c r="T369" i="1"/>
  <c r="S369" i="1" s="1"/>
  <c r="U369" i="1"/>
  <c r="V369" i="1" s="1"/>
  <c r="X369" i="1"/>
  <c r="Y369" i="1" s="1"/>
  <c r="AA369" i="1"/>
  <c r="AB369" i="1" s="1"/>
  <c r="AF369" i="1"/>
  <c r="AG369" i="1" s="1"/>
  <c r="AH369" i="1" s="1"/>
  <c r="AJ369" i="1"/>
  <c r="AL369" i="1"/>
  <c r="AM369" i="1"/>
  <c r="AN369" i="1"/>
  <c r="BB369" i="1" s="1"/>
  <c r="AP369" i="1"/>
  <c r="AQ369" i="1"/>
  <c r="AR369" i="1" s="1"/>
  <c r="AS369" i="1"/>
  <c r="AT369" i="1" s="1"/>
  <c r="AU369" i="1" s="1"/>
  <c r="AO369" i="1" s="1"/>
  <c r="T370" i="1"/>
  <c r="S370" i="1" s="1"/>
  <c r="U370" i="1"/>
  <c r="V370" i="1" s="1"/>
  <c r="X370" i="1"/>
  <c r="Y370" i="1" s="1"/>
  <c r="AA370" i="1"/>
  <c r="AB370" i="1" s="1"/>
  <c r="AF370" i="1"/>
  <c r="AG370" i="1" s="1"/>
  <c r="AH370" i="1" s="1"/>
  <c r="AJ370" i="1"/>
  <c r="AL370" i="1"/>
  <c r="AM370" i="1"/>
  <c r="AN370" i="1"/>
  <c r="BA370" i="1" s="1"/>
  <c r="AP370" i="1"/>
  <c r="AQ370" i="1"/>
  <c r="AR370" i="1"/>
  <c r="AS370" i="1"/>
  <c r="AT370" i="1" s="1"/>
  <c r="T371" i="1"/>
  <c r="AC371" i="1" s="1"/>
  <c r="U371" i="1"/>
  <c r="X371" i="1"/>
  <c r="Y371" i="1" s="1"/>
  <c r="AA371" i="1"/>
  <c r="AB371" i="1" s="1"/>
  <c r="AF371" i="1"/>
  <c r="AG371" i="1" s="1"/>
  <c r="AH371" i="1" s="1"/>
  <c r="AJ371" i="1"/>
  <c r="AL371" i="1"/>
  <c r="AM371" i="1"/>
  <c r="AN371" i="1"/>
  <c r="BA371" i="1" s="1"/>
  <c r="AP371" i="1"/>
  <c r="AQ371" i="1"/>
  <c r="AR371" i="1"/>
  <c r="AS371" i="1"/>
  <c r="AT371" i="1" s="1"/>
  <c r="T372" i="1"/>
  <c r="U372" i="1"/>
  <c r="V372" i="1" s="1"/>
  <c r="X372" i="1"/>
  <c r="Y372" i="1" s="1"/>
  <c r="AA372" i="1"/>
  <c r="AB372" i="1" s="1"/>
  <c r="AF372" i="1"/>
  <c r="AG372" i="1" s="1"/>
  <c r="AH372" i="1" s="1"/>
  <c r="AJ372" i="1"/>
  <c r="AL372" i="1"/>
  <c r="AM372" i="1"/>
  <c r="AN372" i="1"/>
  <c r="AW372" i="1" s="1"/>
  <c r="AP372" i="1"/>
  <c r="AQ372" i="1"/>
  <c r="AR372" i="1"/>
  <c r="AS372" i="1"/>
  <c r="AT372" i="1" s="1"/>
  <c r="BA372" i="1"/>
  <c r="T373" i="1"/>
  <c r="R373" i="1" s="1"/>
  <c r="U373" i="1"/>
  <c r="V373" i="1" s="1"/>
  <c r="X373" i="1"/>
  <c r="AA373" i="1"/>
  <c r="AB373" i="1" s="1"/>
  <c r="AF373" i="1"/>
  <c r="AG373" i="1" s="1"/>
  <c r="AH373" i="1" s="1"/>
  <c r="AJ373" i="1"/>
  <c r="AL373" i="1"/>
  <c r="AM373" i="1"/>
  <c r="AN373" i="1"/>
  <c r="AW373" i="1" s="1"/>
  <c r="AP373" i="1"/>
  <c r="AQ373" i="1"/>
  <c r="AR373" i="1"/>
  <c r="AS373" i="1"/>
  <c r="AT373" i="1" s="1"/>
  <c r="T374" i="1"/>
  <c r="S374" i="1" s="1"/>
  <c r="U374" i="1"/>
  <c r="W374" i="1" s="1"/>
  <c r="X374" i="1"/>
  <c r="Y374" i="1" s="1"/>
  <c r="AA374" i="1"/>
  <c r="AB374" i="1" s="1"/>
  <c r="AF374" i="1"/>
  <c r="AG374" i="1" s="1"/>
  <c r="AH374" i="1" s="1"/>
  <c r="AJ374" i="1"/>
  <c r="AL374" i="1"/>
  <c r="AM374" i="1"/>
  <c r="AN374" i="1"/>
  <c r="BA374" i="1" s="1"/>
  <c r="AP374" i="1"/>
  <c r="AQ374" i="1"/>
  <c r="AR374" i="1" s="1"/>
  <c r="AS374" i="1"/>
  <c r="AT374" i="1" s="1"/>
  <c r="T375" i="1"/>
  <c r="R375" i="1" s="1"/>
  <c r="U375" i="1"/>
  <c r="V375" i="1" s="1"/>
  <c r="X375" i="1"/>
  <c r="Y375" i="1" s="1"/>
  <c r="AA375" i="1"/>
  <c r="AB375" i="1" s="1"/>
  <c r="AF375" i="1"/>
  <c r="AG375" i="1" s="1"/>
  <c r="AH375" i="1" s="1"/>
  <c r="AJ375" i="1"/>
  <c r="AL375" i="1"/>
  <c r="AM375" i="1"/>
  <c r="AN375" i="1"/>
  <c r="BB375" i="1" s="1"/>
  <c r="AP375" i="1"/>
  <c r="AQ375" i="1"/>
  <c r="AR375" i="1"/>
  <c r="AS375" i="1"/>
  <c r="AT375" i="1" s="1"/>
  <c r="T376" i="1"/>
  <c r="AC376" i="1" s="1"/>
  <c r="U376" i="1"/>
  <c r="W376" i="1" s="1"/>
  <c r="X376" i="1"/>
  <c r="Y376" i="1" s="1"/>
  <c r="AA376" i="1"/>
  <c r="AB376" i="1" s="1"/>
  <c r="AF376" i="1"/>
  <c r="AG376" i="1" s="1"/>
  <c r="AH376" i="1" s="1"/>
  <c r="AJ376" i="1"/>
  <c r="AL376" i="1"/>
  <c r="AM376" i="1"/>
  <c r="AN376" i="1"/>
  <c r="AW376" i="1" s="1"/>
  <c r="AP376" i="1"/>
  <c r="AQ376" i="1"/>
  <c r="AR376" i="1"/>
  <c r="AS376" i="1"/>
  <c r="AT376" i="1" s="1"/>
  <c r="T377" i="1"/>
  <c r="S377" i="1" s="1"/>
  <c r="U377" i="1"/>
  <c r="V377" i="1" s="1"/>
  <c r="X377" i="1"/>
  <c r="Z377" i="1" s="1"/>
  <c r="AA377" i="1"/>
  <c r="AB377" i="1" s="1"/>
  <c r="AF377" i="1"/>
  <c r="AG377" i="1" s="1"/>
  <c r="AH377" i="1" s="1"/>
  <c r="AJ377" i="1"/>
  <c r="AL377" i="1"/>
  <c r="AM377" i="1"/>
  <c r="AN377" i="1"/>
  <c r="AW377" i="1" s="1"/>
  <c r="AP377" i="1"/>
  <c r="AQ377" i="1"/>
  <c r="AR377" i="1"/>
  <c r="AS377" i="1"/>
  <c r="AT377" i="1" s="1"/>
  <c r="T378" i="1"/>
  <c r="AC378" i="1" s="1"/>
  <c r="AD378" i="1" s="1"/>
  <c r="U378" i="1"/>
  <c r="V378" i="1" s="1"/>
  <c r="X378" i="1"/>
  <c r="Y378" i="1" s="1"/>
  <c r="AA378" i="1"/>
  <c r="AB378" i="1" s="1"/>
  <c r="AF378" i="1"/>
  <c r="AG378" i="1" s="1"/>
  <c r="AH378" i="1" s="1"/>
  <c r="AJ378" i="1"/>
  <c r="AL378" i="1"/>
  <c r="AM378" i="1"/>
  <c r="AN378" i="1"/>
  <c r="BB378" i="1" s="1"/>
  <c r="AP378" i="1"/>
  <c r="AQ378" i="1"/>
  <c r="AR378" i="1"/>
  <c r="AS378" i="1"/>
  <c r="AT378" i="1" s="1"/>
  <c r="T379" i="1"/>
  <c r="S379" i="1" s="1"/>
  <c r="U379" i="1"/>
  <c r="V379" i="1" s="1"/>
  <c r="X379" i="1"/>
  <c r="Y379" i="1" s="1"/>
  <c r="AA379" i="1"/>
  <c r="AB379" i="1" s="1"/>
  <c r="AF379" i="1"/>
  <c r="AG379" i="1" s="1"/>
  <c r="AH379" i="1" s="1"/>
  <c r="AJ379" i="1"/>
  <c r="AL379" i="1"/>
  <c r="AM379" i="1"/>
  <c r="AN379" i="1"/>
  <c r="BA379" i="1" s="1"/>
  <c r="AP379" i="1"/>
  <c r="AQ379" i="1"/>
  <c r="AR379" i="1"/>
  <c r="AS379" i="1"/>
  <c r="AT379" i="1" s="1"/>
  <c r="T380" i="1"/>
  <c r="S380" i="1" s="1"/>
  <c r="U380" i="1"/>
  <c r="X380" i="1"/>
  <c r="Y380" i="1" s="1"/>
  <c r="AA380" i="1"/>
  <c r="AB380" i="1" s="1"/>
  <c r="AF380" i="1"/>
  <c r="AG380" i="1" s="1"/>
  <c r="AH380" i="1" s="1"/>
  <c r="AJ380" i="1"/>
  <c r="AL380" i="1"/>
  <c r="AM380" i="1"/>
  <c r="AN380" i="1"/>
  <c r="BB380" i="1" s="1"/>
  <c r="AP380" i="1"/>
  <c r="AQ380" i="1"/>
  <c r="AR380" i="1"/>
  <c r="AS380" i="1"/>
  <c r="AT380" i="1" s="1"/>
  <c r="T381" i="1"/>
  <c r="R381" i="1" s="1"/>
  <c r="U381" i="1"/>
  <c r="X381" i="1"/>
  <c r="Z381" i="1" s="1"/>
  <c r="AA381" i="1"/>
  <c r="AB381" i="1" s="1"/>
  <c r="AF381" i="1"/>
  <c r="AG381" i="1" s="1"/>
  <c r="AH381" i="1" s="1"/>
  <c r="AJ381" i="1"/>
  <c r="AL381" i="1"/>
  <c r="AM381" i="1"/>
  <c r="AN381" i="1"/>
  <c r="BB381" i="1" s="1"/>
  <c r="AP381" i="1"/>
  <c r="AQ381" i="1"/>
  <c r="AR381" i="1"/>
  <c r="AS381" i="1"/>
  <c r="AT381" i="1" s="1"/>
  <c r="T382" i="1"/>
  <c r="R382" i="1" s="1"/>
  <c r="U382" i="1"/>
  <c r="W382" i="1" s="1"/>
  <c r="X382" i="1"/>
  <c r="Y382" i="1" s="1"/>
  <c r="AA382" i="1"/>
  <c r="AB382" i="1" s="1"/>
  <c r="AF382" i="1"/>
  <c r="AG382" i="1" s="1"/>
  <c r="AH382" i="1" s="1"/>
  <c r="AJ382" i="1"/>
  <c r="AL382" i="1"/>
  <c r="AM382" i="1"/>
  <c r="AN382" i="1"/>
  <c r="BA382" i="1" s="1"/>
  <c r="AP382" i="1"/>
  <c r="AQ382" i="1"/>
  <c r="AR382" i="1"/>
  <c r="AS382" i="1"/>
  <c r="AT382" i="1" s="1"/>
  <c r="T383" i="1"/>
  <c r="R383" i="1" s="1"/>
  <c r="U383" i="1"/>
  <c r="V383" i="1" s="1"/>
  <c r="X383" i="1"/>
  <c r="Y383" i="1" s="1"/>
  <c r="AA383" i="1"/>
  <c r="AB383" i="1" s="1"/>
  <c r="AF383" i="1"/>
  <c r="AG383" i="1" s="1"/>
  <c r="AH383" i="1" s="1"/>
  <c r="AJ383" i="1"/>
  <c r="AL383" i="1"/>
  <c r="AM383" i="1"/>
  <c r="AN383" i="1"/>
  <c r="AW383" i="1" s="1"/>
  <c r="AP383" i="1"/>
  <c r="AQ383" i="1"/>
  <c r="AR383" i="1"/>
  <c r="AS383" i="1"/>
  <c r="AT383" i="1" s="1"/>
  <c r="T384" i="1"/>
  <c r="R384" i="1" s="1"/>
  <c r="U384" i="1"/>
  <c r="V384" i="1" s="1"/>
  <c r="X384" i="1"/>
  <c r="Z384" i="1" s="1"/>
  <c r="AA384" i="1"/>
  <c r="AB384" i="1" s="1"/>
  <c r="AF384" i="1"/>
  <c r="AG384" i="1" s="1"/>
  <c r="AH384" i="1" s="1"/>
  <c r="AJ384" i="1"/>
  <c r="AL384" i="1"/>
  <c r="AM384" i="1"/>
  <c r="AN384" i="1"/>
  <c r="BB384" i="1" s="1"/>
  <c r="AP384" i="1"/>
  <c r="AQ384" i="1"/>
  <c r="AR384" i="1"/>
  <c r="AS384" i="1"/>
  <c r="AT384" i="1" s="1"/>
  <c r="T385" i="1"/>
  <c r="S385" i="1" s="1"/>
  <c r="U385" i="1"/>
  <c r="V385" i="1" s="1"/>
  <c r="X385" i="1"/>
  <c r="AA385" i="1"/>
  <c r="AB385" i="1" s="1"/>
  <c r="AF385" i="1"/>
  <c r="AG385" i="1" s="1"/>
  <c r="AH385" i="1" s="1"/>
  <c r="AJ385" i="1"/>
  <c r="AL385" i="1"/>
  <c r="AM385" i="1"/>
  <c r="AN385" i="1"/>
  <c r="BA385" i="1" s="1"/>
  <c r="AP385" i="1"/>
  <c r="AQ385" i="1"/>
  <c r="AR385" i="1"/>
  <c r="AS385" i="1"/>
  <c r="AT385" i="1" s="1"/>
  <c r="T386" i="1"/>
  <c r="R386" i="1" s="1"/>
  <c r="U386" i="1"/>
  <c r="V386" i="1" s="1"/>
  <c r="X386" i="1"/>
  <c r="Y386" i="1" s="1"/>
  <c r="AA386" i="1"/>
  <c r="AB386" i="1" s="1"/>
  <c r="AF386" i="1"/>
  <c r="AG386" i="1" s="1"/>
  <c r="AH386" i="1" s="1"/>
  <c r="AJ386" i="1"/>
  <c r="AL386" i="1"/>
  <c r="AM386" i="1"/>
  <c r="AN386" i="1"/>
  <c r="BB386" i="1" s="1"/>
  <c r="AP386" i="1"/>
  <c r="AQ386" i="1"/>
  <c r="AR386" i="1"/>
  <c r="AS386" i="1"/>
  <c r="AT386" i="1" s="1"/>
  <c r="T387" i="1"/>
  <c r="AC387" i="1" s="1"/>
  <c r="U387" i="1"/>
  <c r="W387" i="1" s="1"/>
  <c r="X387" i="1"/>
  <c r="Y387" i="1" s="1"/>
  <c r="AA387" i="1"/>
  <c r="AB387" i="1" s="1"/>
  <c r="AF387" i="1"/>
  <c r="AG387" i="1" s="1"/>
  <c r="AH387" i="1" s="1"/>
  <c r="AJ387" i="1"/>
  <c r="AL387" i="1"/>
  <c r="AM387" i="1"/>
  <c r="AN387" i="1"/>
  <c r="AP387" i="1"/>
  <c r="AQ387" i="1"/>
  <c r="AR387" i="1"/>
  <c r="AS387" i="1"/>
  <c r="AT387" i="1" s="1"/>
  <c r="T388" i="1"/>
  <c r="R388" i="1" s="1"/>
  <c r="U388" i="1"/>
  <c r="X388" i="1"/>
  <c r="Y388" i="1" s="1"/>
  <c r="AA388" i="1"/>
  <c r="AB388" i="1" s="1"/>
  <c r="AF388" i="1"/>
  <c r="AG388" i="1" s="1"/>
  <c r="AH388" i="1" s="1"/>
  <c r="AJ388" i="1"/>
  <c r="AL388" i="1"/>
  <c r="AM388" i="1"/>
  <c r="AN388" i="1"/>
  <c r="BA388" i="1" s="1"/>
  <c r="AP388" i="1"/>
  <c r="AQ388" i="1"/>
  <c r="AR388" i="1"/>
  <c r="AS388" i="1"/>
  <c r="AT388" i="1" s="1"/>
  <c r="T389" i="1"/>
  <c r="U389" i="1"/>
  <c r="V389" i="1" s="1"/>
  <c r="X389" i="1"/>
  <c r="Y389" i="1" s="1"/>
  <c r="AA389" i="1"/>
  <c r="AB389" i="1" s="1"/>
  <c r="AF389" i="1"/>
  <c r="AG389" i="1" s="1"/>
  <c r="AH389" i="1" s="1"/>
  <c r="AJ389" i="1"/>
  <c r="AL389" i="1"/>
  <c r="AM389" i="1"/>
  <c r="AN389" i="1"/>
  <c r="AP389" i="1"/>
  <c r="AQ389" i="1"/>
  <c r="AR389" i="1"/>
  <c r="AS389" i="1"/>
  <c r="AT389" i="1" s="1"/>
  <c r="T390" i="1"/>
  <c r="R390" i="1" s="1"/>
  <c r="U390" i="1"/>
  <c r="V390" i="1" s="1"/>
  <c r="X390" i="1"/>
  <c r="Y390" i="1" s="1"/>
  <c r="AA390" i="1"/>
  <c r="AB390" i="1" s="1"/>
  <c r="AF390" i="1"/>
  <c r="AG390" i="1" s="1"/>
  <c r="AH390" i="1" s="1"/>
  <c r="AJ390" i="1"/>
  <c r="AL390" i="1"/>
  <c r="AM390" i="1"/>
  <c r="AN390" i="1"/>
  <c r="AW390" i="1" s="1"/>
  <c r="AP390" i="1"/>
  <c r="AQ390" i="1"/>
  <c r="AR390" i="1"/>
  <c r="AS390" i="1"/>
  <c r="AT390" i="1" s="1"/>
  <c r="T391" i="1"/>
  <c r="S391" i="1" s="1"/>
  <c r="U391" i="1"/>
  <c r="V391" i="1" s="1"/>
  <c r="X391" i="1"/>
  <c r="Y391" i="1" s="1"/>
  <c r="AA391" i="1"/>
  <c r="AB391" i="1" s="1"/>
  <c r="AF391" i="1"/>
  <c r="AG391" i="1" s="1"/>
  <c r="AH391" i="1" s="1"/>
  <c r="AJ391" i="1"/>
  <c r="AL391" i="1"/>
  <c r="AM391" i="1"/>
  <c r="AN391" i="1"/>
  <c r="BB391" i="1" s="1"/>
  <c r="AP391" i="1"/>
  <c r="AQ391" i="1"/>
  <c r="AR391" i="1"/>
  <c r="AS391" i="1"/>
  <c r="AT391" i="1" s="1"/>
  <c r="T392" i="1"/>
  <c r="R392" i="1" s="1"/>
  <c r="U392" i="1"/>
  <c r="V392" i="1" s="1"/>
  <c r="X392" i="1"/>
  <c r="Z392" i="1" s="1"/>
  <c r="AA392" i="1"/>
  <c r="AB392" i="1" s="1"/>
  <c r="AF392" i="1"/>
  <c r="AG392" i="1" s="1"/>
  <c r="AH392" i="1" s="1"/>
  <c r="AJ392" i="1"/>
  <c r="AL392" i="1"/>
  <c r="AM392" i="1"/>
  <c r="AN392" i="1"/>
  <c r="BB392" i="1" s="1"/>
  <c r="AP392" i="1"/>
  <c r="AQ392" i="1"/>
  <c r="AR392" i="1"/>
  <c r="AS392" i="1"/>
  <c r="AT392" i="1" s="1"/>
  <c r="T393" i="1"/>
  <c r="S393" i="1" s="1"/>
  <c r="U393" i="1"/>
  <c r="V393" i="1" s="1"/>
  <c r="X393" i="1"/>
  <c r="AA393" i="1"/>
  <c r="AB393" i="1" s="1"/>
  <c r="AF393" i="1"/>
  <c r="AG393" i="1" s="1"/>
  <c r="AH393" i="1" s="1"/>
  <c r="AJ393" i="1"/>
  <c r="AL393" i="1"/>
  <c r="AM393" i="1"/>
  <c r="AN393" i="1"/>
  <c r="BA393" i="1" s="1"/>
  <c r="AP393" i="1"/>
  <c r="AQ393" i="1"/>
  <c r="AR393" i="1"/>
  <c r="AS393" i="1"/>
  <c r="AT393" i="1" s="1"/>
  <c r="T394" i="1"/>
  <c r="R394" i="1" s="1"/>
  <c r="U394" i="1"/>
  <c r="V394" i="1" s="1"/>
  <c r="X394" i="1"/>
  <c r="Z394" i="1" s="1"/>
  <c r="AA394" i="1"/>
  <c r="AB394" i="1" s="1"/>
  <c r="AF394" i="1"/>
  <c r="AG394" i="1" s="1"/>
  <c r="AH394" i="1" s="1"/>
  <c r="AJ394" i="1"/>
  <c r="AL394" i="1"/>
  <c r="AM394" i="1"/>
  <c r="AN394" i="1"/>
  <c r="BB394" i="1" s="1"/>
  <c r="AP394" i="1"/>
  <c r="AQ394" i="1"/>
  <c r="AR394" i="1"/>
  <c r="AS394" i="1"/>
  <c r="AT394" i="1" s="1"/>
  <c r="T395" i="1"/>
  <c r="AC395" i="1" s="1"/>
  <c r="U395" i="1"/>
  <c r="W395" i="1" s="1"/>
  <c r="X395" i="1"/>
  <c r="Y395" i="1" s="1"/>
  <c r="AA395" i="1"/>
  <c r="AB395" i="1" s="1"/>
  <c r="AF395" i="1"/>
  <c r="AG395" i="1" s="1"/>
  <c r="AH395" i="1" s="1"/>
  <c r="AJ395" i="1"/>
  <c r="AL395" i="1"/>
  <c r="AM395" i="1"/>
  <c r="AN395" i="1"/>
  <c r="AP395" i="1"/>
  <c r="AQ395" i="1"/>
  <c r="AR395" i="1"/>
  <c r="AS395" i="1"/>
  <c r="AT395" i="1" s="1"/>
  <c r="T396" i="1"/>
  <c r="R396" i="1" s="1"/>
  <c r="U396" i="1"/>
  <c r="X396" i="1"/>
  <c r="Z396" i="1" s="1"/>
  <c r="AA396" i="1"/>
  <c r="AB396" i="1" s="1"/>
  <c r="AF396" i="1"/>
  <c r="AG396" i="1" s="1"/>
  <c r="AH396" i="1" s="1"/>
  <c r="AJ396" i="1"/>
  <c r="AL396" i="1"/>
  <c r="AM396" i="1"/>
  <c r="AN396" i="1"/>
  <c r="AW396" i="1" s="1"/>
  <c r="AP396" i="1"/>
  <c r="AQ396" i="1"/>
  <c r="AR396" i="1"/>
  <c r="AS396" i="1"/>
  <c r="AT396" i="1" s="1"/>
  <c r="T397" i="1"/>
  <c r="U397" i="1"/>
  <c r="V397" i="1" s="1"/>
  <c r="X397" i="1"/>
  <c r="Y397" i="1" s="1"/>
  <c r="AA397" i="1"/>
  <c r="AB397" i="1" s="1"/>
  <c r="AF397" i="1"/>
  <c r="AG397" i="1" s="1"/>
  <c r="AH397" i="1" s="1"/>
  <c r="AJ397" i="1"/>
  <c r="AL397" i="1"/>
  <c r="AM397" i="1"/>
  <c r="AN397" i="1"/>
  <c r="AP397" i="1"/>
  <c r="AQ397" i="1"/>
  <c r="AR397" i="1"/>
  <c r="AS397" i="1"/>
  <c r="AT397" i="1" s="1"/>
  <c r="T398" i="1"/>
  <c r="S398" i="1" s="1"/>
  <c r="U398" i="1"/>
  <c r="V398" i="1" s="1"/>
  <c r="X398" i="1"/>
  <c r="Y398" i="1" s="1"/>
  <c r="AA398" i="1"/>
  <c r="AB398" i="1" s="1"/>
  <c r="AF398" i="1"/>
  <c r="AG398" i="1" s="1"/>
  <c r="AH398" i="1" s="1"/>
  <c r="AJ398" i="1"/>
  <c r="AL398" i="1"/>
  <c r="AM398" i="1"/>
  <c r="AN398" i="1"/>
  <c r="BA398" i="1" s="1"/>
  <c r="AP398" i="1"/>
  <c r="AQ398" i="1"/>
  <c r="AR398" i="1" s="1"/>
  <c r="AS398" i="1"/>
  <c r="AT398" i="1" s="1"/>
  <c r="T399" i="1"/>
  <c r="S399" i="1" s="1"/>
  <c r="U399" i="1"/>
  <c r="W399" i="1" s="1"/>
  <c r="X399" i="1"/>
  <c r="Y399" i="1" s="1"/>
  <c r="AA399" i="1"/>
  <c r="AB399" i="1" s="1"/>
  <c r="AF399" i="1"/>
  <c r="AG399" i="1" s="1"/>
  <c r="AH399" i="1" s="1"/>
  <c r="AJ399" i="1"/>
  <c r="AL399" i="1"/>
  <c r="AM399" i="1"/>
  <c r="AN399" i="1"/>
  <c r="AP399" i="1"/>
  <c r="AQ399" i="1"/>
  <c r="AR399" i="1" s="1"/>
  <c r="AS399" i="1"/>
  <c r="AT399" i="1" s="1"/>
  <c r="T400" i="1"/>
  <c r="R400" i="1" s="1"/>
  <c r="U400" i="1"/>
  <c r="V400" i="1" s="1"/>
  <c r="X400" i="1"/>
  <c r="Z400" i="1" s="1"/>
  <c r="AA400" i="1"/>
  <c r="AB400" i="1" s="1"/>
  <c r="AF400" i="1"/>
  <c r="AG400" i="1" s="1"/>
  <c r="AH400" i="1" s="1"/>
  <c r="AJ400" i="1"/>
  <c r="AL400" i="1"/>
  <c r="AM400" i="1"/>
  <c r="AN400" i="1"/>
  <c r="BB400" i="1" s="1"/>
  <c r="AP400" i="1"/>
  <c r="AQ400" i="1"/>
  <c r="AR400" i="1" s="1"/>
  <c r="AS400" i="1"/>
  <c r="AT400" i="1" s="1"/>
  <c r="T401" i="1"/>
  <c r="S401" i="1" s="1"/>
  <c r="U401" i="1"/>
  <c r="V401" i="1" s="1"/>
  <c r="X401" i="1"/>
  <c r="AA401" i="1"/>
  <c r="AB401" i="1" s="1"/>
  <c r="AF401" i="1"/>
  <c r="AG401" i="1" s="1"/>
  <c r="AH401" i="1" s="1"/>
  <c r="AJ401" i="1"/>
  <c r="AL401" i="1"/>
  <c r="AM401" i="1"/>
  <c r="AN401" i="1"/>
  <c r="BA401" i="1" s="1"/>
  <c r="AP401" i="1"/>
  <c r="AQ401" i="1"/>
  <c r="AR401" i="1"/>
  <c r="AS401" i="1"/>
  <c r="AT401" i="1" s="1"/>
  <c r="T402" i="1"/>
  <c r="R402" i="1" s="1"/>
  <c r="U402" i="1"/>
  <c r="V402" i="1" s="1"/>
  <c r="X402" i="1"/>
  <c r="Y402" i="1" s="1"/>
  <c r="AA402" i="1"/>
  <c r="AB402" i="1" s="1"/>
  <c r="AF402" i="1"/>
  <c r="AG402" i="1" s="1"/>
  <c r="AH402" i="1" s="1"/>
  <c r="AJ402" i="1"/>
  <c r="AL402" i="1"/>
  <c r="AM402" i="1"/>
  <c r="AN402" i="1"/>
  <c r="BB402" i="1" s="1"/>
  <c r="AP402" i="1"/>
  <c r="AQ402" i="1"/>
  <c r="AR402" i="1"/>
  <c r="AS402" i="1"/>
  <c r="AT402" i="1" s="1"/>
  <c r="T403" i="1"/>
  <c r="AC403" i="1" s="1"/>
  <c r="U403" i="1"/>
  <c r="W403" i="1" s="1"/>
  <c r="X403" i="1"/>
  <c r="Y403" i="1" s="1"/>
  <c r="AA403" i="1"/>
  <c r="AB403" i="1" s="1"/>
  <c r="AF403" i="1"/>
  <c r="AG403" i="1" s="1"/>
  <c r="AH403" i="1" s="1"/>
  <c r="AJ403" i="1"/>
  <c r="AL403" i="1"/>
  <c r="AM403" i="1"/>
  <c r="AN403" i="1"/>
  <c r="AP403" i="1"/>
  <c r="AQ403" i="1"/>
  <c r="AR403" i="1"/>
  <c r="AS403" i="1"/>
  <c r="AT403" i="1" s="1"/>
  <c r="T404" i="1"/>
  <c r="R404" i="1" s="1"/>
  <c r="U404" i="1"/>
  <c r="X404" i="1"/>
  <c r="Y404" i="1" s="1"/>
  <c r="AA404" i="1"/>
  <c r="AB404" i="1" s="1"/>
  <c r="AF404" i="1"/>
  <c r="AG404" i="1" s="1"/>
  <c r="AH404" i="1" s="1"/>
  <c r="AJ404" i="1"/>
  <c r="AL404" i="1"/>
  <c r="AM404" i="1"/>
  <c r="AN404" i="1"/>
  <c r="BA404" i="1" s="1"/>
  <c r="AP404" i="1"/>
  <c r="AQ404" i="1"/>
  <c r="AR404" i="1"/>
  <c r="AS404" i="1"/>
  <c r="AT404" i="1" s="1"/>
  <c r="T405" i="1"/>
  <c r="U405" i="1"/>
  <c r="W405" i="1" s="1"/>
  <c r="X405" i="1"/>
  <c r="Y405" i="1" s="1"/>
  <c r="AA405" i="1"/>
  <c r="AB405" i="1" s="1"/>
  <c r="AF405" i="1"/>
  <c r="AG405" i="1" s="1"/>
  <c r="AH405" i="1" s="1"/>
  <c r="AJ405" i="1"/>
  <c r="AL405" i="1"/>
  <c r="AM405" i="1"/>
  <c r="AN405" i="1"/>
  <c r="AP405" i="1"/>
  <c r="AQ405" i="1"/>
  <c r="AR405" i="1"/>
  <c r="AS405" i="1"/>
  <c r="AT405" i="1" s="1"/>
  <c r="T406" i="1"/>
  <c r="S406" i="1" s="1"/>
  <c r="U406" i="1"/>
  <c r="V406" i="1" s="1"/>
  <c r="X406" i="1"/>
  <c r="Y406" i="1" s="1"/>
  <c r="AA406" i="1"/>
  <c r="AB406" i="1" s="1"/>
  <c r="AF406" i="1"/>
  <c r="AG406" i="1" s="1"/>
  <c r="AH406" i="1" s="1"/>
  <c r="AJ406" i="1"/>
  <c r="AL406" i="1"/>
  <c r="AM406" i="1"/>
  <c r="AN406" i="1"/>
  <c r="BB406" i="1" s="1"/>
  <c r="AP406" i="1"/>
  <c r="AQ406" i="1"/>
  <c r="AR406" i="1"/>
  <c r="AS406" i="1"/>
  <c r="T407" i="1"/>
  <c r="S407" i="1" s="1"/>
  <c r="U407" i="1"/>
  <c r="V407" i="1" s="1"/>
  <c r="X407" i="1"/>
  <c r="Z407" i="1" s="1"/>
  <c r="AA407" i="1"/>
  <c r="AB407" i="1" s="1"/>
  <c r="AF407" i="1"/>
  <c r="AG407" i="1" s="1"/>
  <c r="AH407" i="1" s="1"/>
  <c r="AJ407" i="1"/>
  <c r="AL407" i="1"/>
  <c r="AM407" i="1"/>
  <c r="AN407" i="1"/>
  <c r="BA407" i="1" s="1"/>
  <c r="AP407" i="1"/>
  <c r="AQ407" i="1"/>
  <c r="AR407" i="1"/>
  <c r="AS407" i="1"/>
  <c r="AT407" i="1" s="1"/>
  <c r="T408" i="1"/>
  <c r="R408" i="1" s="1"/>
  <c r="U408" i="1"/>
  <c r="V408" i="1" s="1"/>
  <c r="X408" i="1"/>
  <c r="Z408" i="1" s="1"/>
  <c r="AA408" i="1"/>
  <c r="AB408" i="1" s="1"/>
  <c r="AF408" i="1"/>
  <c r="AG408" i="1" s="1"/>
  <c r="AH408" i="1" s="1"/>
  <c r="AJ408" i="1"/>
  <c r="AL408" i="1"/>
  <c r="AM408" i="1"/>
  <c r="AN408" i="1"/>
  <c r="BB408" i="1" s="1"/>
  <c r="AP408" i="1"/>
  <c r="AQ408" i="1"/>
  <c r="AR408" i="1" s="1"/>
  <c r="AS408" i="1"/>
  <c r="T409" i="1"/>
  <c r="S409" i="1" s="1"/>
  <c r="U409" i="1"/>
  <c r="V409" i="1" s="1"/>
  <c r="X409" i="1"/>
  <c r="AA409" i="1"/>
  <c r="AB409" i="1" s="1"/>
  <c r="AF409" i="1"/>
  <c r="AG409" i="1" s="1"/>
  <c r="AH409" i="1" s="1"/>
  <c r="AJ409" i="1"/>
  <c r="AL409" i="1"/>
  <c r="AM409" i="1"/>
  <c r="AN409" i="1"/>
  <c r="BA409" i="1" s="1"/>
  <c r="AP409" i="1"/>
  <c r="AQ409" i="1"/>
  <c r="AR409" i="1" s="1"/>
  <c r="AS409" i="1"/>
  <c r="AT409" i="1" s="1"/>
  <c r="T410" i="1"/>
  <c r="R410" i="1" s="1"/>
  <c r="U410" i="1"/>
  <c r="W410" i="1" s="1"/>
  <c r="X410" i="1"/>
  <c r="Y410" i="1" s="1"/>
  <c r="AA410" i="1"/>
  <c r="AB410" i="1" s="1"/>
  <c r="AF410" i="1"/>
  <c r="AG410" i="1" s="1"/>
  <c r="AH410" i="1" s="1"/>
  <c r="AJ410" i="1"/>
  <c r="AL410" i="1"/>
  <c r="AM410" i="1"/>
  <c r="AN410" i="1"/>
  <c r="BB410" i="1" s="1"/>
  <c r="AP410" i="1"/>
  <c r="AQ410" i="1"/>
  <c r="AR410" i="1"/>
  <c r="AS410" i="1"/>
  <c r="AT410" i="1" s="1"/>
  <c r="T411" i="1"/>
  <c r="S411" i="1" s="1"/>
  <c r="U411" i="1"/>
  <c r="W411" i="1" s="1"/>
  <c r="X411" i="1"/>
  <c r="Y411" i="1" s="1"/>
  <c r="AA411" i="1"/>
  <c r="AB411" i="1" s="1"/>
  <c r="AF411" i="1"/>
  <c r="AG411" i="1" s="1"/>
  <c r="AH411" i="1" s="1"/>
  <c r="AJ411" i="1"/>
  <c r="AL411" i="1"/>
  <c r="AM411" i="1"/>
  <c r="AN411" i="1"/>
  <c r="AP411" i="1"/>
  <c r="AQ411" i="1"/>
  <c r="AR411" i="1"/>
  <c r="AS411" i="1"/>
  <c r="AT411" i="1" s="1"/>
  <c r="T412" i="1"/>
  <c r="R412" i="1" s="1"/>
  <c r="U412" i="1"/>
  <c r="X412" i="1"/>
  <c r="Y412" i="1" s="1"/>
  <c r="AA412" i="1"/>
  <c r="AB412" i="1" s="1"/>
  <c r="AF412" i="1"/>
  <c r="AG412" i="1" s="1"/>
  <c r="AH412" i="1" s="1"/>
  <c r="AJ412" i="1"/>
  <c r="AL412" i="1"/>
  <c r="AM412" i="1"/>
  <c r="AN412" i="1"/>
  <c r="AW412" i="1" s="1"/>
  <c r="AP412" i="1"/>
  <c r="AQ412" i="1"/>
  <c r="AR412" i="1"/>
  <c r="AS412" i="1"/>
  <c r="AT412" i="1" s="1"/>
  <c r="T413" i="1"/>
  <c r="U413" i="1"/>
  <c r="V413" i="1" s="1"/>
  <c r="X413" i="1"/>
  <c r="Y413" i="1" s="1"/>
  <c r="AA413" i="1"/>
  <c r="AB413" i="1" s="1"/>
  <c r="AF413" i="1"/>
  <c r="AG413" i="1" s="1"/>
  <c r="AH413" i="1" s="1"/>
  <c r="AJ413" i="1"/>
  <c r="AL413" i="1"/>
  <c r="AM413" i="1"/>
  <c r="AN413" i="1"/>
  <c r="AP413" i="1"/>
  <c r="AQ413" i="1"/>
  <c r="AR413" i="1"/>
  <c r="AS413" i="1"/>
  <c r="AT413" i="1" s="1"/>
  <c r="T414" i="1"/>
  <c r="S414" i="1" s="1"/>
  <c r="U414" i="1"/>
  <c r="V414" i="1" s="1"/>
  <c r="X414" i="1"/>
  <c r="Y414" i="1" s="1"/>
  <c r="AA414" i="1"/>
  <c r="AB414" i="1" s="1"/>
  <c r="AF414" i="1"/>
  <c r="AG414" i="1" s="1"/>
  <c r="AH414" i="1" s="1"/>
  <c r="AJ414" i="1"/>
  <c r="AL414" i="1"/>
  <c r="AM414" i="1"/>
  <c r="AN414" i="1"/>
  <c r="AW414" i="1" s="1"/>
  <c r="AP414" i="1"/>
  <c r="AQ414" i="1"/>
  <c r="AR414" i="1"/>
  <c r="AS414" i="1"/>
  <c r="T415" i="1"/>
  <c r="S415" i="1" s="1"/>
  <c r="U415" i="1"/>
  <c r="V415" i="1" s="1"/>
  <c r="X415" i="1"/>
  <c r="Y415" i="1" s="1"/>
  <c r="AA415" i="1"/>
  <c r="AB415" i="1" s="1"/>
  <c r="AF415" i="1"/>
  <c r="AG415" i="1" s="1"/>
  <c r="AH415" i="1" s="1"/>
  <c r="AJ415" i="1"/>
  <c r="AL415" i="1"/>
  <c r="AM415" i="1"/>
  <c r="AN415" i="1"/>
  <c r="BA415" i="1" s="1"/>
  <c r="AP415" i="1"/>
  <c r="AQ415" i="1"/>
  <c r="AR415" i="1"/>
  <c r="AS415" i="1"/>
  <c r="AT415" i="1" s="1"/>
  <c r="T416" i="1"/>
  <c r="R416" i="1" s="1"/>
  <c r="U416" i="1"/>
  <c r="V416" i="1" s="1"/>
  <c r="X416" i="1"/>
  <c r="Z416" i="1" s="1"/>
  <c r="AA416" i="1"/>
  <c r="AB416" i="1" s="1"/>
  <c r="AF416" i="1"/>
  <c r="AG416" i="1" s="1"/>
  <c r="AH416" i="1" s="1"/>
  <c r="AJ416" i="1"/>
  <c r="AL416" i="1"/>
  <c r="AM416" i="1"/>
  <c r="AN416" i="1"/>
  <c r="BB416" i="1" s="1"/>
  <c r="AP416" i="1"/>
  <c r="AQ416" i="1"/>
  <c r="AR416" i="1" s="1"/>
  <c r="AS416" i="1"/>
  <c r="T417" i="1"/>
  <c r="S417" i="1" s="1"/>
  <c r="U417" i="1"/>
  <c r="V417" i="1" s="1"/>
  <c r="X417" i="1"/>
  <c r="AA417" i="1"/>
  <c r="AB417" i="1" s="1"/>
  <c r="AF417" i="1"/>
  <c r="AG417" i="1" s="1"/>
  <c r="AH417" i="1" s="1"/>
  <c r="AJ417" i="1"/>
  <c r="AL417" i="1"/>
  <c r="AM417" i="1"/>
  <c r="AN417" i="1"/>
  <c r="BA417" i="1" s="1"/>
  <c r="AP417" i="1"/>
  <c r="AQ417" i="1"/>
  <c r="AR417" i="1"/>
  <c r="AS417" i="1"/>
  <c r="AT417" i="1" s="1"/>
  <c r="T418" i="1"/>
  <c r="R418" i="1" s="1"/>
  <c r="U418" i="1"/>
  <c r="W418" i="1" s="1"/>
  <c r="X418" i="1"/>
  <c r="Z418" i="1" s="1"/>
  <c r="AA418" i="1"/>
  <c r="AB418" i="1" s="1"/>
  <c r="AF418" i="1"/>
  <c r="AG418" i="1" s="1"/>
  <c r="AH418" i="1" s="1"/>
  <c r="AJ418" i="1"/>
  <c r="AL418" i="1"/>
  <c r="AM418" i="1"/>
  <c r="AN418" i="1"/>
  <c r="BB418" i="1" s="1"/>
  <c r="AP418" i="1"/>
  <c r="AQ418" i="1"/>
  <c r="AR418" i="1"/>
  <c r="AS418" i="1"/>
  <c r="AT418" i="1" s="1"/>
  <c r="T419" i="1"/>
  <c r="S419" i="1" s="1"/>
  <c r="U419" i="1"/>
  <c r="W419" i="1" s="1"/>
  <c r="X419" i="1"/>
  <c r="Y419" i="1" s="1"/>
  <c r="AA419" i="1"/>
  <c r="AB419" i="1" s="1"/>
  <c r="AF419" i="1"/>
  <c r="AG419" i="1" s="1"/>
  <c r="AH419" i="1" s="1"/>
  <c r="AJ419" i="1"/>
  <c r="AL419" i="1"/>
  <c r="AM419" i="1"/>
  <c r="AN419" i="1"/>
  <c r="AP419" i="1"/>
  <c r="AQ419" i="1"/>
  <c r="AR419" i="1"/>
  <c r="AS419" i="1"/>
  <c r="AT419" i="1" s="1"/>
  <c r="T420" i="1"/>
  <c r="R420" i="1" s="1"/>
  <c r="U420" i="1"/>
  <c r="X420" i="1"/>
  <c r="Y420" i="1" s="1"/>
  <c r="AA420" i="1"/>
  <c r="AB420" i="1" s="1"/>
  <c r="AF420" i="1"/>
  <c r="AG420" i="1" s="1"/>
  <c r="AH420" i="1" s="1"/>
  <c r="AJ420" i="1"/>
  <c r="AL420" i="1"/>
  <c r="AM420" i="1"/>
  <c r="AN420" i="1"/>
  <c r="AW420" i="1" s="1"/>
  <c r="AP420" i="1"/>
  <c r="AQ420" i="1"/>
  <c r="AR420" i="1"/>
  <c r="AS420" i="1"/>
  <c r="AT420" i="1" s="1"/>
  <c r="T421" i="1"/>
  <c r="U421" i="1"/>
  <c r="W421" i="1" s="1"/>
  <c r="X421" i="1"/>
  <c r="Y421" i="1" s="1"/>
  <c r="AA421" i="1"/>
  <c r="AB421" i="1" s="1"/>
  <c r="AF421" i="1"/>
  <c r="AG421" i="1" s="1"/>
  <c r="AH421" i="1" s="1"/>
  <c r="AJ421" i="1"/>
  <c r="AL421" i="1"/>
  <c r="AM421" i="1"/>
  <c r="AN421" i="1"/>
  <c r="AP421" i="1"/>
  <c r="AQ421" i="1"/>
  <c r="AR421" i="1"/>
  <c r="AS421" i="1"/>
  <c r="AT421" i="1" s="1"/>
  <c r="T422" i="1"/>
  <c r="S422" i="1" s="1"/>
  <c r="U422" i="1"/>
  <c r="V422" i="1" s="1"/>
  <c r="X422" i="1"/>
  <c r="Y422" i="1" s="1"/>
  <c r="AA422" i="1"/>
  <c r="AB422" i="1" s="1"/>
  <c r="AF422" i="1"/>
  <c r="AG422" i="1" s="1"/>
  <c r="AH422" i="1" s="1"/>
  <c r="AJ422" i="1"/>
  <c r="AL422" i="1"/>
  <c r="AM422" i="1"/>
  <c r="AN422" i="1"/>
  <c r="AW422" i="1" s="1"/>
  <c r="AP422" i="1"/>
  <c r="AQ422" i="1"/>
  <c r="AR422" i="1"/>
  <c r="AS422" i="1"/>
  <c r="AT422" i="1" s="1"/>
  <c r="T423" i="1"/>
  <c r="S423" i="1" s="1"/>
  <c r="U423" i="1"/>
  <c r="V423" i="1" s="1"/>
  <c r="X423" i="1"/>
  <c r="Y423" i="1" s="1"/>
  <c r="AA423" i="1"/>
  <c r="AB423" i="1" s="1"/>
  <c r="AF423" i="1"/>
  <c r="AG423" i="1" s="1"/>
  <c r="AH423" i="1" s="1"/>
  <c r="AJ423" i="1"/>
  <c r="AL423" i="1"/>
  <c r="AM423" i="1"/>
  <c r="AN423" i="1"/>
  <c r="BA423" i="1" s="1"/>
  <c r="AP423" i="1"/>
  <c r="AQ423" i="1"/>
  <c r="AR423" i="1"/>
  <c r="AS423" i="1"/>
  <c r="AT423" i="1" s="1"/>
  <c r="T424" i="1"/>
  <c r="R424" i="1" s="1"/>
  <c r="U424" i="1"/>
  <c r="V424" i="1" s="1"/>
  <c r="X424" i="1"/>
  <c r="Z424" i="1" s="1"/>
  <c r="AA424" i="1"/>
  <c r="AB424" i="1" s="1"/>
  <c r="AF424" i="1"/>
  <c r="AG424" i="1" s="1"/>
  <c r="AH424" i="1" s="1"/>
  <c r="AJ424" i="1"/>
  <c r="AL424" i="1"/>
  <c r="AM424" i="1"/>
  <c r="AN424" i="1"/>
  <c r="BB424" i="1" s="1"/>
  <c r="AP424" i="1"/>
  <c r="AQ424" i="1"/>
  <c r="AR424" i="1"/>
  <c r="AS424" i="1"/>
  <c r="AT424" i="1" s="1"/>
  <c r="T425" i="1"/>
  <c r="S425" i="1" s="1"/>
  <c r="U425" i="1"/>
  <c r="V425" i="1" s="1"/>
  <c r="X425" i="1"/>
  <c r="AA425" i="1"/>
  <c r="AB425" i="1" s="1"/>
  <c r="AF425" i="1"/>
  <c r="AG425" i="1" s="1"/>
  <c r="AH425" i="1" s="1"/>
  <c r="AJ425" i="1"/>
  <c r="AL425" i="1"/>
  <c r="AM425" i="1"/>
  <c r="AN425" i="1"/>
  <c r="BA425" i="1" s="1"/>
  <c r="AP425" i="1"/>
  <c r="AQ425" i="1"/>
  <c r="AR425" i="1"/>
  <c r="AS425" i="1"/>
  <c r="AT425" i="1" s="1"/>
  <c r="T426" i="1"/>
  <c r="R426" i="1" s="1"/>
  <c r="U426" i="1"/>
  <c r="V426" i="1" s="1"/>
  <c r="X426" i="1"/>
  <c r="Y426" i="1" s="1"/>
  <c r="AA426" i="1"/>
  <c r="AB426" i="1" s="1"/>
  <c r="AF426" i="1"/>
  <c r="AG426" i="1" s="1"/>
  <c r="AH426" i="1" s="1"/>
  <c r="AJ426" i="1"/>
  <c r="AL426" i="1"/>
  <c r="AM426" i="1"/>
  <c r="AN426" i="1"/>
  <c r="BB426" i="1" s="1"/>
  <c r="AP426" i="1"/>
  <c r="AQ426" i="1"/>
  <c r="AR426" i="1"/>
  <c r="AS426" i="1"/>
  <c r="AT426" i="1" s="1"/>
  <c r="T427" i="1"/>
  <c r="AC427" i="1" s="1"/>
  <c r="U427" i="1"/>
  <c r="W427" i="1" s="1"/>
  <c r="X427" i="1"/>
  <c r="AA427" i="1"/>
  <c r="AB427" i="1" s="1"/>
  <c r="AF427" i="1"/>
  <c r="AG427" i="1" s="1"/>
  <c r="AH427" i="1" s="1"/>
  <c r="AJ427" i="1"/>
  <c r="AL427" i="1"/>
  <c r="AM427" i="1"/>
  <c r="AN427" i="1"/>
  <c r="AP427" i="1"/>
  <c r="AQ427" i="1"/>
  <c r="AR427" i="1"/>
  <c r="AS427" i="1"/>
  <c r="AT427" i="1" s="1"/>
  <c r="T428" i="1"/>
  <c r="R428" i="1" s="1"/>
  <c r="U428" i="1"/>
  <c r="V428" i="1" s="1"/>
  <c r="X428" i="1"/>
  <c r="Y428" i="1" s="1"/>
  <c r="AA428" i="1"/>
  <c r="AB428" i="1" s="1"/>
  <c r="AF428" i="1"/>
  <c r="AG428" i="1" s="1"/>
  <c r="AH428" i="1" s="1"/>
  <c r="AJ428" i="1"/>
  <c r="AL428" i="1"/>
  <c r="AM428" i="1"/>
  <c r="AN428" i="1"/>
  <c r="AW428" i="1" s="1"/>
  <c r="AP428" i="1"/>
  <c r="AQ428" i="1"/>
  <c r="AR428" i="1"/>
  <c r="AS428" i="1"/>
  <c r="AT428" i="1" s="1"/>
  <c r="T429" i="1"/>
  <c r="S429" i="1" s="1"/>
  <c r="U429" i="1"/>
  <c r="W429" i="1" s="1"/>
  <c r="X429" i="1"/>
  <c r="Y429" i="1" s="1"/>
  <c r="AA429" i="1"/>
  <c r="AB429" i="1" s="1"/>
  <c r="AF429" i="1"/>
  <c r="AG429" i="1" s="1"/>
  <c r="AH429" i="1" s="1"/>
  <c r="AJ429" i="1"/>
  <c r="AL429" i="1"/>
  <c r="AM429" i="1"/>
  <c r="AN429" i="1"/>
  <c r="AP429" i="1"/>
  <c r="AQ429" i="1"/>
  <c r="AR429" i="1" s="1"/>
  <c r="AS429" i="1"/>
  <c r="AT429" i="1" s="1"/>
  <c r="T430" i="1"/>
  <c r="AC430" i="1" s="1"/>
  <c r="U430" i="1"/>
  <c r="X430" i="1"/>
  <c r="Y430" i="1" s="1"/>
  <c r="AA430" i="1"/>
  <c r="AB430" i="1" s="1"/>
  <c r="AF430" i="1"/>
  <c r="AG430" i="1" s="1"/>
  <c r="AH430" i="1" s="1"/>
  <c r="AJ430" i="1"/>
  <c r="AL430" i="1"/>
  <c r="AM430" i="1"/>
  <c r="AN430" i="1"/>
  <c r="BA430" i="1" s="1"/>
  <c r="AP430" i="1"/>
  <c r="AQ430" i="1"/>
  <c r="AR430" i="1"/>
  <c r="AS430" i="1"/>
  <c r="AT430" i="1" s="1"/>
  <c r="T431" i="1"/>
  <c r="R431" i="1" s="1"/>
  <c r="U431" i="1"/>
  <c r="V431" i="1" s="1"/>
  <c r="X431" i="1"/>
  <c r="Z431" i="1" s="1"/>
  <c r="AA431" i="1"/>
  <c r="AB431" i="1" s="1"/>
  <c r="AF431" i="1"/>
  <c r="AG431" i="1" s="1"/>
  <c r="AH431" i="1" s="1"/>
  <c r="AJ431" i="1"/>
  <c r="AL431" i="1"/>
  <c r="AM431" i="1"/>
  <c r="AN431" i="1"/>
  <c r="BA431" i="1" s="1"/>
  <c r="AP431" i="1"/>
  <c r="AQ431" i="1"/>
  <c r="AR431" i="1"/>
  <c r="AS431" i="1"/>
  <c r="AT431" i="1" s="1"/>
  <c r="T432" i="1"/>
  <c r="R432" i="1" s="1"/>
  <c r="U432" i="1"/>
  <c r="X432" i="1"/>
  <c r="Z432" i="1" s="1"/>
  <c r="AA432" i="1"/>
  <c r="AB432" i="1" s="1"/>
  <c r="AF432" i="1"/>
  <c r="AG432" i="1" s="1"/>
  <c r="AH432" i="1" s="1"/>
  <c r="AJ432" i="1"/>
  <c r="AL432" i="1"/>
  <c r="AM432" i="1"/>
  <c r="AN432" i="1"/>
  <c r="BB432" i="1" s="1"/>
  <c r="AP432" i="1"/>
  <c r="AQ432" i="1"/>
  <c r="AR432" i="1"/>
  <c r="AS432" i="1"/>
  <c r="T433" i="1"/>
  <c r="R433" i="1" s="1"/>
  <c r="U433" i="1"/>
  <c r="V433" i="1" s="1"/>
  <c r="X433" i="1"/>
  <c r="Y433" i="1" s="1"/>
  <c r="AA433" i="1"/>
  <c r="AB433" i="1" s="1"/>
  <c r="AF433" i="1"/>
  <c r="AG433" i="1" s="1"/>
  <c r="AH433" i="1" s="1"/>
  <c r="AJ433" i="1"/>
  <c r="AL433" i="1"/>
  <c r="AM433" i="1"/>
  <c r="AN433" i="1"/>
  <c r="BA433" i="1" s="1"/>
  <c r="AP433" i="1"/>
  <c r="AQ433" i="1"/>
  <c r="AR433" i="1"/>
  <c r="AS433" i="1"/>
  <c r="AT433" i="1" s="1"/>
  <c r="T434" i="1"/>
  <c r="R434" i="1" s="1"/>
  <c r="U434" i="1"/>
  <c r="V434" i="1" s="1"/>
  <c r="X434" i="1"/>
  <c r="Z434" i="1" s="1"/>
  <c r="AA434" i="1"/>
  <c r="AB434" i="1" s="1"/>
  <c r="AF434" i="1"/>
  <c r="AG434" i="1" s="1"/>
  <c r="AH434" i="1" s="1"/>
  <c r="AJ434" i="1"/>
  <c r="AL434" i="1"/>
  <c r="AM434" i="1"/>
  <c r="AN434" i="1"/>
  <c r="BB434" i="1" s="1"/>
  <c r="AP434" i="1"/>
  <c r="AQ434" i="1"/>
  <c r="AR434" i="1"/>
  <c r="AS434" i="1"/>
  <c r="AT434" i="1" s="1"/>
  <c r="T435" i="1"/>
  <c r="S435" i="1" s="1"/>
  <c r="U435" i="1"/>
  <c r="W435" i="1" s="1"/>
  <c r="X435" i="1"/>
  <c r="Y435" i="1" s="1"/>
  <c r="AA435" i="1"/>
  <c r="AB435" i="1" s="1"/>
  <c r="AF435" i="1"/>
  <c r="AG435" i="1" s="1"/>
  <c r="AH435" i="1" s="1"/>
  <c r="AJ435" i="1"/>
  <c r="AL435" i="1"/>
  <c r="AM435" i="1"/>
  <c r="AN435" i="1"/>
  <c r="BB435" i="1" s="1"/>
  <c r="AP435" i="1"/>
  <c r="AQ435" i="1"/>
  <c r="AR435" i="1"/>
  <c r="AS435" i="1"/>
  <c r="AT435" i="1" s="1"/>
  <c r="T436" i="1"/>
  <c r="R436" i="1" s="1"/>
  <c r="U436" i="1"/>
  <c r="V436" i="1" s="1"/>
  <c r="X436" i="1"/>
  <c r="Y436" i="1" s="1"/>
  <c r="AA436" i="1"/>
  <c r="AB436" i="1" s="1"/>
  <c r="AF436" i="1"/>
  <c r="AG436" i="1" s="1"/>
  <c r="AH436" i="1" s="1"/>
  <c r="AJ436" i="1"/>
  <c r="AL436" i="1"/>
  <c r="AM436" i="1"/>
  <c r="AN436" i="1"/>
  <c r="AW436" i="1" s="1"/>
  <c r="AP436" i="1"/>
  <c r="AQ436" i="1"/>
  <c r="AR436" i="1"/>
  <c r="AS436" i="1"/>
  <c r="T437" i="1"/>
  <c r="AC437" i="1" s="1"/>
  <c r="AE437" i="1" s="1"/>
  <c r="U437" i="1"/>
  <c r="V437" i="1" s="1"/>
  <c r="X437" i="1"/>
  <c r="Y437" i="1" s="1"/>
  <c r="AA437" i="1"/>
  <c r="AB437" i="1" s="1"/>
  <c r="AF437" i="1"/>
  <c r="AG437" i="1" s="1"/>
  <c r="AH437" i="1" s="1"/>
  <c r="AJ437" i="1"/>
  <c r="AL437" i="1"/>
  <c r="AM437" i="1"/>
  <c r="AN437" i="1"/>
  <c r="BB437" i="1" s="1"/>
  <c r="AP437" i="1"/>
  <c r="AQ437" i="1"/>
  <c r="AR437" i="1"/>
  <c r="AS437" i="1"/>
  <c r="AT437" i="1" s="1"/>
  <c r="T438" i="1"/>
  <c r="S438" i="1" s="1"/>
  <c r="U438" i="1"/>
  <c r="V438" i="1" s="1"/>
  <c r="X438" i="1"/>
  <c r="Y438" i="1" s="1"/>
  <c r="AA438" i="1"/>
  <c r="AB438" i="1" s="1"/>
  <c r="AF438" i="1"/>
  <c r="AG438" i="1" s="1"/>
  <c r="AH438" i="1" s="1"/>
  <c r="AJ438" i="1"/>
  <c r="AL438" i="1"/>
  <c r="AM438" i="1"/>
  <c r="AN438" i="1"/>
  <c r="AW438" i="1" s="1"/>
  <c r="AP438" i="1"/>
  <c r="AQ438" i="1"/>
  <c r="AR438" i="1"/>
  <c r="AS438" i="1"/>
  <c r="T439" i="1"/>
  <c r="R439" i="1" s="1"/>
  <c r="U439" i="1"/>
  <c r="V439" i="1" s="1"/>
  <c r="X439" i="1"/>
  <c r="Y439" i="1" s="1"/>
  <c r="AA439" i="1"/>
  <c r="AB439" i="1" s="1"/>
  <c r="AF439" i="1"/>
  <c r="AG439" i="1" s="1"/>
  <c r="AH439" i="1" s="1"/>
  <c r="AJ439" i="1"/>
  <c r="AL439" i="1"/>
  <c r="AM439" i="1"/>
  <c r="AN439" i="1"/>
  <c r="BB439" i="1" s="1"/>
  <c r="AP439" i="1"/>
  <c r="AQ439" i="1"/>
  <c r="AR439" i="1"/>
  <c r="AS439" i="1"/>
  <c r="AT439" i="1" s="1"/>
  <c r="T440" i="1"/>
  <c r="R440" i="1" s="1"/>
  <c r="U440" i="1"/>
  <c r="V440" i="1" s="1"/>
  <c r="X440" i="1"/>
  <c r="Z440" i="1" s="1"/>
  <c r="AA440" i="1"/>
  <c r="AB440" i="1" s="1"/>
  <c r="AF440" i="1"/>
  <c r="AG440" i="1" s="1"/>
  <c r="AH440" i="1" s="1"/>
  <c r="AJ440" i="1"/>
  <c r="AL440" i="1"/>
  <c r="AM440" i="1"/>
  <c r="AN440" i="1"/>
  <c r="BB440" i="1" s="1"/>
  <c r="AP440" i="1"/>
  <c r="AQ440" i="1"/>
  <c r="AR440" i="1"/>
  <c r="AS440" i="1"/>
  <c r="AT440" i="1" s="1"/>
  <c r="T441" i="1"/>
  <c r="S441" i="1" s="1"/>
  <c r="U441" i="1"/>
  <c r="W441" i="1" s="1"/>
  <c r="X441" i="1"/>
  <c r="Y441" i="1" s="1"/>
  <c r="AA441" i="1"/>
  <c r="AB441" i="1" s="1"/>
  <c r="AF441" i="1"/>
  <c r="AG441" i="1" s="1"/>
  <c r="AH441" i="1" s="1"/>
  <c r="AJ441" i="1"/>
  <c r="AL441" i="1"/>
  <c r="AM441" i="1"/>
  <c r="AN441" i="1"/>
  <c r="BA441" i="1" s="1"/>
  <c r="AP441" i="1"/>
  <c r="AQ441" i="1"/>
  <c r="AR441" i="1"/>
  <c r="AS441" i="1"/>
  <c r="AT441" i="1" s="1"/>
  <c r="T442" i="1"/>
  <c r="R442" i="1" s="1"/>
  <c r="U442" i="1"/>
  <c r="V442" i="1" s="1"/>
  <c r="X442" i="1"/>
  <c r="Y442" i="1" s="1"/>
  <c r="AA442" i="1"/>
  <c r="AB442" i="1" s="1"/>
  <c r="AF442" i="1"/>
  <c r="AG442" i="1" s="1"/>
  <c r="AH442" i="1" s="1"/>
  <c r="AJ442" i="1"/>
  <c r="AL442" i="1"/>
  <c r="AM442" i="1"/>
  <c r="AN442" i="1"/>
  <c r="BB442" i="1" s="1"/>
  <c r="AP442" i="1"/>
  <c r="AQ442" i="1"/>
  <c r="AR442" i="1"/>
  <c r="AS442" i="1"/>
  <c r="AT442" i="1" s="1"/>
  <c r="T443" i="1"/>
  <c r="AC443" i="1" s="1"/>
  <c r="AE443" i="1" s="1"/>
  <c r="U443" i="1"/>
  <c r="W443" i="1" s="1"/>
  <c r="X443" i="1"/>
  <c r="Y443" i="1" s="1"/>
  <c r="AA443" i="1"/>
  <c r="AB443" i="1" s="1"/>
  <c r="AF443" i="1"/>
  <c r="AG443" i="1" s="1"/>
  <c r="AH443" i="1" s="1"/>
  <c r="AJ443" i="1"/>
  <c r="AL443" i="1"/>
  <c r="AM443" i="1"/>
  <c r="AN443" i="1"/>
  <c r="BB443" i="1" s="1"/>
  <c r="AP443" i="1"/>
  <c r="AQ443" i="1"/>
  <c r="AR443" i="1"/>
  <c r="AS443" i="1"/>
  <c r="AT443" i="1" s="1"/>
  <c r="T444" i="1"/>
  <c r="S444" i="1" s="1"/>
  <c r="U444" i="1"/>
  <c r="V444" i="1" s="1"/>
  <c r="X444" i="1"/>
  <c r="Y444" i="1" s="1"/>
  <c r="AA444" i="1"/>
  <c r="AB444" i="1" s="1"/>
  <c r="AF444" i="1"/>
  <c r="AG444" i="1" s="1"/>
  <c r="AH444" i="1" s="1"/>
  <c r="AJ444" i="1"/>
  <c r="AL444" i="1"/>
  <c r="AM444" i="1"/>
  <c r="AN444" i="1"/>
  <c r="BB444" i="1" s="1"/>
  <c r="AP444" i="1"/>
  <c r="AQ444" i="1"/>
  <c r="AR444" i="1" s="1"/>
  <c r="AS444" i="1"/>
  <c r="T445" i="1"/>
  <c r="S445" i="1" s="1"/>
  <c r="U445" i="1"/>
  <c r="W445" i="1" s="1"/>
  <c r="X445" i="1"/>
  <c r="Y445" i="1" s="1"/>
  <c r="AA445" i="1"/>
  <c r="AB445" i="1" s="1"/>
  <c r="AF445" i="1"/>
  <c r="AG445" i="1" s="1"/>
  <c r="AH445" i="1" s="1"/>
  <c r="AJ445" i="1"/>
  <c r="AL445" i="1"/>
  <c r="AM445" i="1"/>
  <c r="AN445" i="1"/>
  <c r="BB445" i="1" s="1"/>
  <c r="AP445" i="1"/>
  <c r="AQ445" i="1"/>
  <c r="AR445" i="1"/>
  <c r="AS445" i="1"/>
  <c r="AT445" i="1" s="1"/>
  <c r="T446" i="1"/>
  <c r="R446" i="1" s="1"/>
  <c r="U446" i="1"/>
  <c r="V446" i="1" s="1"/>
  <c r="X446" i="1"/>
  <c r="Z446" i="1" s="1"/>
  <c r="AA446" i="1"/>
  <c r="AB446" i="1" s="1"/>
  <c r="AF446" i="1"/>
  <c r="AG446" i="1" s="1"/>
  <c r="AH446" i="1" s="1"/>
  <c r="AJ446" i="1"/>
  <c r="AL446" i="1"/>
  <c r="AM446" i="1"/>
  <c r="AN446" i="1"/>
  <c r="BB446" i="1" s="1"/>
  <c r="AP446" i="1"/>
  <c r="AQ446" i="1"/>
  <c r="AR446" i="1"/>
  <c r="AS446" i="1"/>
  <c r="T447" i="1"/>
  <c r="R447" i="1" s="1"/>
  <c r="U447" i="1"/>
  <c r="V447" i="1" s="1"/>
  <c r="X447" i="1"/>
  <c r="Y447" i="1" s="1"/>
  <c r="AA447" i="1"/>
  <c r="AB447" i="1" s="1"/>
  <c r="AF447" i="1"/>
  <c r="AG447" i="1" s="1"/>
  <c r="AH447" i="1" s="1"/>
  <c r="AJ447" i="1"/>
  <c r="AL447" i="1"/>
  <c r="AM447" i="1"/>
  <c r="AN447" i="1"/>
  <c r="BA447" i="1" s="1"/>
  <c r="AP447" i="1"/>
  <c r="AQ447" i="1"/>
  <c r="AR447" i="1" s="1"/>
  <c r="AS447" i="1"/>
  <c r="AT447" i="1" s="1"/>
  <c r="T448" i="1"/>
  <c r="S448" i="1" s="1"/>
  <c r="U448" i="1"/>
  <c r="V448" i="1" s="1"/>
  <c r="X448" i="1"/>
  <c r="Y448" i="1" s="1"/>
  <c r="AA448" i="1"/>
  <c r="AB448" i="1" s="1"/>
  <c r="AF448" i="1"/>
  <c r="AG448" i="1" s="1"/>
  <c r="AH448" i="1" s="1"/>
  <c r="AJ448" i="1"/>
  <c r="AL448" i="1"/>
  <c r="AM448" i="1"/>
  <c r="AN448" i="1"/>
  <c r="AW448" i="1" s="1"/>
  <c r="AP448" i="1"/>
  <c r="AQ448" i="1"/>
  <c r="AR448" i="1" s="1"/>
  <c r="AS448" i="1"/>
  <c r="T449" i="1"/>
  <c r="S449" i="1" s="1"/>
  <c r="U449" i="1"/>
  <c r="W449" i="1" s="1"/>
  <c r="X449" i="1"/>
  <c r="Y449" i="1" s="1"/>
  <c r="AA449" i="1"/>
  <c r="AB449" i="1" s="1"/>
  <c r="AF449" i="1"/>
  <c r="AG449" i="1" s="1"/>
  <c r="AH449" i="1" s="1"/>
  <c r="AJ449" i="1"/>
  <c r="AL449" i="1"/>
  <c r="AM449" i="1"/>
  <c r="AN449" i="1"/>
  <c r="AW449" i="1" s="1"/>
  <c r="AP449" i="1"/>
  <c r="AQ449" i="1"/>
  <c r="AR449" i="1"/>
  <c r="AS449" i="1"/>
  <c r="AT449" i="1" s="1"/>
  <c r="T450" i="1"/>
  <c r="R450" i="1" s="1"/>
  <c r="U450" i="1"/>
  <c r="V450" i="1" s="1"/>
  <c r="X450" i="1"/>
  <c r="Z450" i="1" s="1"/>
  <c r="AA450" i="1"/>
  <c r="AB450" i="1" s="1"/>
  <c r="AF450" i="1"/>
  <c r="AG450" i="1" s="1"/>
  <c r="AH450" i="1" s="1"/>
  <c r="AJ450" i="1"/>
  <c r="AL450" i="1"/>
  <c r="AM450" i="1"/>
  <c r="AN450" i="1"/>
  <c r="AW450" i="1" s="1"/>
  <c r="AP450" i="1"/>
  <c r="AQ450" i="1"/>
  <c r="AR450" i="1"/>
  <c r="AS450" i="1"/>
  <c r="T451" i="1"/>
  <c r="AC451" i="1" s="1"/>
  <c r="U451" i="1"/>
  <c r="V451" i="1" s="1"/>
  <c r="X451" i="1"/>
  <c r="Y451" i="1" s="1"/>
  <c r="AA451" i="1"/>
  <c r="AB451" i="1" s="1"/>
  <c r="AF451" i="1"/>
  <c r="AG451" i="1" s="1"/>
  <c r="AH451" i="1" s="1"/>
  <c r="AJ451" i="1"/>
  <c r="AL451" i="1"/>
  <c r="AM451" i="1"/>
  <c r="AN451" i="1"/>
  <c r="AP451" i="1"/>
  <c r="AQ451" i="1"/>
  <c r="AR451" i="1" s="1"/>
  <c r="AS451" i="1"/>
  <c r="AT451" i="1" s="1"/>
  <c r="T452" i="1"/>
  <c r="AC452" i="1" s="1"/>
  <c r="AD452" i="1" s="1"/>
  <c r="U452" i="1"/>
  <c r="V452" i="1" s="1"/>
  <c r="X452" i="1"/>
  <c r="Y452" i="1" s="1"/>
  <c r="AA452" i="1"/>
  <c r="AB452" i="1" s="1"/>
  <c r="AF452" i="1"/>
  <c r="AG452" i="1" s="1"/>
  <c r="AH452" i="1" s="1"/>
  <c r="AJ452" i="1"/>
  <c r="AL452" i="1"/>
  <c r="AM452" i="1"/>
  <c r="AN452" i="1"/>
  <c r="BB452" i="1" s="1"/>
  <c r="AP452" i="1"/>
  <c r="AQ452" i="1"/>
  <c r="AR452" i="1" s="1"/>
  <c r="AS452" i="1"/>
  <c r="T453" i="1"/>
  <c r="S453" i="1" s="1"/>
  <c r="U453" i="1"/>
  <c r="W453" i="1" s="1"/>
  <c r="X453" i="1"/>
  <c r="Y453" i="1" s="1"/>
  <c r="AA453" i="1"/>
  <c r="AB453" i="1" s="1"/>
  <c r="AF453" i="1"/>
  <c r="AG453" i="1" s="1"/>
  <c r="AH453" i="1" s="1"/>
  <c r="AJ453" i="1"/>
  <c r="AL453" i="1"/>
  <c r="AM453" i="1"/>
  <c r="AN453" i="1"/>
  <c r="AP453" i="1"/>
  <c r="AQ453" i="1"/>
  <c r="AR453" i="1"/>
  <c r="AS453" i="1"/>
  <c r="AT453" i="1" s="1"/>
  <c r="T454" i="1"/>
  <c r="R454" i="1" s="1"/>
  <c r="U454" i="1"/>
  <c r="V454" i="1" s="1"/>
  <c r="X454" i="1"/>
  <c r="Z454" i="1" s="1"/>
  <c r="AA454" i="1"/>
  <c r="AB454" i="1" s="1"/>
  <c r="AF454" i="1"/>
  <c r="AG454" i="1" s="1"/>
  <c r="AH454" i="1" s="1"/>
  <c r="AJ454" i="1"/>
  <c r="AL454" i="1"/>
  <c r="AM454" i="1"/>
  <c r="AN454" i="1"/>
  <c r="AW454" i="1" s="1"/>
  <c r="AP454" i="1"/>
  <c r="AQ454" i="1"/>
  <c r="AR454" i="1" s="1"/>
  <c r="AS454" i="1"/>
  <c r="T455" i="1"/>
  <c r="R455" i="1" s="1"/>
  <c r="U455" i="1"/>
  <c r="V455" i="1" s="1"/>
  <c r="X455" i="1"/>
  <c r="Y455" i="1" s="1"/>
  <c r="AA455" i="1"/>
  <c r="AB455" i="1" s="1"/>
  <c r="AF455" i="1"/>
  <c r="AG455" i="1" s="1"/>
  <c r="AH455" i="1" s="1"/>
  <c r="AJ455" i="1"/>
  <c r="AL455" i="1"/>
  <c r="AM455" i="1"/>
  <c r="AN455" i="1"/>
  <c r="BA455" i="1" s="1"/>
  <c r="AP455" i="1"/>
  <c r="AQ455" i="1"/>
  <c r="AR455" i="1" s="1"/>
  <c r="AS455" i="1"/>
  <c r="AT455" i="1" s="1"/>
  <c r="AU165" i="1" l="1"/>
  <c r="W93" i="1"/>
  <c r="AU162" i="1"/>
  <c r="AO162" i="1" s="1"/>
  <c r="AC87" i="1"/>
  <c r="AE87" i="1" s="1"/>
  <c r="AC119" i="1"/>
  <c r="R25" i="1"/>
  <c r="Y18" i="1"/>
  <c r="AU68" i="1"/>
  <c r="AO68" i="1" s="1"/>
  <c r="BA432" i="1"/>
  <c r="AU158" i="1"/>
  <c r="AO158" i="1" s="1"/>
  <c r="BA34" i="1"/>
  <c r="Z197" i="1"/>
  <c r="Y174" i="1"/>
  <c r="Z98" i="1"/>
  <c r="AU339" i="1"/>
  <c r="V178" i="1"/>
  <c r="W154" i="1"/>
  <c r="AW101" i="1"/>
  <c r="BA59" i="1"/>
  <c r="AW48" i="1"/>
  <c r="BB23" i="1"/>
  <c r="BA378" i="1"/>
  <c r="BB7" i="1"/>
  <c r="AU421" i="1"/>
  <c r="AO421" i="1" s="1"/>
  <c r="AC375" i="1"/>
  <c r="AD375" i="1" s="1"/>
  <c r="W257" i="1"/>
  <c r="Z233" i="1"/>
  <c r="AC206" i="1"/>
  <c r="AD206" i="1" s="1"/>
  <c r="AU123" i="1"/>
  <c r="AO123" i="1" s="1"/>
  <c r="AW98" i="1"/>
  <c r="Y97" i="1"/>
  <c r="AW378" i="1"/>
  <c r="Z322" i="1"/>
  <c r="AW274" i="1"/>
  <c r="AZ274" i="1" s="1"/>
  <c r="BA148" i="1"/>
  <c r="AU393" i="1"/>
  <c r="AO393" i="1" s="1"/>
  <c r="AV393" i="1" s="1"/>
  <c r="AU276" i="1"/>
  <c r="Z155" i="1"/>
  <c r="W134" i="1"/>
  <c r="AC226" i="1"/>
  <c r="AE226" i="1" s="1"/>
  <c r="BB26" i="1"/>
  <c r="AC170" i="1"/>
  <c r="AE170" i="1" s="1"/>
  <c r="AC168" i="1"/>
  <c r="W328" i="1"/>
  <c r="W300" i="1"/>
  <c r="AU231" i="1"/>
  <c r="Y274" i="1"/>
  <c r="S262" i="1"/>
  <c r="V191" i="1"/>
  <c r="Y170" i="1"/>
  <c r="AU160" i="1"/>
  <c r="AO160" i="1" s="1"/>
  <c r="V155" i="1"/>
  <c r="R149" i="1"/>
  <c r="AC106" i="1"/>
  <c r="AD106" i="1" s="1"/>
  <c r="BB83" i="1"/>
  <c r="Z63" i="1"/>
  <c r="BA25" i="1"/>
  <c r="BA396" i="1"/>
  <c r="AU308" i="1"/>
  <c r="AO308" i="1" s="1"/>
  <c r="AU263" i="1"/>
  <c r="BB240" i="1"/>
  <c r="V203" i="1"/>
  <c r="AU7" i="1"/>
  <c r="AO7" i="1" s="1"/>
  <c r="R435" i="1"/>
  <c r="AU396" i="1"/>
  <c r="AO396" i="1" s="1"/>
  <c r="AU376" i="1"/>
  <c r="AO376" i="1" s="1"/>
  <c r="Z375" i="1"/>
  <c r="BA373" i="1"/>
  <c r="AU268" i="1"/>
  <c r="V235" i="1"/>
  <c r="BB181" i="1"/>
  <c r="BA149" i="1"/>
  <c r="AU143" i="1"/>
  <c r="AO143" i="1" s="1"/>
  <c r="BA84" i="1"/>
  <c r="AU61" i="1"/>
  <c r="AO61" i="1" s="1"/>
  <c r="R35" i="1"/>
  <c r="AW26" i="1"/>
  <c r="V24" i="1"/>
  <c r="BA380" i="1"/>
  <c r="BB355" i="1"/>
  <c r="BB222" i="1"/>
  <c r="AU217" i="1"/>
  <c r="AC149" i="1"/>
  <c r="AU37" i="1"/>
  <c r="AO37" i="1" s="1"/>
  <c r="V13" i="1"/>
  <c r="S418" i="1"/>
  <c r="Z452" i="1"/>
  <c r="R414" i="1"/>
  <c r="BA410" i="1"/>
  <c r="BB187" i="1"/>
  <c r="W181" i="1"/>
  <c r="S60" i="1"/>
  <c r="BB396" i="1"/>
  <c r="BB455" i="1"/>
  <c r="AC435" i="1"/>
  <c r="AE435" i="1" s="1"/>
  <c r="V167" i="1"/>
  <c r="AU85" i="1"/>
  <c r="AO85" i="1" s="1"/>
  <c r="V37" i="1"/>
  <c r="S416" i="1"/>
  <c r="BB393" i="1"/>
  <c r="AW380" i="1"/>
  <c r="AW276" i="1"/>
  <c r="AZ276" i="1" s="1"/>
  <c r="AC276" i="1"/>
  <c r="AD276" i="1" s="1"/>
  <c r="V242" i="1"/>
  <c r="W201" i="1"/>
  <c r="AC196" i="1"/>
  <c r="AD196" i="1" s="1"/>
  <c r="AD27" i="1"/>
  <c r="AU26" i="1"/>
  <c r="AO26" i="1" s="1"/>
  <c r="AU25" i="1"/>
  <c r="AO25" i="1" s="1"/>
  <c r="BA9" i="1"/>
  <c r="BB415" i="1"/>
  <c r="AC414" i="1"/>
  <c r="AD414" i="1" s="1"/>
  <c r="Y396" i="1"/>
  <c r="BA381" i="1"/>
  <c r="S365" i="1"/>
  <c r="AU279" i="1"/>
  <c r="AC262" i="1"/>
  <c r="BB206" i="1"/>
  <c r="BB198" i="1"/>
  <c r="Y139" i="1"/>
  <c r="BB85" i="1"/>
  <c r="AU30" i="1"/>
  <c r="AO30" i="1" s="1"/>
  <c r="AV30" i="1" s="1"/>
  <c r="AU15" i="1"/>
  <c r="AO15" i="1" s="1"/>
  <c r="AU9" i="1"/>
  <c r="AO9" i="1" s="1"/>
  <c r="AV9" i="1" s="1"/>
  <c r="AZ9" i="1" s="1"/>
  <c r="Y418" i="1"/>
  <c r="W413" i="1"/>
  <c r="BB364" i="1"/>
  <c r="Y339" i="1"/>
  <c r="Z202" i="1"/>
  <c r="AU198" i="1"/>
  <c r="AW176" i="1"/>
  <c r="AZ176" i="1" s="1"/>
  <c r="BB161" i="1"/>
  <c r="AU120" i="1"/>
  <c r="AO120" i="1" s="1"/>
  <c r="BA85" i="1"/>
  <c r="Z70" i="1"/>
  <c r="AC9" i="1"/>
  <c r="AD9" i="1" s="1"/>
  <c r="W8" i="1"/>
  <c r="W7" i="1"/>
  <c r="BA428" i="1"/>
  <c r="BB422" i="1"/>
  <c r="V410" i="1"/>
  <c r="S383" i="1"/>
  <c r="AW371" i="1"/>
  <c r="AC365" i="1"/>
  <c r="AD365" i="1" s="1"/>
  <c r="BA364" i="1"/>
  <c r="BA361" i="1"/>
  <c r="BB280" i="1"/>
  <c r="AW236" i="1"/>
  <c r="AZ236" i="1" s="1"/>
  <c r="S226" i="1"/>
  <c r="AU176" i="1"/>
  <c r="AW162" i="1"/>
  <c r="W149" i="1"/>
  <c r="Y143" i="1"/>
  <c r="BA137" i="1"/>
  <c r="W126" i="1"/>
  <c r="AC75" i="1"/>
  <c r="BB68" i="1"/>
  <c r="BA65" i="1"/>
  <c r="Z33" i="1"/>
  <c r="AU422" i="1"/>
  <c r="AO422" i="1" s="1"/>
  <c r="Y394" i="1"/>
  <c r="V387" i="1"/>
  <c r="AU361" i="1"/>
  <c r="AO361" i="1" s="1"/>
  <c r="R318" i="1"/>
  <c r="AC306" i="1"/>
  <c r="AD306" i="1" s="1"/>
  <c r="Y299" i="1"/>
  <c r="AU236" i="1"/>
  <c r="AW225" i="1"/>
  <c r="AZ225" i="1" s="1"/>
  <c r="BB215" i="1"/>
  <c r="AU137" i="1"/>
  <c r="AO137" i="1" s="1"/>
  <c r="AV137" i="1" s="1"/>
  <c r="AU130" i="1"/>
  <c r="AO130" i="1" s="1"/>
  <c r="Y300" i="1"/>
  <c r="AU269" i="1"/>
  <c r="S139" i="1"/>
  <c r="BB131" i="1"/>
  <c r="AU122" i="1"/>
  <c r="AO122" i="1" s="1"/>
  <c r="BB70" i="1"/>
  <c r="Y450" i="1"/>
  <c r="W425" i="1"/>
  <c r="V365" i="1"/>
  <c r="Y320" i="1"/>
  <c r="Z252" i="1"/>
  <c r="Z231" i="1"/>
  <c r="R202" i="1"/>
  <c r="Z173" i="1"/>
  <c r="Y153" i="1"/>
  <c r="Z137" i="1"/>
  <c r="AC111" i="1"/>
  <c r="AE111" i="1" s="1"/>
  <c r="Y100" i="1"/>
  <c r="Y76" i="1"/>
  <c r="AE35" i="1"/>
  <c r="BB25" i="1"/>
  <c r="BA24" i="1"/>
  <c r="AW23" i="1"/>
  <c r="V19" i="1"/>
  <c r="AW7" i="1"/>
  <c r="R101" i="1"/>
  <c r="R407" i="1"/>
  <c r="S265" i="1"/>
  <c r="R199" i="1"/>
  <c r="AV160" i="1"/>
  <c r="V421" i="1"/>
  <c r="S408" i="1"/>
  <c r="BA406" i="1"/>
  <c r="R398" i="1"/>
  <c r="AW381" i="1"/>
  <c r="AW361" i="1"/>
  <c r="BB358" i="1"/>
  <c r="AU338" i="1"/>
  <c r="W329" i="1"/>
  <c r="Y311" i="1"/>
  <c r="AW308" i="1"/>
  <c r="V299" i="1"/>
  <c r="R275" i="1"/>
  <c r="AC268" i="1"/>
  <c r="AD268" i="1" s="1"/>
  <c r="Y266" i="1"/>
  <c r="V259" i="1"/>
  <c r="Y246" i="1"/>
  <c r="Z244" i="1"/>
  <c r="AW240" i="1"/>
  <c r="AZ240" i="1" s="1"/>
  <c r="AW231" i="1"/>
  <c r="AZ231" i="1" s="1"/>
  <c r="AU225" i="1"/>
  <c r="S200" i="1"/>
  <c r="W162" i="1"/>
  <c r="S160" i="1"/>
  <c r="Y121" i="1"/>
  <c r="V120" i="1"/>
  <c r="BB101" i="1"/>
  <c r="V69" i="1"/>
  <c r="Y10" i="1"/>
  <c r="BA304" i="1"/>
  <c r="V202" i="1"/>
  <c r="BB199" i="1"/>
  <c r="S193" i="1"/>
  <c r="Z179" i="1"/>
  <c r="BB140" i="1"/>
  <c r="V124" i="1"/>
  <c r="Z111" i="1"/>
  <c r="BB93" i="1"/>
  <c r="AU83" i="1"/>
  <c r="AO83" i="1" s="1"/>
  <c r="W71" i="1"/>
  <c r="BB50" i="1"/>
  <c r="S17" i="1"/>
  <c r="BB15" i="1"/>
  <c r="R448" i="1"/>
  <c r="BB407" i="1"/>
  <c r="V453" i="1"/>
  <c r="S452" i="1"/>
  <c r="BB448" i="1"/>
  <c r="S446" i="1"/>
  <c r="BB398" i="1"/>
  <c r="AU385" i="1"/>
  <c r="AO385" i="1" s="1"/>
  <c r="AV385" i="1" s="1"/>
  <c r="BB363" i="1"/>
  <c r="Z361" i="1"/>
  <c r="AC353" i="1"/>
  <c r="AD353" i="1" s="1"/>
  <c r="Y349" i="1"/>
  <c r="AU304" i="1"/>
  <c r="AO304" i="1" s="1"/>
  <c r="V262" i="1"/>
  <c r="AC258" i="1"/>
  <c r="AE258" i="1" s="1"/>
  <c r="BA222" i="1"/>
  <c r="BB200" i="1"/>
  <c r="BA199" i="1"/>
  <c r="W194" i="1"/>
  <c r="S170" i="1"/>
  <c r="W168" i="1"/>
  <c r="Z164" i="1"/>
  <c r="BB160" i="1"/>
  <c r="AW109" i="1"/>
  <c r="AC101" i="1"/>
  <c r="AD101" i="1" s="1"/>
  <c r="AU96" i="1"/>
  <c r="AO96" i="1" s="1"/>
  <c r="AV96" i="1" s="1"/>
  <c r="AZ96" i="1" s="1"/>
  <c r="Z59" i="1"/>
  <c r="W58" i="1"/>
  <c r="BB32" i="1"/>
  <c r="BB18" i="1"/>
  <c r="BB17" i="1"/>
  <c r="BA412" i="1"/>
  <c r="AW398" i="1"/>
  <c r="BB390" i="1"/>
  <c r="AU374" i="1"/>
  <c r="AO374" i="1" s="1"/>
  <c r="AV374" i="1" s="1"/>
  <c r="BA363" i="1"/>
  <c r="AU350" i="1"/>
  <c r="AO350" i="1" s="1"/>
  <c r="AW347" i="1"/>
  <c r="AC292" i="1"/>
  <c r="AD292" i="1" s="1"/>
  <c r="AU282" i="1"/>
  <c r="AC275" i="1"/>
  <c r="AE275" i="1" s="1"/>
  <c r="AW200" i="1"/>
  <c r="AZ200" i="1" s="1"/>
  <c r="AC200" i="1"/>
  <c r="AD200" i="1" s="1"/>
  <c r="S191" i="1"/>
  <c r="AU175" i="1"/>
  <c r="V156" i="1"/>
  <c r="R106" i="1"/>
  <c r="S25" i="1"/>
  <c r="AU22" i="1"/>
  <c r="AO22" i="1" s="1"/>
  <c r="R20" i="1"/>
  <c r="BA17" i="1"/>
  <c r="R353" i="1"/>
  <c r="R263" i="1"/>
  <c r="R444" i="1"/>
  <c r="S432" i="1"/>
  <c r="W423" i="1"/>
  <c r="AU398" i="1"/>
  <c r="AO398" i="1" s="1"/>
  <c r="BA390" i="1"/>
  <c r="W308" i="1"/>
  <c r="BB296" i="1"/>
  <c r="Z283" i="1"/>
  <c r="S282" i="1"/>
  <c r="W260" i="1"/>
  <c r="AU199" i="1"/>
  <c r="AU190" i="1"/>
  <c r="Z185" i="1"/>
  <c r="V79" i="1"/>
  <c r="Z36" i="1"/>
  <c r="Z16" i="1"/>
  <c r="R249" i="1"/>
  <c r="AW385" i="1"/>
  <c r="BA377" i="1"/>
  <c r="BB431" i="1"/>
  <c r="BB428" i="1"/>
  <c r="AU363" i="1"/>
  <c r="AO363" i="1" s="1"/>
  <c r="AV363" i="1" s="1"/>
  <c r="AZ363" i="1" s="1"/>
  <c r="V344" i="1"/>
  <c r="W339" i="1"/>
  <c r="Y337" i="1"/>
  <c r="Z331" i="1"/>
  <c r="V313" i="1"/>
  <c r="AU311" i="1"/>
  <c r="AO311" i="1" s="1"/>
  <c r="AC310" i="1"/>
  <c r="AD310" i="1" s="1"/>
  <c r="W298" i="1"/>
  <c r="W285" i="1"/>
  <c r="W274" i="1"/>
  <c r="AU267" i="1"/>
  <c r="W219" i="1"/>
  <c r="BB201" i="1"/>
  <c r="Z193" i="1"/>
  <c r="AW178" i="1"/>
  <c r="AZ178" i="1" s="1"/>
  <c r="S159" i="1"/>
  <c r="AW137" i="1"/>
  <c r="S108" i="1"/>
  <c r="S87" i="1"/>
  <c r="S44" i="1"/>
  <c r="Y32" i="1"/>
  <c r="W12" i="1"/>
  <c r="Y8" i="1"/>
  <c r="V5" i="1"/>
  <c r="Y313" i="1"/>
  <c r="Z313" i="1"/>
  <c r="AW433" i="1"/>
  <c r="R409" i="1"/>
  <c r="V277" i="1"/>
  <c r="W277" i="1"/>
  <c r="BA257" i="1"/>
  <c r="AW257" i="1"/>
  <c r="AZ257" i="1" s="1"/>
  <c r="BB196" i="1"/>
  <c r="AW196" i="1"/>
  <c r="AZ196" i="1" s="1"/>
  <c r="BA196" i="1"/>
  <c r="S176" i="1"/>
  <c r="R176" i="1"/>
  <c r="AC167" i="1"/>
  <c r="S167" i="1"/>
  <c r="Y145" i="1"/>
  <c r="Z145" i="1"/>
  <c r="Y110" i="1"/>
  <c r="Z110" i="1"/>
  <c r="BB228" i="1"/>
  <c r="AW228" i="1"/>
  <c r="AZ228" i="1" s="1"/>
  <c r="BA228" i="1"/>
  <c r="R438" i="1"/>
  <c r="BB420" i="1"/>
  <c r="S410" i="1"/>
  <c r="AC448" i="1"/>
  <c r="AD448" i="1" s="1"/>
  <c r="AC444" i="1"/>
  <c r="AD444" i="1" s="1"/>
  <c r="AW440" i="1"/>
  <c r="BA439" i="1"/>
  <c r="AU433" i="1"/>
  <c r="AO433" i="1" s="1"/>
  <c r="AV433" i="1" s="1"/>
  <c r="BA420" i="1"/>
  <c r="AW410" i="1"/>
  <c r="BB409" i="1"/>
  <c r="BA408" i="1"/>
  <c r="W401" i="1"/>
  <c r="AC398" i="1"/>
  <c r="AD398" i="1" s="1"/>
  <c r="AU380" i="1"/>
  <c r="AO380" i="1" s="1"/>
  <c r="AV380" i="1" s="1"/>
  <c r="AZ380" i="1" s="1"/>
  <c r="AU377" i="1"/>
  <c r="AO377" i="1" s="1"/>
  <c r="AV377" i="1" s="1"/>
  <c r="AZ377" i="1" s="1"/>
  <c r="V374" i="1"/>
  <c r="BA369" i="1"/>
  <c r="W364" i="1"/>
  <c r="AC363" i="1"/>
  <c r="AE363" i="1" s="1"/>
  <c r="V362" i="1"/>
  <c r="AW358" i="1"/>
  <c r="R330" i="1"/>
  <c r="AW313" i="1"/>
  <c r="BB313" i="1"/>
  <c r="V307" i="1"/>
  <c r="W305" i="1"/>
  <c r="Z304" i="1"/>
  <c r="Y304" i="1"/>
  <c r="W302" i="1"/>
  <c r="Y275" i="1"/>
  <c r="AW267" i="1"/>
  <c r="AZ267" i="1" s="1"/>
  <c r="BA267" i="1"/>
  <c r="BB267" i="1"/>
  <c r="Z258" i="1"/>
  <c r="AW230" i="1"/>
  <c r="AZ230" i="1" s="1"/>
  <c r="BA230" i="1"/>
  <c r="BB230" i="1"/>
  <c r="Z221" i="1"/>
  <c r="Y175" i="1"/>
  <c r="Z175" i="1"/>
  <c r="BA133" i="1"/>
  <c r="AW133" i="1"/>
  <c r="BA110" i="1"/>
  <c r="AW110" i="1"/>
  <c r="R339" i="1"/>
  <c r="AC339" i="1"/>
  <c r="Y215" i="1"/>
  <c r="Z215" i="1"/>
  <c r="R452" i="1"/>
  <c r="AU440" i="1"/>
  <c r="AO440" i="1" s="1"/>
  <c r="AW439" i="1"/>
  <c r="AU430" i="1"/>
  <c r="AO430" i="1" s="1"/>
  <c r="AU428" i="1"/>
  <c r="AO428" i="1" s="1"/>
  <c r="AV428" i="1" s="1"/>
  <c r="AZ428" i="1" s="1"/>
  <c r="AU409" i="1"/>
  <c r="AO409" i="1" s="1"/>
  <c r="AC408" i="1"/>
  <c r="AD408" i="1" s="1"/>
  <c r="V405" i="1"/>
  <c r="Z402" i="1"/>
  <c r="AC382" i="1"/>
  <c r="AC381" i="1"/>
  <c r="AE381" i="1" s="1"/>
  <c r="Z379" i="1"/>
  <c r="AW369" i="1"/>
  <c r="W361" i="1"/>
  <c r="BB342" i="1"/>
  <c r="Z338" i="1"/>
  <c r="Y328" i="1"/>
  <c r="Z328" i="1"/>
  <c r="Y325" i="1"/>
  <c r="W321" i="1"/>
  <c r="AC318" i="1"/>
  <c r="AD318" i="1" s="1"/>
  <c r="BA315" i="1"/>
  <c r="AC313" i="1"/>
  <c r="AD313" i="1" s="1"/>
  <c r="S313" i="1"/>
  <c r="Y310" i="1"/>
  <c r="W306" i="1"/>
  <c r="AW302" i="1"/>
  <c r="Z286" i="1"/>
  <c r="V283" i="1"/>
  <c r="BA254" i="1"/>
  <c r="AW254" i="1"/>
  <c r="AZ254" i="1" s="1"/>
  <c r="BB252" i="1"/>
  <c r="AW252" i="1"/>
  <c r="AZ252" i="1" s="1"/>
  <c r="Z225" i="1"/>
  <c r="BA212" i="1"/>
  <c r="AW212" i="1"/>
  <c r="AZ212" i="1" s="1"/>
  <c r="Y260" i="1"/>
  <c r="Z260" i="1"/>
  <c r="AU420" i="1"/>
  <c r="AO420" i="1" s="1"/>
  <c r="AV420" i="1" s="1"/>
  <c r="AZ420" i="1" s="1"/>
  <c r="AC411" i="1"/>
  <c r="AE411" i="1" s="1"/>
  <c r="AU388" i="1"/>
  <c r="AO388" i="1" s="1"/>
  <c r="AV388" i="1" s="1"/>
  <c r="Z380" i="1"/>
  <c r="Z378" i="1"/>
  <c r="AW374" i="1"/>
  <c r="BB370" i="1"/>
  <c r="AC369" i="1"/>
  <c r="AD369" i="1" s="1"/>
  <c r="BA353" i="1"/>
  <c r="AC345" i="1"/>
  <c r="AD345" i="1" s="1"/>
  <c r="AW292" i="1"/>
  <c r="AZ292" i="1" s="1"/>
  <c r="V221" i="1"/>
  <c r="W221" i="1"/>
  <c r="V209" i="1"/>
  <c r="W209" i="1"/>
  <c r="AW177" i="1"/>
  <c r="AZ177" i="1" s="1"/>
  <c r="BB177" i="1"/>
  <c r="V173" i="1"/>
  <c r="W173" i="1"/>
  <c r="Y156" i="1"/>
  <c r="Z156" i="1"/>
  <c r="BA440" i="1"/>
  <c r="BB454" i="1"/>
  <c r="BA454" i="1"/>
  <c r="AC441" i="1"/>
  <c r="AD441" i="1" s="1"/>
  <c r="AC438" i="1"/>
  <c r="AD438" i="1" s="1"/>
  <c r="W452" i="1"/>
  <c r="AC440" i="1"/>
  <c r="AU435" i="1"/>
  <c r="AO435" i="1" s="1"/>
  <c r="AV435" i="1" s="1"/>
  <c r="AW393" i="1"/>
  <c r="AC392" i="1"/>
  <c r="AD392" i="1" s="1"/>
  <c r="R374" i="1"/>
  <c r="BB372" i="1"/>
  <c r="BB371" i="1"/>
  <c r="Y356" i="1"/>
  <c r="V348" i="1"/>
  <c r="AU340" i="1"/>
  <c r="BA335" i="1"/>
  <c r="AW335" i="1"/>
  <c r="AC330" i="1"/>
  <c r="AE330" i="1" s="1"/>
  <c r="W325" i="1"/>
  <c r="V310" i="1"/>
  <c r="W310" i="1"/>
  <c r="BA306" i="1"/>
  <c r="BB268" i="1"/>
  <c r="BA268" i="1"/>
  <c r="AE260" i="1"/>
  <c r="AW256" i="1"/>
  <c r="AZ256" i="1" s="1"/>
  <c r="BB256" i="1"/>
  <c r="W249" i="1"/>
  <c r="Y218" i="1"/>
  <c r="AC176" i="1"/>
  <c r="R137" i="1"/>
  <c r="S137" i="1"/>
  <c r="Z296" i="1"/>
  <c r="Y296" i="1"/>
  <c r="Y294" i="1"/>
  <c r="Z294" i="1"/>
  <c r="Y282" i="1"/>
  <c r="Z282" i="1"/>
  <c r="BA249" i="1"/>
  <c r="BB249" i="1"/>
  <c r="BB239" i="1"/>
  <c r="Y206" i="1"/>
  <c r="Z206" i="1"/>
  <c r="Y191" i="1"/>
  <c r="Z191" i="1"/>
  <c r="AW189" i="1"/>
  <c r="AZ189" i="1" s="1"/>
  <c r="Z187" i="1"/>
  <c r="Y187" i="1"/>
  <c r="R143" i="1"/>
  <c r="S143" i="1"/>
  <c r="Z426" i="1"/>
  <c r="R377" i="1"/>
  <c r="AC374" i="1"/>
  <c r="AD374" i="1" s="1"/>
  <c r="S310" i="1"/>
  <c r="AE306" i="1"/>
  <c r="AC274" i="1"/>
  <c r="AD274" i="1" s="1"/>
  <c r="S274" i="1"/>
  <c r="V251" i="1"/>
  <c r="W251" i="1"/>
  <c r="S237" i="1"/>
  <c r="R237" i="1"/>
  <c r="W226" i="1"/>
  <c r="V226" i="1"/>
  <c r="V220" i="1"/>
  <c r="W220" i="1"/>
  <c r="AW204" i="1"/>
  <c r="AZ204" i="1" s="1"/>
  <c r="BB204" i="1"/>
  <c r="V185" i="1"/>
  <c r="W185" i="1"/>
  <c r="V132" i="1"/>
  <c r="W132" i="1"/>
  <c r="BB107" i="1"/>
  <c r="AU72" i="1"/>
  <c r="AO72" i="1" s="1"/>
  <c r="AV72" i="1" s="1"/>
  <c r="AU67" i="1"/>
  <c r="AO67" i="1" s="1"/>
  <c r="AV67" i="1" s="1"/>
  <c r="AU64" i="1"/>
  <c r="AO64" i="1" s="1"/>
  <c r="AV64" i="1" s="1"/>
  <c r="AW55" i="1"/>
  <c r="AU53" i="1"/>
  <c r="AO53" i="1" s="1"/>
  <c r="AV53" i="1" s="1"/>
  <c r="AZ53" i="1" s="1"/>
  <c r="AU284" i="1"/>
  <c r="V275" i="1"/>
  <c r="V234" i="1"/>
  <c r="AU222" i="1"/>
  <c r="Y211" i="1"/>
  <c r="AC191" i="1"/>
  <c r="AE191" i="1" s="1"/>
  <c r="Y190" i="1"/>
  <c r="Z188" i="1"/>
  <c r="AC156" i="1"/>
  <c r="AU152" i="1"/>
  <c r="AO152" i="1" s="1"/>
  <c r="AV152" i="1" s="1"/>
  <c r="AW143" i="1"/>
  <c r="AC139" i="1"/>
  <c r="AD139" i="1" s="1"/>
  <c r="AU116" i="1"/>
  <c r="AO116" i="1" s="1"/>
  <c r="Y112" i="1"/>
  <c r="BA107" i="1"/>
  <c r="W101" i="1"/>
  <c r="BB96" i="1"/>
  <c r="W86" i="1"/>
  <c r="Z85" i="1"/>
  <c r="Y77" i="1"/>
  <c r="AU75" i="1"/>
  <c r="AO75" i="1" s="1"/>
  <c r="AV75" i="1" s="1"/>
  <c r="AZ75" i="1" s="1"/>
  <c r="BA68" i="1"/>
  <c r="S61" i="1"/>
  <c r="AU58" i="1"/>
  <c r="AO58" i="1" s="1"/>
  <c r="AV58" i="1" s="1"/>
  <c r="W54" i="1"/>
  <c r="W47" i="1"/>
  <c r="R32" i="1"/>
  <c r="Z28" i="1"/>
  <c r="BB9" i="1"/>
  <c r="Z287" i="1"/>
  <c r="V281" i="1"/>
  <c r="AU254" i="1"/>
  <c r="AU220" i="1"/>
  <c r="BA96" i="1"/>
  <c r="BB91" i="1"/>
  <c r="BA66" i="1"/>
  <c r="R61" i="1"/>
  <c r="Z56" i="1"/>
  <c r="BA35" i="1"/>
  <c r="BB31" i="1"/>
  <c r="AU252" i="1"/>
  <c r="AU249" i="1"/>
  <c r="R245" i="1"/>
  <c r="BA231" i="1"/>
  <c r="AU230" i="1"/>
  <c r="AU214" i="1"/>
  <c r="AU212" i="1"/>
  <c r="S206" i="1"/>
  <c r="AC202" i="1"/>
  <c r="AD202" i="1" s="1"/>
  <c r="AU196" i="1"/>
  <c r="BA176" i="1"/>
  <c r="BB162" i="1"/>
  <c r="AU131" i="1"/>
  <c r="AO131" i="1" s="1"/>
  <c r="AU129" i="1"/>
  <c r="AO129" i="1" s="1"/>
  <c r="AV129" i="1" s="1"/>
  <c r="V118" i="1"/>
  <c r="S117" i="1"/>
  <c r="R113" i="1"/>
  <c r="BB109" i="1"/>
  <c r="W77" i="1"/>
  <c r="BB67" i="1"/>
  <c r="AW66" i="1"/>
  <c r="AW51" i="1"/>
  <c r="V48" i="1"/>
  <c r="S35" i="1"/>
  <c r="AD32" i="1"/>
  <c r="AW31" i="1"/>
  <c r="S24" i="1"/>
  <c r="AU133" i="1"/>
  <c r="AO133" i="1" s="1"/>
  <c r="AU149" i="1"/>
  <c r="AO149" i="1" s="1"/>
  <c r="AV149" i="1" s="1"/>
  <c r="BB118" i="1"/>
  <c r="R114" i="1"/>
  <c r="BB53" i="1"/>
  <c r="V2" i="1"/>
  <c r="AU292" i="1"/>
  <c r="AW280" i="1"/>
  <c r="AZ280" i="1" s="1"/>
  <c r="AC280" i="1"/>
  <c r="BB276" i="1"/>
  <c r="AU274" i="1"/>
  <c r="BB269" i="1"/>
  <c r="AW263" i="1"/>
  <c r="AZ263" i="1" s="1"/>
  <c r="AC263" i="1"/>
  <c r="AE263" i="1" s="1"/>
  <c r="BA260" i="1"/>
  <c r="V210" i="1"/>
  <c r="AW201" i="1"/>
  <c r="AZ201" i="1" s="1"/>
  <c r="AC199" i="1"/>
  <c r="AD199" i="1" s="1"/>
  <c r="BA198" i="1"/>
  <c r="BA187" i="1"/>
  <c r="AW181" i="1"/>
  <c r="AZ181" i="1" s="1"/>
  <c r="Y180" i="1"/>
  <c r="AC177" i="1"/>
  <c r="BA161" i="1"/>
  <c r="W144" i="1"/>
  <c r="V143" i="1"/>
  <c r="V142" i="1"/>
  <c r="V137" i="1"/>
  <c r="BB124" i="1"/>
  <c r="BA118" i="1"/>
  <c r="BB114" i="1"/>
  <c r="Y107" i="1"/>
  <c r="AU100" i="1"/>
  <c r="AO100" i="1" s="1"/>
  <c r="W97" i="1"/>
  <c r="BA87" i="1"/>
  <c r="AU77" i="1"/>
  <c r="AO77" i="1" s="1"/>
  <c r="AV77" i="1" s="1"/>
  <c r="AZ77" i="1" s="1"/>
  <c r="S77" i="1"/>
  <c r="BA56" i="1"/>
  <c r="BA53" i="1"/>
  <c r="AU47" i="1"/>
  <c r="AO47" i="1" s="1"/>
  <c r="AV47" i="1" s="1"/>
  <c r="W46" i="1"/>
  <c r="W39" i="1"/>
  <c r="AW34" i="1"/>
  <c r="W11" i="1"/>
  <c r="W10" i="1"/>
  <c r="Z9" i="1"/>
  <c r="BB125" i="1"/>
  <c r="AW114" i="1"/>
  <c r="AC112" i="1"/>
  <c r="AD112" i="1" s="1"/>
  <c r="Y105" i="1"/>
  <c r="AC77" i="1"/>
  <c r="AD77" i="1" s="1"/>
  <c r="R75" i="1"/>
  <c r="V72" i="1"/>
  <c r="V70" i="1"/>
  <c r="AW64" i="1"/>
  <c r="Y62" i="1"/>
  <c r="BB55" i="1"/>
  <c r="W36" i="1"/>
  <c r="AU34" i="1"/>
  <c r="AO34" i="1" s="1"/>
  <c r="AV34" i="1" s="1"/>
  <c r="AZ34" i="1" s="1"/>
  <c r="AU28" i="1"/>
  <c r="AO28" i="1" s="1"/>
  <c r="AV28" i="1" s="1"/>
  <c r="AZ28" i="1" s="1"/>
  <c r="AC20" i="1"/>
  <c r="AE20" i="1" s="1"/>
  <c r="AC17" i="1"/>
  <c r="AD17" i="1" s="1"/>
  <c r="AE387" i="1"/>
  <c r="AD387" i="1"/>
  <c r="S323" i="1"/>
  <c r="AC323" i="1"/>
  <c r="AE323" i="1" s="1"/>
  <c r="V145" i="1"/>
  <c r="W145" i="1"/>
  <c r="AC361" i="1"/>
  <c r="AD361" i="1" s="1"/>
  <c r="AD321" i="1"/>
  <c r="AE321" i="1"/>
  <c r="R271" i="1"/>
  <c r="AC271" i="1"/>
  <c r="Y265" i="1"/>
  <c r="Z265" i="1"/>
  <c r="Y454" i="1"/>
  <c r="AU453" i="1"/>
  <c r="AO453" i="1" s="1"/>
  <c r="AV453" i="1" s="1"/>
  <c r="S450" i="1"/>
  <c r="BA448" i="1"/>
  <c r="AU445" i="1"/>
  <c r="AO445" i="1" s="1"/>
  <c r="AV445" i="1" s="1"/>
  <c r="S442" i="1"/>
  <c r="Z439" i="1"/>
  <c r="BA437" i="1"/>
  <c r="Z436" i="1"/>
  <c r="Y434" i="1"/>
  <c r="AW430" i="1"/>
  <c r="R425" i="1"/>
  <c r="S424" i="1"/>
  <c r="BB417" i="1"/>
  <c r="AC416" i="1"/>
  <c r="AD416" i="1" s="1"/>
  <c r="BB414" i="1"/>
  <c r="Z412" i="1"/>
  <c r="AW406" i="1"/>
  <c r="R401" i="1"/>
  <c r="S400" i="1"/>
  <c r="Z391" i="1"/>
  <c r="AU390" i="1"/>
  <c r="AO390" i="1" s="1"/>
  <c r="AV390" i="1" s="1"/>
  <c r="AZ390" i="1" s="1"/>
  <c r="S387" i="1"/>
  <c r="BB382" i="1"/>
  <c r="AU371" i="1"/>
  <c r="AO371" i="1" s="1"/>
  <c r="AV371" i="1" s="1"/>
  <c r="AZ371" i="1" s="1"/>
  <c r="Z359" i="1"/>
  <c r="AU358" i="1"/>
  <c r="AO358" i="1" s="1"/>
  <c r="AV358" i="1" s="1"/>
  <c r="Z354" i="1"/>
  <c r="W351" i="1"/>
  <c r="Z345" i="1"/>
  <c r="Z343" i="1"/>
  <c r="AU342" i="1"/>
  <c r="AO342" i="1" s="1"/>
  <c r="AV342" i="1" s="1"/>
  <c r="Y341" i="1"/>
  <c r="R340" i="1"/>
  <c r="AC335" i="1"/>
  <c r="AD335" i="1" s="1"/>
  <c r="R335" i="1"/>
  <c r="Y333" i="1"/>
  <c r="Z333" i="1"/>
  <c r="S324" i="1"/>
  <c r="BB321" i="1"/>
  <c r="BA320" i="1"/>
  <c r="AC314" i="1"/>
  <c r="R314" i="1"/>
  <c r="S314" i="1"/>
  <c r="W309" i="1"/>
  <c r="BA296" i="1"/>
  <c r="S271" i="1"/>
  <c r="V268" i="1"/>
  <c r="W268" i="1"/>
  <c r="AU255" i="1"/>
  <c r="BA255" i="1"/>
  <c r="W206" i="1"/>
  <c r="Z168" i="1"/>
  <c r="Y168" i="1"/>
  <c r="AW111" i="1"/>
  <c r="AU111" i="1"/>
  <c r="AO111" i="1" s="1"/>
  <c r="AV111" i="1" s="1"/>
  <c r="AC70" i="1"/>
  <c r="S70" i="1"/>
  <c r="AC287" i="1"/>
  <c r="AE287" i="1" s="1"/>
  <c r="R287" i="1"/>
  <c r="S287" i="1"/>
  <c r="V213" i="1"/>
  <c r="W213" i="1"/>
  <c r="BA446" i="1"/>
  <c r="AC442" i="1"/>
  <c r="AD442" i="1" s="1"/>
  <c r="Z438" i="1"/>
  <c r="Y432" i="1"/>
  <c r="Y431" i="1"/>
  <c r="V429" i="1"/>
  <c r="BA426" i="1"/>
  <c r="S426" i="1"/>
  <c r="BA424" i="1"/>
  <c r="BB423" i="1"/>
  <c r="AW417" i="1"/>
  <c r="BA414" i="1"/>
  <c r="Y407" i="1"/>
  <c r="BA402" i="1"/>
  <c r="S402" i="1"/>
  <c r="R399" i="1"/>
  <c r="AC390" i="1"/>
  <c r="AD390" i="1" s="1"/>
  <c r="R387" i="1"/>
  <c r="BB385" i="1"/>
  <c r="R385" i="1"/>
  <c r="AC383" i="1"/>
  <c r="AD383" i="1" s="1"/>
  <c r="AU382" i="1"/>
  <c r="AO382" i="1" s="1"/>
  <c r="AV382" i="1" s="1"/>
  <c r="S382" i="1"/>
  <c r="Y377" i="1"/>
  <c r="BA367" i="1"/>
  <c r="BB366" i="1"/>
  <c r="Y357" i="1"/>
  <c r="BB345" i="1"/>
  <c r="AC340" i="1"/>
  <c r="W337" i="1"/>
  <c r="S335" i="1"/>
  <c r="BA333" i="1"/>
  <c r="AU326" i="1"/>
  <c r="AO326" i="1" s="1"/>
  <c r="AV326" i="1" s="1"/>
  <c r="AW326" i="1"/>
  <c r="R324" i="1"/>
  <c r="AU320" i="1"/>
  <c r="AO320" i="1" s="1"/>
  <c r="Y316" i="1"/>
  <c r="Z306" i="1"/>
  <c r="BA298" i="1"/>
  <c r="AW298" i="1"/>
  <c r="BB298" i="1"/>
  <c r="W294" i="1"/>
  <c r="BA265" i="1"/>
  <c r="BB265" i="1"/>
  <c r="AU183" i="1"/>
  <c r="AO183" i="1" s="1"/>
  <c r="AC450" i="1"/>
  <c r="AD450" i="1" s="1"/>
  <c r="AW446" i="1"/>
  <c r="AW426" i="1"/>
  <c r="AU424" i="1"/>
  <c r="AO424" i="1" s="1"/>
  <c r="AV424" i="1" s="1"/>
  <c r="AU412" i="1"/>
  <c r="AO412" i="1" s="1"/>
  <c r="AV412" i="1" s="1"/>
  <c r="AZ412" i="1" s="1"/>
  <c r="AU405" i="1"/>
  <c r="AO405" i="1" s="1"/>
  <c r="AV405" i="1" s="1"/>
  <c r="AW402" i="1"/>
  <c r="AU401" i="1"/>
  <c r="AO401" i="1" s="1"/>
  <c r="AC400" i="1"/>
  <c r="AD400" i="1" s="1"/>
  <c r="AC388" i="1"/>
  <c r="BA386" i="1"/>
  <c r="BA384" i="1"/>
  <c r="BA345" i="1"/>
  <c r="W341" i="1"/>
  <c r="S338" i="1"/>
  <c r="AC338" i="1"/>
  <c r="S336" i="1"/>
  <c r="R336" i="1"/>
  <c r="AW333" i="1"/>
  <c r="AW295" i="1"/>
  <c r="AZ295" i="1" s="1"/>
  <c r="BB295" i="1"/>
  <c r="AU290" i="1"/>
  <c r="BB290" i="1"/>
  <c r="Y270" i="1"/>
  <c r="Z270" i="1"/>
  <c r="AU250" i="1"/>
  <c r="V229" i="1"/>
  <c r="W229" i="1"/>
  <c r="R223" i="1"/>
  <c r="AC223" i="1"/>
  <c r="AD223" i="1" s="1"/>
  <c r="BA209" i="1"/>
  <c r="AW209" i="1"/>
  <c r="AZ209" i="1" s="1"/>
  <c r="BB209" i="1"/>
  <c r="BB207" i="1"/>
  <c r="AW207" i="1"/>
  <c r="AZ207" i="1" s="1"/>
  <c r="BA207" i="1"/>
  <c r="Z147" i="1"/>
  <c r="Y147" i="1"/>
  <c r="R278" i="1"/>
  <c r="AC278" i="1"/>
  <c r="AD278" i="1" s="1"/>
  <c r="Z449" i="1"/>
  <c r="BB447" i="1"/>
  <c r="Z442" i="1"/>
  <c r="S440" i="1"/>
  <c r="W438" i="1"/>
  <c r="AC424" i="1"/>
  <c r="AD424" i="1" s="1"/>
  <c r="BA422" i="1"/>
  <c r="Z415" i="1"/>
  <c r="BB412" i="1"/>
  <c r="R411" i="1"/>
  <c r="AU407" i="1"/>
  <c r="AO407" i="1" s="1"/>
  <c r="AV407" i="1" s="1"/>
  <c r="S395" i="1"/>
  <c r="S392" i="1"/>
  <c r="Z390" i="1"/>
  <c r="W389" i="1"/>
  <c r="Z383" i="1"/>
  <c r="AU379" i="1"/>
  <c r="AO379" i="1" s="1"/>
  <c r="S375" i="1"/>
  <c r="R366" i="1"/>
  <c r="R363" i="1"/>
  <c r="V359" i="1"/>
  <c r="AC358" i="1"/>
  <c r="AD358" i="1" s="1"/>
  <c r="W357" i="1"/>
  <c r="W354" i="1"/>
  <c r="R348" i="1"/>
  <c r="AU345" i="1"/>
  <c r="AO345" i="1" s="1"/>
  <c r="S344" i="1"/>
  <c r="W343" i="1"/>
  <c r="Z340" i="1"/>
  <c r="R338" i="1"/>
  <c r="R337" i="1"/>
  <c r="S337" i="1"/>
  <c r="AU333" i="1"/>
  <c r="AO333" i="1" s="1"/>
  <c r="R333" i="1"/>
  <c r="Y319" i="1"/>
  <c r="Z318" i="1"/>
  <c r="AW312" i="1"/>
  <c r="AD302" i="1"/>
  <c r="AE302" i="1"/>
  <c r="S302" i="1"/>
  <c r="R302" i="1"/>
  <c r="R290" i="1"/>
  <c r="AC290" i="1"/>
  <c r="S290" i="1"/>
  <c r="Z264" i="1"/>
  <c r="Y264" i="1"/>
  <c r="R242" i="1"/>
  <c r="AC242" i="1"/>
  <c r="AE242" i="1" s="1"/>
  <c r="Y234" i="1"/>
  <c r="Z234" i="1"/>
  <c r="Z172" i="1"/>
  <c r="Y172" i="1"/>
  <c r="S165" i="1"/>
  <c r="R165" i="1"/>
  <c r="AC165" i="1"/>
  <c r="AD165" i="1" s="1"/>
  <c r="Z444" i="1"/>
  <c r="BB433" i="1"/>
  <c r="V418" i="1"/>
  <c r="Y400" i="1"/>
  <c r="Z399" i="1"/>
  <c r="R395" i="1"/>
  <c r="S394" i="1"/>
  <c r="BB377" i="1"/>
  <c r="AC366" i="1"/>
  <c r="AD366" i="1" s="1"/>
  <c r="W356" i="1"/>
  <c r="Y329" i="1"/>
  <c r="Y321" i="1"/>
  <c r="Z321" i="1"/>
  <c r="W317" i="1"/>
  <c r="AU312" i="1"/>
  <c r="AO312" i="1" s="1"/>
  <c r="AV312" i="1" s="1"/>
  <c r="AW301" i="1"/>
  <c r="AC286" i="1"/>
  <c r="AD286" i="1" s="1"/>
  <c r="R286" i="1"/>
  <c r="S286" i="1"/>
  <c r="AC270" i="1"/>
  <c r="R270" i="1"/>
  <c r="Z243" i="1"/>
  <c r="Y243" i="1"/>
  <c r="S242" i="1"/>
  <c r="AW238" i="1"/>
  <c r="AZ238" i="1" s="1"/>
  <c r="BA238" i="1"/>
  <c r="W224" i="1"/>
  <c r="AU216" i="1"/>
  <c r="BB216" i="1"/>
  <c r="BA188" i="1"/>
  <c r="AU188" i="1"/>
  <c r="AW188" i="1"/>
  <c r="AZ188" i="1" s="1"/>
  <c r="Z186" i="1"/>
  <c r="V180" i="1"/>
  <c r="AW141" i="1"/>
  <c r="BA141" i="1"/>
  <c r="BB141" i="1"/>
  <c r="W140" i="1"/>
  <c r="Z353" i="1"/>
  <c r="Z351" i="1"/>
  <c r="AD337" i="1"/>
  <c r="AE337" i="1"/>
  <c r="Z302" i="1"/>
  <c r="V293" i="1"/>
  <c r="W293" i="1"/>
  <c r="W291" i="1"/>
  <c r="V291" i="1"/>
  <c r="W289" i="1"/>
  <c r="V289" i="1"/>
  <c r="Y271" i="1"/>
  <c r="Z271" i="1"/>
  <c r="R254" i="1"/>
  <c r="S254" i="1"/>
  <c r="R232" i="1"/>
  <c r="AC232" i="1"/>
  <c r="AD232" i="1" s="1"/>
  <c r="AW224" i="1"/>
  <c r="AZ224" i="1" s="1"/>
  <c r="BB224" i="1"/>
  <c r="W127" i="1"/>
  <c r="V127" i="1"/>
  <c r="AC124" i="1"/>
  <c r="AD124" i="1" s="1"/>
  <c r="S124" i="1"/>
  <c r="W448" i="1"/>
  <c r="Y446" i="1"/>
  <c r="W444" i="1"/>
  <c r="V441" i="1"/>
  <c r="BB430" i="1"/>
  <c r="Z414" i="1"/>
  <c r="V399" i="1"/>
  <c r="AC396" i="1"/>
  <c r="AD396" i="1" s="1"/>
  <c r="BB388" i="1"/>
  <c r="W386" i="1"/>
  <c r="V382" i="1"/>
  <c r="V352" i="1"/>
  <c r="V346" i="1"/>
  <c r="AC333" i="1"/>
  <c r="R303" i="1"/>
  <c r="AC303" i="1"/>
  <c r="R284" i="1"/>
  <c r="AC284" i="1"/>
  <c r="AD284" i="1" s="1"/>
  <c r="Z257" i="1"/>
  <c r="Y257" i="1"/>
  <c r="Y255" i="1"/>
  <c r="Z255" i="1"/>
  <c r="V237" i="1"/>
  <c r="Z217" i="1"/>
  <c r="AW205" i="1"/>
  <c r="AZ205" i="1" s="1"/>
  <c r="BB205" i="1"/>
  <c r="V182" i="1"/>
  <c r="Y167" i="1"/>
  <c r="Z167" i="1"/>
  <c r="S142" i="1"/>
  <c r="AC142" i="1"/>
  <c r="AE142" i="1" s="1"/>
  <c r="V250" i="1"/>
  <c r="W248" i="1"/>
  <c r="Z245" i="1"/>
  <c r="W240" i="1"/>
  <c r="W236" i="1"/>
  <c r="V218" i="1"/>
  <c r="W217" i="1"/>
  <c r="W214" i="1"/>
  <c r="W190" i="1"/>
  <c r="W186" i="1"/>
  <c r="W172" i="1"/>
  <c r="V172" i="1"/>
  <c r="BA154" i="1"/>
  <c r="AW154" i="1"/>
  <c r="BB154" i="1"/>
  <c r="V148" i="1"/>
  <c r="W148" i="1"/>
  <c r="W112" i="1"/>
  <c r="W102" i="1"/>
  <c r="V102" i="1"/>
  <c r="W92" i="1"/>
  <c r="V92" i="1"/>
  <c r="W78" i="1"/>
  <c r="V78" i="1"/>
  <c r="BB46" i="1"/>
  <c r="BA46" i="1"/>
  <c r="BA42" i="1"/>
  <c r="AW42" i="1"/>
  <c r="BB42" i="1"/>
  <c r="W4" i="1"/>
  <c r="AU295" i="1"/>
  <c r="R295" i="1"/>
  <c r="S294" i="1"/>
  <c r="AU248" i="1"/>
  <c r="AW175" i="1"/>
  <c r="AZ175" i="1" s="1"/>
  <c r="BB175" i="1"/>
  <c r="S92" i="1"/>
  <c r="AC92" i="1"/>
  <c r="AE92" i="1" s="1"/>
  <c r="R92" i="1"/>
  <c r="AU78" i="1"/>
  <c r="AO78" i="1" s="1"/>
  <c r="AV78" i="1" s="1"/>
  <c r="BA78" i="1"/>
  <c r="AC78" i="1"/>
  <c r="AD78" i="1" s="1"/>
  <c r="S78" i="1"/>
  <c r="BA39" i="1"/>
  <c r="AW39" i="1"/>
  <c r="AC299" i="1"/>
  <c r="AU287" i="1"/>
  <c r="R238" i="1"/>
  <c r="BB236" i="1"/>
  <c r="AC234" i="1"/>
  <c r="AE234" i="1" s="1"/>
  <c r="S234" i="1"/>
  <c r="R233" i="1"/>
  <c r="AU228" i="1"/>
  <c r="W227" i="1"/>
  <c r="BB220" i="1"/>
  <c r="S209" i="1"/>
  <c r="S208" i="1"/>
  <c r="Z198" i="1"/>
  <c r="R195" i="1"/>
  <c r="W192" i="1"/>
  <c r="AU187" i="1"/>
  <c r="BB183" i="1"/>
  <c r="Z182" i="1"/>
  <c r="Z165" i="1"/>
  <c r="W163" i="1"/>
  <c r="V163" i="1"/>
  <c r="Y159" i="1"/>
  <c r="Z159" i="1"/>
  <c r="S148" i="1"/>
  <c r="BB146" i="1"/>
  <c r="AU141" i="1"/>
  <c r="AO141" i="1" s="1"/>
  <c r="AV141" i="1" s="1"/>
  <c r="AZ141" i="1" s="1"/>
  <c r="AV130" i="1"/>
  <c r="AZ130" i="1" s="1"/>
  <c r="AW121" i="1"/>
  <c r="AU121" i="1"/>
  <c r="AO121" i="1" s="1"/>
  <c r="AV121" i="1" s="1"/>
  <c r="R118" i="1"/>
  <c r="BB89" i="1"/>
  <c r="AW89" i="1"/>
  <c r="R79" i="1"/>
  <c r="AC79" i="1"/>
  <c r="AD79" i="1" s="1"/>
  <c r="W43" i="1"/>
  <c r="V43" i="1"/>
  <c r="AU324" i="1"/>
  <c r="AO324" i="1" s="1"/>
  <c r="AV324" i="1" s="1"/>
  <c r="BA308" i="1"/>
  <c r="BB306" i="1"/>
  <c r="R306" i="1"/>
  <c r="AC295" i="1"/>
  <c r="AU260" i="1"/>
  <c r="AD257" i="1"/>
  <c r="R257" i="1"/>
  <c r="BA252" i="1"/>
  <c r="S250" i="1"/>
  <c r="S249" i="1"/>
  <c r="S248" i="1"/>
  <c r="S240" i="1"/>
  <c r="Z237" i="1"/>
  <c r="BB233" i="1"/>
  <c r="S225" i="1"/>
  <c r="Z223" i="1"/>
  <c r="BA220" i="1"/>
  <c r="AC218" i="1"/>
  <c r="AE218" i="1" s="1"/>
  <c r="S218" i="1"/>
  <c r="S217" i="1"/>
  <c r="Y212" i="1"/>
  <c r="AC209" i="1"/>
  <c r="AD209" i="1" s="1"/>
  <c r="W196" i="1"/>
  <c r="R190" i="1"/>
  <c r="BA183" i="1"/>
  <c r="AU181" i="1"/>
  <c r="V179" i="1"/>
  <c r="R174" i="1"/>
  <c r="W170" i="1"/>
  <c r="AW165" i="1"/>
  <c r="AZ165" i="1" s="1"/>
  <c r="BB165" i="1"/>
  <c r="Y160" i="1"/>
  <c r="V159" i="1"/>
  <c r="V151" i="1"/>
  <c r="BB147" i="1"/>
  <c r="BA146" i="1"/>
  <c r="AU136" i="1"/>
  <c r="AO136" i="1" s="1"/>
  <c r="AV136" i="1" s="1"/>
  <c r="AZ136" i="1" s="1"/>
  <c r="Y129" i="1"/>
  <c r="Z129" i="1"/>
  <c r="BA93" i="1"/>
  <c r="AU93" i="1"/>
  <c r="AO93" i="1" s="1"/>
  <c r="AV93" i="1" s="1"/>
  <c r="AZ93" i="1" s="1"/>
  <c r="W90" i="1"/>
  <c r="Z83" i="1"/>
  <c r="Y83" i="1"/>
  <c r="W80" i="1"/>
  <c r="V80" i="1"/>
  <c r="S79" i="1"/>
  <c r="V76" i="1"/>
  <c r="BA71" i="1"/>
  <c r="AW71" i="1"/>
  <c r="R43" i="1"/>
  <c r="AC43" i="1"/>
  <c r="S43" i="1"/>
  <c r="AU247" i="1"/>
  <c r="AW233" i="1"/>
  <c r="AZ233" i="1" s="1"/>
  <c r="BB217" i="1"/>
  <c r="BA208" i="1"/>
  <c r="AC207" i="1"/>
  <c r="AD207" i="1" s="1"/>
  <c r="AU205" i="1"/>
  <c r="BB189" i="1"/>
  <c r="S164" i="1"/>
  <c r="R164" i="1"/>
  <c r="BA158" i="1"/>
  <c r="AW158" i="1"/>
  <c r="BB155" i="1"/>
  <c r="AU154" i="1"/>
  <c r="AO154" i="1" s="1"/>
  <c r="AV154" i="1" s="1"/>
  <c r="AW147" i="1"/>
  <c r="AV120" i="1"/>
  <c r="R80" i="1"/>
  <c r="AC80" i="1"/>
  <c r="BB39" i="1"/>
  <c r="Y12" i="1"/>
  <c r="Z12" i="1"/>
  <c r="AC316" i="1"/>
  <c r="AD316" i="1" s="1"/>
  <c r="AW304" i="1"/>
  <c r="AC282" i="1"/>
  <c r="AC279" i="1"/>
  <c r="AE279" i="1" s="1"/>
  <c r="BB274" i="1"/>
  <c r="BA272" i="1"/>
  <c r="AU265" i="1"/>
  <c r="BA256" i="1"/>
  <c r="AC250" i="1"/>
  <c r="AE250" i="1" s="1"/>
  <c r="AW249" i="1"/>
  <c r="AZ249" i="1" s="1"/>
  <c r="BB248" i="1"/>
  <c r="AC238" i="1"/>
  <c r="AD238" i="1" s="1"/>
  <c r="AU233" i="1"/>
  <c r="BB225" i="1"/>
  <c r="AW217" i="1"/>
  <c r="AZ217" i="1" s="1"/>
  <c r="AC208" i="1"/>
  <c r="AD208" i="1" s="1"/>
  <c r="AU207" i="1"/>
  <c r="R201" i="1"/>
  <c r="BB190" i="1"/>
  <c r="R185" i="1"/>
  <c r="BA175" i="1"/>
  <c r="AE148" i="1"/>
  <c r="Y141" i="1"/>
  <c r="Z141" i="1"/>
  <c r="BB139" i="1"/>
  <c r="AW139" i="1"/>
  <c r="BA139" i="1"/>
  <c r="BB123" i="1"/>
  <c r="BA123" i="1"/>
  <c r="W116" i="1"/>
  <c r="V116" i="1"/>
  <c r="BA69" i="1"/>
  <c r="AW69" i="1"/>
  <c r="BB69" i="1"/>
  <c r="W38" i="1"/>
  <c r="V38" i="1"/>
  <c r="Z20" i="1"/>
  <c r="AV122" i="1"/>
  <c r="AZ122" i="1" s="1"/>
  <c r="S114" i="1"/>
  <c r="BA112" i="1"/>
  <c r="S103" i="1"/>
  <c r="S100" i="1"/>
  <c r="AV83" i="1"/>
  <c r="R24" i="1"/>
  <c r="AU6" i="1"/>
  <c r="AO6" i="1" s="1"/>
  <c r="AV6" i="1" s="1"/>
  <c r="AZ6" i="1" s="1"/>
  <c r="AW2" i="1"/>
  <c r="AU161" i="1"/>
  <c r="AO161" i="1" s="1"/>
  <c r="AV161" i="1" s="1"/>
  <c r="AZ161" i="1" s="1"/>
  <c r="AU147" i="1"/>
  <c r="AO147" i="1" s="1"/>
  <c r="AV147" i="1" s="1"/>
  <c r="AU146" i="1"/>
  <c r="AO146" i="1" s="1"/>
  <c r="AV146" i="1" s="1"/>
  <c r="AZ146" i="1" s="1"/>
  <c r="Z122" i="1"/>
  <c r="AW115" i="1"/>
  <c r="AU114" i="1"/>
  <c r="AO114" i="1" s="1"/>
  <c r="Y108" i="1"/>
  <c r="V107" i="1"/>
  <c r="Z103" i="1"/>
  <c r="Y94" i="1"/>
  <c r="AW83" i="1"/>
  <c r="AW81" i="1"/>
  <c r="AU66" i="1"/>
  <c r="AO66" i="1" s="1"/>
  <c r="AC53" i="1"/>
  <c r="AD53" i="1" s="1"/>
  <c r="AW50" i="1"/>
  <c r="AU49" i="1"/>
  <c r="AO49" i="1" s="1"/>
  <c r="AV49" i="1" s="1"/>
  <c r="AU45" i="1"/>
  <c r="AO45" i="1" s="1"/>
  <c r="AV45" i="1" s="1"/>
  <c r="BA41" i="1"/>
  <c r="AU31" i="1"/>
  <c r="AO31" i="1" s="1"/>
  <c r="AC30" i="1"/>
  <c r="AE30" i="1" s="1"/>
  <c r="AU23" i="1"/>
  <c r="AO23" i="1" s="1"/>
  <c r="Z151" i="1"/>
  <c r="W150" i="1"/>
  <c r="BB133" i="1"/>
  <c r="S133" i="1"/>
  <c r="AU91" i="1"/>
  <c r="AO91" i="1" s="1"/>
  <c r="AU81" i="1"/>
  <c r="AO81" i="1" s="1"/>
  <c r="AV81" i="1" s="1"/>
  <c r="AZ81" i="1" s="1"/>
  <c r="BB77" i="1"/>
  <c r="BB75" i="1"/>
  <c r="S71" i="1"/>
  <c r="S69" i="1"/>
  <c r="AU57" i="1"/>
  <c r="AO57" i="1" s="1"/>
  <c r="AV57" i="1" s="1"/>
  <c r="Z51" i="1"/>
  <c r="AU50" i="1"/>
  <c r="AO50" i="1" s="1"/>
  <c r="AV50" i="1" s="1"/>
  <c r="BB47" i="1"/>
  <c r="AW41" i="1"/>
  <c r="AU39" i="1"/>
  <c r="AO39" i="1" s="1"/>
  <c r="AV39" i="1" s="1"/>
  <c r="BB37" i="1"/>
  <c r="S27" i="1"/>
  <c r="R167" i="1"/>
  <c r="AU139" i="1"/>
  <c r="AO139" i="1" s="1"/>
  <c r="AV139" i="1" s="1"/>
  <c r="AZ139" i="1" s="1"/>
  <c r="R133" i="1"/>
  <c r="Y117" i="1"/>
  <c r="Z116" i="1"/>
  <c r="Z115" i="1"/>
  <c r="R111" i="1"/>
  <c r="W110" i="1"/>
  <c r="Y104" i="1"/>
  <c r="V103" i="1"/>
  <c r="Z102" i="1"/>
  <c r="AU101" i="1"/>
  <c r="AO101" i="1" s="1"/>
  <c r="AV101" i="1" s="1"/>
  <c r="AZ101" i="1" s="1"/>
  <c r="Z96" i="1"/>
  <c r="W94" i="1"/>
  <c r="BA91" i="1"/>
  <c r="W88" i="1"/>
  <c r="BA77" i="1"/>
  <c r="BA75" i="1"/>
  <c r="R71" i="1"/>
  <c r="R69" i="1"/>
  <c r="Y68" i="1"/>
  <c r="W64" i="1"/>
  <c r="W62" i="1"/>
  <c r="Z48" i="1"/>
  <c r="AW47" i="1"/>
  <c r="S47" i="1"/>
  <c r="BB45" i="1"/>
  <c r="AU41" i="1"/>
  <c r="AO41" i="1" s="1"/>
  <c r="AV41" i="1" s="1"/>
  <c r="AZ41" i="1" s="1"/>
  <c r="Z40" i="1"/>
  <c r="BA37" i="1"/>
  <c r="W34" i="1"/>
  <c r="R27" i="1"/>
  <c r="Z23" i="1"/>
  <c r="S19" i="1"/>
  <c r="W16" i="1"/>
  <c r="W15" i="1"/>
  <c r="S12" i="1"/>
  <c r="AU4" i="1"/>
  <c r="AO4" i="1" s="1"/>
  <c r="AV4" i="1" s="1"/>
  <c r="AW106" i="1"/>
  <c r="W105" i="1"/>
  <c r="V84" i="1"/>
  <c r="W56" i="1"/>
  <c r="V52" i="1"/>
  <c r="Z50" i="1"/>
  <c r="AC12" i="1"/>
  <c r="AU10" i="1"/>
  <c r="AO10" i="1" s="1"/>
  <c r="AC4" i="1"/>
  <c r="AD4" i="1" s="1"/>
  <c r="W66" i="1"/>
  <c r="W51" i="1"/>
  <c r="V40" i="1"/>
  <c r="W31" i="1"/>
  <c r="AE427" i="1"/>
  <c r="AD427" i="1"/>
  <c r="AE403" i="1"/>
  <c r="AD403" i="1"/>
  <c r="AU404" i="1"/>
  <c r="AO404" i="1" s="1"/>
  <c r="AV404" i="1" s="1"/>
  <c r="AE395" i="1"/>
  <c r="AD395" i="1"/>
  <c r="BB450" i="1"/>
  <c r="AT448" i="1"/>
  <c r="AU448" i="1" s="1"/>
  <c r="AO448" i="1" s="1"/>
  <c r="AV448" i="1" s="1"/>
  <c r="AZ448" i="1" s="1"/>
  <c r="S443" i="1"/>
  <c r="AC434" i="1"/>
  <c r="AD434" i="1" s="1"/>
  <c r="W455" i="1"/>
  <c r="AC454" i="1"/>
  <c r="AD454" i="1" s="1"/>
  <c r="R453" i="1"/>
  <c r="BA450" i="1"/>
  <c r="V449" i="1"/>
  <c r="W447" i="1"/>
  <c r="AC446" i="1"/>
  <c r="AD446" i="1" s="1"/>
  <c r="R445" i="1"/>
  <c r="AW443" i="1"/>
  <c r="R443" i="1"/>
  <c r="BA438" i="1"/>
  <c r="BB436" i="1"/>
  <c r="S434" i="1"/>
  <c r="AC432" i="1"/>
  <c r="W431" i="1"/>
  <c r="S430" i="1"/>
  <c r="AC428" i="1"/>
  <c r="S427" i="1"/>
  <c r="AW425" i="1"/>
  <c r="Y424" i="1"/>
  <c r="R422" i="1"/>
  <c r="R419" i="1"/>
  <c r="AU417" i="1"/>
  <c r="AO417" i="1" s="1"/>
  <c r="AV417" i="1" s="1"/>
  <c r="R417" i="1"/>
  <c r="AU415" i="1"/>
  <c r="AO415" i="1" s="1"/>
  <c r="AV415" i="1" s="1"/>
  <c r="R415" i="1"/>
  <c r="V411" i="1"/>
  <c r="AV409" i="1"/>
  <c r="W407" i="1"/>
  <c r="AT406" i="1"/>
  <c r="AU406" i="1" s="1"/>
  <c r="AO406" i="1" s="1"/>
  <c r="AV406" i="1" s="1"/>
  <c r="R406" i="1"/>
  <c r="AC404" i="1"/>
  <c r="S403" i="1"/>
  <c r="AW401" i="1"/>
  <c r="AV398" i="1"/>
  <c r="AZ398" i="1" s="1"/>
  <c r="Z398" i="1"/>
  <c r="BA394" i="1"/>
  <c r="W394" i="1"/>
  <c r="BA392" i="1"/>
  <c r="AU391" i="1"/>
  <c r="AO391" i="1" s="1"/>
  <c r="R391" i="1"/>
  <c r="AW388" i="1"/>
  <c r="Z388" i="1"/>
  <c r="AW386" i="1"/>
  <c r="AU384" i="1"/>
  <c r="AO384" i="1" s="1"/>
  <c r="AV384" i="1" s="1"/>
  <c r="S384" i="1"/>
  <c r="Y381" i="1"/>
  <c r="AV379" i="1"/>
  <c r="AC379" i="1"/>
  <c r="R379" i="1"/>
  <c r="R378" i="1"/>
  <c r="AC377" i="1"/>
  <c r="AD377" i="1" s="1"/>
  <c r="S376" i="1"/>
  <c r="AC373" i="1"/>
  <c r="AU372" i="1"/>
  <c r="AO372" i="1" s="1"/>
  <c r="W372" i="1"/>
  <c r="S371" i="1"/>
  <c r="Z370" i="1"/>
  <c r="AU368" i="1"/>
  <c r="AO368" i="1" s="1"/>
  <c r="AV368" i="1" s="1"/>
  <c r="S368" i="1"/>
  <c r="Z367" i="1"/>
  <c r="AW366" i="1"/>
  <c r="AE365" i="1"/>
  <c r="Y363" i="1"/>
  <c r="Z363" i="1"/>
  <c r="BA359" i="1"/>
  <c r="AC357" i="1"/>
  <c r="S357" i="1"/>
  <c r="R352" i="1"/>
  <c r="AC352" i="1"/>
  <c r="R308" i="1"/>
  <c r="AC308" i="1"/>
  <c r="S307" i="1"/>
  <c r="R307" i="1"/>
  <c r="BB300" i="1"/>
  <c r="AU300" i="1"/>
  <c r="AO300" i="1" s="1"/>
  <c r="AW300" i="1"/>
  <c r="R298" i="1"/>
  <c r="S298" i="1"/>
  <c r="AT454" i="1"/>
  <c r="AU454" i="1" s="1"/>
  <c r="AO454" i="1" s="1"/>
  <c r="AV454" i="1" s="1"/>
  <c r="AZ454" i="1" s="1"/>
  <c r="BB453" i="1"/>
  <c r="BB438" i="1"/>
  <c r="BA452" i="1"/>
  <c r="BA444" i="1"/>
  <c r="BA436" i="1"/>
  <c r="W436" i="1"/>
  <c r="W433" i="1"/>
  <c r="R430" i="1"/>
  <c r="R427" i="1"/>
  <c r="AU425" i="1"/>
  <c r="AO425" i="1" s="1"/>
  <c r="AV425" i="1" s="1"/>
  <c r="AC422" i="1"/>
  <c r="AD422" i="1" s="1"/>
  <c r="AC419" i="1"/>
  <c r="BA418" i="1"/>
  <c r="BA416" i="1"/>
  <c r="W409" i="1"/>
  <c r="Y408" i="1"/>
  <c r="AC406" i="1"/>
  <c r="AD406" i="1" s="1"/>
  <c r="BB404" i="1"/>
  <c r="R403" i="1"/>
  <c r="AU399" i="1"/>
  <c r="AO399" i="1" s="1"/>
  <c r="AV399" i="1" s="1"/>
  <c r="AW394" i="1"/>
  <c r="AU392" i="1"/>
  <c r="AO392" i="1" s="1"/>
  <c r="AV392" i="1" s="1"/>
  <c r="BB383" i="1"/>
  <c r="R376" i="1"/>
  <c r="R371" i="1"/>
  <c r="AU366" i="1"/>
  <c r="AO366" i="1" s="1"/>
  <c r="AV366" i="1" s="1"/>
  <c r="AZ366" i="1" s="1"/>
  <c r="AW359" i="1"/>
  <c r="BB356" i="1"/>
  <c r="AW324" i="1"/>
  <c r="BA324" i="1"/>
  <c r="AD324" i="1"/>
  <c r="AE324" i="1"/>
  <c r="AW314" i="1"/>
  <c r="BA314" i="1"/>
  <c r="BB314" i="1"/>
  <c r="R288" i="1"/>
  <c r="AC288" i="1"/>
  <c r="S454" i="1"/>
  <c r="AW452" i="1"/>
  <c r="AT450" i="1"/>
  <c r="AU450" i="1" s="1"/>
  <c r="AO450" i="1" s="1"/>
  <c r="AV450" i="1" s="1"/>
  <c r="AZ450" i="1" s="1"/>
  <c r="AW444" i="1"/>
  <c r="W439" i="1"/>
  <c r="AT438" i="1"/>
  <c r="AU438" i="1" s="1"/>
  <c r="AO438" i="1" s="1"/>
  <c r="AV438" i="1" s="1"/>
  <c r="AZ438" i="1" s="1"/>
  <c r="W426" i="1"/>
  <c r="Z420" i="1"/>
  <c r="AW418" i="1"/>
  <c r="AT416" i="1"/>
  <c r="AU416" i="1" s="1"/>
  <c r="AO416" i="1" s="1"/>
  <c r="AV416" i="1" s="1"/>
  <c r="Z410" i="1"/>
  <c r="W402" i="1"/>
  <c r="BA400" i="1"/>
  <c r="AC384" i="1"/>
  <c r="AD384" i="1" s="1"/>
  <c r="BA383" i="1"/>
  <c r="Z369" i="1"/>
  <c r="AC368" i="1"/>
  <c r="Z364" i="1"/>
  <c r="Z362" i="1"/>
  <c r="AC360" i="1"/>
  <c r="BA356" i="1"/>
  <c r="Y346" i="1"/>
  <c r="Z346" i="1"/>
  <c r="Y336" i="1"/>
  <c r="Z336" i="1"/>
  <c r="Z334" i="1"/>
  <c r="Y334" i="1"/>
  <c r="AV311" i="1"/>
  <c r="Y303" i="1"/>
  <c r="Z303" i="1"/>
  <c r="AT446" i="1"/>
  <c r="AU446" i="1" s="1"/>
  <c r="AO446" i="1" s="1"/>
  <c r="AV446" i="1" s="1"/>
  <c r="AZ446" i="1" s="1"/>
  <c r="Z453" i="1"/>
  <c r="AT452" i="1"/>
  <c r="AU452" i="1" s="1"/>
  <c r="AO452" i="1" s="1"/>
  <c r="AV452" i="1" s="1"/>
  <c r="W451" i="1"/>
  <c r="R449" i="1"/>
  <c r="Z448" i="1"/>
  <c r="Z445" i="1"/>
  <c r="AT444" i="1"/>
  <c r="AU444" i="1" s="1"/>
  <c r="AO444" i="1" s="1"/>
  <c r="AV444" i="1" s="1"/>
  <c r="AV440" i="1"/>
  <c r="AZ440" i="1" s="1"/>
  <c r="AT436" i="1"/>
  <c r="AU436" i="1" s="1"/>
  <c r="AO436" i="1" s="1"/>
  <c r="AV436" i="1" s="1"/>
  <c r="AZ436" i="1" s="1"/>
  <c r="Z428" i="1"/>
  <c r="AU423" i="1"/>
  <c r="AO423" i="1" s="1"/>
  <c r="AV423" i="1" s="1"/>
  <c r="R423" i="1"/>
  <c r="AV422" i="1"/>
  <c r="AZ422" i="1" s="1"/>
  <c r="Z422" i="1"/>
  <c r="AC412" i="1"/>
  <c r="AD412" i="1" s="1"/>
  <c r="AW409" i="1"/>
  <c r="Z406" i="1"/>
  <c r="AW404" i="1"/>
  <c r="Z404" i="1"/>
  <c r="AU400" i="1"/>
  <c r="AO400" i="1" s="1"/>
  <c r="AV400" i="1" s="1"/>
  <c r="BB399" i="1"/>
  <c r="AU397" i="1"/>
  <c r="AO397" i="1" s="1"/>
  <c r="AV397" i="1" s="1"/>
  <c r="W397" i="1"/>
  <c r="V395" i="1"/>
  <c r="S390" i="1"/>
  <c r="S386" i="1"/>
  <c r="W385" i="1"/>
  <c r="AU383" i="1"/>
  <c r="AO383" i="1" s="1"/>
  <c r="AV383" i="1" s="1"/>
  <c r="AZ383" i="1" s="1"/>
  <c r="Z382" i="1"/>
  <c r="AC380" i="1"/>
  <c r="AD380" i="1" s="1"/>
  <c r="AW379" i="1"/>
  <c r="W373" i="1"/>
  <c r="W370" i="1"/>
  <c r="W367" i="1"/>
  <c r="Z358" i="1"/>
  <c r="AU355" i="1"/>
  <c r="AO355" i="1" s="1"/>
  <c r="AV355" i="1" s="1"/>
  <c r="AW355" i="1"/>
  <c r="R355" i="1"/>
  <c r="S355" i="1"/>
  <c r="AC355" i="1"/>
  <c r="AD355" i="1" s="1"/>
  <c r="V336" i="1"/>
  <c r="W336" i="1"/>
  <c r="V334" i="1"/>
  <c r="W334" i="1"/>
  <c r="AC326" i="1"/>
  <c r="R326" i="1"/>
  <c r="S326" i="1"/>
  <c r="AC307" i="1"/>
  <c r="AC298" i="1"/>
  <c r="V297" i="1"/>
  <c r="W297" i="1"/>
  <c r="AU294" i="1"/>
  <c r="BB294" i="1"/>
  <c r="AE452" i="1"/>
  <c r="AE444" i="1"/>
  <c r="W437" i="1"/>
  <c r="W434" i="1"/>
  <c r="AV430" i="1"/>
  <c r="AZ430" i="1" s="1"/>
  <c r="Z430" i="1"/>
  <c r="Z423" i="1"/>
  <c r="AV421" i="1"/>
  <c r="V419" i="1"/>
  <c r="W415" i="1"/>
  <c r="AT414" i="1"/>
  <c r="AU414" i="1" s="1"/>
  <c r="AO414" i="1" s="1"/>
  <c r="AV414" i="1" s="1"/>
  <c r="AZ414" i="1" s="1"/>
  <c r="AD411" i="1"/>
  <c r="W393" i="1"/>
  <c r="W391" i="1"/>
  <c r="Z386" i="1"/>
  <c r="Y384" i="1"/>
  <c r="W378" i="1"/>
  <c r="Z371" i="1"/>
  <c r="Y365" i="1"/>
  <c r="AU353" i="1"/>
  <c r="AO353" i="1" s="1"/>
  <c r="AV353" i="1" s="1"/>
  <c r="AW353" i="1"/>
  <c r="BA350" i="1"/>
  <c r="AW350" i="1"/>
  <c r="W349" i="1"/>
  <c r="Y348" i="1"/>
  <c r="Z348" i="1"/>
  <c r="BA316" i="1"/>
  <c r="BB316" i="1"/>
  <c r="AU316" i="1"/>
  <c r="AO316" i="1" s="1"/>
  <c r="AV316" i="1" s="1"/>
  <c r="V314" i="1"/>
  <c r="W314" i="1"/>
  <c r="BA285" i="1"/>
  <c r="AW285" i="1"/>
  <c r="AZ285" i="1" s="1"/>
  <c r="BB285" i="1"/>
  <c r="V445" i="1"/>
  <c r="Y440" i="1"/>
  <c r="V427" i="1"/>
  <c r="W417" i="1"/>
  <c r="Y416" i="1"/>
  <c r="V403" i="1"/>
  <c r="Y392" i="1"/>
  <c r="AD381" i="1"/>
  <c r="W369" i="1"/>
  <c r="V368" i="1"/>
  <c r="W360" i="1"/>
  <c r="V360" i="1"/>
  <c r="S350" i="1"/>
  <c r="R350" i="1"/>
  <c r="AU348" i="1"/>
  <c r="AO348" i="1" s="1"/>
  <c r="AW348" i="1"/>
  <c r="BA348" i="1"/>
  <c r="R347" i="1"/>
  <c r="S347" i="1"/>
  <c r="AC347" i="1"/>
  <c r="AD347" i="1" s="1"/>
  <c r="S342" i="1"/>
  <c r="R342" i="1"/>
  <c r="BB331" i="1"/>
  <c r="AW331" i="1"/>
  <c r="S315" i="1"/>
  <c r="AC315" i="1"/>
  <c r="R315" i="1"/>
  <c r="AD311" i="1"/>
  <c r="AU307" i="1"/>
  <c r="AO307" i="1" s="1"/>
  <c r="AV307" i="1" s="1"/>
  <c r="BA307" i="1"/>
  <c r="BB307" i="1"/>
  <c r="Y295" i="1"/>
  <c r="Z295" i="1"/>
  <c r="Z290" i="1"/>
  <c r="Y290" i="1"/>
  <c r="AT408" i="1"/>
  <c r="AU408" i="1" s="1"/>
  <c r="AO408" i="1" s="1"/>
  <c r="AV408" i="1" s="1"/>
  <c r="AW316" i="1"/>
  <c r="W286" i="1"/>
  <c r="V286" i="1"/>
  <c r="AT432" i="1"/>
  <c r="AU432" i="1" s="1"/>
  <c r="AO432" i="1" s="1"/>
  <c r="AV432" i="1" s="1"/>
  <c r="BB425" i="1"/>
  <c r="AC420" i="1"/>
  <c r="AD420" i="1" s="1"/>
  <c r="BB401" i="1"/>
  <c r="AV396" i="1"/>
  <c r="AZ396" i="1" s="1"/>
  <c r="R393" i="1"/>
  <c r="BA376" i="1"/>
  <c r="S373" i="1"/>
  <c r="R361" i="1"/>
  <c r="S360" i="1"/>
  <c r="BB348" i="1"/>
  <c r="BA331" i="1"/>
  <c r="Z312" i="1"/>
  <c r="Y312" i="1"/>
  <c r="AE291" i="1"/>
  <c r="AD291" i="1"/>
  <c r="AW271" i="1"/>
  <c r="AZ271" i="1" s="1"/>
  <c r="AU271" i="1"/>
  <c r="BB271" i="1"/>
  <c r="AU246" i="1"/>
  <c r="AW246" i="1"/>
  <c r="AZ246" i="1" s="1"/>
  <c r="BA246" i="1"/>
  <c r="BB246" i="1"/>
  <c r="W241" i="1"/>
  <c r="V241" i="1"/>
  <c r="V222" i="1"/>
  <c r="W222" i="1"/>
  <c r="AU347" i="1"/>
  <c r="AO347" i="1" s="1"/>
  <c r="AV347" i="1" s="1"/>
  <c r="AZ347" i="1" s="1"/>
  <c r="Z327" i="1"/>
  <c r="AW320" i="1"/>
  <c r="BA312" i="1"/>
  <c r="AV308" i="1"/>
  <c r="V303" i="1"/>
  <c r="AU296" i="1"/>
  <c r="V295" i="1"/>
  <c r="AC294" i="1"/>
  <c r="W290" i="1"/>
  <c r="S283" i="1"/>
  <c r="R283" i="1"/>
  <c r="AW279" i="1"/>
  <c r="AZ279" i="1" s="1"/>
  <c r="BB279" i="1"/>
  <c r="AU277" i="1"/>
  <c r="W271" i="1"/>
  <c r="V271" i="1"/>
  <c r="W270" i="1"/>
  <c r="AW223" i="1"/>
  <c r="AZ223" i="1" s="1"/>
  <c r="BA223" i="1"/>
  <c r="BB223" i="1"/>
  <c r="R214" i="1"/>
  <c r="S214" i="1"/>
  <c r="AC214" i="1"/>
  <c r="R210" i="1"/>
  <c r="S210" i="1"/>
  <c r="AC210" i="1"/>
  <c r="AU331" i="1"/>
  <c r="AO331" i="1" s="1"/>
  <c r="AV331" i="1" s="1"/>
  <c r="AU327" i="1"/>
  <c r="AO327" i="1" s="1"/>
  <c r="AV327" i="1" s="1"/>
  <c r="Z298" i="1"/>
  <c r="AE283" i="1"/>
  <c r="AD283" i="1"/>
  <c r="AW282" i="1"/>
  <c r="AZ282" i="1" s="1"/>
  <c r="W282" i="1"/>
  <c r="Y280" i="1"/>
  <c r="Z279" i="1"/>
  <c r="Y278" i="1"/>
  <c r="Z278" i="1"/>
  <c r="Y276" i="1"/>
  <c r="AC341" i="1"/>
  <c r="S341" i="1"/>
  <c r="BB335" i="1"/>
  <c r="W331" i="1"/>
  <c r="BB327" i="1"/>
  <c r="W327" i="1"/>
  <c r="BA325" i="1"/>
  <c r="V323" i="1"/>
  <c r="V322" i="1"/>
  <c r="AE318" i="1"/>
  <c r="Z314" i="1"/>
  <c r="Z307" i="1"/>
  <c r="Z305" i="1"/>
  <c r="W301" i="1"/>
  <c r="AU293" i="1"/>
  <c r="Y291" i="1"/>
  <c r="W278" i="1"/>
  <c r="BB277" i="1"/>
  <c r="AW277" i="1"/>
  <c r="AZ277" i="1" s="1"/>
  <c r="Z272" i="1"/>
  <c r="Y272" i="1"/>
  <c r="AE262" i="1"/>
  <c r="AD262" i="1"/>
  <c r="AU244" i="1"/>
  <c r="V232" i="1"/>
  <c r="W232" i="1"/>
  <c r="AC349" i="1"/>
  <c r="S349" i="1"/>
  <c r="R345" i="1"/>
  <c r="AW342" i="1"/>
  <c r="AU336" i="1"/>
  <c r="AO336" i="1" s="1"/>
  <c r="AV336" i="1" s="1"/>
  <c r="AU334" i="1"/>
  <c r="AO334" i="1" s="1"/>
  <c r="AV334" i="1" s="1"/>
  <c r="V332" i="1"/>
  <c r="AW327" i="1"/>
  <c r="V319" i="1"/>
  <c r="AU305" i="1"/>
  <c r="AO305" i="1" s="1"/>
  <c r="AV305" i="1" s="1"/>
  <c r="Z292" i="1"/>
  <c r="Y292" i="1"/>
  <c r="AU272" i="1"/>
  <c r="BB272" i="1"/>
  <c r="V204" i="1"/>
  <c r="W204" i="1"/>
  <c r="AU322" i="1"/>
  <c r="AO322" i="1" s="1"/>
  <c r="AV322" i="1" s="1"/>
  <c r="AW293" i="1"/>
  <c r="AZ293" i="1" s="1"/>
  <c r="BA293" i="1"/>
  <c r="BA290" i="1"/>
  <c r="AW290" i="1"/>
  <c r="AZ290" i="1" s="1"/>
  <c r="R272" i="1"/>
  <c r="AC272" i="1"/>
  <c r="AD272" i="1" s="1"/>
  <c r="AE271" i="1"/>
  <c r="AD271" i="1"/>
  <c r="Z250" i="1"/>
  <c r="Y250" i="1"/>
  <c r="AW244" i="1"/>
  <c r="AZ244" i="1" s="1"/>
  <c r="BA244" i="1"/>
  <c r="BB244" i="1"/>
  <c r="Z238" i="1"/>
  <c r="Y238" i="1"/>
  <c r="BA351" i="1"/>
  <c r="BB347" i="1"/>
  <c r="BA343" i="1"/>
  <c r="AW336" i="1"/>
  <c r="AU335" i="1"/>
  <c r="AO335" i="1" s="1"/>
  <c r="AV335" i="1" s="1"/>
  <c r="BA334" i="1"/>
  <c r="BB330" i="1"/>
  <c r="AC329" i="1"/>
  <c r="S329" i="1"/>
  <c r="AU328" i="1"/>
  <c r="AO328" i="1" s="1"/>
  <c r="AV328" i="1" s="1"/>
  <c r="AZ328" i="1" s="1"/>
  <c r="AU323" i="1"/>
  <c r="AO323" i="1" s="1"/>
  <c r="AV323" i="1" s="1"/>
  <c r="AZ323" i="1" s="1"/>
  <c r="R323" i="1"/>
  <c r="AC322" i="1"/>
  <c r="S322" i="1"/>
  <c r="S321" i="1"/>
  <c r="V315" i="1"/>
  <c r="AW305" i="1"/>
  <c r="AU299" i="1"/>
  <c r="AO299" i="1" s="1"/>
  <c r="AV299" i="1" s="1"/>
  <c r="AU288" i="1"/>
  <c r="BA288" i="1"/>
  <c r="BB288" i="1"/>
  <c r="W287" i="1"/>
  <c r="V287" i="1"/>
  <c r="AU285" i="1"/>
  <c r="BA282" i="1"/>
  <c r="BB282" i="1"/>
  <c r="S279" i="1"/>
  <c r="Z226" i="1"/>
  <c r="Y226" i="1"/>
  <c r="R224" i="1"/>
  <c r="AC224" i="1"/>
  <c r="S224" i="1"/>
  <c r="R358" i="1"/>
  <c r="AW351" i="1"/>
  <c r="AC344" i="1"/>
  <c r="AW343" i="1"/>
  <c r="S332" i="1"/>
  <c r="AU330" i="1"/>
  <c r="AO330" i="1" s="1"/>
  <c r="AV330" i="1" s="1"/>
  <c r="BB328" i="1"/>
  <c r="BB326" i="1"/>
  <c r="AW322" i="1"/>
  <c r="R321" i="1"/>
  <c r="AW318" i="1"/>
  <c r="AC304" i="1"/>
  <c r="AD304" i="1" s="1"/>
  <c r="AC300" i="1"/>
  <c r="BB299" i="1"/>
  <c r="R299" i="1"/>
  <c r="AU298" i="1"/>
  <c r="AO298" i="1" s="1"/>
  <c r="AV298" i="1" s="1"/>
  <c r="AC296" i="1"/>
  <c r="AD296" i="1" s="1"/>
  <c r="BA292" i="1"/>
  <c r="S291" i="1"/>
  <c r="R291" i="1"/>
  <c r="BA284" i="1"/>
  <c r="BB284" i="1"/>
  <c r="AE278" i="1"/>
  <c r="BA277" i="1"/>
  <c r="Z268" i="1"/>
  <c r="Y268" i="1"/>
  <c r="W253" i="1"/>
  <c r="V253" i="1"/>
  <c r="V230" i="1"/>
  <c r="W230" i="1"/>
  <c r="BB287" i="1"/>
  <c r="BA269" i="1"/>
  <c r="AU266" i="1"/>
  <c r="BB260" i="1"/>
  <c r="BB257" i="1"/>
  <c r="AC256" i="1"/>
  <c r="BB255" i="1"/>
  <c r="AC246" i="1"/>
  <c r="AD246" i="1" s="1"/>
  <c r="R246" i="1"/>
  <c r="AC240" i="1"/>
  <c r="BA239" i="1"/>
  <c r="BB238" i="1"/>
  <c r="S233" i="1"/>
  <c r="R225" i="1"/>
  <c r="AU221" i="1"/>
  <c r="R217" i="1"/>
  <c r="S216" i="1"/>
  <c r="R207" i="1"/>
  <c r="BA204" i="1"/>
  <c r="AC201" i="1"/>
  <c r="W197" i="1"/>
  <c r="W195" i="1"/>
  <c r="Y194" i="1"/>
  <c r="AW186" i="1"/>
  <c r="AZ186" i="1" s="1"/>
  <c r="AU186" i="1"/>
  <c r="BA186" i="1"/>
  <c r="AD185" i="1"/>
  <c r="AE185" i="1"/>
  <c r="AW182" i="1"/>
  <c r="AZ182" i="1" s="1"/>
  <c r="AU182" i="1"/>
  <c r="R182" i="1"/>
  <c r="BA173" i="1"/>
  <c r="AU173" i="1"/>
  <c r="AW173" i="1"/>
  <c r="AZ173" i="1" s="1"/>
  <c r="AD170" i="1"/>
  <c r="V198" i="1"/>
  <c r="W198" i="1"/>
  <c r="V193" i="1"/>
  <c r="W193" i="1"/>
  <c r="Y189" i="1"/>
  <c r="Z189" i="1"/>
  <c r="AW166" i="1"/>
  <c r="BA166" i="1"/>
  <c r="R265" i="1"/>
  <c r="BA262" i="1"/>
  <c r="AC254" i="1"/>
  <c r="BB250" i="1"/>
  <c r="AW248" i="1"/>
  <c r="AZ248" i="1" s="1"/>
  <c r="BB247" i="1"/>
  <c r="BB241" i="1"/>
  <c r="AU238" i="1"/>
  <c r="BB234" i="1"/>
  <c r="BB232" i="1"/>
  <c r="BB226" i="1"/>
  <c r="BA224" i="1"/>
  <c r="BA216" i="1"/>
  <c r="BA215" i="1"/>
  <c r="BA206" i="1"/>
  <c r="Z205" i="1"/>
  <c r="S198" i="1"/>
  <c r="AC198" i="1"/>
  <c r="W189" i="1"/>
  <c r="V187" i="1"/>
  <c r="W187" i="1"/>
  <c r="BA185" i="1"/>
  <c r="AU185" i="1"/>
  <c r="Z183" i="1"/>
  <c r="Y183" i="1"/>
  <c r="AW170" i="1"/>
  <c r="AZ170" i="1" s="1"/>
  <c r="BB170" i="1"/>
  <c r="BA168" i="1"/>
  <c r="AU168" i="1"/>
  <c r="AW168" i="1"/>
  <c r="AZ168" i="1" s="1"/>
  <c r="BB168" i="1"/>
  <c r="W266" i="1"/>
  <c r="BB263" i="1"/>
  <c r="AW262" i="1"/>
  <c r="AZ262" i="1" s="1"/>
  <c r="Z262" i="1"/>
  <c r="W256" i="1"/>
  <c r="AW255" i="1"/>
  <c r="AZ255" i="1" s="1"/>
  <c r="BB254" i="1"/>
  <c r="AC248" i="1"/>
  <c r="BA247" i="1"/>
  <c r="Z242" i="1"/>
  <c r="AW241" i="1"/>
  <c r="AZ241" i="1" s="1"/>
  <c r="S241" i="1"/>
  <c r="AU239" i="1"/>
  <c r="BA232" i="1"/>
  <c r="S232" i="1"/>
  <c r="AC230" i="1"/>
  <c r="S230" i="1"/>
  <c r="Z228" i="1"/>
  <c r="W225" i="1"/>
  <c r="AC222" i="1"/>
  <c r="S222" i="1"/>
  <c r="AW216" i="1"/>
  <c r="AZ216" i="1" s="1"/>
  <c r="AC216" i="1"/>
  <c r="AD216" i="1" s="1"/>
  <c r="R215" i="1"/>
  <c r="AU206" i="1"/>
  <c r="AU204" i="1"/>
  <c r="Y171" i="1"/>
  <c r="Z171" i="1"/>
  <c r="Y288" i="1"/>
  <c r="Y284" i="1"/>
  <c r="V279" i="1"/>
  <c r="AU278" i="1"/>
  <c r="AD275" i="1"/>
  <c r="AE274" i="1"/>
  <c r="W273" i="1"/>
  <c r="BB266" i="1"/>
  <c r="AC264" i="1"/>
  <c r="AU262" i="1"/>
  <c r="V258" i="1"/>
  <c r="S257" i="1"/>
  <c r="Z254" i="1"/>
  <c r="W252" i="1"/>
  <c r="Y251" i="1"/>
  <c r="W244" i="1"/>
  <c r="W243" i="1"/>
  <c r="AU241" i="1"/>
  <c r="R241" i="1"/>
  <c r="Z236" i="1"/>
  <c r="W233" i="1"/>
  <c r="Y227" i="1"/>
  <c r="Z220" i="1"/>
  <c r="AC215" i="1"/>
  <c r="AD215" i="1" s="1"/>
  <c r="BB214" i="1"/>
  <c r="Z214" i="1"/>
  <c r="BB213" i="1"/>
  <c r="BB212" i="1"/>
  <c r="AU211" i="1"/>
  <c r="Z210" i="1"/>
  <c r="AU208" i="1"/>
  <c r="BB208" i="1"/>
  <c r="Z207" i="1"/>
  <c r="W205" i="1"/>
  <c r="AE202" i="1"/>
  <c r="AD193" i="1"/>
  <c r="R193" i="1"/>
  <c r="R189" i="1"/>
  <c r="AC189" i="1"/>
  <c r="S189" i="1"/>
  <c r="R187" i="1"/>
  <c r="BB185" i="1"/>
  <c r="S183" i="1"/>
  <c r="AC183" i="1"/>
  <c r="R183" i="1"/>
  <c r="AW174" i="1"/>
  <c r="AZ174" i="1" s="1"/>
  <c r="AU174" i="1"/>
  <c r="BA174" i="1"/>
  <c r="BB174" i="1"/>
  <c r="AC174" i="1"/>
  <c r="BB173" i="1"/>
  <c r="V171" i="1"/>
  <c r="BB166" i="1"/>
  <c r="AU280" i="1"/>
  <c r="W269" i="1"/>
  <c r="W265" i="1"/>
  <c r="V263" i="1"/>
  <c r="Z253" i="1"/>
  <c r="W245" i="1"/>
  <c r="Z241" i="1"/>
  <c r="Z230" i="1"/>
  <c r="Z222" i="1"/>
  <c r="BB221" i="1"/>
  <c r="AU215" i="1"/>
  <c r="BA214" i="1"/>
  <c r="AU213" i="1"/>
  <c r="W212" i="1"/>
  <c r="W211" i="1"/>
  <c r="Z204" i="1"/>
  <c r="Y203" i="1"/>
  <c r="Y199" i="1"/>
  <c r="Z199" i="1"/>
  <c r="AU193" i="1"/>
  <c r="AC187" i="1"/>
  <c r="AD187" i="1" s="1"/>
  <c r="BB186" i="1"/>
  <c r="V184" i="1"/>
  <c r="W184" i="1"/>
  <c r="Y181" i="1"/>
  <c r="Y178" i="1"/>
  <c r="W169" i="1"/>
  <c r="V169" i="1"/>
  <c r="Z229" i="1"/>
  <c r="W228" i="1"/>
  <c r="Y219" i="1"/>
  <c r="Z213" i="1"/>
  <c r="AE206" i="1"/>
  <c r="AW191" i="1"/>
  <c r="AZ191" i="1" s="1"/>
  <c r="BA191" i="1"/>
  <c r="BB191" i="1"/>
  <c r="S169" i="1"/>
  <c r="AC169" i="1"/>
  <c r="BB157" i="1"/>
  <c r="AU157" i="1"/>
  <c r="AO157" i="1" s="1"/>
  <c r="AV157" i="1" s="1"/>
  <c r="BA157" i="1"/>
  <c r="S258" i="1"/>
  <c r="S256" i="1"/>
  <c r="AU223" i="1"/>
  <c r="BA193" i="1"/>
  <c r="AW193" i="1"/>
  <c r="AZ193" i="1" s="1"/>
  <c r="Z192" i="1"/>
  <c r="Y192" i="1"/>
  <c r="S175" i="1"/>
  <c r="AC175" i="1"/>
  <c r="AD175" i="1" s="1"/>
  <c r="R169" i="1"/>
  <c r="AE146" i="1"/>
  <c r="AD146" i="1"/>
  <c r="R141" i="1"/>
  <c r="AC141" i="1"/>
  <c r="AD141" i="1" s="1"/>
  <c r="S141" i="1"/>
  <c r="AU132" i="1"/>
  <c r="AO132" i="1" s="1"/>
  <c r="AV132" i="1" s="1"/>
  <c r="BA132" i="1"/>
  <c r="BB132" i="1"/>
  <c r="Y132" i="1"/>
  <c r="Z132" i="1"/>
  <c r="AD125" i="1"/>
  <c r="AE125" i="1"/>
  <c r="AW117" i="1"/>
  <c r="BA117" i="1"/>
  <c r="BB117" i="1"/>
  <c r="Z99" i="1"/>
  <c r="Y99" i="1"/>
  <c r="S93" i="1"/>
  <c r="AC93" i="1"/>
  <c r="R93" i="1"/>
  <c r="S90" i="1"/>
  <c r="AC90" i="1"/>
  <c r="R90" i="1"/>
  <c r="Z87" i="1"/>
  <c r="Y87" i="1"/>
  <c r="BA73" i="1"/>
  <c r="AW73" i="1"/>
  <c r="AU145" i="1"/>
  <c r="AO145" i="1" s="1"/>
  <c r="AV145" i="1" s="1"/>
  <c r="BB145" i="1"/>
  <c r="Z142" i="1"/>
  <c r="Y134" i="1"/>
  <c r="AW113" i="1"/>
  <c r="BA113" i="1"/>
  <c r="BB113" i="1"/>
  <c r="V106" i="1"/>
  <c r="W106" i="1"/>
  <c r="W74" i="1"/>
  <c r="V74" i="1"/>
  <c r="BB153" i="1"/>
  <c r="AC152" i="1"/>
  <c r="AE152" i="1" s="1"/>
  <c r="S152" i="1"/>
  <c r="R135" i="1"/>
  <c r="AC135" i="1"/>
  <c r="S135" i="1"/>
  <c r="AU134" i="1"/>
  <c r="AO134" i="1" s="1"/>
  <c r="AV134" i="1" s="1"/>
  <c r="BB134" i="1"/>
  <c r="AU126" i="1"/>
  <c r="AO126" i="1" s="1"/>
  <c r="AV126" i="1" s="1"/>
  <c r="AW126" i="1"/>
  <c r="BB126" i="1"/>
  <c r="Y124" i="1"/>
  <c r="Z124" i="1"/>
  <c r="AC98" i="1"/>
  <c r="AE98" i="1" s="1"/>
  <c r="R98" i="1"/>
  <c r="S98" i="1"/>
  <c r="AE79" i="1"/>
  <c r="BB164" i="1"/>
  <c r="BA153" i="1"/>
  <c r="S146" i="1"/>
  <c r="AC143" i="1"/>
  <c r="AC140" i="1"/>
  <c r="R140" i="1"/>
  <c r="BA134" i="1"/>
  <c r="AE133" i="1"/>
  <c r="AD119" i="1"/>
  <c r="AE119" i="1"/>
  <c r="AW104" i="1"/>
  <c r="BA104" i="1"/>
  <c r="AU201" i="1"/>
  <c r="AU195" i="1"/>
  <c r="AU189" i="1"/>
  <c r="Y184" i="1"/>
  <c r="V177" i="1"/>
  <c r="S168" i="1"/>
  <c r="S166" i="1"/>
  <c r="AU164" i="1"/>
  <c r="V164" i="1"/>
  <c r="AE163" i="1"/>
  <c r="S163" i="1"/>
  <c r="Z161" i="1"/>
  <c r="BB156" i="1"/>
  <c r="S156" i="1"/>
  <c r="AU155" i="1"/>
  <c r="AO155" i="1" s="1"/>
  <c r="AV155" i="1" s="1"/>
  <c r="AZ155" i="1" s="1"/>
  <c r="AC155" i="1"/>
  <c r="S155" i="1"/>
  <c r="AU153" i="1"/>
  <c r="AO153" i="1" s="1"/>
  <c r="AV153" i="1" s="1"/>
  <c r="AZ153" i="1" s="1"/>
  <c r="Z152" i="1"/>
  <c r="S151" i="1"/>
  <c r="R146" i="1"/>
  <c r="BA144" i="1"/>
  <c r="BB144" i="1"/>
  <c r="S140" i="1"/>
  <c r="AW134" i="1"/>
  <c r="AW128" i="1"/>
  <c r="AU128" i="1"/>
  <c r="AO128" i="1" s="1"/>
  <c r="AV128" i="1" s="1"/>
  <c r="R127" i="1"/>
  <c r="S127" i="1"/>
  <c r="AC127" i="1"/>
  <c r="S126" i="1"/>
  <c r="R126" i="1"/>
  <c r="R125" i="1"/>
  <c r="S125" i="1"/>
  <c r="Z92" i="1"/>
  <c r="Y92" i="1"/>
  <c r="V59" i="1"/>
  <c r="W59" i="1"/>
  <c r="AU166" i="1"/>
  <c r="AO166" i="1" s="1"/>
  <c r="AV166" i="1" s="1"/>
  <c r="R163" i="1"/>
  <c r="AW150" i="1"/>
  <c r="AW135" i="1"/>
  <c r="S134" i="1"/>
  <c r="R134" i="1"/>
  <c r="BA126" i="1"/>
  <c r="Y123" i="1"/>
  <c r="Z123" i="1"/>
  <c r="BB104" i="1"/>
  <c r="R85" i="1"/>
  <c r="S85" i="1"/>
  <c r="AC85" i="1"/>
  <c r="AW79" i="1"/>
  <c r="BA79" i="1"/>
  <c r="AD71" i="1"/>
  <c r="W32" i="1"/>
  <c r="V32" i="1"/>
  <c r="R22" i="1"/>
  <c r="AC22" i="1"/>
  <c r="AD22" i="1" s="1"/>
  <c r="S22" i="1"/>
  <c r="BB188" i="1"/>
  <c r="AC178" i="1"/>
  <c r="S178" i="1"/>
  <c r="AC157" i="1"/>
  <c r="AD157" i="1" s="1"/>
  <c r="AU150" i="1"/>
  <c r="AO150" i="1" s="1"/>
  <c r="AV150" i="1" s="1"/>
  <c r="S145" i="1"/>
  <c r="R144" i="1"/>
  <c r="AC144" i="1"/>
  <c r="AD144" i="1" s="1"/>
  <c r="W133" i="1"/>
  <c r="AW125" i="1"/>
  <c r="W119" i="1"/>
  <c r="V119" i="1"/>
  <c r="AE114" i="1"/>
  <c r="W111" i="1"/>
  <c r="V111" i="1"/>
  <c r="AU194" i="1"/>
  <c r="AC190" i="1"/>
  <c r="S188" i="1"/>
  <c r="S177" i="1"/>
  <c r="AC166" i="1"/>
  <c r="AC164" i="1"/>
  <c r="AD164" i="1" s="1"/>
  <c r="Y162" i="1"/>
  <c r="AC160" i="1"/>
  <c r="W158" i="1"/>
  <c r="V152" i="1"/>
  <c r="Z148" i="1"/>
  <c r="Z146" i="1"/>
  <c r="AC145" i="1"/>
  <c r="V141" i="1"/>
  <c r="W141" i="1"/>
  <c r="Y140" i="1"/>
  <c r="Z140" i="1"/>
  <c r="W139" i="1"/>
  <c r="Y135" i="1"/>
  <c r="AC123" i="1"/>
  <c r="AE123" i="1" s="1"/>
  <c r="S123" i="1"/>
  <c r="R123" i="1"/>
  <c r="Z91" i="1"/>
  <c r="Y91" i="1"/>
  <c r="R89" i="1"/>
  <c r="AC89" i="1"/>
  <c r="S89" i="1"/>
  <c r="AC128" i="1"/>
  <c r="BB116" i="1"/>
  <c r="BA115" i="1"/>
  <c r="BA111" i="1"/>
  <c r="BB106" i="1"/>
  <c r="AC104" i="1"/>
  <c r="R104" i="1"/>
  <c r="AC100" i="1"/>
  <c r="AE100" i="1" s="1"/>
  <c r="AW99" i="1"/>
  <c r="BA98" i="1"/>
  <c r="R95" i="1"/>
  <c r="AU92" i="1"/>
  <c r="AO92" i="1" s="1"/>
  <c r="AW90" i="1"/>
  <c r="AU76" i="1"/>
  <c r="AO76" i="1" s="1"/>
  <c r="AV76" i="1" s="1"/>
  <c r="R63" i="1"/>
  <c r="AC63" i="1"/>
  <c r="AW61" i="1"/>
  <c r="BA58" i="1"/>
  <c r="BB58" i="1"/>
  <c r="W35" i="1"/>
  <c r="V35" i="1"/>
  <c r="AD28" i="1"/>
  <c r="AE28" i="1"/>
  <c r="V146" i="1"/>
  <c r="BA131" i="1"/>
  <c r="Z130" i="1"/>
  <c r="AD129" i="1"/>
  <c r="AU125" i="1"/>
  <c r="AO125" i="1" s="1"/>
  <c r="AV125" i="1" s="1"/>
  <c r="R124" i="1"/>
  <c r="AC120" i="1"/>
  <c r="AU115" i="1"/>
  <c r="AO115" i="1" s="1"/>
  <c r="AV115" i="1" s="1"/>
  <c r="AZ115" i="1" s="1"/>
  <c r="W113" i="1"/>
  <c r="AU112" i="1"/>
  <c r="AO112" i="1" s="1"/>
  <c r="AV112" i="1" s="1"/>
  <c r="AZ112" i="1" s="1"/>
  <c r="AU106" i="1"/>
  <c r="AO106" i="1" s="1"/>
  <c r="AV106" i="1" s="1"/>
  <c r="AC103" i="1"/>
  <c r="AE103" i="1" s="1"/>
  <c r="W99" i="1"/>
  <c r="AU98" i="1"/>
  <c r="AO98" i="1" s="1"/>
  <c r="AC95" i="1"/>
  <c r="AE95" i="1" s="1"/>
  <c r="W91" i="1"/>
  <c r="W87" i="1"/>
  <c r="Z84" i="1"/>
  <c r="R78" i="1"/>
  <c r="BA76" i="1"/>
  <c r="AU69" i="1"/>
  <c r="AO69" i="1" s="1"/>
  <c r="AV69" i="1" s="1"/>
  <c r="AV68" i="1"/>
  <c r="AZ68" i="1" s="1"/>
  <c r="Z66" i="1"/>
  <c r="AD65" i="1"/>
  <c r="BB62" i="1"/>
  <c r="R57" i="1"/>
  <c r="S57" i="1"/>
  <c r="S52" i="1"/>
  <c r="R52" i="1"/>
  <c r="AE44" i="1"/>
  <c r="AD44" i="1"/>
  <c r="V23" i="1"/>
  <c r="W23" i="1"/>
  <c r="S119" i="1"/>
  <c r="W117" i="1"/>
  <c r="R115" i="1"/>
  <c r="AU109" i="1"/>
  <c r="AO109" i="1" s="1"/>
  <c r="V108" i="1"/>
  <c r="BA92" i="1"/>
  <c r="BA89" i="1"/>
  <c r="AU84" i="1"/>
  <c r="AO84" i="1" s="1"/>
  <c r="Z82" i="1"/>
  <c r="Y79" i="1"/>
  <c r="BB78" i="1"/>
  <c r="AW62" i="1"/>
  <c r="AC60" i="1"/>
  <c r="AE60" i="1" s="1"/>
  <c r="AW58" i="1"/>
  <c r="S58" i="1"/>
  <c r="AC58" i="1"/>
  <c r="AD58" i="1" s="1"/>
  <c r="S40" i="1"/>
  <c r="R40" i="1"/>
  <c r="BA12" i="1"/>
  <c r="AW12" i="1"/>
  <c r="AU104" i="1"/>
  <c r="AO104" i="1" s="1"/>
  <c r="AV104" i="1" s="1"/>
  <c r="AU73" i="1"/>
  <c r="AO73" i="1" s="1"/>
  <c r="AV73" i="1" s="1"/>
  <c r="Z71" i="1"/>
  <c r="Y71" i="1"/>
  <c r="AU118" i="1"/>
  <c r="AO118" i="1" s="1"/>
  <c r="AV118" i="1" s="1"/>
  <c r="AZ118" i="1" s="1"/>
  <c r="AU117" i="1"/>
  <c r="AO117" i="1" s="1"/>
  <c r="AV117" i="1" s="1"/>
  <c r="AZ117" i="1" s="1"/>
  <c r="S116" i="1"/>
  <c r="AE112" i="1"/>
  <c r="R109" i="1"/>
  <c r="AD92" i="1"/>
  <c r="AU89" i="1"/>
  <c r="AO89" i="1" s="1"/>
  <c r="AV89" i="1" s="1"/>
  <c r="AZ89" i="1" s="1"/>
  <c r="AD87" i="1"/>
  <c r="S83" i="1"/>
  <c r="V82" i="1"/>
  <c r="AW78" i="1"/>
  <c r="Y60" i="1"/>
  <c r="Z60" i="1"/>
  <c r="V55" i="1"/>
  <c r="W55" i="1"/>
  <c r="AW10" i="1"/>
  <c r="BA10" i="1"/>
  <c r="R116" i="1"/>
  <c r="AC83" i="1"/>
  <c r="AE83" i="1" s="1"/>
  <c r="Z75" i="1"/>
  <c r="AC72" i="1"/>
  <c r="AE72" i="1" s="1"/>
  <c r="S66" i="1"/>
  <c r="AC66" i="1"/>
  <c r="V61" i="1"/>
  <c r="W61" i="1"/>
  <c r="AC55" i="1"/>
  <c r="S55" i="1"/>
  <c r="Z24" i="1"/>
  <c r="Y24" i="1"/>
  <c r="Z21" i="1"/>
  <c r="Y21" i="1"/>
  <c r="Z138" i="1"/>
  <c r="V135" i="1"/>
  <c r="W125" i="1"/>
  <c r="AC117" i="1"/>
  <c r="BB111" i="1"/>
  <c r="AC109" i="1"/>
  <c r="AD109" i="1" s="1"/>
  <c r="AC108" i="1"/>
  <c r="AE108" i="1" s="1"/>
  <c r="BB99" i="1"/>
  <c r="AV91" i="1"/>
  <c r="AZ91" i="1" s="1"/>
  <c r="BB90" i="1"/>
  <c r="Z88" i="1"/>
  <c r="W85" i="1"/>
  <c r="W81" i="1"/>
  <c r="Z74" i="1"/>
  <c r="R70" i="1"/>
  <c r="AW67" i="1"/>
  <c r="AZ67" i="1" s="1"/>
  <c r="BA67" i="1"/>
  <c r="Z67" i="1"/>
  <c r="R66" i="1"/>
  <c r="BB61" i="1"/>
  <c r="R55" i="1"/>
  <c r="Z53" i="1"/>
  <c r="Y53" i="1"/>
  <c r="R39" i="1"/>
  <c r="S39" i="1"/>
  <c r="AC39" i="1"/>
  <c r="AW33" i="1"/>
  <c r="AU33" i="1"/>
  <c r="AO33" i="1" s="1"/>
  <c r="AV33" i="1" s="1"/>
  <c r="BA33" i="1"/>
  <c r="BB33" i="1"/>
  <c r="BA16" i="1"/>
  <c r="BB16" i="1"/>
  <c r="R14" i="1"/>
  <c r="AC14" i="1"/>
  <c r="AD14" i="1" s="1"/>
  <c r="S14" i="1"/>
  <c r="AU55" i="1"/>
  <c r="AO55" i="1" s="1"/>
  <c r="AV55" i="1" s="1"/>
  <c r="S49" i="1"/>
  <c r="AU44" i="1"/>
  <c r="AO44" i="1" s="1"/>
  <c r="AV44" i="1" s="1"/>
  <c r="AC41" i="1"/>
  <c r="AE41" i="1" s="1"/>
  <c r="R16" i="1"/>
  <c r="R11" i="1"/>
  <c r="AV10" i="1"/>
  <c r="R9" i="1"/>
  <c r="AC3" i="1"/>
  <c r="BA2" i="1"/>
  <c r="AU70" i="1"/>
  <c r="AO70" i="1" s="1"/>
  <c r="AV70" i="1" s="1"/>
  <c r="AZ70" i="1" s="1"/>
  <c r="V57" i="1"/>
  <c r="W53" i="1"/>
  <c r="AW45" i="1"/>
  <c r="Z45" i="1"/>
  <c r="R44" i="1"/>
  <c r="Z43" i="1"/>
  <c r="W42" i="1"/>
  <c r="Z31" i="1"/>
  <c r="AD30" i="1"/>
  <c r="Y26" i="1"/>
  <c r="V21" i="1"/>
  <c r="R19" i="1"/>
  <c r="AU17" i="1"/>
  <c r="AO17" i="1" s="1"/>
  <c r="AV17" i="1" s="1"/>
  <c r="AZ17" i="1" s="1"/>
  <c r="AW15" i="1"/>
  <c r="AC6" i="1"/>
  <c r="AD6" i="1" s="1"/>
  <c r="AW4" i="1"/>
  <c r="AZ4" i="1" s="1"/>
  <c r="Y2" i="1"/>
  <c r="AC49" i="1"/>
  <c r="W3" i="1"/>
  <c r="Z39" i="1"/>
  <c r="W27" i="1"/>
  <c r="W26" i="1"/>
  <c r="AV25" i="1"/>
  <c r="AZ25" i="1" s="1"/>
  <c r="Z25" i="1"/>
  <c r="BA18" i="1"/>
  <c r="AU14" i="1"/>
  <c r="AO14" i="1" s="1"/>
  <c r="AV14" i="1" s="1"/>
  <c r="AZ14" i="1" s="1"/>
  <c r="S8" i="1"/>
  <c r="AV7" i="1"/>
  <c r="AZ7" i="1" s="1"/>
  <c r="Z7" i="1"/>
  <c r="S4" i="1"/>
  <c r="R53" i="1"/>
  <c r="AC47" i="1"/>
  <c r="Z44" i="1"/>
  <c r="S41" i="1"/>
  <c r="AC36" i="1"/>
  <c r="AE36" i="1" s="1"/>
  <c r="S36" i="1"/>
  <c r="Y35" i="1"/>
  <c r="Z34" i="1"/>
  <c r="S33" i="1"/>
  <c r="S28" i="1"/>
  <c r="AW20" i="1"/>
  <c r="W20" i="1"/>
  <c r="W18" i="1"/>
  <c r="Z17" i="1"/>
  <c r="AU12" i="1"/>
  <c r="AO12" i="1" s="1"/>
  <c r="AV12" i="1" s="1"/>
  <c r="R8" i="1"/>
  <c r="Y5" i="1"/>
  <c r="AE4" i="1"/>
  <c r="R33" i="1"/>
  <c r="AV31" i="1"/>
  <c r="AZ31" i="1" s="1"/>
  <c r="R28" i="1"/>
  <c r="AV23" i="1"/>
  <c r="AZ23" i="1" s="1"/>
  <c r="AU20" i="1"/>
  <c r="AO20" i="1" s="1"/>
  <c r="AV20" i="1" s="1"/>
  <c r="AU18" i="1"/>
  <c r="AO18" i="1" s="1"/>
  <c r="AV18" i="1" s="1"/>
  <c r="AZ18" i="1" s="1"/>
  <c r="Z47" i="1"/>
  <c r="Y29" i="1"/>
  <c r="AV22" i="1"/>
  <c r="AZ22" i="1" s="1"/>
  <c r="S16" i="1"/>
  <c r="Z15" i="1"/>
  <c r="Y13" i="1"/>
  <c r="S11" i="1"/>
  <c r="S6" i="1"/>
  <c r="S3" i="1"/>
  <c r="AC2" i="1"/>
  <c r="R2" i="1"/>
  <c r="AU451" i="1"/>
  <c r="AO451" i="1" s="1"/>
  <c r="AV451" i="1" s="1"/>
  <c r="AU443" i="1"/>
  <c r="AO443" i="1" s="1"/>
  <c r="AD451" i="1"/>
  <c r="AE451" i="1"/>
  <c r="V432" i="1"/>
  <c r="W432" i="1"/>
  <c r="AW395" i="1"/>
  <c r="BA395" i="1"/>
  <c r="BB395" i="1"/>
  <c r="AU395" i="1"/>
  <c r="AO395" i="1" s="1"/>
  <c r="AV395" i="1" s="1"/>
  <c r="V381" i="1"/>
  <c r="W381" i="1"/>
  <c r="AE376" i="1"/>
  <c r="AD376" i="1"/>
  <c r="AW455" i="1"/>
  <c r="BA453" i="1"/>
  <c r="S451" i="1"/>
  <c r="AU449" i="1"/>
  <c r="AO449" i="1" s="1"/>
  <c r="AC449" i="1"/>
  <c r="AW447" i="1"/>
  <c r="BA445" i="1"/>
  <c r="V443" i="1"/>
  <c r="AU442" i="1"/>
  <c r="AO442" i="1" s="1"/>
  <c r="AV442" i="1" s="1"/>
  <c r="Z441" i="1"/>
  <c r="S436" i="1"/>
  <c r="Z433" i="1"/>
  <c r="V420" i="1"/>
  <c r="W420" i="1"/>
  <c r="AC405" i="1"/>
  <c r="R405" i="1"/>
  <c r="S405" i="1"/>
  <c r="AD404" i="1"/>
  <c r="AE404" i="1"/>
  <c r="V396" i="1"/>
  <c r="W396" i="1"/>
  <c r="AV391" i="1"/>
  <c r="Z373" i="1"/>
  <c r="Y373" i="1"/>
  <c r="Y355" i="1"/>
  <c r="Z355" i="1"/>
  <c r="AC354" i="1"/>
  <c r="R354" i="1"/>
  <c r="S354" i="1"/>
  <c r="Y347" i="1"/>
  <c r="Z347" i="1"/>
  <c r="AE434" i="1"/>
  <c r="AV401" i="1"/>
  <c r="Y401" i="1"/>
  <c r="Z401" i="1"/>
  <c r="AV376" i="1"/>
  <c r="AZ376" i="1" s="1"/>
  <c r="AW419" i="1"/>
  <c r="BA419" i="1"/>
  <c r="BB419" i="1"/>
  <c r="AU419" i="1"/>
  <c r="AO419" i="1" s="1"/>
  <c r="AV419" i="1" s="1"/>
  <c r="AD261" i="1"/>
  <c r="AE261" i="1"/>
  <c r="R147" i="1"/>
  <c r="S147" i="1"/>
  <c r="AC147" i="1"/>
  <c r="W454" i="1"/>
  <c r="BB451" i="1"/>
  <c r="Z451" i="1"/>
  <c r="R451" i="1"/>
  <c r="AE446" i="1"/>
  <c r="W446" i="1"/>
  <c r="AU455" i="1"/>
  <c r="AO455" i="1" s="1"/>
  <c r="AV455" i="1" s="1"/>
  <c r="AC455" i="1"/>
  <c r="AW453" i="1"/>
  <c r="BA451" i="1"/>
  <c r="AU447" i="1"/>
  <c r="AO447" i="1" s="1"/>
  <c r="AC447" i="1"/>
  <c r="AW445" i="1"/>
  <c r="BA443" i="1"/>
  <c r="AD443" i="1"/>
  <c r="BB441" i="1"/>
  <c r="AW435" i="1"/>
  <c r="BA435" i="1"/>
  <c r="BA434" i="1"/>
  <c r="AU431" i="1"/>
  <c r="AO431" i="1" s="1"/>
  <c r="AV431" i="1" s="1"/>
  <c r="AW431" i="1"/>
  <c r="S431" i="1"/>
  <c r="AC431" i="1"/>
  <c r="AD430" i="1"/>
  <c r="AE430" i="1"/>
  <c r="AC421" i="1"/>
  <c r="R421" i="1"/>
  <c r="S421" i="1"/>
  <c r="AU413" i="1"/>
  <c r="AO413" i="1" s="1"/>
  <c r="AV413" i="1" s="1"/>
  <c r="AW411" i="1"/>
  <c r="BA411" i="1"/>
  <c r="BB411" i="1"/>
  <c r="AU411" i="1"/>
  <c r="AO411" i="1" s="1"/>
  <c r="AV411" i="1" s="1"/>
  <c r="AC397" i="1"/>
  <c r="R397" i="1"/>
  <c r="S397" i="1"/>
  <c r="AU389" i="1"/>
  <c r="AO389" i="1" s="1"/>
  <c r="AV389" i="1" s="1"/>
  <c r="AW387" i="1"/>
  <c r="BA387" i="1"/>
  <c r="BB387" i="1"/>
  <c r="AU387" i="1"/>
  <c r="AO387" i="1" s="1"/>
  <c r="AV387" i="1" s="1"/>
  <c r="S372" i="1"/>
  <c r="AC372" i="1"/>
  <c r="R372" i="1"/>
  <c r="V338" i="1"/>
  <c r="W338" i="1"/>
  <c r="BB449" i="1"/>
  <c r="AD432" i="1"/>
  <c r="AE432" i="1"/>
  <c r="AW434" i="1"/>
  <c r="Y425" i="1"/>
  <c r="Z425" i="1"/>
  <c r="Y393" i="1"/>
  <c r="Z393" i="1"/>
  <c r="V388" i="1"/>
  <c r="W388" i="1"/>
  <c r="S455" i="1"/>
  <c r="AC453" i="1"/>
  <c r="AW451" i="1"/>
  <c r="BA449" i="1"/>
  <c r="S447" i="1"/>
  <c r="AC445" i="1"/>
  <c r="AW441" i="1"/>
  <c r="S437" i="1"/>
  <c r="Z435" i="1"/>
  <c r="S433" i="1"/>
  <c r="AC433" i="1"/>
  <c r="W428" i="1"/>
  <c r="AC362" i="1"/>
  <c r="R362" i="1"/>
  <c r="S362" i="1"/>
  <c r="Y330" i="1"/>
  <c r="Z330" i="1"/>
  <c r="Z455" i="1"/>
  <c r="W450" i="1"/>
  <c r="BA442" i="1"/>
  <c r="W442" i="1"/>
  <c r="W440" i="1"/>
  <c r="AC413" i="1"/>
  <c r="R413" i="1"/>
  <c r="S413" i="1"/>
  <c r="AW403" i="1"/>
  <c r="BA403" i="1"/>
  <c r="BB403" i="1"/>
  <c r="AU403" i="1"/>
  <c r="AO403" i="1" s="1"/>
  <c r="AV403" i="1" s="1"/>
  <c r="AC389" i="1"/>
  <c r="R389" i="1"/>
  <c r="S389" i="1"/>
  <c r="AD388" i="1"/>
  <c r="AE388" i="1"/>
  <c r="AC436" i="1"/>
  <c r="AU429" i="1"/>
  <c r="AO429" i="1" s="1"/>
  <c r="AV429" i="1" s="1"/>
  <c r="AW429" i="1"/>
  <c r="BA429" i="1"/>
  <c r="BB429" i="1"/>
  <c r="AD437" i="1"/>
  <c r="AC429" i="1"/>
  <c r="R429" i="1"/>
  <c r="Y417" i="1"/>
  <c r="Z417" i="1"/>
  <c r="V412" i="1"/>
  <c r="W412" i="1"/>
  <c r="Z447" i="1"/>
  <c r="AU439" i="1"/>
  <c r="AO439" i="1" s="1"/>
  <c r="AU437" i="1"/>
  <c r="AO437" i="1" s="1"/>
  <c r="AV437" i="1" s="1"/>
  <c r="AW437" i="1"/>
  <c r="R437" i="1"/>
  <c r="AU434" i="1"/>
  <c r="AO434" i="1" s="1"/>
  <c r="AV434" i="1" s="1"/>
  <c r="Z443" i="1"/>
  <c r="AW442" i="1"/>
  <c r="AU441" i="1"/>
  <c r="AO441" i="1" s="1"/>
  <c r="AV441" i="1" s="1"/>
  <c r="R441" i="1"/>
  <c r="S439" i="1"/>
  <c r="AC439" i="1"/>
  <c r="Z437" i="1"/>
  <c r="V435" i="1"/>
  <c r="V430" i="1"/>
  <c r="W430" i="1"/>
  <c r="AW427" i="1"/>
  <c r="BA427" i="1"/>
  <c r="BB427" i="1"/>
  <c r="AU427" i="1"/>
  <c r="AO427" i="1" s="1"/>
  <c r="AV427" i="1" s="1"/>
  <c r="Y427" i="1"/>
  <c r="Z427" i="1"/>
  <c r="Y409" i="1"/>
  <c r="Z409" i="1"/>
  <c r="V404" i="1"/>
  <c r="W404" i="1"/>
  <c r="Y385" i="1"/>
  <c r="Z385" i="1"/>
  <c r="V380" i="1"/>
  <c r="W380" i="1"/>
  <c r="BA399" i="1"/>
  <c r="BA391" i="1"/>
  <c r="AU364" i="1"/>
  <c r="AO364" i="1" s="1"/>
  <c r="AV364" i="1" s="1"/>
  <c r="AZ364" i="1" s="1"/>
  <c r="S364" i="1"/>
  <c r="AC364" i="1"/>
  <c r="AU362" i="1"/>
  <c r="AO362" i="1" s="1"/>
  <c r="AV362" i="1" s="1"/>
  <c r="AW362" i="1"/>
  <c r="BB362" i="1"/>
  <c r="AV361" i="1"/>
  <c r="AE353" i="1"/>
  <c r="AD350" i="1"/>
  <c r="AE350" i="1"/>
  <c r="AC346" i="1"/>
  <c r="R346" i="1"/>
  <c r="S346" i="1"/>
  <c r="AD342" i="1"/>
  <c r="AE342" i="1"/>
  <c r="V330" i="1"/>
  <c r="W330" i="1"/>
  <c r="AE319" i="1"/>
  <c r="AD319" i="1"/>
  <c r="S319" i="1"/>
  <c r="R319" i="1"/>
  <c r="AU258" i="1"/>
  <c r="AW258" i="1"/>
  <c r="AZ258" i="1" s="1"/>
  <c r="BA258" i="1"/>
  <c r="BB258" i="1"/>
  <c r="V247" i="1"/>
  <c r="W247" i="1"/>
  <c r="AW432" i="1"/>
  <c r="Z429" i="1"/>
  <c r="S428" i="1"/>
  <c r="AU426" i="1"/>
  <c r="AO426" i="1" s="1"/>
  <c r="AV426" i="1" s="1"/>
  <c r="AC426" i="1"/>
  <c r="AW424" i="1"/>
  <c r="W424" i="1"/>
  <c r="BB421" i="1"/>
  <c r="Z421" i="1"/>
  <c r="S420" i="1"/>
  <c r="AU418" i="1"/>
  <c r="AO418" i="1" s="1"/>
  <c r="AC418" i="1"/>
  <c r="AW416" i="1"/>
  <c r="W416" i="1"/>
  <c r="BB413" i="1"/>
  <c r="Z413" i="1"/>
  <c r="S412" i="1"/>
  <c r="AU410" i="1"/>
  <c r="AO410" i="1" s="1"/>
  <c r="AV410" i="1" s="1"/>
  <c r="AC410" i="1"/>
  <c r="AW408" i="1"/>
  <c r="W408" i="1"/>
  <c r="BB405" i="1"/>
  <c r="Z405" i="1"/>
  <c r="S404" i="1"/>
  <c r="AU402" i="1"/>
  <c r="AO402" i="1" s="1"/>
  <c r="AV402" i="1" s="1"/>
  <c r="AC402" i="1"/>
  <c r="AW400" i="1"/>
  <c r="W400" i="1"/>
  <c r="BB397" i="1"/>
  <c r="Z397" i="1"/>
  <c r="S396" i="1"/>
  <c r="AU394" i="1"/>
  <c r="AO394" i="1" s="1"/>
  <c r="AV394" i="1" s="1"/>
  <c r="AZ394" i="1" s="1"/>
  <c r="AC394" i="1"/>
  <c r="AW392" i="1"/>
  <c r="W392" i="1"/>
  <c r="BB389" i="1"/>
  <c r="Z389" i="1"/>
  <c r="S388" i="1"/>
  <c r="AU386" i="1"/>
  <c r="AO386" i="1" s="1"/>
  <c r="AV386" i="1" s="1"/>
  <c r="AC386" i="1"/>
  <c r="AW384" i="1"/>
  <c r="W384" i="1"/>
  <c r="AE383" i="1"/>
  <c r="W383" i="1"/>
  <c r="AW382" i="1"/>
  <c r="AU381" i="1"/>
  <c r="AO381" i="1" s="1"/>
  <c r="AV381" i="1" s="1"/>
  <c r="S381" i="1"/>
  <c r="R380" i="1"/>
  <c r="W377" i="1"/>
  <c r="BA375" i="1"/>
  <c r="AE375" i="1"/>
  <c r="W375" i="1"/>
  <c r="Z372" i="1"/>
  <c r="AD371" i="1"/>
  <c r="AE371" i="1"/>
  <c r="AC370" i="1"/>
  <c r="R370" i="1"/>
  <c r="Z366" i="1"/>
  <c r="R364" i="1"/>
  <c r="AD363" i="1"/>
  <c r="BA362" i="1"/>
  <c r="AU354" i="1"/>
  <c r="AO354" i="1" s="1"/>
  <c r="AV354" i="1" s="1"/>
  <c r="R351" i="1"/>
  <c r="S351" i="1"/>
  <c r="AC351" i="1"/>
  <c r="AV345" i="1"/>
  <c r="AZ345" i="1" s="1"/>
  <c r="R343" i="1"/>
  <c r="S343" i="1"/>
  <c r="AC343" i="1"/>
  <c r="AD340" i="1"/>
  <c r="AE340" i="1"/>
  <c r="BB329" i="1"/>
  <c r="AU329" i="1"/>
  <c r="AO329" i="1" s="1"/>
  <c r="AV329" i="1" s="1"/>
  <c r="AW329" i="1"/>
  <c r="AW319" i="1"/>
  <c r="BA319" i="1"/>
  <c r="BB319" i="1"/>
  <c r="AU319" i="1"/>
  <c r="AO319" i="1" s="1"/>
  <c r="AV319" i="1" s="1"/>
  <c r="Y309" i="1"/>
  <c r="Z309" i="1"/>
  <c r="AC425" i="1"/>
  <c r="AW423" i="1"/>
  <c r="BA421" i="1"/>
  <c r="AC417" i="1"/>
  <c r="AW415" i="1"/>
  <c r="BA413" i="1"/>
  <c r="AC409" i="1"/>
  <c r="AW407" i="1"/>
  <c r="BA405" i="1"/>
  <c r="AC401" i="1"/>
  <c r="AW399" i="1"/>
  <c r="BA397" i="1"/>
  <c r="AC393" i="1"/>
  <c r="AW391" i="1"/>
  <c r="BA389" i="1"/>
  <c r="AC385" i="1"/>
  <c r="BB379" i="1"/>
  <c r="Z376" i="1"/>
  <c r="AW375" i="1"/>
  <c r="AU370" i="1"/>
  <c r="AO370" i="1" s="1"/>
  <c r="AV370" i="1" s="1"/>
  <c r="AW370" i="1"/>
  <c r="AW360" i="1"/>
  <c r="BA360" i="1"/>
  <c r="BB360" i="1"/>
  <c r="AU360" i="1"/>
  <c r="AO360" i="1" s="1"/>
  <c r="AV360" i="1" s="1"/>
  <c r="Y360" i="1"/>
  <c r="Z360" i="1"/>
  <c r="AV350" i="1"/>
  <c r="AU346" i="1"/>
  <c r="AO346" i="1" s="1"/>
  <c r="AV346" i="1" s="1"/>
  <c r="AD338" i="1"/>
  <c r="AE338" i="1"/>
  <c r="V324" i="1"/>
  <c r="W324" i="1"/>
  <c r="V272" i="1"/>
  <c r="W272" i="1"/>
  <c r="W422" i="1"/>
  <c r="Z419" i="1"/>
  <c r="AE414" i="1"/>
  <c r="W414" i="1"/>
  <c r="Z411" i="1"/>
  <c r="W406" i="1"/>
  <c r="Z403" i="1"/>
  <c r="W398" i="1"/>
  <c r="Z395" i="1"/>
  <c r="W390" i="1"/>
  <c r="Z387" i="1"/>
  <c r="W379" i="1"/>
  <c r="AE378" i="1"/>
  <c r="AV369" i="1"/>
  <c r="V358" i="1"/>
  <c r="W358" i="1"/>
  <c r="BB357" i="1"/>
  <c r="AU357" i="1"/>
  <c r="AO357" i="1" s="1"/>
  <c r="AV357" i="1" s="1"/>
  <c r="AW357" i="1"/>
  <c r="Y350" i="1"/>
  <c r="Z350" i="1"/>
  <c r="Y342" i="1"/>
  <c r="Z342" i="1"/>
  <c r="V333" i="1"/>
  <c r="W333" i="1"/>
  <c r="W311" i="1"/>
  <c r="V311" i="1"/>
  <c r="AU283" i="1"/>
  <c r="AW283" i="1"/>
  <c r="AZ283" i="1" s="1"/>
  <c r="BA283" i="1"/>
  <c r="BB283" i="1"/>
  <c r="AD280" i="1"/>
  <c r="AE280" i="1"/>
  <c r="AC423" i="1"/>
  <c r="AW421" i="1"/>
  <c r="AC415" i="1"/>
  <c r="AW413" i="1"/>
  <c r="AC407" i="1"/>
  <c r="AW405" i="1"/>
  <c r="AC399" i="1"/>
  <c r="AW397" i="1"/>
  <c r="AC391" i="1"/>
  <c r="AW389" i="1"/>
  <c r="AU378" i="1"/>
  <c r="AO378" i="1" s="1"/>
  <c r="AV378" i="1" s="1"/>
  <c r="AZ378" i="1" s="1"/>
  <c r="V376" i="1"/>
  <c r="AU375" i="1"/>
  <c r="AO375" i="1" s="1"/>
  <c r="AV375" i="1" s="1"/>
  <c r="Z374" i="1"/>
  <c r="BB373" i="1"/>
  <c r="AU373" i="1"/>
  <c r="AO373" i="1" s="1"/>
  <c r="AV373" i="1" s="1"/>
  <c r="AZ373" i="1" s="1"/>
  <c r="AE369" i="1"/>
  <c r="BB367" i="1"/>
  <c r="AU367" i="1"/>
  <c r="AO367" i="1" s="1"/>
  <c r="AV367" i="1" s="1"/>
  <c r="AZ367" i="1" s="1"/>
  <c r="R367" i="1"/>
  <c r="S367" i="1"/>
  <c r="AC367" i="1"/>
  <c r="V350" i="1"/>
  <c r="W350" i="1"/>
  <c r="V342" i="1"/>
  <c r="W342" i="1"/>
  <c r="BB341" i="1"/>
  <c r="AU341" i="1"/>
  <c r="AO341" i="1" s="1"/>
  <c r="AV341" i="1" s="1"/>
  <c r="AW341" i="1"/>
  <c r="AW332" i="1"/>
  <c r="BA332" i="1"/>
  <c r="BB332" i="1"/>
  <c r="AU332" i="1"/>
  <c r="AO332" i="1" s="1"/>
  <c r="AV332" i="1" s="1"/>
  <c r="AD330" i="1"/>
  <c r="AV372" i="1"/>
  <c r="AZ372" i="1" s="1"/>
  <c r="V363" i="1"/>
  <c r="W363" i="1"/>
  <c r="AU356" i="1"/>
  <c r="AO356" i="1" s="1"/>
  <c r="AV356" i="1" s="1"/>
  <c r="AZ356" i="1" s="1"/>
  <c r="S356" i="1"/>
  <c r="AC356" i="1"/>
  <c r="BB349" i="1"/>
  <c r="AU349" i="1"/>
  <c r="AO349" i="1" s="1"/>
  <c r="AV349" i="1" s="1"/>
  <c r="AW349" i="1"/>
  <c r="AV348" i="1"/>
  <c r="Y326" i="1"/>
  <c r="Z326" i="1"/>
  <c r="BA317" i="1"/>
  <c r="BB317" i="1"/>
  <c r="AU317" i="1"/>
  <c r="AO317" i="1" s="1"/>
  <c r="AV317" i="1" s="1"/>
  <c r="AZ317" i="1" s="1"/>
  <c r="AE296" i="1"/>
  <c r="S378" i="1"/>
  <c r="BB376" i="1"/>
  <c r="BB374" i="1"/>
  <c r="V371" i="1"/>
  <c r="W371" i="1"/>
  <c r="R369" i="1"/>
  <c r="AW368" i="1"/>
  <c r="BA368" i="1"/>
  <c r="BB368" i="1"/>
  <c r="Y368" i="1"/>
  <c r="Z368" i="1"/>
  <c r="BB365" i="1"/>
  <c r="AU365" i="1"/>
  <c r="AO365" i="1" s="1"/>
  <c r="AV365" i="1" s="1"/>
  <c r="AW365" i="1"/>
  <c r="R359" i="1"/>
  <c r="S359" i="1"/>
  <c r="AC359" i="1"/>
  <c r="BA357" i="1"/>
  <c r="R356" i="1"/>
  <c r="V353" i="1"/>
  <c r="W353" i="1"/>
  <c r="AW352" i="1"/>
  <c r="BA352" i="1"/>
  <c r="BB352" i="1"/>
  <c r="AU352" i="1"/>
  <c r="AO352" i="1" s="1"/>
  <c r="AV352" i="1" s="1"/>
  <c r="V345" i="1"/>
  <c r="W345" i="1"/>
  <c r="AW344" i="1"/>
  <c r="BA344" i="1"/>
  <c r="BB344" i="1"/>
  <c r="AU344" i="1"/>
  <c r="AO344" i="1" s="1"/>
  <c r="AV344" i="1" s="1"/>
  <c r="V340" i="1"/>
  <c r="W340" i="1"/>
  <c r="AU337" i="1"/>
  <c r="Y335" i="1"/>
  <c r="Z335" i="1"/>
  <c r="AC334" i="1"/>
  <c r="R334" i="1"/>
  <c r="S334" i="1"/>
  <c r="AV333" i="1"/>
  <c r="AD333" i="1"/>
  <c r="AE333" i="1"/>
  <c r="R331" i="1"/>
  <c r="S331" i="1"/>
  <c r="AC331" i="1"/>
  <c r="R312" i="1"/>
  <c r="AC312" i="1"/>
  <c r="S312" i="1"/>
  <c r="BA336" i="1"/>
  <c r="AC332" i="1"/>
  <c r="AW330" i="1"/>
  <c r="BA328" i="1"/>
  <c r="BA327" i="1"/>
  <c r="BA326" i="1"/>
  <c r="W326" i="1"/>
  <c r="AE325" i="1"/>
  <c r="Z323" i="1"/>
  <c r="BB322" i="1"/>
  <c r="W318" i="1"/>
  <c r="Y317" i="1"/>
  <c r="Z317" i="1"/>
  <c r="AU315" i="1"/>
  <c r="AO315" i="1" s="1"/>
  <c r="AV315" i="1" s="1"/>
  <c r="AW315" i="1"/>
  <c r="AW311" i="1"/>
  <c r="BA311" i="1"/>
  <c r="BB311" i="1"/>
  <c r="R311" i="1"/>
  <c r="S311" i="1"/>
  <c r="Y273" i="1"/>
  <c r="Z273" i="1"/>
  <c r="S267" i="1"/>
  <c r="AC267" i="1"/>
  <c r="R267" i="1"/>
  <c r="Y249" i="1"/>
  <c r="Z249" i="1"/>
  <c r="AU359" i="1"/>
  <c r="AO359" i="1" s="1"/>
  <c r="AV359" i="1" s="1"/>
  <c r="BB354" i="1"/>
  <c r="AU351" i="1"/>
  <c r="AO351" i="1" s="1"/>
  <c r="AV351" i="1" s="1"/>
  <c r="BB346" i="1"/>
  <c r="AU343" i="1"/>
  <c r="AO343" i="1" s="1"/>
  <c r="AV343" i="1" s="1"/>
  <c r="BB334" i="1"/>
  <c r="AU325" i="1"/>
  <c r="AO325" i="1" s="1"/>
  <c r="AV325" i="1" s="1"/>
  <c r="AZ325" i="1" s="1"/>
  <c r="BA322" i="1"/>
  <c r="AU321" i="1"/>
  <c r="AO321" i="1" s="1"/>
  <c r="AV321" i="1" s="1"/>
  <c r="AZ321" i="1" s="1"/>
  <c r="BA321" i="1"/>
  <c r="W320" i="1"/>
  <c r="BB318" i="1"/>
  <c r="AU314" i="1"/>
  <c r="AO314" i="1" s="1"/>
  <c r="AV314" i="1" s="1"/>
  <c r="AZ314" i="1" s="1"/>
  <c r="BA310" i="1"/>
  <c r="BB310" i="1"/>
  <c r="Y308" i="1"/>
  <c r="V304" i="1"/>
  <c r="W304" i="1"/>
  <c r="AW303" i="1"/>
  <c r="BA303" i="1"/>
  <c r="BB303" i="1"/>
  <c r="AU303" i="1"/>
  <c r="AO303" i="1" s="1"/>
  <c r="AV303" i="1" s="1"/>
  <c r="V288" i="1"/>
  <c r="W288" i="1"/>
  <c r="AC277" i="1"/>
  <c r="R277" i="1"/>
  <c r="S277" i="1"/>
  <c r="AU273" i="1"/>
  <c r="Y263" i="1"/>
  <c r="Z263" i="1"/>
  <c r="S255" i="1"/>
  <c r="AC255" i="1"/>
  <c r="R255" i="1"/>
  <c r="Y301" i="1"/>
  <c r="Z301" i="1"/>
  <c r="Y289" i="1"/>
  <c r="Z289" i="1"/>
  <c r="AU275" i="1"/>
  <c r="AW275" i="1"/>
  <c r="AZ275" i="1" s="1"/>
  <c r="BA275" i="1"/>
  <c r="AU261" i="1"/>
  <c r="AW261" i="1"/>
  <c r="AZ261" i="1" s="1"/>
  <c r="BA261" i="1"/>
  <c r="BB261" i="1"/>
  <c r="W355" i="1"/>
  <c r="Z352" i="1"/>
  <c r="W347" i="1"/>
  <c r="Z344" i="1"/>
  <c r="AE335" i="1"/>
  <c r="W335" i="1"/>
  <c r="Z332" i="1"/>
  <c r="S325" i="1"/>
  <c r="Z324" i="1"/>
  <c r="BB323" i="1"/>
  <c r="AV320" i="1"/>
  <c r="AZ320" i="1" s="1"/>
  <c r="Z315" i="1"/>
  <c r="R313" i="1"/>
  <c r="AU310" i="1"/>
  <c r="AO310" i="1" s="1"/>
  <c r="AV310" i="1" s="1"/>
  <c r="AZ310" i="1" s="1"/>
  <c r="AC293" i="1"/>
  <c r="R293" i="1"/>
  <c r="S293" i="1"/>
  <c r="AU289" i="1"/>
  <c r="AU270" i="1"/>
  <c r="R259" i="1"/>
  <c r="S259" i="1"/>
  <c r="AC259" i="1"/>
  <c r="AW354" i="1"/>
  <c r="AC348" i="1"/>
  <c r="AW346" i="1"/>
  <c r="AC336" i="1"/>
  <c r="AW334" i="1"/>
  <c r="AC328" i="1"/>
  <c r="AC327" i="1"/>
  <c r="R325" i="1"/>
  <c r="BA323" i="1"/>
  <c r="AD323" i="1"/>
  <c r="AC320" i="1"/>
  <c r="S320" i="1"/>
  <c r="AU318" i="1"/>
  <c r="AO318" i="1" s="1"/>
  <c r="AV318" i="1" s="1"/>
  <c r="AZ318" i="1" s="1"/>
  <c r="R317" i="1"/>
  <c r="S317" i="1"/>
  <c r="AC317" i="1"/>
  <c r="W316" i="1"/>
  <c r="AU313" i="1"/>
  <c r="AO313" i="1" s="1"/>
  <c r="AV313" i="1" s="1"/>
  <c r="V296" i="1"/>
  <c r="W296" i="1"/>
  <c r="AU291" i="1"/>
  <c r="AW291" i="1"/>
  <c r="AZ291" i="1" s="1"/>
  <c r="BA291" i="1"/>
  <c r="AD288" i="1"/>
  <c r="AE288" i="1"/>
  <c r="V280" i="1"/>
  <c r="W280" i="1"/>
  <c r="AC269" i="1"/>
  <c r="R269" i="1"/>
  <c r="S269" i="1"/>
  <c r="AW253" i="1"/>
  <c r="AZ253" i="1" s="1"/>
  <c r="BA253" i="1"/>
  <c r="AU253" i="1"/>
  <c r="BB253" i="1"/>
  <c r="AC305" i="1"/>
  <c r="R305" i="1"/>
  <c r="S305" i="1"/>
  <c r="AV304" i="1"/>
  <c r="AZ304" i="1" s="1"/>
  <c r="Y297" i="1"/>
  <c r="Z297" i="1"/>
  <c r="AU286" i="1"/>
  <c r="Y281" i="1"/>
  <c r="Z281" i="1"/>
  <c r="S261" i="1"/>
  <c r="R261" i="1"/>
  <c r="AC244" i="1"/>
  <c r="R244" i="1"/>
  <c r="S244" i="1"/>
  <c r="AD217" i="1"/>
  <c r="AE217" i="1"/>
  <c r="S328" i="1"/>
  <c r="R327" i="1"/>
  <c r="BB325" i="1"/>
  <c r="V312" i="1"/>
  <c r="W312" i="1"/>
  <c r="BA309" i="1"/>
  <c r="BB309" i="1"/>
  <c r="AU309" i="1"/>
  <c r="AO309" i="1" s="1"/>
  <c r="AV309" i="1" s="1"/>
  <c r="AZ309" i="1" s="1"/>
  <c r="AU306" i="1"/>
  <c r="AO306" i="1" s="1"/>
  <c r="AV306" i="1" s="1"/>
  <c r="AZ306" i="1" s="1"/>
  <c r="AV300" i="1"/>
  <c r="AZ300" i="1" s="1"/>
  <c r="AU297" i="1"/>
  <c r="AC285" i="1"/>
  <c r="R285" i="1"/>
  <c r="S285" i="1"/>
  <c r="AU281" i="1"/>
  <c r="BB275" i="1"/>
  <c r="V264" i="1"/>
  <c r="W264" i="1"/>
  <c r="AU264" i="1"/>
  <c r="AU259" i="1"/>
  <c r="AW259" i="1"/>
  <c r="AZ259" i="1" s="1"/>
  <c r="BA259" i="1"/>
  <c r="R247" i="1"/>
  <c r="S247" i="1"/>
  <c r="AU242" i="1"/>
  <c r="AW242" i="1"/>
  <c r="AZ242" i="1" s="1"/>
  <c r="AU237" i="1"/>
  <c r="AW237" i="1"/>
  <c r="AZ237" i="1" s="1"/>
  <c r="BA237" i="1"/>
  <c r="AU229" i="1"/>
  <c r="AW229" i="1"/>
  <c r="AZ229" i="1" s="1"/>
  <c r="BA229" i="1"/>
  <c r="AU218" i="1"/>
  <c r="AW218" i="1"/>
  <c r="AZ218" i="1" s="1"/>
  <c r="BA218" i="1"/>
  <c r="AD192" i="1"/>
  <c r="AE192" i="1"/>
  <c r="R192" i="1"/>
  <c r="S192" i="1"/>
  <c r="S304" i="1"/>
  <c r="AU302" i="1"/>
  <c r="AO302" i="1" s="1"/>
  <c r="AV302" i="1" s="1"/>
  <c r="AZ302" i="1" s="1"/>
  <c r="S296" i="1"/>
  <c r="BA294" i="1"/>
  <c r="Z293" i="1"/>
  <c r="AE292" i="1"/>
  <c r="W292" i="1"/>
  <c r="S288" i="1"/>
  <c r="BA286" i="1"/>
  <c r="Z285" i="1"/>
  <c r="AE284" i="1"/>
  <c r="W284" i="1"/>
  <c r="S280" i="1"/>
  <c r="BA278" i="1"/>
  <c r="Z277" i="1"/>
  <c r="W276" i="1"/>
  <c r="S272" i="1"/>
  <c r="BA270" i="1"/>
  <c r="Z269" i="1"/>
  <c r="Z267" i="1"/>
  <c r="BB264" i="1"/>
  <c r="S264" i="1"/>
  <c r="S260" i="1"/>
  <c r="AD241" i="1"/>
  <c r="AE241" i="1"/>
  <c r="AU240" i="1"/>
  <c r="Y240" i="1"/>
  <c r="Z240" i="1"/>
  <c r="AD239" i="1"/>
  <c r="AE239" i="1"/>
  <c r="AU227" i="1"/>
  <c r="AC220" i="1"/>
  <c r="R220" i="1"/>
  <c r="S220" i="1"/>
  <c r="AU210" i="1"/>
  <c r="AW210" i="1"/>
  <c r="AZ210" i="1" s="1"/>
  <c r="BA210" i="1"/>
  <c r="V199" i="1"/>
  <c r="W199" i="1"/>
  <c r="BA313" i="1"/>
  <c r="AC309" i="1"/>
  <c r="AW307" i="1"/>
  <c r="BA305" i="1"/>
  <c r="S303" i="1"/>
  <c r="AU301" i="1"/>
  <c r="AO301" i="1" s="1"/>
  <c r="AV301" i="1" s="1"/>
  <c r="AC301" i="1"/>
  <c r="AW299" i="1"/>
  <c r="BA297" i="1"/>
  <c r="AC297" i="1"/>
  <c r="BA289" i="1"/>
  <c r="AC289" i="1"/>
  <c r="BA281" i="1"/>
  <c r="AC281" i="1"/>
  <c r="BA273" i="1"/>
  <c r="AC273" i="1"/>
  <c r="BA266" i="1"/>
  <c r="AC266" i="1"/>
  <c r="BA264" i="1"/>
  <c r="Z261" i="1"/>
  <c r="R260" i="1"/>
  <c r="Y259" i="1"/>
  <c r="AU257" i="1"/>
  <c r="R251" i="1"/>
  <c r="S251" i="1"/>
  <c r="AC251" i="1"/>
  <c r="AU235" i="1"/>
  <c r="Y235" i="1"/>
  <c r="AD226" i="1"/>
  <c r="V223" i="1"/>
  <c r="W223" i="1"/>
  <c r="V215" i="1"/>
  <c r="W215" i="1"/>
  <c r="AC212" i="1"/>
  <c r="R212" i="1"/>
  <c r="S212" i="1"/>
  <c r="Y208" i="1"/>
  <c r="Z208" i="1"/>
  <c r="R197" i="1"/>
  <c r="S197" i="1"/>
  <c r="Y196" i="1"/>
  <c r="Z196" i="1"/>
  <c r="AC181" i="1"/>
  <c r="S181" i="1"/>
  <c r="R181" i="1"/>
  <c r="AW294" i="1"/>
  <c r="AZ294" i="1" s="1"/>
  <c r="AW286" i="1"/>
  <c r="AZ286" i="1" s="1"/>
  <c r="AW278" i="1"/>
  <c r="AZ278" i="1" s="1"/>
  <c r="AW270" i="1"/>
  <c r="AZ270" i="1" s="1"/>
  <c r="BB259" i="1"/>
  <c r="Y248" i="1"/>
  <c r="Z248" i="1"/>
  <c r="AC247" i="1"/>
  <c r="AU245" i="1"/>
  <c r="AW245" i="1"/>
  <c r="AZ245" i="1" s="1"/>
  <c r="BA245" i="1"/>
  <c r="BB242" i="1"/>
  <c r="V231" i="1"/>
  <c r="W231" i="1"/>
  <c r="AC228" i="1"/>
  <c r="R228" i="1"/>
  <c r="AU203" i="1"/>
  <c r="AD197" i="1"/>
  <c r="AE197" i="1"/>
  <c r="AU192" i="1"/>
  <c r="AW192" i="1"/>
  <c r="AZ192" i="1" s="1"/>
  <c r="BA192" i="1"/>
  <c r="BB192" i="1"/>
  <c r="S309" i="1"/>
  <c r="BB302" i="1"/>
  <c r="S301" i="1"/>
  <c r="AW297" i="1"/>
  <c r="AZ297" i="1" s="1"/>
  <c r="S297" i="1"/>
  <c r="BA295" i="1"/>
  <c r="AW289" i="1"/>
  <c r="AZ289" i="1" s="1"/>
  <c r="S289" i="1"/>
  <c r="BA287" i="1"/>
  <c r="AW281" i="1"/>
  <c r="AZ281" i="1" s="1"/>
  <c r="S281" i="1"/>
  <c r="BA279" i="1"/>
  <c r="AW273" i="1"/>
  <c r="AZ273" i="1" s="1"/>
  <c r="S273" i="1"/>
  <c r="BA271" i="1"/>
  <c r="S268" i="1"/>
  <c r="W267" i="1"/>
  <c r="AW266" i="1"/>
  <c r="AZ266" i="1" s="1"/>
  <c r="S266" i="1"/>
  <c r="AE265" i="1"/>
  <c r="AW264" i="1"/>
  <c r="AZ264" i="1" s="1"/>
  <c r="W261" i="1"/>
  <c r="AU251" i="1"/>
  <c r="AW251" i="1"/>
  <c r="AZ251" i="1" s="1"/>
  <c r="BA251" i="1"/>
  <c r="BA250" i="1"/>
  <c r="AD249" i="1"/>
  <c r="BA242" i="1"/>
  <c r="AC236" i="1"/>
  <c r="R236" i="1"/>
  <c r="R231" i="1"/>
  <c r="S231" i="1"/>
  <c r="S228" i="1"/>
  <c r="AU226" i="1"/>
  <c r="AW226" i="1"/>
  <c r="AZ226" i="1" s="1"/>
  <c r="BB218" i="1"/>
  <c r="AU202" i="1"/>
  <c r="AW202" i="1"/>
  <c r="AZ202" i="1" s="1"/>
  <c r="BA202" i="1"/>
  <c r="S186" i="1"/>
  <c r="AC186" i="1"/>
  <c r="R186" i="1"/>
  <c r="AU171" i="1"/>
  <c r="AW171" i="1"/>
  <c r="AZ171" i="1" s="1"/>
  <c r="BA171" i="1"/>
  <c r="BB171" i="1"/>
  <c r="S316" i="1"/>
  <c r="S308" i="1"/>
  <c r="BB301" i="1"/>
  <c r="S300" i="1"/>
  <c r="S292" i="1"/>
  <c r="S284" i="1"/>
  <c r="S276" i="1"/>
  <c r="AD258" i="1"/>
  <c r="AU256" i="1"/>
  <c r="W254" i="1"/>
  <c r="AC252" i="1"/>
  <c r="R252" i="1"/>
  <c r="AW250" i="1"/>
  <c r="AZ250" i="1" s="1"/>
  <c r="AU243" i="1"/>
  <c r="V239" i="1"/>
  <c r="W239" i="1"/>
  <c r="BB237" i="1"/>
  <c r="S236" i="1"/>
  <c r="AU234" i="1"/>
  <c r="AW234" i="1"/>
  <c r="AZ234" i="1" s="1"/>
  <c r="BB229" i="1"/>
  <c r="AD225" i="1"/>
  <c r="AE225" i="1"/>
  <c r="AU224" i="1"/>
  <c r="Y224" i="1"/>
  <c r="Z224" i="1"/>
  <c r="BB210" i="1"/>
  <c r="Y200" i="1"/>
  <c r="Z200" i="1"/>
  <c r="Y256" i="1"/>
  <c r="Z256" i="1"/>
  <c r="V255" i="1"/>
  <c r="W255" i="1"/>
  <c r="S253" i="1"/>
  <c r="AC253" i="1"/>
  <c r="Y247" i="1"/>
  <c r="Z247" i="1"/>
  <c r="R239" i="1"/>
  <c r="S239" i="1"/>
  <c r="AD233" i="1"/>
  <c r="AE233" i="1"/>
  <c r="AU232" i="1"/>
  <c r="Y232" i="1"/>
  <c r="Z232" i="1"/>
  <c r="AC231" i="1"/>
  <c r="AU219" i="1"/>
  <c r="Y216" i="1"/>
  <c r="Z216" i="1"/>
  <c r="V207" i="1"/>
  <c r="W207" i="1"/>
  <c r="AC204" i="1"/>
  <c r="R204" i="1"/>
  <c r="S204" i="1"/>
  <c r="AU200" i="1"/>
  <c r="AU197" i="1"/>
  <c r="AW197" i="1"/>
  <c r="AZ197" i="1" s="1"/>
  <c r="BA197" i="1"/>
  <c r="BB197" i="1"/>
  <c r="AU191" i="1"/>
  <c r="R184" i="1"/>
  <c r="S184" i="1"/>
  <c r="AC184" i="1"/>
  <c r="W216" i="1"/>
  <c r="AU209" i="1"/>
  <c r="Z209" i="1"/>
  <c r="W208" i="1"/>
  <c r="Z201" i="1"/>
  <c r="AE200" i="1"/>
  <c r="W200" i="1"/>
  <c r="Z195" i="1"/>
  <c r="AU184" i="1"/>
  <c r="AW184" i="1"/>
  <c r="AZ184" i="1" s="1"/>
  <c r="BA184" i="1"/>
  <c r="R179" i="1"/>
  <c r="S179" i="1"/>
  <c r="AC179" i="1"/>
  <c r="AC245" i="1"/>
  <c r="AC237" i="1"/>
  <c r="AC229" i="1"/>
  <c r="S223" i="1"/>
  <c r="BA221" i="1"/>
  <c r="AC221" i="1"/>
  <c r="BA213" i="1"/>
  <c r="AC213" i="1"/>
  <c r="BA205" i="1"/>
  <c r="AC205" i="1"/>
  <c r="BA194" i="1"/>
  <c r="AC194" i="1"/>
  <c r="S185" i="1"/>
  <c r="AV183" i="1"/>
  <c r="AZ183" i="1" s="1"/>
  <c r="W183" i="1"/>
  <c r="W174" i="1"/>
  <c r="R172" i="1"/>
  <c r="S172" i="1"/>
  <c r="AC172" i="1"/>
  <c r="AU169" i="1"/>
  <c r="BA169" i="1"/>
  <c r="W246" i="1"/>
  <c r="Z239" i="1"/>
  <c r="AE238" i="1"/>
  <c r="W238" i="1"/>
  <c r="V188" i="1"/>
  <c r="W188" i="1"/>
  <c r="AU179" i="1"/>
  <c r="AW179" i="1"/>
  <c r="AZ179" i="1" s="1"/>
  <c r="BA179" i="1"/>
  <c r="V175" i="1"/>
  <c r="W175" i="1"/>
  <c r="Y169" i="1"/>
  <c r="Z169" i="1"/>
  <c r="BA159" i="1"/>
  <c r="BB159" i="1"/>
  <c r="AU159" i="1"/>
  <c r="AO159" i="1" s="1"/>
  <c r="AV159" i="1" s="1"/>
  <c r="AW159" i="1"/>
  <c r="BA243" i="1"/>
  <c r="AC243" i="1"/>
  <c r="BA235" i="1"/>
  <c r="AC235" i="1"/>
  <c r="S229" i="1"/>
  <c r="BA227" i="1"/>
  <c r="AC227" i="1"/>
  <c r="AW221" i="1"/>
  <c r="AZ221" i="1" s="1"/>
  <c r="S221" i="1"/>
  <c r="BA219" i="1"/>
  <c r="AC219" i="1"/>
  <c r="S213" i="1"/>
  <c r="BA211" i="1"/>
  <c r="AC211" i="1"/>
  <c r="S205" i="1"/>
  <c r="BA203" i="1"/>
  <c r="AC203" i="1"/>
  <c r="S196" i="1"/>
  <c r="AW194" i="1"/>
  <c r="AZ194" i="1" s="1"/>
  <c r="S194" i="1"/>
  <c r="BB184" i="1"/>
  <c r="AD176" i="1"/>
  <c r="AE176" i="1"/>
  <c r="AU172" i="1"/>
  <c r="BA170" i="1"/>
  <c r="AU170" i="1"/>
  <c r="R180" i="1"/>
  <c r="S180" i="1"/>
  <c r="AC180" i="1"/>
  <c r="AU177" i="1"/>
  <c r="BA177" i="1"/>
  <c r="Y177" i="1"/>
  <c r="Z177" i="1"/>
  <c r="AC173" i="1"/>
  <c r="S173" i="1"/>
  <c r="V165" i="1"/>
  <c r="W165" i="1"/>
  <c r="AW243" i="1"/>
  <c r="AZ243" i="1" s="1"/>
  <c r="S243" i="1"/>
  <c r="AW235" i="1"/>
  <c r="AZ235" i="1" s="1"/>
  <c r="S235" i="1"/>
  <c r="AW227" i="1"/>
  <c r="AZ227" i="1" s="1"/>
  <c r="S227" i="1"/>
  <c r="AW219" i="1"/>
  <c r="AZ219" i="1" s="1"/>
  <c r="S219" i="1"/>
  <c r="AW211" i="1"/>
  <c r="AZ211" i="1" s="1"/>
  <c r="S211" i="1"/>
  <c r="AW203" i="1"/>
  <c r="AZ203" i="1" s="1"/>
  <c r="S203" i="1"/>
  <c r="BB195" i="1"/>
  <c r="AC195" i="1"/>
  <c r="BB193" i="1"/>
  <c r="BA190" i="1"/>
  <c r="AC188" i="1"/>
  <c r="BB182" i="1"/>
  <c r="AC182" i="1"/>
  <c r="BB179" i="1"/>
  <c r="Y176" i="1"/>
  <c r="Z176" i="1"/>
  <c r="R173" i="1"/>
  <c r="R171" i="1"/>
  <c r="S171" i="1"/>
  <c r="AC171" i="1"/>
  <c r="BB169" i="1"/>
  <c r="BA167" i="1"/>
  <c r="AU167" i="1"/>
  <c r="AW167" i="1"/>
  <c r="AZ167" i="1" s="1"/>
  <c r="Y163" i="1"/>
  <c r="Z163" i="1"/>
  <c r="BA195" i="1"/>
  <c r="BA182" i="1"/>
  <c r="AU180" i="1"/>
  <c r="BA178" i="1"/>
  <c r="AU178" i="1"/>
  <c r="V176" i="1"/>
  <c r="W176" i="1"/>
  <c r="AW169" i="1"/>
  <c r="AZ169" i="1" s="1"/>
  <c r="V166" i="1"/>
  <c r="W166" i="1"/>
  <c r="AE165" i="1"/>
  <c r="AV143" i="1"/>
  <c r="AZ143" i="1" s="1"/>
  <c r="R158" i="1"/>
  <c r="S158" i="1"/>
  <c r="AC158" i="1"/>
  <c r="BA180" i="1"/>
  <c r="BA172" i="1"/>
  <c r="BA164" i="1"/>
  <c r="V160" i="1"/>
  <c r="Y157" i="1"/>
  <c r="Y154" i="1"/>
  <c r="Z154" i="1"/>
  <c r="V153" i="1"/>
  <c r="W153" i="1"/>
  <c r="Y150" i="1"/>
  <c r="Z150" i="1"/>
  <c r="AD121" i="1"/>
  <c r="AE121" i="1"/>
  <c r="Z114" i="1"/>
  <c r="Y114" i="1"/>
  <c r="V161" i="1"/>
  <c r="W161" i="1"/>
  <c r="AV158" i="1"/>
  <c r="R153" i="1"/>
  <c r="S153" i="1"/>
  <c r="AW152" i="1"/>
  <c r="AZ152" i="1" s="1"/>
  <c r="BA152" i="1"/>
  <c r="AD149" i="1"/>
  <c r="AE149" i="1"/>
  <c r="V136" i="1"/>
  <c r="W136" i="1"/>
  <c r="Z125" i="1"/>
  <c r="Y125" i="1"/>
  <c r="AD123" i="1"/>
  <c r="R102" i="1"/>
  <c r="AC102" i="1"/>
  <c r="S102" i="1"/>
  <c r="AW180" i="1"/>
  <c r="AZ180" i="1" s="1"/>
  <c r="AW172" i="1"/>
  <c r="AZ172" i="1" s="1"/>
  <c r="Y166" i="1"/>
  <c r="Z166" i="1"/>
  <c r="AU163" i="1"/>
  <c r="AO163" i="1" s="1"/>
  <c r="AV163" i="1" s="1"/>
  <c r="BA163" i="1"/>
  <c r="AC162" i="1"/>
  <c r="R162" i="1"/>
  <c r="V157" i="1"/>
  <c r="W157" i="1"/>
  <c r="AC153" i="1"/>
  <c r="BB152" i="1"/>
  <c r="BA151" i="1"/>
  <c r="BB151" i="1"/>
  <c r="AU151" i="1"/>
  <c r="AO151" i="1" s="1"/>
  <c r="AV151" i="1" s="1"/>
  <c r="W138" i="1"/>
  <c r="V138" i="1"/>
  <c r="AC132" i="1"/>
  <c r="R132" i="1"/>
  <c r="S132" i="1"/>
  <c r="AW163" i="1"/>
  <c r="AV162" i="1"/>
  <c r="S162" i="1"/>
  <c r="AC161" i="1"/>
  <c r="R161" i="1"/>
  <c r="AW160" i="1"/>
  <c r="AZ160" i="1" s="1"/>
  <c r="BA160" i="1"/>
  <c r="Y158" i="1"/>
  <c r="Z158" i="1"/>
  <c r="AU156" i="1"/>
  <c r="AO156" i="1" s="1"/>
  <c r="AV156" i="1" s="1"/>
  <c r="AW156" i="1"/>
  <c r="AC154" i="1"/>
  <c r="R154" i="1"/>
  <c r="AW151" i="1"/>
  <c r="R150" i="1"/>
  <c r="S150" i="1"/>
  <c r="AC150" i="1"/>
  <c r="Y149" i="1"/>
  <c r="Z149" i="1"/>
  <c r="V147" i="1"/>
  <c r="W147" i="1"/>
  <c r="Y144" i="1"/>
  <c r="Z144" i="1"/>
  <c r="AW142" i="1"/>
  <c r="BA142" i="1"/>
  <c r="BB142" i="1"/>
  <c r="AU142" i="1"/>
  <c r="AO142" i="1" s="1"/>
  <c r="AV142" i="1" s="1"/>
  <c r="Z126" i="1"/>
  <c r="Y126" i="1"/>
  <c r="R136" i="1"/>
  <c r="S136" i="1"/>
  <c r="AD131" i="1"/>
  <c r="AE131" i="1"/>
  <c r="AW108" i="1"/>
  <c r="BB108" i="1"/>
  <c r="AU108" i="1"/>
  <c r="AO108" i="1" s="1"/>
  <c r="AV108" i="1" s="1"/>
  <c r="AC159" i="1"/>
  <c r="AW157" i="1"/>
  <c r="BA155" i="1"/>
  <c r="AC151" i="1"/>
  <c r="AW149" i="1"/>
  <c r="AU148" i="1"/>
  <c r="AO148" i="1" s="1"/>
  <c r="AV148" i="1" s="1"/>
  <c r="AZ148" i="1" s="1"/>
  <c r="BA145" i="1"/>
  <c r="AU140" i="1"/>
  <c r="AO140" i="1" s="1"/>
  <c r="AV140" i="1" s="1"/>
  <c r="AW140" i="1"/>
  <c r="AC138" i="1"/>
  <c r="S138" i="1"/>
  <c r="AC136" i="1"/>
  <c r="BA135" i="1"/>
  <c r="Z133" i="1"/>
  <c r="S131" i="1"/>
  <c r="W128" i="1"/>
  <c r="AC122" i="1"/>
  <c r="R122" i="1"/>
  <c r="BB102" i="1"/>
  <c r="AU102" i="1"/>
  <c r="AO102" i="1" s="1"/>
  <c r="AV102" i="1" s="1"/>
  <c r="AW102" i="1"/>
  <c r="AW145" i="1"/>
  <c r="AW144" i="1"/>
  <c r="AW138" i="1"/>
  <c r="BA138" i="1"/>
  <c r="BA136" i="1"/>
  <c r="BB136" i="1"/>
  <c r="AV131" i="1"/>
  <c r="AZ131" i="1" s="1"/>
  <c r="R131" i="1"/>
  <c r="V129" i="1"/>
  <c r="AV123" i="1"/>
  <c r="AZ123" i="1" s="1"/>
  <c r="BA119" i="1"/>
  <c r="BB119" i="1"/>
  <c r="AU119" i="1"/>
  <c r="AO119" i="1" s="1"/>
  <c r="AV119" i="1" s="1"/>
  <c r="AV114" i="1"/>
  <c r="AV100" i="1"/>
  <c r="BB94" i="1"/>
  <c r="AU94" i="1"/>
  <c r="AO94" i="1" s="1"/>
  <c r="AV94" i="1" s="1"/>
  <c r="BA94" i="1"/>
  <c r="V130" i="1"/>
  <c r="W130" i="1"/>
  <c r="AU124" i="1"/>
  <c r="AO124" i="1" s="1"/>
  <c r="AV124" i="1" s="1"/>
  <c r="AW119" i="1"/>
  <c r="Y118" i="1"/>
  <c r="Z118" i="1"/>
  <c r="Y113" i="1"/>
  <c r="Z113" i="1"/>
  <c r="BA108" i="1"/>
  <c r="S96" i="1"/>
  <c r="R96" i="1"/>
  <c r="R148" i="1"/>
  <c r="AU144" i="1"/>
  <c r="AO144" i="1" s="1"/>
  <c r="AV144" i="1" s="1"/>
  <c r="S144" i="1"/>
  <c r="AU138" i="1"/>
  <c r="AO138" i="1" s="1"/>
  <c r="AV138" i="1" s="1"/>
  <c r="Y136" i="1"/>
  <c r="Z136" i="1"/>
  <c r="R129" i="1"/>
  <c r="S129" i="1"/>
  <c r="BA127" i="1"/>
  <c r="BB127" i="1"/>
  <c r="AU127" i="1"/>
  <c r="AO127" i="1" s="1"/>
  <c r="AV127" i="1" s="1"/>
  <c r="AC96" i="1"/>
  <c r="AW94" i="1"/>
  <c r="V65" i="1"/>
  <c r="W65" i="1"/>
  <c r="BB158" i="1"/>
  <c r="S157" i="1"/>
  <c r="BB150" i="1"/>
  <c r="AC137" i="1"/>
  <c r="AU135" i="1"/>
  <c r="AO135" i="1" s="1"/>
  <c r="AV135" i="1" s="1"/>
  <c r="S130" i="1"/>
  <c r="AW129" i="1"/>
  <c r="BA129" i="1"/>
  <c r="BB129" i="1"/>
  <c r="Y127" i="1"/>
  <c r="Z127" i="1"/>
  <c r="V121" i="1"/>
  <c r="W121" i="1"/>
  <c r="AD116" i="1"/>
  <c r="AE116" i="1"/>
  <c r="W100" i="1"/>
  <c r="V100" i="1"/>
  <c r="BA88" i="1"/>
  <c r="BB88" i="1"/>
  <c r="AW88" i="1"/>
  <c r="AU88" i="1"/>
  <c r="AO88" i="1" s="1"/>
  <c r="AV88" i="1" s="1"/>
  <c r="BB148" i="1"/>
  <c r="BA143" i="1"/>
  <c r="AV133" i="1"/>
  <c r="AZ133" i="1" s="1"/>
  <c r="AC130" i="1"/>
  <c r="BA128" i="1"/>
  <c r="BB128" i="1"/>
  <c r="AW127" i="1"/>
  <c r="R121" i="1"/>
  <c r="S121" i="1"/>
  <c r="AW120" i="1"/>
  <c r="AZ120" i="1" s="1"/>
  <c r="BA120" i="1"/>
  <c r="BB120" i="1"/>
  <c r="AV116" i="1"/>
  <c r="BA103" i="1"/>
  <c r="AW103" i="1"/>
  <c r="AU103" i="1"/>
  <c r="AO103" i="1" s="1"/>
  <c r="AV103" i="1" s="1"/>
  <c r="AV98" i="1"/>
  <c r="AZ98" i="1" s="1"/>
  <c r="BB130" i="1"/>
  <c r="BB122" i="1"/>
  <c r="W114" i="1"/>
  <c r="AE113" i="1"/>
  <c r="AU107" i="1"/>
  <c r="AO107" i="1" s="1"/>
  <c r="AV107" i="1" s="1"/>
  <c r="AZ107" i="1" s="1"/>
  <c r="BA95" i="1"/>
  <c r="BB95" i="1"/>
  <c r="AW95" i="1"/>
  <c r="Y95" i="1"/>
  <c r="Z95" i="1"/>
  <c r="Y90" i="1"/>
  <c r="Z90" i="1"/>
  <c r="R54" i="1"/>
  <c r="AC54" i="1"/>
  <c r="S54" i="1"/>
  <c r="AC134" i="1"/>
  <c r="AW132" i="1"/>
  <c r="BA130" i="1"/>
  <c r="S128" i="1"/>
  <c r="AC126" i="1"/>
  <c r="AW124" i="1"/>
  <c r="BA122" i="1"/>
  <c r="BB121" i="1"/>
  <c r="S120" i="1"/>
  <c r="AC118" i="1"/>
  <c r="AW116" i="1"/>
  <c r="AU113" i="1"/>
  <c r="AO113" i="1" s="1"/>
  <c r="AV113" i="1" s="1"/>
  <c r="R112" i="1"/>
  <c r="AD111" i="1"/>
  <c r="Z109" i="1"/>
  <c r="AC107" i="1"/>
  <c r="S107" i="1"/>
  <c r="R105" i="1"/>
  <c r="AC105" i="1"/>
  <c r="AE101" i="1"/>
  <c r="V95" i="1"/>
  <c r="W131" i="1"/>
  <c r="Z128" i="1"/>
  <c r="W123" i="1"/>
  <c r="BA121" i="1"/>
  <c r="Z120" i="1"/>
  <c r="W115" i="1"/>
  <c r="V98" i="1"/>
  <c r="W98" i="1"/>
  <c r="Z89" i="1"/>
  <c r="Y89" i="1"/>
  <c r="W41" i="1"/>
  <c r="V41" i="1"/>
  <c r="W122" i="1"/>
  <c r="Z119" i="1"/>
  <c r="S113" i="1"/>
  <c r="BB110" i="1"/>
  <c r="AU110" i="1"/>
  <c r="AO110" i="1" s="1"/>
  <c r="AV110" i="1" s="1"/>
  <c r="AZ110" i="1" s="1"/>
  <c r="R110" i="1"/>
  <c r="AC110" i="1"/>
  <c r="W109" i="1"/>
  <c r="AW105" i="1"/>
  <c r="BB105" i="1"/>
  <c r="AU105" i="1"/>
  <c r="AO105" i="1" s="1"/>
  <c r="AV105" i="1" s="1"/>
  <c r="W104" i="1"/>
  <c r="AW100" i="1"/>
  <c r="BB100" i="1"/>
  <c r="R97" i="1"/>
  <c r="AC97" i="1"/>
  <c r="AU95" i="1"/>
  <c r="AO95" i="1" s="1"/>
  <c r="AV95" i="1" s="1"/>
  <c r="Z93" i="1"/>
  <c r="V89" i="1"/>
  <c r="BA80" i="1"/>
  <c r="BB80" i="1"/>
  <c r="AW80" i="1"/>
  <c r="AU80" i="1"/>
  <c r="AO80" i="1" s="1"/>
  <c r="AV80" i="1" s="1"/>
  <c r="Y58" i="1"/>
  <c r="Z58" i="1"/>
  <c r="AC115" i="1"/>
  <c r="AU99" i="1"/>
  <c r="AO99" i="1" s="1"/>
  <c r="AV99" i="1" s="1"/>
  <c r="AZ99" i="1" s="1"/>
  <c r="S88" i="1"/>
  <c r="R88" i="1"/>
  <c r="AU86" i="1"/>
  <c r="AO86" i="1" s="1"/>
  <c r="AV86" i="1" s="1"/>
  <c r="BA86" i="1"/>
  <c r="R81" i="1"/>
  <c r="S81" i="1"/>
  <c r="AC81" i="1"/>
  <c r="AD75" i="1"/>
  <c r="AE75" i="1"/>
  <c r="V73" i="1"/>
  <c r="W73" i="1"/>
  <c r="AC62" i="1"/>
  <c r="R62" i="1"/>
  <c r="S62" i="1"/>
  <c r="S48" i="1"/>
  <c r="AC48" i="1"/>
  <c r="R48" i="1"/>
  <c r="AV109" i="1"/>
  <c r="AZ109" i="1" s="1"/>
  <c r="AE109" i="1"/>
  <c r="AD108" i="1"/>
  <c r="Z106" i="1"/>
  <c r="Z101" i="1"/>
  <c r="AC99" i="1"/>
  <c r="S99" i="1"/>
  <c r="AW97" i="1"/>
  <c r="BB97" i="1"/>
  <c r="AU97" i="1"/>
  <c r="AO97" i="1" s="1"/>
  <c r="AV97" i="1" s="1"/>
  <c r="W96" i="1"/>
  <c r="AC88" i="1"/>
  <c r="AW86" i="1"/>
  <c r="R73" i="1"/>
  <c r="S73" i="1"/>
  <c r="AC73" i="1"/>
  <c r="AD64" i="1"/>
  <c r="AE64" i="1"/>
  <c r="R94" i="1"/>
  <c r="S94" i="1"/>
  <c r="AC94" i="1"/>
  <c r="AV92" i="1"/>
  <c r="AC91" i="1"/>
  <c r="S91" i="1"/>
  <c r="AE52" i="1"/>
  <c r="AD52" i="1"/>
  <c r="BB92" i="1"/>
  <c r="AU87" i="1"/>
  <c r="AO87" i="1" s="1"/>
  <c r="AV87" i="1" s="1"/>
  <c r="AV84" i="1"/>
  <c r="AD83" i="1"/>
  <c r="AC76" i="1"/>
  <c r="S76" i="1"/>
  <c r="AW74" i="1"/>
  <c r="BA74" i="1"/>
  <c r="BB74" i="1"/>
  <c r="AU74" i="1"/>
  <c r="AO74" i="1" s="1"/>
  <c r="AV74" i="1" s="1"/>
  <c r="BB71" i="1"/>
  <c r="AU71" i="1"/>
  <c r="AO71" i="1" s="1"/>
  <c r="AV71" i="1" s="1"/>
  <c r="AD69" i="1"/>
  <c r="AE69" i="1"/>
  <c r="AC68" i="1"/>
  <c r="S68" i="1"/>
  <c r="AC67" i="1"/>
  <c r="V63" i="1"/>
  <c r="W63" i="1"/>
  <c r="V50" i="1"/>
  <c r="W50" i="1"/>
  <c r="Z49" i="1"/>
  <c r="Y49" i="1"/>
  <c r="S34" i="1"/>
  <c r="AC34" i="1"/>
  <c r="R34" i="1"/>
  <c r="W29" i="1"/>
  <c r="V29" i="1"/>
  <c r="AW92" i="1"/>
  <c r="S86" i="1"/>
  <c r="AC86" i="1"/>
  <c r="R82" i="1"/>
  <c r="AC82" i="1"/>
  <c r="Y80" i="1"/>
  <c r="Z80" i="1"/>
  <c r="Z78" i="1"/>
  <c r="BA72" i="1"/>
  <c r="BB72" i="1"/>
  <c r="AW72" i="1"/>
  <c r="Y69" i="1"/>
  <c r="R65" i="1"/>
  <c r="S65" i="1"/>
  <c r="Y61" i="1"/>
  <c r="Z61" i="1"/>
  <c r="Y52" i="1"/>
  <c r="Z52" i="1"/>
  <c r="AU40" i="1"/>
  <c r="AO40" i="1" s="1"/>
  <c r="AV40" i="1" s="1"/>
  <c r="AW40" i="1"/>
  <c r="BA40" i="1"/>
  <c r="R74" i="1"/>
  <c r="AC74" i="1"/>
  <c r="Y72" i="1"/>
  <c r="Z72" i="1"/>
  <c r="AD45" i="1"/>
  <c r="AE45" i="1"/>
  <c r="W44" i="1"/>
  <c r="V44" i="1"/>
  <c r="Y19" i="1"/>
  <c r="Z19" i="1"/>
  <c r="Z86" i="1"/>
  <c r="AV85" i="1"/>
  <c r="AZ85" i="1" s="1"/>
  <c r="V83" i="1"/>
  <c r="W83" i="1"/>
  <c r="S74" i="1"/>
  <c r="AV66" i="1"/>
  <c r="AZ66" i="1" s="1"/>
  <c r="BA63" i="1"/>
  <c r="BB63" i="1"/>
  <c r="AU63" i="1"/>
  <c r="AO63" i="1" s="1"/>
  <c r="AV63" i="1" s="1"/>
  <c r="AZ63" i="1" s="1"/>
  <c r="AW57" i="1"/>
  <c r="AZ57" i="1" s="1"/>
  <c r="BB57" i="1"/>
  <c r="R31" i="1"/>
  <c r="S31" i="1"/>
  <c r="AC31" i="1"/>
  <c r="AU90" i="1"/>
  <c r="AO90" i="1" s="1"/>
  <c r="AV90" i="1" s="1"/>
  <c r="AW87" i="1"/>
  <c r="V75" i="1"/>
  <c r="W75" i="1"/>
  <c r="R67" i="1"/>
  <c r="AW60" i="1"/>
  <c r="AU60" i="1"/>
  <c r="AO60" i="1" s="1"/>
  <c r="AV60" i="1" s="1"/>
  <c r="BA60" i="1"/>
  <c r="BB60" i="1"/>
  <c r="AC84" i="1"/>
  <c r="S84" i="1"/>
  <c r="AW82" i="1"/>
  <c r="BA82" i="1"/>
  <c r="BB82" i="1"/>
  <c r="AU82" i="1"/>
  <c r="AO82" i="1" s="1"/>
  <c r="AV82" i="1" s="1"/>
  <c r="BB79" i="1"/>
  <c r="AU79" i="1"/>
  <c r="AO79" i="1" s="1"/>
  <c r="AV79" i="1" s="1"/>
  <c r="BB65" i="1"/>
  <c r="AU65" i="1"/>
  <c r="AO65" i="1" s="1"/>
  <c r="AV65" i="1" s="1"/>
  <c r="AZ65" i="1" s="1"/>
  <c r="S64" i="1"/>
  <c r="R64" i="1"/>
  <c r="BA57" i="1"/>
  <c r="Y57" i="1"/>
  <c r="AU56" i="1"/>
  <c r="AO56" i="1" s="1"/>
  <c r="AV56" i="1" s="1"/>
  <c r="AZ56" i="1" s="1"/>
  <c r="AW52" i="1"/>
  <c r="BA52" i="1"/>
  <c r="V49" i="1"/>
  <c r="Y46" i="1"/>
  <c r="Z37" i="1"/>
  <c r="Y37" i="1"/>
  <c r="V30" i="1"/>
  <c r="W30" i="1"/>
  <c r="AW29" i="1"/>
  <c r="BB29" i="1"/>
  <c r="AU29" i="1"/>
  <c r="AO29" i="1" s="1"/>
  <c r="AV29" i="1" s="1"/>
  <c r="S56" i="1"/>
  <c r="AC56" i="1"/>
  <c r="AU51" i="1"/>
  <c r="AO51" i="1" s="1"/>
  <c r="AV51" i="1" s="1"/>
  <c r="BB51" i="1"/>
  <c r="AC51" i="1"/>
  <c r="R51" i="1"/>
  <c r="Y42" i="1"/>
  <c r="Z42" i="1"/>
  <c r="Z38" i="1"/>
  <c r="Y38" i="1"/>
  <c r="AC15" i="1"/>
  <c r="R15" i="1"/>
  <c r="S15" i="1"/>
  <c r="AV61" i="1"/>
  <c r="AU59" i="1"/>
  <c r="AO59" i="1" s="1"/>
  <c r="AV59" i="1" s="1"/>
  <c r="AZ59" i="1" s="1"/>
  <c r="BB59" i="1"/>
  <c r="AC59" i="1"/>
  <c r="R59" i="1"/>
  <c r="AU52" i="1"/>
  <c r="AO52" i="1" s="1"/>
  <c r="AV52" i="1" s="1"/>
  <c r="BA36" i="1"/>
  <c r="AU36" i="1"/>
  <c r="AO36" i="1" s="1"/>
  <c r="AV36" i="1" s="1"/>
  <c r="AZ36" i="1" s="1"/>
  <c r="AE29" i="1"/>
  <c r="AD29" i="1"/>
  <c r="AW84" i="1"/>
  <c r="BB81" i="1"/>
  <c r="Z81" i="1"/>
  <c r="S80" i="1"/>
  <c r="AW76" i="1"/>
  <c r="BB73" i="1"/>
  <c r="Z73" i="1"/>
  <c r="S72" i="1"/>
  <c r="W68" i="1"/>
  <c r="W67" i="1"/>
  <c r="BB64" i="1"/>
  <c r="Z64" i="1"/>
  <c r="AE61" i="1"/>
  <c r="S59" i="1"/>
  <c r="BB54" i="1"/>
  <c r="AU54" i="1"/>
  <c r="AO54" i="1" s="1"/>
  <c r="AV54" i="1" s="1"/>
  <c r="AW54" i="1"/>
  <c r="AC50" i="1"/>
  <c r="R50" i="1"/>
  <c r="BB48" i="1"/>
  <c r="R37" i="1"/>
  <c r="S37" i="1"/>
  <c r="AD11" i="1"/>
  <c r="AE11" i="1"/>
  <c r="Y65" i="1"/>
  <c r="V60" i="1"/>
  <c r="AE58" i="1"/>
  <c r="AD57" i="1"/>
  <c r="Z55" i="1"/>
  <c r="Y54" i="1"/>
  <c r="AW49" i="1"/>
  <c r="AZ49" i="1" s="1"/>
  <c r="BB49" i="1"/>
  <c r="R46" i="1"/>
  <c r="AC46" i="1"/>
  <c r="V45" i="1"/>
  <c r="W45" i="1"/>
  <c r="AU43" i="1"/>
  <c r="AO43" i="1" s="1"/>
  <c r="AV43" i="1" s="1"/>
  <c r="AZ43" i="1" s="1"/>
  <c r="BA43" i="1"/>
  <c r="BB43" i="1"/>
  <c r="R42" i="1"/>
  <c r="S42" i="1"/>
  <c r="AC42" i="1"/>
  <c r="Y41" i="1"/>
  <c r="R38" i="1"/>
  <c r="AC38" i="1"/>
  <c r="AC37" i="1"/>
  <c r="BB36" i="1"/>
  <c r="AU62" i="1"/>
  <c r="AO62" i="1" s="1"/>
  <c r="AV62" i="1" s="1"/>
  <c r="BB56" i="1"/>
  <c r="AU48" i="1"/>
  <c r="AO48" i="1" s="1"/>
  <c r="AV48" i="1" s="1"/>
  <c r="AZ48" i="1" s="1"/>
  <c r="S45" i="1"/>
  <c r="R45" i="1"/>
  <c r="AW44" i="1"/>
  <c r="BA44" i="1"/>
  <c r="AV37" i="1"/>
  <c r="AZ37" i="1" s="1"/>
  <c r="AU42" i="1"/>
  <c r="AO42" i="1" s="1"/>
  <c r="AV42" i="1" s="1"/>
  <c r="BA38" i="1"/>
  <c r="AU32" i="1"/>
  <c r="AO32" i="1" s="1"/>
  <c r="AV32" i="1" s="1"/>
  <c r="AW32" i="1"/>
  <c r="S32" i="1"/>
  <c r="S30" i="1"/>
  <c r="BA28" i="1"/>
  <c r="BB28" i="1"/>
  <c r="BA27" i="1"/>
  <c r="BB27" i="1"/>
  <c r="AU27" i="1"/>
  <c r="AO27" i="1" s="1"/>
  <c r="AV27" i="1" s="1"/>
  <c r="AZ27" i="1" s="1"/>
  <c r="Y27" i="1"/>
  <c r="Z27" i="1"/>
  <c r="AW46" i="1"/>
  <c r="AC40" i="1"/>
  <c r="AW38" i="1"/>
  <c r="AU24" i="1"/>
  <c r="AO24" i="1" s="1"/>
  <c r="AV24" i="1" s="1"/>
  <c r="V22" i="1"/>
  <c r="W22" i="1"/>
  <c r="AU8" i="1"/>
  <c r="AO8" i="1" s="1"/>
  <c r="AV8" i="1" s="1"/>
  <c r="V6" i="1"/>
  <c r="W6" i="1"/>
  <c r="Y3" i="1"/>
  <c r="Z3" i="1"/>
  <c r="W28" i="1"/>
  <c r="AW21" i="1"/>
  <c r="BA21" i="1"/>
  <c r="BB21" i="1"/>
  <c r="AU21" i="1"/>
  <c r="AO21" i="1" s="1"/>
  <c r="AV21" i="1" s="1"/>
  <c r="AW5" i="1"/>
  <c r="BA5" i="1"/>
  <c r="BB5" i="1"/>
  <c r="AU5" i="1"/>
  <c r="AO5" i="1" s="1"/>
  <c r="AV5" i="1" s="1"/>
  <c r="AU46" i="1"/>
  <c r="AO46" i="1" s="1"/>
  <c r="AV46" i="1" s="1"/>
  <c r="AU38" i="1"/>
  <c r="AO38" i="1" s="1"/>
  <c r="AV38" i="1" s="1"/>
  <c r="BB35" i="1"/>
  <c r="AU35" i="1"/>
  <c r="AO35" i="1" s="1"/>
  <c r="AV35" i="1" s="1"/>
  <c r="AZ35" i="1" s="1"/>
  <c r="V33" i="1"/>
  <c r="W33" i="1"/>
  <c r="AW30" i="1"/>
  <c r="BA30" i="1"/>
  <c r="BB30" i="1"/>
  <c r="AC23" i="1"/>
  <c r="R23" i="1"/>
  <c r="S23" i="1"/>
  <c r="AD16" i="1"/>
  <c r="AE16" i="1"/>
  <c r="AC7" i="1"/>
  <c r="R7" i="1"/>
  <c r="S7" i="1"/>
  <c r="Y30" i="1"/>
  <c r="Z30" i="1"/>
  <c r="AD19" i="1"/>
  <c r="AE19" i="1"/>
  <c r="AV15" i="1"/>
  <c r="Y11" i="1"/>
  <c r="Z11" i="1"/>
  <c r="AD33" i="1"/>
  <c r="AE33" i="1"/>
  <c r="R29" i="1"/>
  <c r="S29" i="1"/>
  <c r="AV26" i="1"/>
  <c r="AZ26" i="1" s="1"/>
  <c r="AD24" i="1"/>
  <c r="AE24" i="1"/>
  <c r="AU16" i="1"/>
  <c r="AO16" i="1" s="1"/>
  <c r="AV16" i="1" s="1"/>
  <c r="V14" i="1"/>
  <c r="W14" i="1"/>
  <c r="AW13" i="1"/>
  <c r="BA13" i="1"/>
  <c r="BB13" i="1"/>
  <c r="AU13" i="1"/>
  <c r="AO13" i="1" s="1"/>
  <c r="AV13" i="1" s="1"/>
  <c r="AD8" i="1"/>
  <c r="AE8" i="1"/>
  <c r="AC21" i="1"/>
  <c r="AW19" i="1"/>
  <c r="AC13" i="1"/>
  <c r="AW11" i="1"/>
  <c r="BB8" i="1"/>
  <c r="AC5" i="1"/>
  <c r="AW3" i="1"/>
  <c r="AE25" i="1"/>
  <c r="W25" i="1"/>
  <c r="BB22" i="1"/>
  <c r="Z22" i="1"/>
  <c r="S21" i="1"/>
  <c r="AU19" i="1"/>
  <c r="AO19" i="1" s="1"/>
  <c r="AV19" i="1" s="1"/>
  <c r="AE17" i="1"/>
  <c r="W17" i="1"/>
  <c r="BB14" i="1"/>
  <c r="Z14" i="1"/>
  <c r="S13" i="1"/>
  <c r="AU11" i="1"/>
  <c r="AO11" i="1" s="1"/>
  <c r="AV11" i="1" s="1"/>
  <c r="AE9" i="1"/>
  <c r="W9" i="1"/>
  <c r="BB6" i="1"/>
  <c r="Z6" i="1"/>
  <c r="S5" i="1"/>
  <c r="AU3" i="1"/>
  <c r="AO3" i="1" s="1"/>
  <c r="AV3" i="1" s="1"/>
  <c r="AC26" i="1"/>
  <c r="AW24" i="1"/>
  <c r="BA22" i="1"/>
  <c r="AC18" i="1"/>
  <c r="AW16" i="1"/>
  <c r="BA14" i="1"/>
  <c r="AC10" i="1"/>
  <c r="AW8" i="1"/>
  <c r="BA6" i="1"/>
  <c r="AU2" i="1"/>
  <c r="AO2" i="1" s="1"/>
  <c r="AV2" i="1" s="1"/>
  <c r="BB20" i="1"/>
  <c r="BB12" i="1"/>
  <c r="BB4" i="1"/>
  <c r="Z4" i="1"/>
  <c r="S26" i="1"/>
  <c r="BB19" i="1"/>
  <c r="S18" i="1"/>
  <c r="BB11" i="1"/>
  <c r="S10" i="1"/>
  <c r="BB3" i="1"/>
  <c r="J3" i="15"/>
  <c r="AZ374" i="1" l="1"/>
  <c r="AZ324" i="1"/>
  <c r="AZ312" i="1"/>
  <c r="AZ409" i="1"/>
  <c r="AZ393" i="1"/>
  <c r="AZ334" i="1"/>
  <c r="AE53" i="1"/>
  <c r="AE223" i="1"/>
  <c r="AZ361" i="1"/>
  <c r="AZ326" i="1"/>
  <c r="AE276" i="1"/>
  <c r="AE358" i="1"/>
  <c r="AZ158" i="1"/>
  <c r="AZ333" i="1"/>
  <c r="AZ386" i="1"/>
  <c r="AE442" i="1"/>
  <c r="AD20" i="1"/>
  <c r="AE78" i="1"/>
  <c r="AE209" i="1"/>
  <c r="AZ2" i="1"/>
  <c r="AE199" i="1"/>
  <c r="AZ106" i="1"/>
  <c r="AD234" i="1"/>
  <c r="AE232" i="1"/>
  <c r="AZ417" i="1"/>
  <c r="AE268" i="1"/>
  <c r="AE377" i="1"/>
  <c r="AE345" i="1"/>
  <c r="AE416" i="1"/>
  <c r="AE424" i="1"/>
  <c r="AD435" i="1"/>
  <c r="AE361" i="1"/>
  <c r="AE438" i="1"/>
  <c r="AZ406" i="1"/>
  <c r="AZ162" i="1"/>
  <c r="AE310" i="1"/>
  <c r="AZ55" i="1"/>
  <c r="AZ298" i="1"/>
  <c r="AE304" i="1"/>
  <c r="AZ111" i="1"/>
  <c r="AZ433" i="1"/>
  <c r="AE168" i="1"/>
  <c r="AD168" i="1"/>
  <c r="AZ399" i="1"/>
  <c r="AZ313" i="1"/>
  <c r="AE313" i="1"/>
  <c r="AE408" i="1"/>
  <c r="AE396" i="1"/>
  <c r="AZ45" i="1"/>
  <c r="AE6" i="1"/>
  <c r="AZ385" i="1"/>
  <c r="AZ166" i="1"/>
  <c r="AD191" i="1"/>
  <c r="AZ83" i="1"/>
  <c r="AE106" i="1"/>
  <c r="AZ137" i="1"/>
  <c r="AE441" i="1"/>
  <c r="AZ353" i="1"/>
  <c r="AZ50" i="1"/>
  <c r="AZ341" i="1"/>
  <c r="AZ381" i="1"/>
  <c r="AZ30" i="1"/>
  <c r="AE208" i="1"/>
  <c r="AZ359" i="1"/>
  <c r="AE384" i="1"/>
  <c r="AD100" i="1"/>
  <c r="AZ402" i="1"/>
  <c r="AZ395" i="1"/>
  <c r="AD263" i="1"/>
  <c r="AD60" i="1"/>
  <c r="AE196" i="1"/>
  <c r="AZ301" i="1"/>
  <c r="AZ73" i="1"/>
  <c r="AD287" i="1"/>
  <c r="AZ5" i="1"/>
  <c r="AZ42" i="1"/>
  <c r="AE157" i="1"/>
  <c r="AZ332" i="1"/>
  <c r="AE448" i="1"/>
  <c r="AZ47" i="1"/>
  <c r="AZ308" i="1"/>
  <c r="AE144" i="1"/>
  <c r="AZ350" i="1"/>
  <c r="AZ404" i="1"/>
  <c r="AZ147" i="1"/>
  <c r="AZ154" i="1"/>
  <c r="AZ445" i="1"/>
  <c r="AZ71" i="1"/>
  <c r="AZ88" i="1"/>
  <c r="AE164" i="1"/>
  <c r="AE207" i="1"/>
  <c r="AE392" i="1"/>
  <c r="AE400" i="1"/>
  <c r="AZ69" i="1"/>
  <c r="AZ335" i="1"/>
  <c r="AZ358" i="1"/>
  <c r="AZ58" i="1"/>
  <c r="AZ52" i="1"/>
  <c r="AZ108" i="1"/>
  <c r="AE139" i="1"/>
  <c r="AZ94" i="1"/>
  <c r="AE355" i="1"/>
  <c r="AD242" i="1"/>
  <c r="AZ397" i="1"/>
  <c r="AZ125" i="1"/>
  <c r="AD218" i="1"/>
  <c r="AE286" i="1"/>
  <c r="AZ388" i="1"/>
  <c r="AE412" i="1"/>
  <c r="AD98" i="1"/>
  <c r="AZ151" i="1"/>
  <c r="AE246" i="1"/>
  <c r="AZ348" i="1"/>
  <c r="AE398" i="1"/>
  <c r="AE316" i="1"/>
  <c r="AZ39" i="1"/>
  <c r="AZ72" i="1"/>
  <c r="AZ114" i="1"/>
  <c r="AZ369" i="1"/>
  <c r="AE380" i="1"/>
  <c r="AE366" i="1"/>
  <c r="AE450" i="1"/>
  <c r="AD250" i="1"/>
  <c r="AZ11" i="1"/>
  <c r="AD41" i="1"/>
  <c r="AZ132" i="1"/>
  <c r="AZ144" i="1"/>
  <c r="AZ102" i="1"/>
  <c r="AZ343" i="1"/>
  <c r="AZ20" i="1"/>
  <c r="AD279" i="1"/>
  <c r="AZ129" i="1"/>
  <c r="AD142" i="1"/>
  <c r="AZ331" i="1"/>
  <c r="AZ64" i="1"/>
  <c r="AD167" i="1"/>
  <c r="AE167" i="1"/>
  <c r="AD339" i="1"/>
  <c r="AE339" i="1"/>
  <c r="AZ382" i="1"/>
  <c r="AE177" i="1"/>
  <c r="AD177" i="1"/>
  <c r="AD95" i="1"/>
  <c r="AE124" i="1"/>
  <c r="AZ311" i="1"/>
  <c r="AE406" i="1"/>
  <c r="AZ435" i="1"/>
  <c r="AZ401" i="1"/>
  <c r="AD36" i="1"/>
  <c r="AZ157" i="1"/>
  <c r="AE77" i="1"/>
  <c r="AZ336" i="1"/>
  <c r="AZ416" i="1"/>
  <c r="AE374" i="1"/>
  <c r="AZ46" i="1"/>
  <c r="AZ51" i="1"/>
  <c r="AE141" i="1"/>
  <c r="AZ127" i="1"/>
  <c r="AZ315" i="1"/>
  <c r="AE390" i="1"/>
  <c r="AZ362" i="1"/>
  <c r="AZ453" i="1"/>
  <c r="AZ425" i="1"/>
  <c r="AE156" i="1"/>
  <c r="AD156" i="1"/>
  <c r="AD440" i="1"/>
  <c r="AE440" i="1"/>
  <c r="AD382" i="1"/>
  <c r="AE382" i="1"/>
  <c r="AZ38" i="1"/>
  <c r="AZ79" i="1"/>
  <c r="AZ90" i="1"/>
  <c r="AZ95" i="1"/>
  <c r="AZ156" i="1"/>
  <c r="AZ149" i="1"/>
  <c r="AE215" i="1"/>
  <c r="AZ365" i="1"/>
  <c r="AE420" i="1"/>
  <c r="AZ12" i="1"/>
  <c r="AZ44" i="1"/>
  <c r="AZ316" i="1"/>
  <c r="AZ121" i="1"/>
  <c r="AZ421" i="1"/>
  <c r="AZ76" i="1"/>
  <c r="AE314" i="1"/>
  <c r="AD314" i="1"/>
  <c r="AD12" i="1"/>
  <c r="AE12" i="1"/>
  <c r="AE80" i="1"/>
  <c r="AD80" i="1"/>
  <c r="AE303" i="1"/>
  <c r="AD303" i="1"/>
  <c r="AD70" i="1"/>
  <c r="AE70" i="1"/>
  <c r="AZ3" i="1"/>
  <c r="AZ15" i="1"/>
  <c r="AE14" i="1"/>
  <c r="AZ62" i="1"/>
  <c r="AZ86" i="1"/>
  <c r="AZ140" i="1"/>
  <c r="AE216" i="1"/>
  <c r="AZ344" i="1"/>
  <c r="AZ408" i="1"/>
  <c r="AZ307" i="1"/>
  <c r="AD270" i="1"/>
  <c r="AE270" i="1"/>
  <c r="AE290" i="1"/>
  <c r="AD290" i="1"/>
  <c r="AE282" i="1"/>
  <c r="AD282" i="1"/>
  <c r="AD43" i="1"/>
  <c r="AE43" i="1"/>
  <c r="AE295" i="1"/>
  <c r="AD295" i="1"/>
  <c r="AZ405" i="1"/>
  <c r="AZ384" i="1"/>
  <c r="AZ432" i="1"/>
  <c r="AZ355" i="1"/>
  <c r="AE299" i="1"/>
  <c r="AD299" i="1"/>
  <c r="AE347" i="1"/>
  <c r="AZ351" i="1"/>
  <c r="AZ349" i="1"/>
  <c r="AZ407" i="1"/>
  <c r="AZ150" i="1"/>
  <c r="AZ330" i="1"/>
  <c r="AZ19" i="1"/>
  <c r="AZ135" i="1"/>
  <c r="AE187" i="1"/>
  <c r="AZ134" i="1"/>
  <c r="AD143" i="1"/>
  <c r="AE143" i="1"/>
  <c r="AE175" i="1"/>
  <c r="AD104" i="1"/>
  <c r="AE104" i="1"/>
  <c r="AD127" i="1"/>
  <c r="AE127" i="1"/>
  <c r="AE256" i="1"/>
  <c r="AD256" i="1"/>
  <c r="AZ10" i="1"/>
  <c r="AD39" i="1"/>
  <c r="AE39" i="1"/>
  <c r="AD117" i="1"/>
  <c r="AE117" i="1"/>
  <c r="AD379" i="1"/>
  <c r="AE379" i="1"/>
  <c r="AE22" i="1"/>
  <c r="AZ61" i="1"/>
  <c r="AD103" i="1"/>
  <c r="AZ368" i="1"/>
  <c r="AZ423" i="1"/>
  <c r="AZ354" i="1"/>
  <c r="AZ429" i="1"/>
  <c r="AD47" i="1"/>
  <c r="AE47" i="1"/>
  <c r="AE49" i="1"/>
  <c r="AD49" i="1"/>
  <c r="AZ78" i="1"/>
  <c r="AD89" i="1"/>
  <c r="AE89" i="1"/>
  <c r="AD190" i="1"/>
  <c r="AE190" i="1"/>
  <c r="AD178" i="1"/>
  <c r="AE178" i="1"/>
  <c r="AD135" i="1"/>
  <c r="AE135" i="1"/>
  <c r="AD198" i="1"/>
  <c r="AE198" i="1"/>
  <c r="AD341" i="1"/>
  <c r="AE341" i="1"/>
  <c r="AD308" i="1"/>
  <c r="AE308" i="1"/>
  <c r="AZ379" i="1"/>
  <c r="AD2" i="1"/>
  <c r="AE2" i="1"/>
  <c r="AZ124" i="1"/>
  <c r="AZ33" i="1"/>
  <c r="AZ92" i="1"/>
  <c r="AZ104" i="1"/>
  <c r="AZ113" i="1"/>
  <c r="AZ116" i="1"/>
  <c r="AZ375" i="1"/>
  <c r="AZ392" i="1"/>
  <c r="AZ126" i="1"/>
  <c r="AD55" i="1"/>
  <c r="AE55" i="1"/>
  <c r="AD93" i="1"/>
  <c r="AE93" i="1"/>
  <c r="AD201" i="1"/>
  <c r="AE201" i="1"/>
  <c r="AE344" i="1"/>
  <c r="AD344" i="1"/>
  <c r="AE294" i="1"/>
  <c r="AD294" i="1"/>
  <c r="AV447" i="1"/>
  <c r="AZ447" i="1" s="1"/>
  <c r="AE368" i="1"/>
  <c r="AD368" i="1"/>
  <c r="AZ427" i="1"/>
  <c r="AZ119" i="1"/>
  <c r="AD174" i="1"/>
  <c r="AE174" i="1"/>
  <c r="AD222" i="1"/>
  <c r="AE222" i="1"/>
  <c r="AD254" i="1"/>
  <c r="AE254" i="1"/>
  <c r="AD300" i="1"/>
  <c r="AE300" i="1"/>
  <c r="AD322" i="1"/>
  <c r="AE322" i="1"/>
  <c r="AE210" i="1"/>
  <c r="AD210" i="1"/>
  <c r="AZ74" i="1"/>
  <c r="AZ305" i="1"/>
  <c r="AE422" i="1"/>
  <c r="AZ342" i="1"/>
  <c r="AZ441" i="1"/>
  <c r="AE454" i="1"/>
  <c r="AE160" i="1"/>
  <c r="AD160" i="1"/>
  <c r="AD85" i="1"/>
  <c r="AE85" i="1"/>
  <c r="AZ128" i="1"/>
  <c r="AE169" i="1"/>
  <c r="AD169" i="1"/>
  <c r="AD189" i="1"/>
  <c r="AE189" i="1"/>
  <c r="AD214" i="1"/>
  <c r="AE214" i="1"/>
  <c r="AE315" i="1"/>
  <c r="AD315" i="1"/>
  <c r="AD298" i="1"/>
  <c r="AE298" i="1"/>
  <c r="AE352" i="1"/>
  <c r="AD352" i="1"/>
  <c r="AD373" i="1"/>
  <c r="AE373" i="1"/>
  <c r="AV439" i="1"/>
  <c r="AZ439" i="1" s="1"/>
  <c r="AZ145" i="1"/>
  <c r="AZ352" i="1"/>
  <c r="AZ410" i="1"/>
  <c r="AZ426" i="1"/>
  <c r="AZ455" i="1"/>
  <c r="AE264" i="1"/>
  <c r="AD264" i="1"/>
  <c r="AD230" i="1"/>
  <c r="AE230" i="1"/>
  <c r="AD248" i="1"/>
  <c r="AE248" i="1"/>
  <c r="AD240" i="1"/>
  <c r="AE240" i="1"/>
  <c r="AV443" i="1"/>
  <c r="AZ443" i="1" s="1"/>
  <c r="AE307" i="1"/>
  <c r="AD307" i="1"/>
  <c r="AZ54" i="1"/>
  <c r="AZ40" i="1"/>
  <c r="AD72" i="1"/>
  <c r="AD152" i="1"/>
  <c r="AE272" i="1"/>
  <c r="AZ322" i="1"/>
  <c r="AZ387" i="1"/>
  <c r="AE66" i="1"/>
  <c r="AD66" i="1"/>
  <c r="AE120" i="1"/>
  <c r="AD120" i="1"/>
  <c r="AE63" i="1"/>
  <c r="AD63" i="1"/>
  <c r="AD329" i="1"/>
  <c r="AE329" i="1"/>
  <c r="AD428" i="1"/>
  <c r="AE428" i="1"/>
  <c r="AZ21" i="1"/>
  <c r="AZ103" i="1"/>
  <c r="AZ434" i="1"/>
  <c r="AD3" i="1"/>
  <c r="AE3" i="1"/>
  <c r="AD128" i="1"/>
  <c r="AE128" i="1"/>
  <c r="AD145" i="1"/>
  <c r="AE145" i="1"/>
  <c r="AD166" i="1"/>
  <c r="AE166" i="1"/>
  <c r="AD155" i="1"/>
  <c r="AE155" i="1"/>
  <c r="AE140" i="1"/>
  <c r="AD140" i="1"/>
  <c r="AD183" i="1"/>
  <c r="AE183" i="1"/>
  <c r="AD224" i="1"/>
  <c r="AE224" i="1"/>
  <c r="AZ327" i="1"/>
  <c r="AV449" i="1"/>
  <c r="AZ449" i="1" s="1"/>
  <c r="AZ452" i="1"/>
  <c r="AE419" i="1"/>
  <c r="AD419" i="1"/>
  <c r="AE357" i="1"/>
  <c r="AD357" i="1"/>
  <c r="AE90" i="1"/>
  <c r="AD90" i="1"/>
  <c r="AD349" i="1"/>
  <c r="AE349" i="1"/>
  <c r="AV418" i="1"/>
  <c r="AZ418" i="1" s="1"/>
  <c r="AE326" i="1"/>
  <c r="AD326" i="1"/>
  <c r="AZ444" i="1"/>
  <c r="AE360" i="1"/>
  <c r="AD360" i="1"/>
  <c r="AZ451" i="1"/>
  <c r="AE40" i="1"/>
  <c r="AD40" i="1"/>
  <c r="AD56" i="1"/>
  <c r="AE56" i="1"/>
  <c r="AD84" i="1"/>
  <c r="AE84" i="1"/>
  <c r="AZ60" i="1"/>
  <c r="AE97" i="1"/>
  <c r="AD97" i="1"/>
  <c r="AD134" i="1"/>
  <c r="AE134" i="1"/>
  <c r="AD136" i="1"/>
  <c r="AE136" i="1"/>
  <c r="AD132" i="1"/>
  <c r="AE132" i="1"/>
  <c r="AD221" i="1"/>
  <c r="AE221" i="1"/>
  <c r="AE179" i="1"/>
  <c r="AD179" i="1"/>
  <c r="AE184" i="1"/>
  <c r="AD184" i="1"/>
  <c r="AD281" i="1"/>
  <c r="AE281" i="1"/>
  <c r="AD317" i="1"/>
  <c r="AE317" i="1"/>
  <c r="AE259" i="1"/>
  <c r="AD259" i="1"/>
  <c r="AD277" i="1"/>
  <c r="AE277" i="1"/>
  <c r="AD267" i="1"/>
  <c r="AE267" i="1"/>
  <c r="AE332" i="1"/>
  <c r="AD332" i="1"/>
  <c r="AD359" i="1"/>
  <c r="AE359" i="1"/>
  <c r="AD391" i="1"/>
  <c r="AE391" i="1"/>
  <c r="AD423" i="1"/>
  <c r="AE423" i="1"/>
  <c r="AD364" i="1"/>
  <c r="AE364" i="1"/>
  <c r="AD389" i="1"/>
  <c r="AE389" i="1"/>
  <c r="AZ389" i="1"/>
  <c r="AD421" i="1"/>
  <c r="AE421" i="1"/>
  <c r="AZ32" i="1"/>
  <c r="AE5" i="1"/>
  <c r="AD5" i="1"/>
  <c r="AZ16" i="1"/>
  <c r="AZ8" i="1"/>
  <c r="AD50" i="1"/>
  <c r="AE50" i="1"/>
  <c r="AD86" i="1"/>
  <c r="AE86" i="1"/>
  <c r="AD68" i="1"/>
  <c r="AE68" i="1"/>
  <c r="AE88" i="1"/>
  <c r="AD88" i="1"/>
  <c r="AD107" i="1"/>
  <c r="AE107" i="1"/>
  <c r="AD122" i="1"/>
  <c r="AE122" i="1"/>
  <c r="AD151" i="1"/>
  <c r="AE151" i="1"/>
  <c r="AZ142" i="1"/>
  <c r="AD154" i="1"/>
  <c r="AE154" i="1"/>
  <c r="AD161" i="1"/>
  <c r="AE161" i="1"/>
  <c r="AD153" i="1"/>
  <c r="AE153" i="1"/>
  <c r="AE171" i="1"/>
  <c r="AD171" i="1"/>
  <c r="AD173" i="1"/>
  <c r="AE173" i="1"/>
  <c r="AD235" i="1"/>
  <c r="AE235" i="1"/>
  <c r="AD194" i="1"/>
  <c r="AE194" i="1"/>
  <c r="AD231" i="1"/>
  <c r="AE231" i="1"/>
  <c r="AD247" i="1"/>
  <c r="AE247" i="1"/>
  <c r="AD269" i="1"/>
  <c r="AE269" i="1"/>
  <c r="AD327" i="1"/>
  <c r="AE327" i="1"/>
  <c r="AD255" i="1"/>
  <c r="AE255" i="1"/>
  <c r="AD331" i="1"/>
  <c r="AE331" i="1"/>
  <c r="AD334" i="1"/>
  <c r="AE334" i="1"/>
  <c r="AZ357" i="1"/>
  <c r="AZ370" i="1"/>
  <c r="AD393" i="1"/>
  <c r="AE393" i="1"/>
  <c r="AD436" i="1"/>
  <c r="AE436" i="1"/>
  <c r="AE362" i="1"/>
  <c r="AD362" i="1"/>
  <c r="AZ419" i="1"/>
  <c r="AZ400" i="1"/>
  <c r="AD18" i="1"/>
  <c r="AE18" i="1"/>
  <c r="AD23" i="1"/>
  <c r="AE23" i="1"/>
  <c r="AD37" i="1"/>
  <c r="AE37" i="1"/>
  <c r="AZ29" i="1"/>
  <c r="AD31" i="1"/>
  <c r="AE31" i="1"/>
  <c r="AD99" i="1"/>
  <c r="AE99" i="1"/>
  <c r="AD48" i="1"/>
  <c r="AE48" i="1"/>
  <c r="AD110" i="1"/>
  <c r="AE110" i="1"/>
  <c r="AE54" i="1"/>
  <c r="AD54" i="1"/>
  <c r="AZ100" i="1"/>
  <c r="AE138" i="1"/>
  <c r="AD138" i="1"/>
  <c r="AD182" i="1"/>
  <c r="AE182" i="1"/>
  <c r="AD219" i="1"/>
  <c r="AE219" i="1"/>
  <c r="AD172" i="1"/>
  <c r="AE172" i="1"/>
  <c r="AD228" i="1"/>
  <c r="AE228" i="1"/>
  <c r="AD289" i="1"/>
  <c r="AE289" i="1"/>
  <c r="AD305" i="1"/>
  <c r="AE305" i="1"/>
  <c r="AD328" i="1"/>
  <c r="AE328" i="1"/>
  <c r="AD399" i="1"/>
  <c r="AE399" i="1"/>
  <c r="AD417" i="1"/>
  <c r="AE417" i="1"/>
  <c r="AZ319" i="1"/>
  <c r="AD351" i="1"/>
  <c r="AE351" i="1"/>
  <c r="AZ424" i="1"/>
  <c r="AE429" i="1"/>
  <c r="AD429" i="1"/>
  <c r="AZ403" i="1"/>
  <c r="AD372" i="1"/>
  <c r="AE372" i="1"/>
  <c r="AD455" i="1"/>
  <c r="AE455" i="1"/>
  <c r="AD405" i="1"/>
  <c r="AE405" i="1"/>
  <c r="AD26" i="1"/>
  <c r="AE26" i="1"/>
  <c r="AD10" i="1"/>
  <c r="AE10" i="1"/>
  <c r="AZ13" i="1"/>
  <c r="AD7" i="1"/>
  <c r="AE7" i="1"/>
  <c r="AD38" i="1"/>
  <c r="AE38" i="1"/>
  <c r="AD15" i="1"/>
  <c r="AE15" i="1"/>
  <c r="AZ82" i="1"/>
  <c r="AD76" i="1"/>
  <c r="AE76" i="1"/>
  <c r="AZ80" i="1"/>
  <c r="AD150" i="1"/>
  <c r="AE150" i="1"/>
  <c r="AD243" i="1"/>
  <c r="AE243" i="1"/>
  <c r="AD229" i="1"/>
  <c r="AE229" i="1"/>
  <c r="AD204" i="1"/>
  <c r="AE204" i="1"/>
  <c r="AD253" i="1"/>
  <c r="AE253" i="1"/>
  <c r="AD181" i="1"/>
  <c r="AE181" i="1"/>
  <c r="AZ303" i="1"/>
  <c r="AD367" i="1"/>
  <c r="AE367" i="1"/>
  <c r="AZ360" i="1"/>
  <c r="AD413" i="1"/>
  <c r="AE413" i="1"/>
  <c r="AD445" i="1"/>
  <c r="AE445" i="1"/>
  <c r="AZ413" i="1"/>
  <c r="AE431" i="1"/>
  <c r="AD431" i="1"/>
  <c r="AD147" i="1"/>
  <c r="AE147" i="1"/>
  <c r="AD354" i="1"/>
  <c r="AE354" i="1"/>
  <c r="AZ391" i="1"/>
  <c r="AZ415" i="1"/>
  <c r="AZ442" i="1"/>
  <c r="AE74" i="1"/>
  <c r="AD74" i="1"/>
  <c r="AD91" i="1"/>
  <c r="AE91" i="1"/>
  <c r="AD126" i="1"/>
  <c r="AE126" i="1"/>
  <c r="AD159" i="1"/>
  <c r="AE159" i="1"/>
  <c r="AD188" i="1"/>
  <c r="AE188" i="1"/>
  <c r="AD203" i="1"/>
  <c r="AE203" i="1"/>
  <c r="AD205" i="1"/>
  <c r="AE205" i="1"/>
  <c r="AD237" i="1"/>
  <c r="AE237" i="1"/>
  <c r="AD212" i="1"/>
  <c r="AE212" i="1"/>
  <c r="AE251" i="1"/>
  <c r="AD251" i="1"/>
  <c r="AD266" i="1"/>
  <c r="AE266" i="1"/>
  <c r="AD297" i="1"/>
  <c r="AE297" i="1"/>
  <c r="AD309" i="1"/>
  <c r="AE309" i="1"/>
  <c r="AD285" i="1"/>
  <c r="AE285" i="1"/>
  <c r="AD336" i="1"/>
  <c r="AE336" i="1"/>
  <c r="AD312" i="1"/>
  <c r="AE312" i="1"/>
  <c r="AD407" i="1"/>
  <c r="AE407" i="1"/>
  <c r="AD401" i="1"/>
  <c r="AE401" i="1"/>
  <c r="AD343" i="1"/>
  <c r="AE343" i="1"/>
  <c r="AE370" i="1"/>
  <c r="AD370" i="1"/>
  <c r="AE59" i="1"/>
  <c r="AD59" i="1"/>
  <c r="AD73" i="1"/>
  <c r="AE73" i="1"/>
  <c r="AD81" i="1"/>
  <c r="AE81" i="1"/>
  <c r="AD115" i="1"/>
  <c r="AE115" i="1"/>
  <c r="AD137" i="1"/>
  <c r="AE137" i="1"/>
  <c r="AD162" i="1"/>
  <c r="AE162" i="1"/>
  <c r="AD102" i="1"/>
  <c r="AE102" i="1"/>
  <c r="AD245" i="1"/>
  <c r="AE245" i="1"/>
  <c r="AD236" i="1"/>
  <c r="AE236" i="1"/>
  <c r="AD320" i="1"/>
  <c r="AE320" i="1"/>
  <c r="AD425" i="1"/>
  <c r="AE425" i="1"/>
  <c r="AD397" i="1"/>
  <c r="AE397" i="1"/>
  <c r="AD51" i="1"/>
  <c r="AE51" i="1"/>
  <c r="AE21" i="1"/>
  <c r="AD21" i="1"/>
  <c r="AZ24" i="1"/>
  <c r="AD42" i="1"/>
  <c r="AE42" i="1"/>
  <c r="AD46" i="1"/>
  <c r="AE46" i="1"/>
  <c r="AZ84" i="1"/>
  <c r="AD94" i="1"/>
  <c r="AE94" i="1"/>
  <c r="AZ97" i="1"/>
  <c r="AZ105" i="1"/>
  <c r="AE105" i="1"/>
  <c r="AD105" i="1"/>
  <c r="AD130" i="1"/>
  <c r="AE130" i="1"/>
  <c r="AD180" i="1"/>
  <c r="AE180" i="1"/>
  <c r="AD227" i="1"/>
  <c r="AE227" i="1"/>
  <c r="AZ159" i="1"/>
  <c r="AD213" i="1"/>
  <c r="AE213" i="1"/>
  <c r="AD273" i="1"/>
  <c r="AE273" i="1"/>
  <c r="AD244" i="1"/>
  <c r="AE244" i="1"/>
  <c r="AZ299" i="1"/>
  <c r="AD348" i="1"/>
  <c r="AE348" i="1"/>
  <c r="AD356" i="1"/>
  <c r="AE356" i="1"/>
  <c r="AD415" i="1"/>
  <c r="AE415" i="1"/>
  <c r="AD385" i="1"/>
  <c r="AE385" i="1"/>
  <c r="AD346" i="1"/>
  <c r="AE346" i="1"/>
  <c r="AD439" i="1"/>
  <c r="AE439" i="1"/>
  <c r="AD433" i="1"/>
  <c r="AE433" i="1"/>
  <c r="AZ431" i="1"/>
  <c r="AD447" i="1"/>
  <c r="AE447" i="1"/>
  <c r="AE13" i="1"/>
  <c r="AD13" i="1"/>
  <c r="AE82" i="1"/>
  <c r="AD82" i="1"/>
  <c r="AD34" i="1"/>
  <c r="AE34" i="1"/>
  <c r="AD67" i="1"/>
  <c r="AE67" i="1"/>
  <c r="AZ87" i="1"/>
  <c r="AD62" i="1"/>
  <c r="AE62" i="1"/>
  <c r="AD118" i="1"/>
  <c r="AE118" i="1"/>
  <c r="AD96" i="1"/>
  <c r="AE96" i="1"/>
  <c r="AZ138" i="1"/>
  <c r="AZ163" i="1"/>
  <c r="AD158" i="1"/>
  <c r="AE158" i="1"/>
  <c r="AD195" i="1"/>
  <c r="AE195" i="1"/>
  <c r="AD211" i="1"/>
  <c r="AE211" i="1"/>
  <c r="AD252" i="1"/>
  <c r="AE252" i="1"/>
  <c r="AD186" i="1"/>
  <c r="AE186" i="1"/>
  <c r="AD301" i="1"/>
  <c r="AE301" i="1"/>
  <c r="AD220" i="1"/>
  <c r="AE220" i="1"/>
  <c r="AD293" i="1"/>
  <c r="AE293" i="1"/>
  <c r="AZ346" i="1"/>
  <c r="AD409" i="1"/>
  <c r="AE409" i="1"/>
  <c r="AZ329" i="1"/>
  <c r="AD386" i="1"/>
  <c r="AE386" i="1"/>
  <c r="AD394" i="1"/>
  <c r="AE394" i="1"/>
  <c r="AD402" i="1"/>
  <c r="AE402" i="1"/>
  <c r="AD410" i="1"/>
  <c r="AE410" i="1"/>
  <c r="AD418" i="1"/>
  <c r="AE418" i="1"/>
  <c r="AD426" i="1"/>
  <c r="AE426" i="1"/>
  <c r="AZ437" i="1"/>
  <c r="AD453" i="1"/>
  <c r="AE453" i="1"/>
  <c r="AZ411" i="1"/>
  <c r="AE449" i="1"/>
  <c r="AD449" i="1"/>
  <c r="AL2" i="15"/>
  <c r="M1" i="16" l="1"/>
  <c r="F37" i="16" s="1"/>
  <c r="F35" i="16" l="1"/>
  <c r="F36" i="16"/>
  <c r="F33" i="16"/>
  <c r="F34" i="16"/>
  <c r="F31" i="16"/>
  <c r="F32" i="16"/>
  <c r="F29" i="16"/>
  <c r="F30" i="16"/>
  <c r="F27" i="16"/>
  <c r="F28" i="16"/>
  <c r="F25" i="16"/>
  <c r="F26" i="16"/>
  <c r="F23" i="16"/>
  <c r="F24" i="16"/>
  <c r="F21" i="16"/>
  <c r="F22" i="16"/>
  <c r="F18" i="16"/>
  <c r="F20" i="16"/>
  <c r="F19" i="16"/>
  <c r="AC23" i="15" l="1"/>
  <c r="C60" i="15"/>
  <c r="F17" i="16" l="1"/>
  <c r="T3" i="15"/>
  <c r="O3" i="15"/>
  <c r="C23" i="15"/>
  <c r="F15" i="16" l="1"/>
  <c r="F16" i="16"/>
  <c r="F13" i="16"/>
  <c r="F14" i="16"/>
  <c r="F9" i="16"/>
  <c r="F12" i="16"/>
  <c r="F11" i="16"/>
  <c r="F7" i="16"/>
  <c r="F8" i="16"/>
  <c r="F10" i="16"/>
  <c r="F6" i="16"/>
  <c r="F4" i="16"/>
  <c r="F5" i="16"/>
  <c r="F2" i="16"/>
  <c r="F3" i="16"/>
  <c r="E3"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Joan Martinez Codina</author>
  </authors>
  <commentList>
    <comment ref="R1" authorId="0" shapeId="0" xr:uid="{6209E4CB-7D7D-4BDA-A770-EC2FDFB007A2}">
      <text>
        <r>
          <rPr>
            <b/>
            <sz val="9"/>
            <color indexed="81"/>
            <rFont val="Tahoma"/>
            <family val="2"/>
          </rPr>
          <t>JMA705: =IF(M3174="";"";WEEKNUM(T3174;2))</t>
        </r>
        <r>
          <rPr>
            <sz val="9"/>
            <color indexed="81"/>
            <rFont val="Tahoma"/>
            <family val="2"/>
          </rPr>
          <t xml:space="preserve">
=IF(M3174="";"";WEEKNUM(T3174;2))</t>
        </r>
      </text>
    </comment>
    <comment ref="S1" authorId="0" shapeId="0" xr:uid="{F763C67F-8A72-4D9A-93E2-FA27D1B02A91}">
      <text>
        <r>
          <rPr>
            <b/>
            <sz val="9"/>
            <color indexed="81"/>
            <rFont val="Tahoma"/>
            <family val="2"/>
          </rPr>
          <t>Joan Martinez Codina:</t>
        </r>
        <r>
          <rPr>
            <sz val="9"/>
            <color indexed="81"/>
            <rFont val="Tahoma"/>
            <family val="2"/>
          </rPr>
          <t xml:space="preserve">
=IF(M3174="";"";MONTH(T3174))</t>
        </r>
      </text>
    </comment>
    <comment ref="T1" authorId="0" shapeId="0" xr:uid="{D6814704-2B7F-43E1-8FA3-0BDF2323CF42}">
      <text>
        <r>
          <rPr>
            <b/>
            <sz val="9"/>
            <color indexed="81"/>
            <rFont val="Tahoma"/>
            <family val="2"/>
          </rPr>
          <t>Joan Martinez Codina:</t>
        </r>
        <r>
          <rPr>
            <sz val="9"/>
            <color indexed="81"/>
            <rFont val="Tahoma"/>
            <family val="2"/>
          </rPr>
          <t xml:space="preserve">
=IF(ISBLANK(L3174);IF(ISBLANK(N3174);"00:00";N3174);L3174)</t>
        </r>
      </text>
    </comment>
    <comment ref="U1" authorId="0" shapeId="0" xr:uid="{3C06C787-4CD2-407A-97BB-D7E9FF3570FA}">
      <text>
        <r>
          <rPr>
            <b/>
            <sz val="9"/>
            <color indexed="81"/>
            <rFont val="Tahoma"/>
            <family val="2"/>
          </rPr>
          <t>Joan Martinez Codina:</t>
        </r>
        <r>
          <rPr>
            <sz val="9"/>
            <color indexed="81"/>
            <rFont val="Tahoma"/>
            <family val="2"/>
          </rPr>
          <t xml:space="preserve">
=(K3174-C3174)</t>
        </r>
      </text>
    </comment>
    <comment ref="V1" authorId="0" shapeId="0" xr:uid="{3CC37873-F46E-4573-BCD7-E7BB5F8795B2}">
      <text>
        <r>
          <rPr>
            <b/>
            <sz val="9"/>
            <color indexed="81"/>
            <rFont val="Tahoma"/>
            <family val="2"/>
          </rPr>
          <t>Joan Martinez Codina:</t>
        </r>
        <r>
          <rPr>
            <sz val="9"/>
            <color indexed="81"/>
            <rFont val="Tahoma"/>
            <family val="2"/>
          </rPr>
          <t xml:space="preserve">
=[@[ETA A OFRECIMIENTO]]*24</t>
        </r>
      </text>
    </comment>
    <comment ref="W1" authorId="0" shapeId="0" xr:uid="{8FC6A589-2C57-4648-B331-0E42A27AEBC7}">
      <text>
        <r>
          <rPr>
            <b/>
            <sz val="9"/>
            <color indexed="81"/>
            <rFont val="Tahoma"/>
            <family val="2"/>
          </rPr>
          <t>Joan Martinez Codina:</t>
        </r>
        <r>
          <rPr>
            <sz val="9"/>
            <color indexed="81"/>
            <rFont val="Tahoma"/>
            <family val="2"/>
          </rPr>
          <t xml:space="preserve">
=IF(U3174="";"";IF(U3174&lt;=2;"YES";"NO"))</t>
        </r>
      </text>
    </comment>
    <comment ref="X1" authorId="0" shapeId="0" xr:uid="{A449A082-0698-4288-9FDF-CEB0992FD8AF}">
      <text>
        <r>
          <rPr>
            <b/>
            <sz val="9"/>
            <color indexed="81"/>
            <rFont val="Tahoma"/>
            <family val="2"/>
          </rPr>
          <t>Joan Martinez Codina:</t>
        </r>
        <r>
          <rPr>
            <sz val="9"/>
            <color indexed="81"/>
            <rFont val="Tahoma"/>
            <family val="2"/>
          </rPr>
          <t xml:space="preserve">
=(M3174-K3174)</t>
        </r>
      </text>
    </comment>
    <comment ref="Y1" authorId="0" shapeId="0" xr:uid="{B8C43181-2B12-4489-AFEB-47A832DB5F66}">
      <text>
        <r>
          <rPr>
            <b/>
            <sz val="9"/>
            <color indexed="81"/>
            <rFont val="Tahoma"/>
            <family val="2"/>
          </rPr>
          <t>Joan Martinez Codina:</t>
        </r>
        <r>
          <rPr>
            <sz val="9"/>
            <color indexed="81"/>
            <rFont val="Tahoma"/>
            <family val="2"/>
          </rPr>
          <t xml:space="preserve">
=[@[DEL. AVAILABLE A SLOT]]*24</t>
        </r>
      </text>
    </comment>
    <comment ref="Z1" authorId="0" shapeId="0" xr:uid="{AD914A48-950E-4668-BA13-406C9B5487CD}">
      <text>
        <r>
          <rPr>
            <b/>
            <sz val="9"/>
            <color indexed="81"/>
            <rFont val="Tahoma"/>
            <family val="2"/>
          </rPr>
          <t>Joan Martinez Codina:</t>
        </r>
        <r>
          <rPr>
            <sz val="9"/>
            <color indexed="81"/>
            <rFont val="Tahoma"/>
            <family val="2"/>
          </rPr>
          <t xml:space="preserve">
=IF(X3174="";"";IF(X3174&lt;=1;"SI";"NO"))</t>
        </r>
      </text>
    </comment>
    <comment ref="AA1" authorId="0" shapeId="0" xr:uid="{33E78C0E-01DC-4A7E-B443-80267848FD27}">
      <text>
        <r>
          <rPr>
            <b/>
            <sz val="9"/>
            <color indexed="81"/>
            <rFont val="Tahoma"/>
            <family val="2"/>
          </rPr>
          <t>Joan Martinez Codina:</t>
        </r>
        <r>
          <rPr>
            <sz val="9"/>
            <color indexed="81"/>
            <rFont val="Tahoma"/>
            <family val="2"/>
          </rPr>
          <t xml:space="preserve">
=(M3174-C3174)</t>
        </r>
      </text>
    </comment>
    <comment ref="AB1" authorId="0" shapeId="0" xr:uid="{58F4837D-058B-49FC-9869-6E72CA04342B}">
      <text>
        <r>
          <rPr>
            <b/>
            <sz val="9"/>
            <color indexed="81"/>
            <rFont val="Tahoma"/>
            <family val="2"/>
          </rPr>
          <t>Joan Martinez Codina:</t>
        </r>
        <r>
          <rPr>
            <sz val="9"/>
            <color indexed="81"/>
            <rFont val="Tahoma"/>
            <family val="2"/>
          </rPr>
          <t xml:space="preserve">
=[@[ETA A TIMESLOT]]*24</t>
        </r>
      </text>
    </comment>
    <comment ref="AC1" authorId="0" shapeId="0" xr:uid="{3DD05C13-3D71-4391-9805-BE59FBE2D9C2}">
      <text>
        <r>
          <rPr>
            <b/>
            <sz val="9"/>
            <color indexed="81"/>
            <rFont val="Tahoma"/>
            <family val="2"/>
          </rPr>
          <t>Joan Martinez Codina:</t>
        </r>
        <r>
          <rPr>
            <sz val="9"/>
            <color indexed="81"/>
            <rFont val="Tahoma"/>
            <family val="2"/>
          </rPr>
          <t xml:space="preserve">
=IF(T3174&lt; M3174; TIME(0;0;0); T3174-M3174)</t>
        </r>
      </text>
    </comment>
    <comment ref="AD1" authorId="0" shapeId="0" xr:uid="{393CC912-AB28-46B8-97DE-97F721BC1C32}">
      <text>
        <r>
          <rPr>
            <b/>
            <sz val="9"/>
            <color indexed="81"/>
            <rFont val="Tahoma"/>
            <family val="2"/>
          </rPr>
          <t>Joan Martinez Codina:</t>
        </r>
        <r>
          <rPr>
            <sz val="9"/>
            <color indexed="81"/>
            <rFont val="Tahoma"/>
            <family val="2"/>
          </rPr>
          <t xml:space="preserve">
=IF(AC3174&gt;TIME(0;40;0);"NO";"SI")</t>
        </r>
      </text>
    </comment>
    <comment ref="AE1" authorId="0" shapeId="0" xr:uid="{A8637BA5-CB2D-4689-93C5-FE337A037726}">
      <text>
        <r>
          <rPr>
            <b/>
            <sz val="9"/>
            <color indexed="81"/>
            <rFont val="Tahoma"/>
            <family val="2"/>
          </rPr>
          <t>Joan Martinez Codina:</t>
        </r>
        <r>
          <rPr>
            <sz val="9"/>
            <color indexed="81"/>
            <rFont val="Tahoma"/>
            <family val="2"/>
          </rPr>
          <t xml:space="preserve">
=[@[PUNTUALIDAD (H)]]*24</t>
        </r>
      </text>
    </comment>
    <comment ref="AF1" authorId="0" shapeId="0" xr:uid="{ED3B597B-C41A-4854-8B61-22E02CA0C196}">
      <text>
        <r>
          <rPr>
            <b/>
            <sz val="9"/>
            <color indexed="81"/>
            <rFont val="Tahoma"/>
            <family val="2"/>
          </rPr>
          <t>Joan Martinez Codina:</t>
        </r>
        <r>
          <rPr>
            <sz val="9"/>
            <color indexed="81"/>
            <rFont val="Tahoma"/>
            <family val="2"/>
          </rPr>
          <t xml:space="preserve">
=(N3174-C3174)</t>
        </r>
      </text>
    </comment>
    <comment ref="AG1" authorId="0" shapeId="0" xr:uid="{B271D049-3071-40FF-B882-3BF2EBD52BC1}">
      <text>
        <r>
          <rPr>
            <b/>
            <sz val="9"/>
            <color indexed="81"/>
            <rFont val="Tahoma"/>
            <family val="2"/>
          </rPr>
          <t>Joan Martinez Codina:</t>
        </r>
        <r>
          <rPr>
            <sz val="9"/>
            <color indexed="81"/>
            <rFont val="Tahoma"/>
            <family val="2"/>
          </rPr>
          <t xml:space="preserve">
=[@[ATA TO UNLOADING]]*24</t>
        </r>
      </text>
    </comment>
    <comment ref="AH1" authorId="0" shapeId="0" xr:uid="{B6AD5242-C6E6-408D-ACD9-1A48BCD13AF9}">
      <text>
        <r>
          <rPr>
            <b/>
            <sz val="9"/>
            <color indexed="81"/>
            <rFont val="Tahoma"/>
            <family val="2"/>
          </rPr>
          <t>Joan Martinez Codina:</t>
        </r>
        <r>
          <rPr>
            <sz val="9"/>
            <color indexed="81"/>
            <rFont val="Tahoma"/>
            <family val="2"/>
          </rPr>
          <t xml:space="preserve">
=IF([@[ATA TO UNLOADING 2]]&lt;=48;"YES";"NO")</t>
        </r>
      </text>
    </comment>
    <comment ref="AJ1" authorId="0" shapeId="0" xr:uid="{8A410CF7-FCEE-4DCC-8F08-B896614D1F29}">
      <text>
        <r>
          <rPr>
            <b/>
            <sz val="9"/>
            <color indexed="81"/>
            <rFont val="Tahoma"/>
            <family val="2"/>
          </rPr>
          <t>Joan Martinez Codina:</t>
        </r>
        <r>
          <rPr>
            <sz val="9"/>
            <color indexed="81"/>
            <rFont val="Tahoma"/>
            <family val="2"/>
          </rPr>
          <t xml:space="preserve">
=MOD(M3174;1)</t>
        </r>
      </text>
    </comment>
    <comment ref="AK1" authorId="0" shapeId="0" xr:uid="{BB4E69D0-232B-4772-876A-CC22299E1CDE}">
      <text>
        <r>
          <rPr>
            <b/>
            <sz val="9"/>
            <color indexed="81"/>
            <rFont val="Tahoma"/>
            <family val="2"/>
          </rPr>
          <t>Joan Martinez Codina:</t>
        </r>
        <r>
          <rPr>
            <sz val="9"/>
            <color indexed="81"/>
            <rFont val="Tahoma"/>
            <family val="2"/>
          </rPr>
          <t xml:space="preserve">
Filtrar celda AJ (NIGHT) con el between para seleccionar las horas a las que aplica el NIGHT. Al resto añadir NO.</t>
        </r>
      </text>
    </comment>
    <comment ref="AL1" authorId="0" shapeId="0" xr:uid="{B8411DD9-ADE9-4F15-B528-471CD19EA8CF}">
      <text>
        <r>
          <rPr>
            <b/>
            <sz val="9"/>
            <color indexed="81"/>
            <rFont val="Tahoma"/>
            <family val="2"/>
          </rPr>
          <t>Joan Martinez Codina:</t>
        </r>
        <r>
          <rPr>
            <sz val="9"/>
            <color indexed="81"/>
            <rFont val="Tahoma"/>
            <family val="2"/>
          </rPr>
          <t xml:space="preserve">
=R3174</t>
        </r>
      </text>
    </comment>
    <comment ref="AM1" authorId="0" shapeId="0" xr:uid="{72C01A64-BB8F-4E05-AECA-5F332EA48B72}">
      <text>
        <r>
          <rPr>
            <b/>
            <sz val="9"/>
            <color indexed="81"/>
            <rFont val="Tahoma"/>
            <family val="2"/>
          </rPr>
          <t>Joan Martinez Codina:</t>
        </r>
        <r>
          <rPr>
            <sz val="9"/>
            <color indexed="81"/>
            <rFont val="Tahoma"/>
            <family val="2"/>
          </rPr>
          <t xml:space="preserve">
=I3174</t>
        </r>
      </text>
    </comment>
    <comment ref="AN1" authorId="0" shapeId="0" xr:uid="{BAC2E1C7-067F-4A7F-AB22-11CA06914AD4}">
      <text>
        <r>
          <rPr>
            <b/>
            <sz val="9"/>
            <color indexed="81"/>
            <rFont val="Tahoma"/>
            <family val="2"/>
          </rPr>
          <t>Joan Martinez Codina:</t>
        </r>
        <r>
          <rPr>
            <sz val="9"/>
            <color indexed="81"/>
            <rFont val="Tahoma"/>
            <family val="2"/>
          </rPr>
          <t xml:space="preserve">
=E3174</t>
        </r>
      </text>
    </comment>
    <comment ref="AO1" authorId="0" shapeId="0" xr:uid="{87AAE8BF-3298-452A-9B9F-1932CF3E956F}">
      <text>
        <r>
          <rPr>
            <b/>
            <sz val="9"/>
            <color indexed="81"/>
            <rFont val="Tahoma"/>
            <family val="2"/>
          </rPr>
          <t>Joan Martinez Codina:</t>
        </r>
        <r>
          <rPr>
            <sz val="9"/>
            <color indexed="81"/>
            <rFont val="Tahoma"/>
            <family val="2"/>
          </rPr>
          <t xml:space="preserve">
=IF($O3172="TRUCK";VLOOKUP($AU3172;Invoicing!$A$18:$B$50;MATCH($AO$1;Invoicing!$A$18:$B$18;0);FALSE)+IF($B3172="DCD";16;0);VLOOKUP($AU3172;Invoicing!$N$18:$O$22;MATCH($AO$1;Invoicing!$N$18:$O$18;0);FALSE)+IF($B3172="DCD";16;0))</t>
        </r>
      </text>
    </comment>
    <comment ref="AP1" authorId="0" shapeId="0" xr:uid="{BE767F4D-C078-4E52-8D9E-0EAA8A94F6F2}">
      <text>
        <r>
          <rPr>
            <b/>
            <sz val="9"/>
            <color indexed="81"/>
            <rFont val="Tahoma"/>
            <family val="2"/>
          </rPr>
          <t>Joan Martinez Codina:</t>
        </r>
        <r>
          <rPr>
            <sz val="9"/>
            <color indexed="81"/>
            <rFont val="Tahoma"/>
            <family val="2"/>
          </rPr>
          <t xml:space="preserve">
=VLOOKUP($E3174;Invoicing!$A$1:$H$10;MATCH(TRACKER!$P3174;Invoicing!$A$1:$H$1;0);FALSE)</t>
        </r>
      </text>
    </comment>
    <comment ref="AQ1" authorId="0" shapeId="0" xr:uid="{F39F7BDE-7391-4961-B45B-03CC5313DC3E}">
      <text>
        <r>
          <rPr>
            <b/>
            <sz val="9"/>
            <color indexed="81"/>
            <rFont val="Tahoma"/>
            <family val="2"/>
          </rPr>
          <t>Joan Martinez Codina:</t>
        </r>
        <r>
          <rPr>
            <sz val="9"/>
            <color indexed="81"/>
            <rFont val="Tahoma"/>
            <family val="2"/>
          </rPr>
          <t xml:space="preserve">
=VLOOKUP($E3174;Invoicing!$A$1:$H$10;MATCH(TRACKER!$Q$1;Invoicing!$A$1:$H$1;0);FALSE)</t>
        </r>
      </text>
    </comment>
    <comment ref="AR1" authorId="0" shapeId="0" xr:uid="{6E307FD0-2B07-4411-916C-76664F1873CE}">
      <text>
        <r>
          <rPr>
            <b/>
            <sz val="9"/>
            <color indexed="81"/>
            <rFont val="Tahoma"/>
            <family val="2"/>
          </rPr>
          <t>Joan Martinez Codina:</t>
        </r>
        <r>
          <rPr>
            <sz val="9"/>
            <color indexed="81"/>
            <rFont val="Tahoma"/>
            <family val="2"/>
          </rPr>
          <t xml:space="preserve">
=IF($Q3174&lt;&gt;0;$Q3174*$AQ3174;0)=IF($Q3174&lt;&gt;0;$Q3174*$AQ3174;0)</t>
        </r>
      </text>
    </comment>
    <comment ref="AS1" authorId="0" shapeId="0" xr:uid="{A804CF24-A830-4076-8FAF-1BEFAAC35346}">
      <text>
        <r>
          <rPr>
            <b/>
            <sz val="9"/>
            <color indexed="81"/>
            <rFont val="Tahoma"/>
            <family val="2"/>
          </rPr>
          <t>Joan Martinez Codina:</t>
        </r>
        <r>
          <rPr>
            <sz val="9"/>
            <color indexed="81"/>
            <rFont val="Tahoma"/>
            <family val="2"/>
          </rPr>
          <t xml:space="preserve">
=WEEKDAY(M3174;2)</t>
        </r>
      </text>
    </comment>
    <comment ref="AT1" authorId="0" shapeId="0" xr:uid="{69E87A76-0BE5-4868-8377-1EF3546A672C}">
      <text>
        <r>
          <rPr>
            <b/>
            <sz val="9"/>
            <color indexed="81"/>
            <rFont val="Tahoma"/>
            <family val="2"/>
          </rPr>
          <t>Joan Martinez Codina:</t>
        </r>
        <r>
          <rPr>
            <sz val="9"/>
            <color indexed="81"/>
            <rFont val="Tahoma"/>
            <family val="2"/>
          </rPr>
          <t xml:space="preserve">
=IF(AS3174=7;"SUNDAY";IF(AS3174=6;"SATURDAY";IF(AK3174="NIGHT";"NIGHT";IF(AS3174&lt;=5;"WEEK";"SUNDAY"))))</t>
        </r>
      </text>
    </comment>
    <comment ref="AU1" authorId="0" shapeId="0" xr:uid="{D9B71693-B494-4538-A314-9F7F7D5FE014}">
      <text>
        <r>
          <rPr>
            <b/>
            <sz val="9"/>
            <color indexed="81"/>
            <rFont val="Tahoma"/>
            <family val="2"/>
          </rPr>
          <t>Joan Martinez Codina:</t>
        </r>
        <r>
          <rPr>
            <sz val="9"/>
            <color indexed="81"/>
            <rFont val="Tahoma"/>
            <family val="2"/>
          </rPr>
          <t xml:space="preserve">
=AN3174&amp;AT3174</t>
        </r>
      </text>
    </comment>
    <comment ref="AV1" authorId="0" shapeId="0" xr:uid="{119962BA-5007-4891-AD2E-87C0243C1BB3}">
      <text>
        <r>
          <rPr>
            <b/>
            <sz val="9"/>
            <color indexed="81"/>
            <rFont val="Tahoma"/>
            <family val="2"/>
          </rPr>
          <t>Joan Martinez Codina:</t>
        </r>
        <r>
          <rPr>
            <sz val="9"/>
            <color indexed="81"/>
            <rFont val="Tahoma"/>
            <family val="2"/>
          </rPr>
          <t xml:space="preserve">
=(IF(ISNA(AP3174);AO3174+AR3174;SUM($AO3174;$AR3174;IFERROR($AP3174;"0"))))+[@[WAITING TIMES]]</t>
        </r>
      </text>
    </comment>
    <comment ref="AW1" authorId="0" shapeId="0" xr:uid="{C5C5AC2E-4086-4DDD-A17C-D7DE64569479}">
      <text>
        <r>
          <rPr>
            <b/>
            <sz val="9"/>
            <color indexed="81"/>
            <rFont val="Tahoma"/>
            <family val="2"/>
          </rPr>
          <t>Joan Martinez Codina:</t>
        </r>
        <r>
          <rPr>
            <sz val="9"/>
            <color indexed="81"/>
            <rFont val="Tahoma"/>
            <family val="2"/>
          </rPr>
          <t xml:space="preserve">
=VLOOKUP(AN3174;Invoicing!A:K;11;FALSE)</t>
        </r>
      </text>
    </comment>
    <comment ref="AZ1" authorId="0" shapeId="0" xr:uid="{585427CF-745E-42CF-81F6-BFFD6E964B94}">
      <text>
        <r>
          <rPr>
            <b/>
            <sz val="9"/>
            <color indexed="81"/>
            <rFont val="Tahoma"/>
            <family val="2"/>
          </rPr>
          <t>Joan Martinez Codina:</t>
        </r>
        <r>
          <rPr>
            <sz val="9"/>
            <color indexed="81"/>
            <rFont val="Tahoma"/>
            <family val="2"/>
          </rPr>
          <t xml:space="preserve">
=AV3174+AW3174</t>
        </r>
      </text>
    </comment>
    <comment ref="BA1" authorId="0" shapeId="0" xr:uid="{2B5438D4-2443-4F46-A5F6-54F5E3BA44E8}">
      <text>
        <r>
          <rPr>
            <b/>
            <sz val="9"/>
            <color indexed="81"/>
            <rFont val="Tahoma"/>
            <family val="2"/>
          </rPr>
          <t>Joan Martinez Codina:</t>
        </r>
        <r>
          <rPr>
            <sz val="9"/>
            <color indexed="81"/>
            <rFont val="Tahoma"/>
            <family val="2"/>
          </rPr>
          <t xml:space="preserve">
=VLOOKUP(AN3174;Invoicing!A:J;10;FALSE)</t>
        </r>
      </text>
    </comment>
    <comment ref="BB1" authorId="0" shapeId="0" xr:uid="{39D377AB-6257-4027-9FB7-A2C5C775D63C}">
      <text>
        <r>
          <rPr>
            <b/>
            <sz val="9"/>
            <color indexed="81"/>
            <rFont val="Tahoma"/>
            <family val="2"/>
          </rPr>
          <t>Joan Martinez Codina:</t>
        </r>
        <r>
          <rPr>
            <sz val="9"/>
            <color indexed="81"/>
            <rFont val="Tahoma"/>
            <family val="2"/>
          </rPr>
          <t xml:space="preserve">
=VLOOKUP(AN3174;Invoicing!A:L;12;FALSE)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F2D251-577F-4F2E-84A8-7841D5EAA70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E9D1402-7F4F-4CFD-B719-EA8645004F5B}" name="WorksheetConnection_KPIs2025-NL_PRUEBAMEJORA.xlsx!Table2" type="102" refreshedVersion="8" minRefreshableVersion="5">
    <extLst>
      <ext xmlns:x15="http://schemas.microsoft.com/office/spreadsheetml/2010/11/main" uri="{DE250136-89BD-433C-8126-D09CA5730AF9}">
        <x15:connection id="Table2" autoDelete="1">
          <x15:rangePr sourceName="_xlcn.WorksheetConnection_KPIs2025NL_PRUEBAMEJORA.xlsxTable21"/>
        </x15:connection>
      </ext>
    </extLst>
  </connection>
  <connection id="3" xr16:uid="{991F1337-0B27-445D-89DD-145646CE6917}" name="WorksheetConnection_MEDIAS!$A$1:$E$64" type="102" refreshedVersion="8" minRefreshableVersion="5">
    <extLst>
      <ext xmlns:x15="http://schemas.microsoft.com/office/spreadsheetml/2010/11/main" uri="{DE250136-89BD-433C-8126-D09CA5730AF9}">
        <x15:connection id="Range 9" autoDelete="1">
          <x15:rangePr sourceName="_xlcn.WorksheetConnection_MEDIASA1E641"/>
        </x15:connection>
      </ext>
    </extLst>
  </connection>
  <connection id="4" xr16:uid="{07FC6792-FC2B-47FA-AAFD-E30E2ED707B3}" name="WorksheetConnection_MEDIAS!$A$1:$J$66" type="102" refreshedVersion="8" minRefreshableVersion="5">
    <extLst>
      <ext xmlns:x15="http://schemas.microsoft.com/office/spreadsheetml/2010/11/main" uri="{DE250136-89BD-433C-8126-D09CA5730AF9}">
        <x15:connection id="Range 4" autoDelete="1">
          <x15:rangePr sourceName="_xlcn.WorksheetConnection_MEDIASA1J661"/>
        </x15:connection>
      </ext>
    </extLst>
  </connection>
  <connection id="5" xr16:uid="{9A3C6741-CCBE-41A1-BDF8-DB8224A6E413}" name="WorksheetConnection_MEDIAS!$A$1:$L$9" type="102" refreshedVersion="8" minRefreshableVersion="5">
    <extLst>
      <ext xmlns:x15="http://schemas.microsoft.com/office/spreadsheetml/2010/11/main" uri="{DE250136-89BD-433C-8126-D09CA5730AF9}">
        <x15:connection id="Range 2" autoDelete="1">
          <x15:rangePr sourceName="_xlcn.WorksheetConnection_MEDIASA1L91"/>
        </x15:connection>
      </ext>
    </extLst>
  </connection>
  <connection id="6" xr16:uid="{C96E621B-942C-4727-8EB9-95E0F81A8840}" name="WorksheetConnection_TRACKER!$E$1:$P$3057" type="102" refreshedVersion="7" minRefreshableVersion="5">
    <extLst>
      <ext xmlns:x15="http://schemas.microsoft.com/office/spreadsheetml/2010/11/main" uri="{DE250136-89BD-433C-8126-D09CA5730AF9}">
        <x15:connection id="Range 6" autoDelete="1">
          <x15:rangePr sourceName="_xlcn.WorksheetConnection_TRACKERE1P30571"/>
        </x15:connection>
      </ext>
    </extLst>
  </connection>
  <connection id="7" xr16:uid="{5D3F544C-9B1A-4CE6-9FF3-561C79EE847C}" name="WorksheetConnection_TRACKER!$E:$P" type="102" refreshedVersion="8" minRefreshableVersion="5">
    <extLst>
      <ext xmlns:x15="http://schemas.microsoft.com/office/spreadsheetml/2010/11/main" uri="{DE250136-89BD-433C-8126-D09CA5730AF9}">
        <x15:connection id="Range 5" autoDelete="1">
          <x15:rangePr sourceName="_xlcn.WorksheetConnection_TRACKEREP1"/>
        </x15:connection>
      </ext>
    </extLst>
  </connection>
  <connection id="8" xr16:uid="{BF01BDD1-2860-4253-80E9-0D979AEB1222}" name="WorksheetConnection_TRANSPORTISTA!$E$1:$G$7" type="102" refreshedVersion="8" minRefreshableVersion="5" saveData="1">
    <extLst>
      <ext xmlns:x15="http://schemas.microsoft.com/office/spreadsheetml/2010/11/main" uri="{DE250136-89BD-433C-8126-D09CA5730AF9}">
        <x15:connection id="Range 1">
          <x15:rangePr sourceName="_xlcn.WorksheetConnection_TRANSPORTISTAE1G71"/>
        </x15:connection>
      </ext>
    </extLst>
  </connection>
</connections>
</file>

<file path=xl/sharedStrings.xml><?xml version="1.0" encoding="utf-8"?>
<sst xmlns="http://schemas.openxmlformats.org/spreadsheetml/2006/main" count="5964" uniqueCount="998">
  <si>
    <t>VESSEL</t>
  </si>
  <si>
    <t>TERMINAL</t>
  </si>
  <si>
    <t>ATA</t>
  </si>
  <si>
    <t>ETA</t>
  </si>
  <si>
    <t>HAULER</t>
  </si>
  <si>
    <t>MASTER BL</t>
  </si>
  <si>
    <t>CARRIER</t>
  </si>
  <si>
    <t>PUERTO ORIGEN</t>
  </si>
  <si>
    <t>CONTAINER</t>
  </si>
  <si>
    <t>WAREHOUSE</t>
  </si>
  <si>
    <t>DELIVERY AVAILABLE SINCE</t>
  </si>
  <si>
    <t>TRUCK SHOW UP</t>
  </si>
  <si>
    <t>TIMESLOT</t>
  </si>
  <si>
    <t>DC start date</t>
  </si>
  <si>
    <t>TRANSPORT MODE</t>
  </si>
  <si>
    <t>CLEANING</t>
  </si>
  <si>
    <t>EXTRA STOP</t>
  </si>
  <si>
    <t>WEEK</t>
  </si>
  <si>
    <t>MONTH</t>
  </si>
  <si>
    <t>HORA DE LLEGADA CONT</t>
  </si>
  <si>
    <t>ATA A OFRECIMIENTO</t>
  </si>
  <si>
    <t>ATA A OFRECIMIENTO 2</t>
  </si>
  <si>
    <t>AVAILABILITY  -48H</t>
  </si>
  <si>
    <t>DEL. AVAILABLE A SLOT</t>
  </si>
  <si>
    <t>DEL. AVAILABLE A SLOT 2</t>
  </si>
  <si>
    <t xml:space="preserve">TIMESLOT MENOS DE 24H </t>
  </si>
  <si>
    <t>ATA A TIMESLOT</t>
  </si>
  <si>
    <t>ATA A TIMESLOT 2</t>
  </si>
  <si>
    <t>PUNTUALIDAD (H)</t>
  </si>
  <si>
    <t>PUNTUALIDAD 2</t>
  </si>
  <si>
    <t>PUNTUALIDAD 3</t>
  </si>
  <si>
    <t>ATA TO UNLOADING</t>
  </si>
  <si>
    <t>ATA TO UNLOADING 2</t>
  </si>
  <si>
    <t>DELIVERED IN -48H</t>
  </si>
  <si>
    <t>COMMENTS FOR LATE DELIVERY AND FOR DELAYS</t>
  </si>
  <si>
    <t>HOUR</t>
  </si>
  <si>
    <t>NIGHT</t>
  </si>
  <si>
    <t>WEEK2</t>
  </si>
  <si>
    <t>CONTAINER4</t>
  </si>
  <si>
    <t>VENDOR</t>
  </si>
  <si>
    <t>COST</t>
  </si>
  <si>
    <t>CLEANING5</t>
  </si>
  <si>
    <t>E.S. COST</t>
  </si>
  <si>
    <t>EXTRA STOP TOTAL</t>
  </si>
  <si>
    <t>WEEKDAY</t>
  </si>
  <si>
    <t>DELIVERED AT</t>
  </si>
  <si>
    <t>VENDOR+BASECOST</t>
  </si>
  <si>
    <t>TOTAL COST</t>
  </si>
  <si>
    <t>ADMIN FEE</t>
  </si>
  <si>
    <t>WAITING TIMES</t>
  </si>
  <si>
    <t>WAITING TIMES (HOURS)</t>
  </si>
  <si>
    <t>TOTAL SELL</t>
  </si>
  <si>
    <t>MANAGEMENT FEE</t>
  </si>
  <si>
    <t>ALTIA</t>
  </si>
  <si>
    <t>ESTIMATION COMPLETED ON</t>
  </si>
  <si>
    <t>MARCHEN MAERSK</t>
  </si>
  <si>
    <t>NLMVII</t>
  </si>
  <si>
    <t>CTK TRANSPORT</t>
  </si>
  <si>
    <t>MAEU259851797</t>
  </si>
  <si>
    <t>MAERSK</t>
  </si>
  <si>
    <t>Shanghai</t>
  </si>
  <si>
    <t>FFAU5311224</t>
  </si>
  <si>
    <t>XPO TALLER LELYSTAD</t>
  </si>
  <si>
    <t>TRUCK</t>
  </si>
  <si>
    <t>NO</t>
  </si>
  <si>
    <t>Delivered when WHS requested it</t>
  </si>
  <si>
    <t>IBE MSO / INDITEX CT / NJU021 / JANUARY 2026 ESTIMATION</t>
  </si>
  <si>
    <t>MAEU260870920</t>
  </si>
  <si>
    <t>Sihanoukville</t>
  </si>
  <si>
    <t>CAAU5146701</t>
  </si>
  <si>
    <t>Delivered when WHS was open</t>
  </si>
  <si>
    <t>LOGIX</t>
  </si>
  <si>
    <t>GCXU5601183</t>
  </si>
  <si>
    <t>OTL</t>
  </si>
  <si>
    <t>MAEU256081204</t>
  </si>
  <si>
    <t>MSKU4784246</t>
  </si>
  <si>
    <t>OAKLAND EXPRESS</t>
  </si>
  <si>
    <t>DCD</t>
  </si>
  <si>
    <t>AZOIA LOGISTICS</t>
  </si>
  <si>
    <t>MAEU261749559</t>
  </si>
  <si>
    <t>Karachi-Muhammad Bin Qasim</t>
  </si>
  <si>
    <t>TLLU4893839</t>
  </si>
  <si>
    <t>LELYSTAD</t>
  </si>
  <si>
    <t>OM TRANSPORT</t>
  </si>
  <si>
    <t>MRKU5779509</t>
  </si>
  <si>
    <t>22:00-02:30</t>
  </si>
  <si>
    <t>MAEU261749711</t>
  </si>
  <si>
    <t>FCIU4197243</t>
  </si>
  <si>
    <t>Container selected for SCAN</t>
  </si>
  <si>
    <t>MAERSK SEOUL</t>
  </si>
  <si>
    <t>MAEU262378355</t>
  </si>
  <si>
    <t>Chittagong</t>
  </si>
  <si>
    <t>TCLU8157186</t>
  </si>
  <si>
    <t>MRKU6156890</t>
  </si>
  <si>
    <t>MAEU261713161</t>
  </si>
  <si>
    <t>MRSU5088161</t>
  </si>
  <si>
    <t>MAEU261738627</t>
  </si>
  <si>
    <t>MRSU7901394</t>
  </si>
  <si>
    <t>MSI</t>
  </si>
  <si>
    <t>MRKU5625592</t>
  </si>
  <si>
    <t>SIMEI LELYSTAD</t>
  </si>
  <si>
    <t>TCNU5285410</t>
  </si>
  <si>
    <t>11:45 - 15:00</t>
  </si>
  <si>
    <t>MRSU5828587</t>
  </si>
  <si>
    <t>14:00 - 18:45</t>
  </si>
  <si>
    <t>FFAU7213016</t>
  </si>
  <si>
    <t>08:00-11:00</t>
  </si>
  <si>
    <t>CAAU4532989</t>
  </si>
  <si>
    <t>14:00-23:00</t>
  </si>
  <si>
    <t>GCXU5666040</t>
  </si>
  <si>
    <t>CAAU4800150</t>
  </si>
  <si>
    <t>21:00-00:00</t>
  </si>
  <si>
    <t>CIPU5009538</t>
  </si>
  <si>
    <t>10:00-15:30</t>
  </si>
  <si>
    <t>TCKU7086558</t>
  </si>
  <si>
    <t>MRSU4870880</t>
  </si>
  <si>
    <t>16:30-22:00</t>
  </si>
  <si>
    <t>TCKU7619889</t>
  </si>
  <si>
    <t>20:00-01:00</t>
  </si>
  <si>
    <t>MRSU5517414</t>
  </si>
  <si>
    <t>16:45-22:15</t>
  </si>
  <si>
    <t>MRKU5674350</t>
  </si>
  <si>
    <t>SUDU8785373</t>
  </si>
  <si>
    <t>TCLU3479976</t>
  </si>
  <si>
    <t>HASU4818331</t>
  </si>
  <si>
    <t>AL MURAYKH</t>
  </si>
  <si>
    <t>MAEU261948369</t>
  </si>
  <si>
    <t>MAEU9283402</t>
  </si>
  <si>
    <t>MAEU261384919</t>
  </si>
  <si>
    <t>MRSU3879055</t>
  </si>
  <si>
    <t>MRSU7360767</t>
  </si>
  <si>
    <t>MRSU8147376</t>
  </si>
  <si>
    <t>HLCUSHA2511BAWV7</t>
  </si>
  <si>
    <t>HAPAG LLOYD</t>
  </si>
  <si>
    <t>UACU5889557</t>
  </si>
  <si>
    <t>MAEU259153952</t>
  </si>
  <si>
    <t>MAEU9234687</t>
  </si>
  <si>
    <t>MRSU3342770</t>
  </si>
  <si>
    <t>07:00 - 09:45</t>
  </si>
  <si>
    <t>MRSU3674543</t>
  </si>
  <si>
    <t>MRSU5781284</t>
  </si>
  <si>
    <t>snowfall and strong winds. Cnt not unloaded</t>
  </si>
  <si>
    <t>MRSU6073567</t>
  </si>
  <si>
    <t>MAEU262079544</t>
  </si>
  <si>
    <t>Yantian</t>
  </si>
  <si>
    <t>MSKU5020915</t>
  </si>
  <si>
    <t>PONU2057947</t>
  </si>
  <si>
    <t>FFAU5020743</t>
  </si>
  <si>
    <t>MRSU4851983</t>
  </si>
  <si>
    <t>MSKU4622250</t>
  </si>
  <si>
    <t>06:00-08:30</t>
  </si>
  <si>
    <t>MSKU4747659</t>
  </si>
  <si>
    <t>MSKU4774470</t>
  </si>
  <si>
    <t>07:30-10:30</t>
  </si>
  <si>
    <t>MSKU7796908</t>
  </si>
  <si>
    <t>SUDU6686622</t>
  </si>
  <si>
    <t>TCKU6408599</t>
  </si>
  <si>
    <t>NORFOLK EXPRESS</t>
  </si>
  <si>
    <t>MAEU262030428</t>
  </si>
  <si>
    <t>CAAU5262070</t>
  </si>
  <si>
    <t>MAEU262030595</t>
  </si>
  <si>
    <t>HASU1298241</t>
  </si>
  <si>
    <t>MAEU262030255</t>
  </si>
  <si>
    <t>HASU4177114</t>
  </si>
  <si>
    <t>TCNU6200906</t>
  </si>
  <si>
    <t>MSKU8590927</t>
  </si>
  <si>
    <t>16:00 - 19:00</t>
  </si>
  <si>
    <t>MSKU8784558</t>
  </si>
  <si>
    <t>11:30 - 14:40</t>
  </si>
  <si>
    <t>SUDU8884993</t>
  </si>
  <si>
    <t>MAERSK SALALAH</t>
  </si>
  <si>
    <t>MAEU261989817</t>
  </si>
  <si>
    <t>CAIU8274268</t>
  </si>
  <si>
    <t>08:00 - 12:40</t>
  </si>
  <si>
    <t>MRKU4971780</t>
  </si>
  <si>
    <t>05:30 - 08:25</t>
  </si>
  <si>
    <t>MAEU261989834</t>
  </si>
  <si>
    <t>MRSU5838137</t>
  </si>
  <si>
    <t>15:15 - 19:10</t>
  </si>
  <si>
    <t>MRSU3259347</t>
  </si>
  <si>
    <t>MRSU5158741</t>
  </si>
  <si>
    <t>MRSU5982648</t>
  </si>
  <si>
    <t>MSKU9399026</t>
  </si>
  <si>
    <t>HLCUDA1251200889</t>
  </si>
  <si>
    <t>TTNU5677414</t>
  </si>
  <si>
    <t>MRKU8117208</t>
  </si>
  <si>
    <t>MAEU262115869</t>
  </si>
  <si>
    <t>MRSU3703472</t>
  </si>
  <si>
    <t>13:00 - 00:15</t>
  </si>
  <si>
    <t>MAEU262115821</t>
  </si>
  <si>
    <t>MRSU7046627</t>
  </si>
  <si>
    <t>SUNDAY</t>
  </si>
  <si>
    <t>20:00 - 23:20</t>
  </si>
  <si>
    <t>MAEU262115728</t>
  </si>
  <si>
    <t>MRSU8759387</t>
  </si>
  <si>
    <t>01:00 - 05:30</t>
  </si>
  <si>
    <t>TCKU6935440</t>
  </si>
  <si>
    <t>08:00 - 15:15</t>
  </si>
  <si>
    <t>CAAU8933444</t>
  </si>
  <si>
    <t>06:00-15:30</t>
  </si>
  <si>
    <t>HASU4901636</t>
  </si>
  <si>
    <t>20:00-23:00</t>
  </si>
  <si>
    <t>HLXU8578424</t>
  </si>
  <si>
    <t>06:00-09:00</t>
  </si>
  <si>
    <t>MIEU0024984</t>
  </si>
  <si>
    <t>MRSU3279600</t>
  </si>
  <si>
    <t>22:00-01:30</t>
  </si>
  <si>
    <t>MRSU8498576</t>
  </si>
  <si>
    <t>11:00-20:30</t>
  </si>
  <si>
    <t>MSKU1678560</t>
  </si>
  <si>
    <t>20:00-22:30</t>
  </si>
  <si>
    <t>TRHU4436624</t>
  </si>
  <si>
    <t>AL NEFUD</t>
  </si>
  <si>
    <t>MAEU262216337</t>
  </si>
  <si>
    <t>MSKU4738873</t>
  </si>
  <si>
    <t>MAEU261216813</t>
  </si>
  <si>
    <t>TCKU7414512</t>
  </si>
  <si>
    <t>MRKU1010938</t>
  </si>
  <si>
    <t>MAEU260875146</t>
  </si>
  <si>
    <t>MRSU4838960</t>
  </si>
  <si>
    <t>MRSU7109134</t>
  </si>
  <si>
    <t>MRSU7882231</t>
  </si>
  <si>
    <t>MAEU262518017</t>
  </si>
  <si>
    <t>Ho Chi Minh City</t>
  </si>
  <si>
    <t>TCKU6778058</t>
  </si>
  <si>
    <t>HLCUSHA2511BLFE1</t>
  </si>
  <si>
    <t>FANU1585560</t>
  </si>
  <si>
    <t>MAEU9280928</t>
  </si>
  <si>
    <t>MRKU6813125</t>
  </si>
  <si>
    <t>MAEU258733058</t>
  </si>
  <si>
    <t>MRSU7237834</t>
  </si>
  <si>
    <t>16:30 - 21:20</t>
  </si>
  <si>
    <t>MRSU7900757</t>
  </si>
  <si>
    <t>MRSU8567506</t>
  </si>
  <si>
    <t>MAEU9186085</t>
  </si>
  <si>
    <t>19:00-22:00</t>
  </si>
  <si>
    <t>MAEU259975288</t>
  </si>
  <si>
    <t>MAEU9242717</t>
  </si>
  <si>
    <t>MRKU0866299</t>
  </si>
  <si>
    <t>MSKU1159461</t>
  </si>
  <si>
    <t>TCKU6898177</t>
  </si>
  <si>
    <t>TCKU7983118</t>
  </si>
  <si>
    <t>HASU4596764</t>
  </si>
  <si>
    <t>MRKU5158590</t>
  </si>
  <si>
    <t>11:00-13:45</t>
  </si>
  <si>
    <t>MSKU4694559</t>
  </si>
  <si>
    <t>SUDU6888691</t>
  </si>
  <si>
    <t>TAYMA EXPRESS</t>
  </si>
  <si>
    <t>MAEU262320502</t>
  </si>
  <si>
    <t>TGBU9365427</t>
  </si>
  <si>
    <t>08:00-13:00</t>
  </si>
  <si>
    <t>MAEU262320574</t>
  </si>
  <si>
    <t>MRKU8925124</t>
  </si>
  <si>
    <t>TCNU7982034</t>
  </si>
  <si>
    <t>CAAU5412165</t>
  </si>
  <si>
    <t>10:00-14:00</t>
  </si>
  <si>
    <t>MILAN MAERSK</t>
  </si>
  <si>
    <t>MAEU261728011</t>
  </si>
  <si>
    <t>MAEU9199117</t>
  </si>
  <si>
    <t>UETU8173128</t>
  </si>
  <si>
    <t>MAEU262656281</t>
  </si>
  <si>
    <t>MRKU6993639</t>
  </si>
  <si>
    <t>MAEU259153967</t>
  </si>
  <si>
    <t>MRSU6620643</t>
  </si>
  <si>
    <t>MRSU9212080</t>
  </si>
  <si>
    <t>MAEU261389891</t>
  </si>
  <si>
    <t>Haiphong</t>
  </si>
  <si>
    <t>MSKU5718260</t>
  </si>
  <si>
    <t>MSKU4792350</t>
  </si>
  <si>
    <t>09:00-13:45</t>
  </si>
  <si>
    <t>MAEU9221231</t>
  </si>
  <si>
    <t>MRSU6705967</t>
  </si>
  <si>
    <t>MRKU2244062</t>
  </si>
  <si>
    <t>TCNU4472079</t>
  </si>
  <si>
    <t>MSKU4731185</t>
  </si>
  <si>
    <t>TCNU4075580</t>
  </si>
  <si>
    <t>MAEU262002497</t>
  </si>
  <si>
    <t>MRKU0209822</t>
  </si>
  <si>
    <t>14:00-18:00</t>
  </si>
  <si>
    <t>MRKU7879338</t>
  </si>
  <si>
    <t>MAEU262348240</t>
  </si>
  <si>
    <t>SUDU7732790</t>
  </si>
  <si>
    <t>MRKU4530764</t>
  </si>
  <si>
    <t>HLCUSHA251217714</t>
  </si>
  <si>
    <t>HLBU2810860</t>
  </si>
  <si>
    <t>LOS ANGELES EXPRESS</t>
  </si>
  <si>
    <t>MAEU262432911</t>
  </si>
  <si>
    <t>Mumbai (ex Bombay)</t>
  </si>
  <si>
    <t>TTNU1228436</t>
  </si>
  <si>
    <t>MAERSK SAN CLEMENTE</t>
  </si>
  <si>
    <t>MAEU262778025</t>
  </si>
  <si>
    <t>MRKU9462370</t>
  </si>
  <si>
    <t>MAEU262566009</t>
  </si>
  <si>
    <t>UETU6704740</t>
  </si>
  <si>
    <t>HLCUDA1251212350</t>
  </si>
  <si>
    <t>HAMU3628130</t>
  </si>
  <si>
    <t>MAEU262778214</t>
  </si>
  <si>
    <t>MRKU7607263</t>
  </si>
  <si>
    <t>MRSU3224470</t>
  </si>
  <si>
    <t>MRSU6856290</t>
  </si>
  <si>
    <t>MAEU262566016</t>
  </si>
  <si>
    <t>GCXU5772020</t>
  </si>
  <si>
    <t>09:00-13:00</t>
  </si>
  <si>
    <t>MRSU5190846</t>
  </si>
  <si>
    <t>UETU5614739</t>
  </si>
  <si>
    <t>MAEU262566022</t>
  </si>
  <si>
    <t>MRSU6984687</t>
  </si>
  <si>
    <t>10:00-14:45</t>
  </si>
  <si>
    <t>CAAU6561543</t>
  </si>
  <si>
    <t>MRSU3406807</t>
  </si>
  <si>
    <t>12:00-16:00</t>
  </si>
  <si>
    <t>HAMU1219826</t>
  </si>
  <si>
    <t>GAOU7142800</t>
  </si>
  <si>
    <t>14:00-18:45</t>
  </si>
  <si>
    <t>MRKU4705590</t>
  </si>
  <si>
    <t>CAAU8138947</t>
  </si>
  <si>
    <t>16:00-20:45</t>
  </si>
  <si>
    <t>MIEU3010201</t>
  </si>
  <si>
    <t>HAMU2345557</t>
  </si>
  <si>
    <t>GAOU7183326</t>
  </si>
  <si>
    <t>19:00-01:00</t>
  </si>
  <si>
    <t>GCXU6257956</t>
  </si>
  <si>
    <t>21:00-07:00</t>
  </si>
  <si>
    <t>UACU5396951</t>
  </si>
  <si>
    <t>TRHU4298280</t>
  </si>
  <si>
    <t>23:00-01:30</t>
  </si>
  <si>
    <t>MSKU1386017</t>
  </si>
  <si>
    <t>SUDU6973617</t>
  </si>
  <si>
    <t>08:00-12:45</t>
  </si>
  <si>
    <t>MRSU5598592</t>
  </si>
  <si>
    <t>HANOI EXPRESS</t>
  </si>
  <si>
    <t>MAEU262110064</t>
  </si>
  <si>
    <t>CAIU5858524</t>
  </si>
  <si>
    <t>08:45.13:00</t>
  </si>
  <si>
    <t>HLCUSHA251217831</t>
  </si>
  <si>
    <t>HAMU3112185</t>
  </si>
  <si>
    <t>06:00-09:15</t>
  </si>
  <si>
    <t>MAEU261169073</t>
  </si>
  <si>
    <t>MAEU9175455</t>
  </si>
  <si>
    <t>06:00-08:35</t>
  </si>
  <si>
    <t>MAEU9242430</t>
  </si>
  <si>
    <t>MAEU9264059</t>
  </si>
  <si>
    <t>MRKU0134507</t>
  </si>
  <si>
    <t>MAEU262924384</t>
  </si>
  <si>
    <t>MRKU0943775</t>
  </si>
  <si>
    <t>MAEU262346251</t>
  </si>
  <si>
    <t>MRSU0084728</t>
  </si>
  <si>
    <t>MRSU4771445</t>
  </si>
  <si>
    <t>MRSU5296139</t>
  </si>
  <si>
    <t>MRSU6712890</t>
  </si>
  <si>
    <t>MRSU8222778</t>
  </si>
  <si>
    <t>MRSU9215069</t>
  </si>
  <si>
    <t>MSKU4659820</t>
  </si>
  <si>
    <t>MAEU261169090</t>
  </si>
  <si>
    <t>MSKU4721274</t>
  </si>
  <si>
    <t>MSKU7397678</t>
  </si>
  <si>
    <t>MAERSK TANJONG</t>
  </si>
  <si>
    <t>MAEU262178079</t>
  </si>
  <si>
    <t>BEAU6267753</t>
  </si>
  <si>
    <t>IBE MSO / INDITEX CT / NJU021 / FEBRUARY 2026 ESTIMATION</t>
  </si>
  <si>
    <t>MAEU262604131</t>
  </si>
  <si>
    <t>CAAU7933603</t>
  </si>
  <si>
    <t>01:00 - 11:00</t>
  </si>
  <si>
    <t>CAAU9308122</t>
  </si>
  <si>
    <t>18:00-05:00</t>
  </si>
  <si>
    <t>HLCUDA1251205988</t>
  </si>
  <si>
    <t>CAIU7944093</t>
  </si>
  <si>
    <t>10:00 - 13:00</t>
  </si>
  <si>
    <t>MAEU262172979</t>
  </si>
  <si>
    <t>GAOU7387823</t>
  </si>
  <si>
    <t>08:00 - 12:15</t>
  </si>
  <si>
    <t>HAMU4063090</t>
  </si>
  <si>
    <t>HLBU1771218</t>
  </si>
  <si>
    <t>MAEU262178402</t>
  </si>
  <si>
    <t>MRKU0683410</t>
  </si>
  <si>
    <t>MRKU2416330</t>
  </si>
  <si>
    <t>MAEU262178176</t>
  </si>
  <si>
    <t>MRKU6230489</t>
  </si>
  <si>
    <t>MRKU6337693</t>
  </si>
  <si>
    <t>MRSU4505424</t>
  </si>
  <si>
    <t>MRSU5316256</t>
  </si>
  <si>
    <t>MRSU5993724</t>
  </si>
  <si>
    <t>06:00 - 10:30</t>
  </si>
  <si>
    <t>MRSU7847159</t>
  </si>
  <si>
    <t>11:00 - 14:45</t>
  </si>
  <si>
    <t>MRSU8769575</t>
  </si>
  <si>
    <t>SUDU6760817</t>
  </si>
  <si>
    <t>08:30 - 11:00</t>
  </si>
  <si>
    <t>SUDU6771508</t>
  </si>
  <si>
    <t>01:00 - 05:00</t>
  </si>
  <si>
    <t>TCKU3594885</t>
  </si>
  <si>
    <t>TCKU7520242</t>
  </si>
  <si>
    <t>TCNU3114281</t>
  </si>
  <si>
    <t>TCNU7988599</t>
  </si>
  <si>
    <t>11:00 - 14:15</t>
  </si>
  <si>
    <t>VANCOUVER EXPRESS</t>
  </si>
  <si>
    <t>MAEU263500972</t>
  </si>
  <si>
    <t>MRKU5559382</t>
  </si>
  <si>
    <t>04:00 - 12:15</t>
  </si>
  <si>
    <t>MAEU262608342</t>
  </si>
  <si>
    <t>FFAU5508511</t>
  </si>
  <si>
    <t>TCNU4994896</t>
  </si>
  <si>
    <t>06:00 - 10:15</t>
  </si>
  <si>
    <t>MAEU262720853</t>
  </si>
  <si>
    <t>GAOU7089243</t>
  </si>
  <si>
    <t>MAEU262716845</t>
  </si>
  <si>
    <t>Jawaharlal Nehru (Nhava Sheva)</t>
  </si>
  <si>
    <t>MRSU6986885</t>
  </si>
  <si>
    <t>08:00 - 11:15</t>
  </si>
  <si>
    <t>MAEU262939907</t>
  </si>
  <si>
    <t>UETU6823477</t>
  </si>
  <si>
    <t>MAEU262971293</t>
  </si>
  <si>
    <t>MRKU4015342</t>
  </si>
  <si>
    <t>09:00 - 12:00</t>
  </si>
  <si>
    <t>MSKU1490504</t>
  </si>
  <si>
    <t>11:00 - 16:30</t>
  </si>
  <si>
    <t>MRSU3216350</t>
  </si>
  <si>
    <t>13:00-17:05</t>
  </si>
  <si>
    <t>MAEU263189518</t>
  </si>
  <si>
    <t>MRKU3517310</t>
  </si>
  <si>
    <t>14:00 - 16:30</t>
  </si>
  <si>
    <t>MRSU4750186</t>
  </si>
  <si>
    <t>15:00 - 19:00</t>
  </si>
  <si>
    <t>TIIU5216450</t>
  </si>
  <si>
    <t>MRSU7766484</t>
  </si>
  <si>
    <t>19:00 - 22:30</t>
  </si>
  <si>
    <t>MSKU9926533</t>
  </si>
  <si>
    <t>20:00 - 23:30</t>
  </si>
  <si>
    <t>MUMBAI MAERSK</t>
  </si>
  <si>
    <t>MAEU262350704</t>
  </si>
  <si>
    <t>MRSU7991546</t>
  </si>
  <si>
    <t>06:00 - 08:30</t>
  </si>
  <si>
    <t>MAEU262010592</t>
  </si>
  <si>
    <t>MRKU5127624</t>
  </si>
  <si>
    <t>07:00 - 10:45</t>
  </si>
  <si>
    <t>FFAU1935618</t>
  </si>
  <si>
    <t>14:00 - 18:00</t>
  </si>
  <si>
    <t>MRKU4017920</t>
  </si>
  <si>
    <t>MAEU263153185</t>
  </si>
  <si>
    <t>MRSU9265603</t>
  </si>
  <si>
    <t>MRSU4725373</t>
  </si>
  <si>
    <t>TRHU5142990</t>
  </si>
  <si>
    <t>MAEU262842229</t>
  </si>
  <si>
    <t>MRKU2725582</t>
  </si>
  <si>
    <t>MRSU0630639</t>
  </si>
  <si>
    <t>MRSU7525996</t>
  </si>
  <si>
    <t>00:00 - 04:00</t>
  </si>
  <si>
    <t>TLLU6842785</t>
  </si>
  <si>
    <t>MAEU259975283</t>
  </si>
  <si>
    <t>MSKU4811974</t>
  </si>
  <si>
    <t>CAAU6682355</t>
  </si>
  <si>
    <t>CAAU7300328</t>
  </si>
  <si>
    <t>MRSU7749830</t>
  </si>
  <si>
    <t>TCKU7008149</t>
  </si>
  <si>
    <t>HASU4845574</t>
  </si>
  <si>
    <t>MAEU262309187</t>
  </si>
  <si>
    <t>CAAU5229684</t>
  </si>
  <si>
    <t>MAEU258733070</t>
  </si>
  <si>
    <t>MSKU4777627</t>
  </si>
  <si>
    <t>MRSU4891219</t>
  </si>
  <si>
    <t>CAP SAN SOUNIO</t>
  </si>
  <si>
    <t>MAEU262761708</t>
  </si>
  <si>
    <t>CAAU9153170</t>
  </si>
  <si>
    <t>19:00 - 23:15</t>
  </si>
  <si>
    <t>MRSU3111160</t>
  </si>
  <si>
    <t>MAEU262837722</t>
  </si>
  <si>
    <t>TLLU7667476</t>
  </si>
  <si>
    <t>HLCUDA1251221851</t>
  </si>
  <si>
    <t>FSCU7181255</t>
  </si>
  <si>
    <t>MRSU5670320</t>
  </si>
  <si>
    <t>MAEUA62837722</t>
  </si>
  <si>
    <t>MRSU3913524</t>
  </si>
  <si>
    <t>MRSU5837151</t>
  </si>
  <si>
    <t>HAMU1150268</t>
  </si>
  <si>
    <t>10:00 - 14:30</t>
  </si>
  <si>
    <t>MSKU1144754</t>
  </si>
  <si>
    <t>MAEU262837757</t>
  </si>
  <si>
    <t>TLLU5962087</t>
  </si>
  <si>
    <t>UETU5482442</t>
  </si>
  <si>
    <t>12:00 - 16:45</t>
  </si>
  <si>
    <t>BEAU4550954</t>
  </si>
  <si>
    <t>TCNU1485494</t>
  </si>
  <si>
    <t>FFAU5618653</t>
  </si>
  <si>
    <t>CAAU5264411</t>
  </si>
  <si>
    <t>FANU5020813</t>
  </si>
  <si>
    <t>FANU1113733</t>
  </si>
  <si>
    <t>MRSU7102340</t>
  </si>
  <si>
    <t>CHARLESTON EXPRESS</t>
  </si>
  <si>
    <t>MAEU263383319</t>
  </si>
  <si>
    <t>MSKU0395457</t>
  </si>
  <si>
    <t>03:00 - 06:00</t>
  </si>
  <si>
    <t>MAEU263383244</t>
  </si>
  <si>
    <t>MRSU3778384</t>
  </si>
  <si>
    <t>05:00 - 08:00</t>
  </si>
  <si>
    <t>SELU4084696</t>
  </si>
  <si>
    <t>MAEU263383390</t>
  </si>
  <si>
    <t>TGHU1564358</t>
  </si>
  <si>
    <t>GCXU6370474</t>
  </si>
  <si>
    <t>08:15 -15:15</t>
  </si>
  <si>
    <t>MAEU262805176</t>
  </si>
  <si>
    <t>CAAU6449024</t>
  </si>
  <si>
    <t>SUDU5988103</t>
  </si>
  <si>
    <t>TCNU3812364</t>
  </si>
  <si>
    <t>MRSU6144697</t>
  </si>
  <si>
    <t>Congestión en terminal</t>
  </si>
  <si>
    <t>SINGAPORE EXPRESS</t>
  </si>
  <si>
    <t>MAEU262577282</t>
  </si>
  <si>
    <t>MRKU5673461</t>
  </si>
  <si>
    <t>MAEU263478210</t>
  </si>
  <si>
    <t>Ningbo</t>
  </si>
  <si>
    <t>MRKU0252182</t>
  </si>
  <si>
    <t>MRKU3396959</t>
  </si>
  <si>
    <t>CAAU9263347</t>
  </si>
  <si>
    <t>HASU4011247</t>
  </si>
  <si>
    <t>MAEU262301054</t>
  </si>
  <si>
    <t>TCNU2471643</t>
  </si>
  <si>
    <t>MAEU9258483</t>
  </si>
  <si>
    <t>MAEU259153948</t>
  </si>
  <si>
    <t>MSKU4648403</t>
  </si>
  <si>
    <t>MSKU4765185</t>
  </si>
  <si>
    <t>MAEU262057482</t>
  </si>
  <si>
    <t>MSKU4620936</t>
  </si>
  <si>
    <t>MSKU4672626</t>
  </si>
  <si>
    <t>MAEU263668261</t>
  </si>
  <si>
    <t>MRKU0341211</t>
  </si>
  <si>
    <t>08:00 - 10:30</t>
  </si>
  <si>
    <t>MSKU5533076</t>
  </si>
  <si>
    <t>MAERSK TUKANG</t>
  </si>
  <si>
    <t>HPD2</t>
  </si>
  <si>
    <t>MAEU262837839</t>
  </si>
  <si>
    <t>MRKU8373792</t>
  </si>
  <si>
    <t>MAEU262771834</t>
  </si>
  <si>
    <t>MRSU8042420</t>
  </si>
  <si>
    <t>11:00 - 15:15</t>
  </si>
  <si>
    <t>MRSU7144120</t>
  </si>
  <si>
    <t>13:00 - 15:40</t>
  </si>
  <si>
    <t>MRKU2144649</t>
  </si>
  <si>
    <t>HLCUDA1251229440</t>
  </si>
  <si>
    <t>UETU5914490</t>
  </si>
  <si>
    <t>FFAU2343640</t>
  </si>
  <si>
    <t>15:00 - 19:30</t>
  </si>
  <si>
    <t>CAAU8463973</t>
  </si>
  <si>
    <t>UETU6700929</t>
  </si>
  <si>
    <t>18:00 - 22:45</t>
  </si>
  <si>
    <t>MAEU262837861</t>
  </si>
  <si>
    <t>HASU4349960</t>
  </si>
  <si>
    <t>MAEU262772411</t>
  </si>
  <si>
    <t>MRSU8749326</t>
  </si>
  <si>
    <t>MAEU262772232</t>
  </si>
  <si>
    <t>MRSU6979063</t>
  </si>
  <si>
    <t>21:00 - 01:30</t>
  </si>
  <si>
    <t>SUDU5850578</t>
  </si>
  <si>
    <t>MAEU262772153</t>
  </si>
  <si>
    <t>MRSU4851290</t>
  </si>
  <si>
    <t>MAEU262778132</t>
  </si>
  <si>
    <t>MRSU7711054</t>
  </si>
  <si>
    <t>MRSU4272467</t>
  </si>
  <si>
    <t>01:00 - 03:30</t>
  </si>
  <si>
    <t>TLLU4701577</t>
  </si>
  <si>
    <t>UETU6828838</t>
  </si>
  <si>
    <t>04:00 - 08:00</t>
  </si>
  <si>
    <t>HAMU4456966</t>
  </si>
  <si>
    <t>TCLU8316190</t>
  </si>
  <si>
    <t>06:00 - 09:15</t>
  </si>
  <si>
    <t>MRSU7450032</t>
  </si>
  <si>
    <t>07:00 - 0:45</t>
  </si>
  <si>
    <t>TCKU7699441</t>
  </si>
  <si>
    <t>MRSU8431248</t>
  </si>
  <si>
    <t>09:00 - 14:45</t>
  </si>
  <si>
    <t>MRSU4306850</t>
  </si>
  <si>
    <t>SEKU6738485</t>
  </si>
  <si>
    <t>MRKU4598419</t>
  </si>
  <si>
    <t>MRSU3573194</t>
  </si>
  <si>
    <t>MRKU5576477</t>
  </si>
  <si>
    <t>TCLU1660033</t>
  </si>
  <si>
    <t>CAAU2498632</t>
  </si>
  <si>
    <t>UACU6023192</t>
  </si>
  <si>
    <t>SAVANNAH EXPRESS</t>
  </si>
  <si>
    <t>MAEU263502717</t>
  </si>
  <si>
    <t>MAGU5450915</t>
  </si>
  <si>
    <t>18:00 - 23:00</t>
  </si>
  <si>
    <t>MAEU263502201</t>
  </si>
  <si>
    <t>MRKU6057943</t>
  </si>
  <si>
    <t>MSKU1792166</t>
  </si>
  <si>
    <t>MRSU3563386</t>
  </si>
  <si>
    <t>MRSU4071225</t>
  </si>
  <si>
    <t>16:00 - 20:45</t>
  </si>
  <si>
    <t>MAEU263383521</t>
  </si>
  <si>
    <t>SUDU7942061</t>
  </si>
  <si>
    <t>MAEU262931804</t>
  </si>
  <si>
    <t>Toamasina</t>
  </si>
  <si>
    <t>MRSU7336061</t>
  </si>
  <si>
    <t>MAEU263161396</t>
  </si>
  <si>
    <t>MRKU0447008</t>
  </si>
  <si>
    <t>MAERSK GUATEMALA</t>
  </si>
  <si>
    <t>MAEU263253578</t>
  </si>
  <si>
    <t>TRHU4955506</t>
  </si>
  <si>
    <t>MAEU263221898</t>
  </si>
  <si>
    <t>MRSU4935750</t>
  </si>
  <si>
    <t>MAEU263256662</t>
  </si>
  <si>
    <t>SUDU8650932</t>
  </si>
  <si>
    <t>TLLU5839874</t>
  </si>
  <si>
    <t>CIPU5223004</t>
  </si>
  <si>
    <t>23:00-08:00</t>
  </si>
  <si>
    <t>MAEU263256379</t>
  </si>
  <si>
    <t>MRSU6256681</t>
  </si>
  <si>
    <t>MAEU263222018</t>
  </si>
  <si>
    <t>MRSU7107403</t>
  </si>
  <si>
    <t>03:00 - 09:00</t>
  </si>
  <si>
    <t>MSKU0723366</t>
  </si>
  <si>
    <t>04:00 - 09:15</t>
  </si>
  <si>
    <t>MVIU0030171</t>
  </si>
  <si>
    <t>TRHU5139620</t>
  </si>
  <si>
    <t>05:15 - 09:45</t>
  </si>
  <si>
    <t>MRSU3239063</t>
  </si>
  <si>
    <t>MSKU1144604</t>
  </si>
  <si>
    <t>MSKU6726510</t>
  </si>
  <si>
    <t>06:00-09:30</t>
  </si>
  <si>
    <t>MAEU263222113</t>
  </si>
  <si>
    <t>TCKU7017161</t>
  </si>
  <si>
    <t>07:00-12:00</t>
  </si>
  <si>
    <t>TCNU2813242</t>
  </si>
  <si>
    <t>TCNU7575152</t>
  </si>
  <si>
    <t>BSIU9110053</t>
  </si>
  <si>
    <t>TCNU6574969</t>
  </si>
  <si>
    <t>TRHU7442071</t>
  </si>
  <si>
    <t>13:00 - 16:30</t>
  </si>
  <si>
    <t>TRHU4956987</t>
  </si>
  <si>
    <t>MSKU9773408</t>
  </si>
  <si>
    <t>TTNU1148768</t>
  </si>
  <si>
    <t>HASU4093081</t>
  </si>
  <si>
    <t>MANCHESTER MAERSK</t>
  </si>
  <si>
    <t>MAEU262905504</t>
  </si>
  <si>
    <t>BSIU8587334</t>
  </si>
  <si>
    <t>CAAU7060865</t>
  </si>
  <si>
    <t>MAEU263252963</t>
  </si>
  <si>
    <t>Qingdao</t>
  </si>
  <si>
    <t>HASU1516913</t>
  </si>
  <si>
    <t>MAEU262057704</t>
  </si>
  <si>
    <t>MAEU9162648</t>
  </si>
  <si>
    <t>MAEU262057706</t>
  </si>
  <si>
    <t>MAEU9227163</t>
  </si>
  <si>
    <t>MAEU263532844</t>
  </si>
  <si>
    <t>Xiamen</t>
  </si>
  <si>
    <t>MRKU0998870</t>
  </si>
  <si>
    <t>MRKU3087728</t>
  </si>
  <si>
    <t>MRSU3476229</t>
  </si>
  <si>
    <t>MRSU8932126</t>
  </si>
  <si>
    <t>MSKU1026920</t>
  </si>
  <si>
    <t>MAEU262057705</t>
  </si>
  <si>
    <t>MSKU4783384</t>
  </si>
  <si>
    <t>MAEU263243293</t>
  </si>
  <si>
    <t>MSKU5928944</t>
  </si>
  <si>
    <t>SUDU8723598</t>
  </si>
  <si>
    <t>MAEU263131294</t>
  </si>
  <si>
    <t>TCLU6809639</t>
  </si>
  <si>
    <t>TRHU6769347</t>
  </si>
  <si>
    <t>UETU8471117</t>
  </si>
  <si>
    <t>MAERSK GENOA</t>
  </si>
  <si>
    <t>Algeciras</t>
  </si>
  <si>
    <t>ALTRANSA</t>
  </si>
  <si>
    <t>MAEU263259849</t>
  </si>
  <si>
    <t>MRSU4314011</t>
  </si>
  <si>
    <t>MAEU263486726</t>
  </si>
  <si>
    <t>TCKU6647401</t>
  </si>
  <si>
    <t>MAEU263861548</t>
  </si>
  <si>
    <t>MRKU4691877</t>
  </si>
  <si>
    <t>TRHU5900473</t>
  </si>
  <si>
    <t>HOUSTON EXPRESS</t>
  </si>
  <si>
    <t>MAEU263211990</t>
  </si>
  <si>
    <t>MRKU0012432</t>
  </si>
  <si>
    <t>MAEU263698873</t>
  </si>
  <si>
    <t>MRSU7052790</t>
  </si>
  <si>
    <t>15:00-18:15</t>
  </si>
  <si>
    <t>SUDU8519080</t>
  </si>
  <si>
    <t>MRSU3867060</t>
  </si>
  <si>
    <t>18:30 - 21:30</t>
  </si>
  <si>
    <t>MSKU9470802</t>
  </si>
  <si>
    <t>MAEU263212055</t>
  </si>
  <si>
    <t>TRHU4867811</t>
  </si>
  <si>
    <t>MAEU263211789</t>
  </si>
  <si>
    <t>MRKU0797428</t>
  </si>
  <si>
    <t>MURCIA MAERSK</t>
  </si>
  <si>
    <t>MAEU263618341</t>
  </si>
  <si>
    <t>MRKU0845980</t>
  </si>
  <si>
    <t>MAEU262905346</t>
  </si>
  <si>
    <t>GAOU7484530</t>
  </si>
  <si>
    <t>MAEU259153954</t>
  </si>
  <si>
    <t>MSKU4713108</t>
  </si>
  <si>
    <t>MRSU3835988</t>
  </si>
  <si>
    <t>MRSU7235317</t>
  </si>
  <si>
    <t>MRSU8115234</t>
  </si>
  <si>
    <t>CAIU3534953</t>
  </si>
  <si>
    <t>GCXU5780176</t>
  </si>
  <si>
    <t>MAEU263790519</t>
  </si>
  <si>
    <t>MRKU9452788</t>
  </si>
  <si>
    <t>MSKU4708821</t>
  </si>
  <si>
    <t>TCKU7991263</t>
  </si>
  <si>
    <t>CAAU8351485</t>
  </si>
  <si>
    <t>07:00 - 11:10</t>
  </si>
  <si>
    <t>FCIU8378487</t>
  </si>
  <si>
    <t>07:00 - 11:30</t>
  </si>
  <si>
    <t>MAEU263257242</t>
  </si>
  <si>
    <t>TCNU6281810</t>
  </si>
  <si>
    <t>07:00 - 12:45</t>
  </si>
  <si>
    <t>HLCUDA1260110078</t>
  </si>
  <si>
    <t>UACU5785953</t>
  </si>
  <si>
    <t>MAEU263486885</t>
  </si>
  <si>
    <t>GAOU7270879</t>
  </si>
  <si>
    <t>MRKU2866195</t>
  </si>
  <si>
    <t>MRSU5439100</t>
  </si>
  <si>
    <t>09:00-13:30</t>
  </si>
  <si>
    <t>UETU6640049</t>
  </si>
  <si>
    <t>MRSU4326558</t>
  </si>
  <si>
    <t>11:00-15:30</t>
  </si>
  <si>
    <t>MSKU5554593</t>
  </si>
  <si>
    <t>UACU5825953</t>
  </si>
  <si>
    <t>TCNU2576407</t>
  </si>
  <si>
    <t>UETU6676798</t>
  </si>
  <si>
    <t>13:00 - 18:15</t>
  </si>
  <si>
    <t>TRHU4519246</t>
  </si>
  <si>
    <t>TCKU7090199</t>
  </si>
  <si>
    <t>16:00-23:30</t>
  </si>
  <si>
    <t>HLBU1776550</t>
  </si>
  <si>
    <t>16:00-20:00</t>
  </si>
  <si>
    <t>TCNU5280682</t>
  </si>
  <si>
    <t>UACU8482375</t>
  </si>
  <si>
    <t>MRSU6072730</t>
  </si>
  <si>
    <t>17:00 - 21:30</t>
  </si>
  <si>
    <t>HASU4953413</t>
  </si>
  <si>
    <t>GCXU5783200</t>
  </si>
  <si>
    <t>19:00-22:30</t>
  </si>
  <si>
    <t>CAAU5545764</t>
  </si>
  <si>
    <t>MRSU7450984</t>
  </si>
  <si>
    <t>21:00 - 02:20</t>
  </si>
  <si>
    <t>HLBU2871612</t>
  </si>
  <si>
    <t>MRSU5641301</t>
  </si>
  <si>
    <t>23:00-05:30</t>
  </si>
  <si>
    <t>FANU1959444</t>
  </si>
  <si>
    <t>MAEU263260175</t>
  </si>
  <si>
    <t>MSKU7487473</t>
  </si>
  <si>
    <t>MAEU263854129</t>
  </si>
  <si>
    <t>MRSU5047666</t>
  </si>
  <si>
    <t>06:00-09:45</t>
  </si>
  <si>
    <t>MRSU6484697</t>
  </si>
  <si>
    <t>05:00 - 07:25</t>
  </si>
  <si>
    <t>TCNU4205180</t>
  </si>
  <si>
    <t>MRSU6977590</t>
  </si>
  <si>
    <t>08:00-12:00</t>
  </si>
  <si>
    <t>HASU5146273</t>
  </si>
  <si>
    <t>09:00 - 11:20</t>
  </si>
  <si>
    <t>TRHU5018640</t>
  </si>
  <si>
    <t>10:00 - 15:00</t>
  </si>
  <si>
    <t>TCNU7711048</t>
  </si>
  <si>
    <t>MRSU4443750</t>
  </si>
  <si>
    <t>12:00-17:00</t>
  </si>
  <si>
    <t>CAAU8413993</t>
  </si>
  <si>
    <t>MRSU6411920</t>
  </si>
  <si>
    <t>14:00 - 19:30</t>
  </si>
  <si>
    <t>TCKU7076673</t>
  </si>
  <si>
    <t>16:00-22:00</t>
  </si>
  <si>
    <t>BALTIMORE EXPRESS</t>
  </si>
  <si>
    <t>MAEU263884177</t>
  </si>
  <si>
    <t>UETU7571955</t>
  </si>
  <si>
    <t>MSKU0913828</t>
  </si>
  <si>
    <t>TCKU7267263</t>
  </si>
  <si>
    <t>MAEU263493885</t>
  </si>
  <si>
    <t>MRKU0240108</t>
  </si>
  <si>
    <t>MAEU263884313</t>
  </si>
  <si>
    <t>TRHU4336435</t>
  </si>
  <si>
    <t>MAEU264148083</t>
  </si>
  <si>
    <t>TIIU5336013</t>
  </si>
  <si>
    <t>GCXU5685857</t>
  </si>
  <si>
    <t>MRSU5930217</t>
  </si>
  <si>
    <t>MAERSK GUAYAQUIL</t>
  </si>
  <si>
    <t>MAEU263861560</t>
  </si>
  <si>
    <t>TCNU3826780</t>
  </si>
  <si>
    <t>HLCUDA1260123134</t>
  </si>
  <si>
    <t>HLXU8309214</t>
  </si>
  <si>
    <t>FANU3391878</t>
  </si>
  <si>
    <t>HLCUDA1260123145</t>
  </si>
  <si>
    <t>TGBU2229120</t>
  </si>
  <si>
    <t>BEAU4189800</t>
  </si>
  <si>
    <t>MAEUA63854071</t>
  </si>
  <si>
    <t>MRSU6156070</t>
  </si>
  <si>
    <t>TCNU2882270</t>
  </si>
  <si>
    <t>MRSU3925295</t>
  </si>
  <si>
    <t>MAEU263854298</t>
  </si>
  <si>
    <t>MRSU8524470</t>
  </si>
  <si>
    <t>BEAU5205187</t>
  </si>
  <si>
    <t>FBIU0127539</t>
  </si>
  <si>
    <t>MRSU3136677</t>
  </si>
  <si>
    <t>TIIU4709874</t>
  </si>
  <si>
    <t>MRSU4168299</t>
  </si>
  <si>
    <t>SEKU4717293</t>
  </si>
  <si>
    <t>MRKU2992784</t>
  </si>
  <si>
    <t>MAEU263861577</t>
  </si>
  <si>
    <t>MSKU9021313</t>
  </si>
  <si>
    <t>HLBU3566090</t>
  </si>
  <si>
    <t>MRSU0663566</t>
  </si>
  <si>
    <t>MAEU263854219</t>
  </si>
  <si>
    <t>MRSU3534813</t>
  </si>
  <si>
    <t>TCNU1844892</t>
  </si>
  <si>
    <t>MRSU6267710</t>
  </si>
  <si>
    <t>MRSU3318054</t>
  </si>
  <si>
    <t>MRSU3662666</t>
  </si>
  <si>
    <t>MRSU5612617</t>
  </si>
  <si>
    <t>HLBU3087380</t>
  </si>
  <si>
    <t>MRSU3707354</t>
  </si>
  <si>
    <t>MRSU8194130</t>
  </si>
  <si>
    <t>MRSU4825921</t>
  </si>
  <si>
    <t>MRSU6778773</t>
  </si>
  <si>
    <t>CAAU6601456</t>
  </si>
  <si>
    <t>SEKU6291946</t>
  </si>
  <si>
    <t>MRSU0052063</t>
  </si>
  <si>
    <t>TCKU7690824</t>
  </si>
  <si>
    <t>MRSU8067012</t>
  </si>
  <si>
    <t>TGHU5087572</t>
  </si>
  <si>
    <t>MRSU4678800</t>
  </si>
  <si>
    <t>MRSU4901615</t>
  </si>
  <si>
    <t>TRHU8031861</t>
  </si>
  <si>
    <t>MAEU263804195</t>
  </si>
  <si>
    <t>TRHU8045525</t>
  </si>
  <si>
    <t>MARSTAL MAERSK</t>
  </si>
  <si>
    <t>MAEU263239445</t>
  </si>
  <si>
    <t>MRSU5569491</t>
  </si>
  <si>
    <t>MAEU264984672</t>
  </si>
  <si>
    <t>TEMU3893900</t>
  </si>
  <si>
    <t>UETU7570650</t>
  </si>
  <si>
    <t>MAEU262588237</t>
  </si>
  <si>
    <t>HASU4918599</t>
  </si>
  <si>
    <t>MRSU6795220</t>
  </si>
  <si>
    <t>MAEU265090206</t>
  </si>
  <si>
    <t>TCKU1422716</t>
  </si>
  <si>
    <t>CAAU9871521</t>
  </si>
  <si>
    <t>MSKU4703440</t>
  </si>
  <si>
    <t>CAIU5858946</t>
  </si>
  <si>
    <t>MRKU0291764</t>
  </si>
  <si>
    <t>MAEU9244670</t>
  </si>
  <si>
    <t xml:space="preserve"> </t>
  </si>
  <si>
    <t>TOTAL NUMBER OF CONTAINERS</t>
  </si>
  <si>
    <t>ATA to Availability</t>
  </si>
  <si>
    <t>Availability to SLOT</t>
  </si>
  <si>
    <t>ATA to UNLOADING</t>
  </si>
  <si>
    <t>DELIVERIES WEEK VS WEEKEND</t>
  </si>
  <si>
    <t>PUNCTUALITY</t>
  </si>
  <si>
    <t>YEAR</t>
  </si>
  <si>
    <t>CNTR</t>
  </si>
  <si>
    <t>TIPO DATO</t>
  </si>
  <si>
    <t>Row Labels</t>
  </si>
  <si>
    <t>Count of CONTAINER</t>
  </si>
  <si>
    <t>BIG NUMBERS</t>
  </si>
  <si>
    <t>REAL</t>
  </si>
  <si>
    <t>Average of ATA A OFRECIMIENTO 2</t>
  </si>
  <si>
    <t>Average of DEL. AVAILABLE A SLOT 2</t>
  </si>
  <si>
    <t>Average of ATA TO UNLOADING 2</t>
  </si>
  <si>
    <t>Average of PUNTUALIDAD 3</t>
  </si>
  <si>
    <t>Column Labels</t>
  </si>
  <si>
    <t>Grand Total</t>
  </si>
  <si>
    <t>SATURDAY</t>
  </si>
  <si>
    <t>Feb</t>
  </si>
  <si>
    <t>Transport Cost AVG.</t>
  </si>
  <si>
    <t>(All)</t>
  </si>
  <si>
    <t>Average of TOTAL SELL</t>
  </si>
  <si>
    <t>EXTRA STOPS AND GOH CLEANINGS</t>
  </si>
  <si>
    <t>Total Count of CONTAINER</t>
  </si>
  <si>
    <t>Total Sum of EXTRA STOP</t>
  </si>
  <si>
    <t>Sum of EXTRA STOP</t>
  </si>
  <si>
    <t>% AVAILABLE -48H</t>
  </si>
  <si>
    <t>YES</t>
  </si>
  <si>
    <t>% DELIVERED -48H</t>
  </si>
  <si>
    <t>WAITING TIME COSTS (SUM)</t>
  </si>
  <si>
    <t>Sum of WAITING TIMES</t>
  </si>
  <si>
    <t>Sum of CNTR</t>
  </si>
  <si>
    <t>2021 Total</t>
  </si>
  <si>
    <t>2022 Total</t>
  </si>
  <si>
    <t>2023 Total</t>
  </si>
  <si>
    <t>2024 Total</t>
  </si>
  <si>
    <t>2025 Total</t>
  </si>
  <si>
    <t>2026 Total</t>
  </si>
  <si>
    <t>% CNTS PUNTUALES</t>
  </si>
  <si>
    <t>SI</t>
  </si>
  <si>
    <t>BARGE</t>
  </si>
  <si>
    <t>EXTRA HOUR</t>
  </si>
  <si>
    <t>MAERSK ADMIN FEE</t>
  </si>
  <si>
    <t>VENDOR RATES SUMMARISED</t>
  </si>
  <si>
    <t>BALTIC</t>
  </si>
  <si>
    <t>MCS - IJDT</t>
  </si>
  <si>
    <t>TMA MULTIMODAL B.V.</t>
  </si>
  <si>
    <t>(20:00-04:00)</t>
  </si>
  <si>
    <t>ICL</t>
  </si>
  <si>
    <t>VEPCO</t>
  </si>
  <si>
    <t>(20:00 - 04:00)</t>
  </si>
  <si>
    <t>TMA MULTIMODAL B.V.WEEK</t>
  </si>
  <si>
    <t>MSIWEEK</t>
  </si>
  <si>
    <t>TMA MULTIMODAL B.V.NIGHT</t>
  </si>
  <si>
    <t>MSINIGHT</t>
  </si>
  <si>
    <t>TMA MULTIMODAL B.V.SATURDAY</t>
  </si>
  <si>
    <t>MSISATURDAY</t>
  </si>
  <si>
    <t>TMA MULTIMODAL B.V.SUNDAY</t>
  </si>
  <si>
    <t>MSISUNDAY</t>
  </si>
  <si>
    <t>BALTICWEEK</t>
  </si>
  <si>
    <t>BALTICNIGHT</t>
  </si>
  <si>
    <t>BALTICSATURDAY</t>
  </si>
  <si>
    <t>BALTICSUNDAY</t>
  </si>
  <si>
    <t>OM TRANSPORTWEEK</t>
  </si>
  <si>
    <t>OM TRANSPORTNIGHT</t>
  </si>
  <si>
    <t>OM TRANSPORTSATURDAY</t>
  </si>
  <si>
    <t>OM TRANSPORTSUNDAY</t>
  </si>
  <si>
    <t>LOGIXWEEK</t>
  </si>
  <si>
    <t>LOGIXNIGHT</t>
  </si>
  <si>
    <t>LOGIXSATURDAY</t>
  </si>
  <si>
    <t>LOGIXSUNDAY</t>
  </si>
  <si>
    <t>ICLWEEK</t>
  </si>
  <si>
    <t>ICLNIGHT</t>
  </si>
  <si>
    <t>ICLSATURDAY</t>
  </si>
  <si>
    <t>ICLSUNDAY</t>
  </si>
  <si>
    <t>AZOIA LOGISTICSWEEK</t>
  </si>
  <si>
    <t>AZOIA LOGISTICSNIGHT</t>
  </si>
  <si>
    <t>AZOIA LOGISTICSSATURDAY</t>
  </si>
  <si>
    <t>AZOIA LOGISTICSSUNDAY</t>
  </si>
  <si>
    <t>CTK TRANSPORTWEEK</t>
  </si>
  <si>
    <t>CTK TRANSPORTNIGHT</t>
  </si>
  <si>
    <t>CTK TRANSPORTSATURDAY</t>
  </si>
  <si>
    <t>CTK TRANSPORTSUNDAY</t>
  </si>
  <si>
    <t>VEPCOWEEK</t>
  </si>
  <si>
    <t>VEPCONIGHT</t>
  </si>
  <si>
    <t>VEPCOSATURDAY</t>
  </si>
  <si>
    <t>VEPCOSUNDAY</t>
  </si>
  <si>
    <t>OTLWEEK</t>
  </si>
  <si>
    <t>OTLNIGHT</t>
  </si>
  <si>
    <t>OTLSATURDAY</t>
  </si>
  <si>
    <t>OTLSUNDAY</t>
  </si>
  <si>
    <t>INVOICE NUMBER</t>
  </si>
  <si>
    <t>AMOUNT</t>
  </si>
  <si>
    <t>INVOICE ISSUE DATE</t>
  </si>
  <si>
    <t>DUE DATE</t>
  </si>
  <si>
    <t>DAYS DUE</t>
  </si>
  <si>
    <t>EMAIL SENT PDF + EXCEL</t>
  </si>
  <si>
    <t>EMAIL DATE WITH PDF+EXCEL</t>
  </si>
  <si>
    <t>CM number</t>
  </si>
  <si>
    <t>COMMENTS</t>
  </si>
  <si>
    <t>LATEST AP STATEMENT COMMENTS</t>
  </si>
  <si>
    <t>2511-340493458</t>
  </si>
  <si>
    <t>SECOND HALF OCTOBER</t>
  </si>
  <si>
    <t>2511-341268859</t>
  </si>
  <si>
    <t>FIRST HALF NOVEMBER</t>
  </si>
  <si>
    <t>OM</t>
  </si>
  <si>
    <t>2511-341302032</t>
  </si>
  <si>
    <t>CTK</t>
  </si>
  <si>
    <t>2511-341646718</t>
  </si>
  <si>
    <t>2511-342253839</t>
  </si>
  <si>
    <t>AZOIA</t>
  </si>
  <si>
    <t>2025-000613</t>
  </si>
  <si>
    <t>2512-343863317</t>
  </si>
  <si>
    <t>SECOND HALF NOVEMBER</t>
  </si>
  <si>
    <t>2512-343109795</t>
  </si>
  <si>
    <t>2512-344579431</t>
  </si>
  <si>
    <t>2512-343261365</t>
  </si>
  <si>
    <t>2512-343506591</t>
  </si>
  <si>
    <t>2512-344947687</t>
  </si>
  <si>
    <t>FIRST HALF DECEMBER</t>
  </si>
  <si>
    <t>2512-345209715</t>
  </si>
  <si>
    <t>2512-345396234</t>
  </si>
  <si>
    <t>2025-000631</t>
  </si>
  <si>
    <t>2512-345880988</t>
  </si>
  <si>
    <t>2601-347119726</t>
  </si>
  <si>
    <t>SECOND HALF DECEMBER</t>
  </si>
  <si>
    <t>2512-347079180</t>
  </si>
  <si>
    <t>2601-347454067</t>
  </si>
  <si>
    <t>2601-348213675</t>
  </si>
  <si>
    <t>2025-000722</t>
  </si>
  <si>
    <t>2601-348349421</t>
  </si>
  <si>
    <t>2601-348775040</t>
  </si>
  <si>
    <t>26700004 </t>
  </si>
  <si>
    <t>2601-348931358</t>
  </si>
  <si>
    <t>FIRST HALF JANUARY</t>
  </si>
  <si>
    <t>2601-349335896</t>
  </si>
  <si>
    <t>pending in WF</t>
  </si>
  <si>
    <t>2026-000011</t>
  </si>
  <si>
    <t>2601-349737262</t>
  </si>
  <si>
    <t>2601-350720499</t>
  </si>
  <si>
    <t>2601-351040057</t>
  </si>
  <si>
    <t>2601-351050641</t>
  </si>
  <si>
    <t>SECOND HALF JANUARY</t>
  </si>
  <si>
    <t>2602-351346537</t>
  </si>
  <si>
    <t>2602-353015941</t>
  </si>
  <si>
    <t>2602-353423592</t>
  </si>
  <si>
    <t>FIRST HALF OF FEBRUARY</t>
  </si>
  <si>
    <t>2602-353618901</t>
  </si>
  <si>
    <t>2602-353874405</t>
  </si>
  <si>
    <t>2602-354035139</t>
  </si>
  <si>
    <t>2603-355273284</t>
  </si>
  <si>
    <t>SECOND HALF OF FEBRUARY</t>
  </si>
  <si>
    <t>2603-355665613</t>
  </si>
  <si>
    <t>2603-355670085</t>
  </si>
  <si>
    <t>1. Dale al botón del EURO para hacer correr la MACRO de las quincenas de facturación para estimar.</t>
  </si>
  <si>
    <t>2. Indica en el message box, el numero acorde al codigo de la quincena y mes que quieres sacar el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</si>
</sst>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0.00\ &quot;€&quot;;[Red]\-#,##0.00\ &quot;€&quot;"/>
    <numFmt numFmtId="44" formatCode="_-* #,##0.00\ &quot;€&quot;_-;\-* #,##0.00\ &quot;€&quot;_-;_-* &quot;-&quot;??\ &quot;€&quot;_-;_-@_-"/>
    <numFmt numFmtId="164" formatCode="mm/dd/yy\ hh:mm"/>
    <numFmt numFmtId="165" formatCode="[h]:mm;@"/>
    <numFmt numFmtId="166" formatCode="#,##0.00\ &quot;€&quot;"/>
    <numFmt numFmtId="167" formatCode="_-* #,##0.00\ [$€-C0A]_-;\-* #,##0.00\ [$€-C0A]_-;_-* &quot;-&quot;??\ [$€-C0A]_-;_-@_-"/>
    <numFmt numFmtId="168" formatCode="[$-F400]h:mm:ss\ AM/PM"/>
    <numFmt numFmtId="169" formatCode="_-[$€-2]\ * #,##0.00_-;\-[$€-2]\ * #,##0.00_-;_-[$€-2]\ * &quot;-&quot;??_-;_-@_-"/>
    <numFmt numFmtId="170" formatCode="#,##0.00\ [$€-1]"/>
    <numFmt numFmtId="171" formatCode="0.0%"/>
    <numFmt numFmtId="172" formatCode="_-[$€-2]\ * #,##0_-;\-[$€-2]\ * #,##0_-;_-[$€-2]\ * &quot;-&quot;??_-;_-@_-"/>
  </numFmts>
  <fonts count="22">
    <font>
      <sz val="10"/>
      <name val="Arial"/>
    </font>
    <font>
      <sz val="11"/>
      <color theme="1"/>
      <name val="Calibri"/>
      <family val="2"/>
      <scheme val="minor"/>
    </font>
    <font>
      <b/>
      <sz val="10"/>
      <color indexed="8"/>
      <name val="SansSerif"/>
    </font>
    <font>
      <sz val="10"/>
      <color indexed="8"/>
      <name val="SansSerif"/>
    </font>
    <font>
      <sz val="10"/>
      <name val="Arial"/>
      <family val="2"/>
    </font>
    <font>
      <sz val="10"/>
      <color theme="0"/>
      <name val="Arial"/>
      <family val="2"/>
    </font>
    <font>
      <b/>
      <sz val="10"/>
      <name val="Arial"/>
      <family val="2"/>
    </font>
    <font>
      <sz val="8"/>
      <name val="Arial"/>
      <family val="2"/>
    </font>
    <font>
      <u/>
      <sz val="10"/>
      <color theme="10"/>
      <name val="Arial"/>
      <family val="2"/>
    </font>
    <font>
      <sz val="10"/>
      <name val="Arial"/>
      <family val="2"/>
    </font>
    <font>
      <sz val="10"/>
      <color rgb="FF000000"/>
      <name val="SansSerif"/>
    </font>
    <font>
      <b/>
      <sz val="10"/>
      <color theme="0"/>
      <name val="Arial"/>
      <family val="2"/>
    </font>
    <font>
      <sz val="10"/>
      <color theme="1"/>
      <name val="Arial"/>
      <family val="2"/>
    </font>
    <font>
      <sz val="10"/>
      <name val="Maersk Headline"/>
    </font>
    <font>
      <u/>
      <sz val="10"/>
      <color theme="10"/>
      <name val="Maersk Headline"/>
    </font>
    <font>
      <b/>
      <sz val="11"/>
      <color theme="1"/>
      <name val="Calibri"/>
      <family val="2"/>
      <scheme val="minor"/>
    </font>
    <font>
      <b/>
      <sz val="10"/>
      <color theme="1"/>
      <name val="Arial"/>
      <family val="2"/>
    </font>
    <font>
      <sz val="10"/>
      <name val="Arial"/>
      <family val="2"/>
    </font>
    <font>
      <b/>
      <sz val="10"/>
      <name val="Maersk Headline"/>
    </font>
    <font>
      <sz val="10"/>
      <color indexed="8"/>
      <name val="Arial"/>
      <family val="2"/>
    </font>
    <font>
      <sz val="9"/>
      <color indexed="81"/>
      <name val="Tahoma"/>
      <family val="2"/>
    </font>
    <font>
      <b/>
      <sz val="9"/>
      <color indexed="81"/>
      <name val="Tahoma"/>
      <family val="2"/>
    </font>
  </fonts>
  <fills count="27">
    <fill>
      <patternFill patternType="none"/>
    </fill>
    <fill>
      <patternFill patternType="gray125"/>
    </fill>
    <fill>
      <patternFill patternType="solid">
        <fgColor indexed="22"/>
        <bgColor indexed="64"/>
      </patternFill>
    </fill>
    <fill>
      <patternFill patternType="solid">
        <fgColor rgb="FF7030A0"/>
        <bgColor indexed="64"/>
      </patternFill>
    </fill>
    <fill>
      <patternFill patternType="solid">
        <fgColor rgb="FFFFFF00"/>
        <bgColor indexed="64"/>
      </patternFill>
    </fill>
    <fill>
      <patternFill patternType="solid">
        <fgColor theme="5"/>
        <bgColor indexed="64"/>
      </patternFill>
    </fill>
    <fill>
      <patternFill patternType="solid">
        <fgColor rgb="FFFFFFCC"/>
      </patternFill>
    </fill>
    <fill>
      <patternFill patternType="solid">
        <fgColor theme="9" tint="0.79998168889431442"/>
        <bgColor indexed="64"/>
      </patternFill>
    </fill>
    <fill>
      <patternFill patternType="solid">
        <fgColor theme="1"/>
        <bgColor indexed="64"/>
      </patternFill>
    </fill>
    <fill>
      <patternFill patternType="solid">
        <fgColor rgb="FFFF0000"/>
        <bgColor indexed="64"/>
      </patternFill>
    </fill>
    <fill>
      <patternFill patternType="solid">
        <fgColor rgb="FF0070C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CCFF"/>
        <bgColor indexed="64"/>
      </patternFill>
    </fill>
    <fill>
      <patternFill patternType="solid">
        <fgColor rgb="FF92D050"/>
        <bgColor indexed="64"/>
      </patternFill>
    </fill>
    <fill>
      <patternFill patternType="solid">
        <fgColor theme="5" tint="-0.499984740745262"/>
        <bgColor indexed="64"/>
      </patternFill>
    </fill>
    <fill>
      <patternFill patternType="solid">
        <fgColor rgb="FFFFB7B9"/>
        <bgColor indexed="64"/>
      </patternFill>
    </fill>
    <fill>
      <patternFill patternType="solid">
        <fgColor rgb="FF9FC6FF"/>
        <bgColor indexed="64"/>
      </patternFill>
    </fill>
    <fill>
      <patternFill patternType="solid">
        <fgColor rgb="FFD08BFF"/>
        <bgColor indexed="64"/>
      </patternFill>
    </fill>
    <fill>
      <patternFill patternType="solid">
        <fgColor rgb="FFFFEFFF"/>
        <bgColor indexed="64"/>
      </patternFill>
    </fill>
    <fill>
      <patternFill patternType="solid">
        <fgColor theme="8" tint="0.79998168889431442"/>
        <bgColor indexed="64"/>
      </patternFill>
    </fill>
    <fill>
      <patternFill patternType="solid">
        <fgColor rgb="FF00B0F0"/>
        <bgColor indexed="64"/>
      </patternFill>
    </fill>
    <fill>
      <patternFill patternType="solid">
        <fgColor rgb="FF00B050"/>
        <bgColor indexed="64"/>
      </patternFill>
    </fill>
    <fill>
      <patternFill patternType="solid">
        <fgColor rgb="FFCCCC00"/>
        <bgColor indexed="64"/>
      </patternFill>
    </fill>
    <fill>
      <patternFill patternType="solid">
        <fgColor rgb="FFF4F4D6"/>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s>
  <cellStyleXfs count="8">
    <xf numFmtId="0" fontId="0" fillId="0" borderId="0"/>
    <xf numFmtId="0" fontId="8" fillId="0" borderId="0" applyNumberFormat="0" applyFill="0" applyBorder="0" applyAlignment="0" applyProtection="0"/>
    <xf numFmtId="0" fontId="4" fillId="0" borderId="0"/>
    <xf numFmtId="44" fontId="9" fillId="0" borderId="0" applyFont="0" applyFill="0" applyBorder="0" applyAlignment="0" applyProtection="0"/>
    <xf numFmtId="0" fontId="9" fillId="6" borderId="4" applyNumberFormat="0" applyFont="0" applyAlignment="0" applyProtection="0"/>
    <xf numFmtId="9" fontId="17" fillId="0" borderId="0" applyFont="0" applyFill="0" applyBorder="0" applyAlignment="0" applyProtection="0"/>
    <xf numFmtId="0" fontId="1" fillId="0" borderId="0"/>
    <xf numFmtId="0" fontId="19" fillId="0" borderId="0"/>
  </cellStyleXfs>
  <cellXfs count="153">
    <xf numFmtId="0" fontId="0" fillId="0" borderId="0" xfId="0"/>
    <xf numFmtId="0" fontId="0" fillId="0" borderId="0" xfId="0" applyAlignment="1">
      <alignment horizontal="center" vertical="center"/>
    </xf>
    <xf numFmtId="0" fontId="0" fillId="0" borderId="0" xfId="0" applyAlignment="1">
      <alignment horizontal="center"/>
    </xf>
    <xf numFmtId="0" fontId="0" fillId="0" borderId="1" xfId="0" applyBorder="1" applyAlignment="1">
      <alignment horizontal="center"/>
    </xf>
    <xf numFmtId="0" fontId="6" fillId="0" borderId="0" xfId="0" applyFont="1" applyAlignment="1">
      <alignment vertical="center"/>
    </xf>
    <xf numFmtId="0" fontId="0" fillId="0" borderId="0" xfId="0" applyAlignment="1">
      <alignment vertical="center" wrapText="1"/>
    </xf>
    <xf numFmtId="0" fontId="2" fillId="2" borderId="1" xfId="0" applyFont="1" applyFill="1" applyBorder="1" applyAlignment="1">
      <alignment horizontal="center" vertical="center"/>
    </xf>
    <xf numFmtId="0" fontId="4" fillId="0" borderId="0" xfId="0" applyFont="1"/>
    <xf numFmtId="0" fontId="6" fillId="0" borderId="0" xfId="0" applyFont="1" applyAlignment="1">
      <alignment horizontal="center" vertical="center"/>
    </xf>
    <xf numFmtId="0" fontId="0" fillId="0" borderId="0" xfId="0" applyAlignment="1">
      <alignment horizontal="left"/>
    </xf>
    <xf numFmtId="0" fontId="0" fillId="0" borderId="0" xfId="0" pivotButton="1"/>
    <xf numFmtId="164" fontId="10" fillId="0" borderId="1" xfId="0" applyNumberFormat="1" applyFont="1" applyBorder="1" applyAlignment="1">
      <alignment horizontal="center" vertical="center"/>
    </xf>
    <xf numFmtId="164" fontId="10" fillId="0" borderId="1" xfId="0" applyNumberFormat="1" applyFont="1" applyBorder="1" applyAlignment="1">
      <alignment horizontal="center"/>
    </xf>
    <xf numFmtId="2" fontId="0" fillId="0" borderId="0" xfId="0" applyNumberFormat="1"/>
    <xf numFmtId="0" fontId="0" fillId="0" borderId="1" xfId="0" applyBorder="1" applyAlignment="1">
      <alignment vertical="center" wrapText="1"/>
    </xf>
    <xf numFmtId="8" fontId="0" fillId="0" borderId="1" xfId="0" applyNumberFormat="1" applyBorder="1" applyAlignment="1">
      <alignment vertical="center" wrapText="1"/>
    </xf>
    <xf numFmtId="0" fontId="0" fillId="7" borderId="1" xfId="0" applyFill="1" applyBorder="1" applyAlignment="1">
      <alignment vertical="center" wrapText="1"/>
    </xf>
    <xf numFmtId="8" fontId="0" fillId="7" borderId="1" xfId="0" applyNumberFormat="1" applyFill="1" applyBorder="1" applyAlignment="1">
      <alignment vertical="center" wrapText="1"/>
    </xf>
    <xf numFmtId="44" fontId="0" fillId="7" borderId="1" xfId="0" applyNumberFormat="1" applyFill="1" applyBorder="1" applyAlignment="1">
      <alignment vertical="center" wrapText="1"/>
    </xf>
    <xf numFmtId="0" fontId="0" fillId="11" borderId="1" xfId="0" applyFill="1" applyBorder="1" applyAlignment="1">
      <alignment vertical="center" wrapText="1"/>
    </xf>
    <xf numFmtId="8" fontId="0" fillId="11" borderId="1" xfId="0" applyNumberFormat="1" applyFill="1" applyBorder="1" applyAlignment="1">
      <alignment vertical="center" wrapText="1"/>
    </xf>
    <xf numFmtId="0" fontId="0" fillId="17" borderId="1" xfId="0" applyFill="1" applyBorder="1" applyAlignment="1">
      <alignment vertical="center" wrapText="1"/>
    </xf>
    <xf numFmtId="8" fontId="0" fillId="17" borderId="1" xfId="0" applyNumberFormat="1" applyFill="1" applyBorder="1" applyAlignment="1">
      <alignment vertical="center" wrapText="1"/>
    </xf>
    <xf numFmtId="44" fontId="0" fillId="17" borderId="1" xfId="0" applyNumberFormat="1" applyFill="1" applyBorder="1" applyAlignment="1">
      <alignment vertical="center" wrapText="1"/>
    </xf>
    <xf numFmtId="0" fontId="0" fillId="18" borderId="1" xfId="0" applyFill="1" applyBorder="1" applyAlignment="1">
      <alignment vertical="center" wrapText="1"/>
    </xf>
    <xf numFmtId="8" fontId="0" fillId="18" borderId="1" xfId="0" applyNumberFormat="1" applyFill="1" applyBorder="1" applyAlignment="1">
      <alignment vertical="center" wrapText="1"/>
    </xf>
    <xf numFmtId="44" fontId="0" fillId="18" borderId="1" xfId="0" applyNumberFormat="1" applyFill="1" applyBorder="1" applyAlignment="1">
      <alignment vertical="center" wrapText="1"/>
    </xf>
    <xf numFmtId="0" fontId="0" fillId="19" borderId="1" xfId="0" applyFill="1" applyBorder="1" applyAlignment="1">
      <alignment vertical="center" wrapText="1"/>
    </xf>
    <xf numFmtId="8" fontId="0" fillId="19" borderId="1" xfId="0" applyNumberFormat="1" applyFill="1" applyBorder="1" applyAlignment="1">
      <alignment vertical="center" wrapText="1"/>
    </xf>
    <xf numFmtId="0" fontId="0" fillId="12" borderId="1" xfId="0" applyFill="1" applyBorder="1" applyAlignment="1">
      <alignment vertical="center" wrapText="1"/>
    </xf>
    <xf numFmtId="8" fontId="0" fillId="12" borderId="1" xfId="0" applyNumberFormat="1" applyFill="1" applyBorder="1" applyAlignment="1">
      <alignment vertical="center" wrapText="1"/>
    </xf>
    <xf numFmtId="0" fontId="0" fillId="13" borderId="1" xfId="0" applyFill="1" applyBorder="1" applyAlignment="1">
      <alignment vertical="center" wrapText="1"/>
    </xf>
    <xf numFmtId="8" fontId="0" fillId="13" borderId="1" xfId="0" applyNumberFormat="1" applyFill="1" applyBorder="1" applyAlignment="1">
      <alignment vertical="center" wrapText="1"/>
    </xf>
    <xf numFmtId="0" fontId="0" fillId="20" borderId="1" xfId="0" applyFill="1" applyBorder="1" applyAlignment="1">
      <alignment vertical="center" wrapText="1"/>
    </xf>
    <xf numFmtId="8" fontId="0" fillId="20" borderId="1" xfId="0" applyNumberFormat="1" applyFill="1" applyBorder="1" applyAlignment="1">
      <alignment vertical="center" wrapText="1"/>
    </xf>
    <xf numFmtId="0" fontId="6" fillId="0" borderId="0" xfId="0" applyFont="1"/>
    <xf numFmtId="0" fontId="6" fillId="0" borderId="1" xfId="0" applyFont="1" applyBorder="1" applyAlignment="1">
      <alignment vertical="center" wrapText="1"/>
    </xf>
    <xf numFmtId="0" fontId="6" fillId="0" borderId="0" xfId="0" applyFont="1" applyAlignment="1">
      <alignment vertical="center" wrapText="1"/>
    </xf>
    <xf numFmtId="0" fontId="0" fillId="0" borderId="3" xfId="0" applyBorder="1" applyAlignment="1">
      <alignment horizontal="center"/>
    </xf>
    <xf numFmtId="0" fontId="4" fillId="22" borderId="0" xfId="0" applyFont="1" applyFill="1" applyAlignment="1">
      <alignment horizontal="center"/>
    </xf>
    <xf numFmtId="0" fontId="13" fillId="21" borderId="0" xfId="0" applyFont="1" applyFill="1"/>
    <xf numFmtId="0" fontId="13" fillId="0" borderId="0" xfId="0" applyFont="1"/>
    <xf numFmtId="0" fontId="14" fillId="21" borderId="0" xfId="1" applyFont="1" applyFill="1"/>
    <xf numFmtId="0" fontId="5" fillId="3" borderId="0" xfId="0" applyFont="1" applyFill="1" applyAlignment="1">
      <alignment horizontal="center" vertical="center"/>
    </xf>
    <xf numFmtId="1" fontId="13" fillId="21" borderId="0" xfId="0" applyNumberFormat="1" applyFont="1" applyFill="1"/>
    <xf numFmtId="0" fontId="4" fillId="0" borderId="0" xfId="0" applyFont="1" applyAlignment="1">
      <alignment horizontal="left"/>
    </xf>
    <xf numFmtId="0" fontId="6" fillId="4" borderId="0" xfId="0" applyFont="1" applyFill="1" applyAlignment="1">
      <alignment horizontal="right"/>
    </xf>
    <xf numFmtId="2" fontId="0" fillId="0" borderId="0" xfId="0" applyNumberFormat="1" applyAlignment="1">
      <alignment horizontal="center"/>
    </xf>
    <xf numFmtId="170" fontId="0" fillId="0" borderId="0" xfId="0" applyNumberFormat="1" applyAlignment="1">
      <alignment horizontal="center"/>
    </xf>
    <xf numFmtId="0" fontId="4" fillId="0" borderId="0" xfId="0" applyFont="1" applyAlignment="1">
      <alignment horizontal="center"/>
    </xf>
    <xf numFmtId="44" fontId="4" fillId="0" borderId="0" xfId="3" applyFont="1" applyBorder="1" applyAlignment="1">
      <alignment horizontal="center"/>
    </xf>
    <xf numFmtId="2" fontId="5" fillId="3" borderId="0" xfId="0" applyNumberFormat="1" applyFont="1" applyFill="1" applyAlignment="1">
      <alignment horizontal="center" vertical="center"/>
    </xf>
    <xf numFmtId="0" fontId="5" fillId="3" borderId="6" xfId="0" applyFont="1" applyFill="1" applyBorder="1" applyAlignment="1">
      <alignment horizontal="center" vertical="center"/>
    </xf>
    <xf numFmtId="2" fontId="5" fillId="3" borderId="6" xfId="0" applyNumberFormat="1" applyFont="1" applyFill="1" applyBorder="1" applyAlignment="1">
      <alignment horizontal="center" vertical="center"/>
    </xf>
    <xf numFmtId="2" fontId="5" fillId="3" borderId="7" xfId="0" applyNumberFormat="1" applyFont="1" applyFill="1" applyBorder="1" applyAlignment="1">
      <alignment horizontal="center" vertical="center"/>
    </xf>
    <xf numFmtId="0" fontId="12" fillId="6" borderId="5" xfId="4" applyFont="1" applyBorder="1" applyAlignment="1">
      <alignment horizontal="center" vertical="center"/>
    </xf>
    <xf numFmtId="0" fontId="12" fillId="6" borderId="6" xfId="4" applyFont="1" applyBorder="1" applyAlignment="1">
      <alignment horizontal="center" vertical="center"/>
    </xf>
    <xf numFmtId="46" fontId="12" fillId="6" borderId="6" xfId="4" applyNumberFormat="1" applyFont="1" applyBorder="1" applyAlignment="1">
      <alignment horizontal="center" vertical="center"/>
    </xf>
    <xf numFmtId="170" fontId="12" fillId="6" borderId="6" xfId="4" applyNumberFormat="1" applyFont="1" applyBorder="1" applyAlignment="1">
      <alignment horizontal="center" vertical="center"/>
    </xf>
    <xf numFmtId="0" fontId="15" fillId="0" borderId="0" xfId="0" applyFont="1"/>
    <xf numFmtId="0" fontId="0" fillId="0" borderId="0" xfId="0" applyAlignment="1">
      <alignment horizontal="right"/>
    </xf>
    <xf numFmtId="0" fontId="16" fillId="22" borderId="0" xfId="0" applyFont="1" applyFill="1" applyAlignment="1">
      <alignment horizontal="center"/>
    </xf>
    <xf numFmtId="14" fontId="0" fillId="0" borderId="0" xfId="0" applyNumberFormat="1" applyAlignment="1">
      <alignment horizontal="center"/>
    </xf>
    <xf numFmtId="169" fontId="0" fillId="0" borderId="0" xfId="0" applyNumberFormat="1" applyAlignment="1">
      <alignment horizontal="center"/>
    </xf>
    <xf numFmtId="0" fontId="16" fillId="22" borderId="0" xfId="0" applyFont="1" applyFill="1" applyAlignment="1">
      <alignment horizontal="center" vertical="center"/>
    </xf>
    <xf numFmtId="14" fontId="0" fillId="0" borderId="0" xfId="0" applyNumberFormat="1"/>
    <xf numFmtId="0" fontId="16" fillId="22" borderId="0" xfId="0" applyFont="1" applyFill="1" applyAlignment="1">
      <alignment horizontal="left"/>
    </xf>
    <xf numFmtId="0" fontId="6" fillId="22" borderId="0" xfId="0" applyFont="1" applyFill="1"/>
    <xf numFmtId="0" fontId="4" fillId="22" borderId="0" xfId="0" applyFont="1" applyFill="1"/>
    <xf numFmtId="0" fontId="18" fillId="22" borderId="0" xfId="0" applyFont="1" applyFill="1"/>
    <xf numFmtId="0" fontId="13" fillId="0" borderId="0" xfId="0" pivotButton="1" applyFont="1"/>
    <xf numFmtId="1" fontId="18" fillId="4" borderId="0" xfId="0" applyNumberFormat="1" applyFont="1" applyFill="1"/>
    <xf numFmtId="0" fontId="13" fillId="0" borderId="0" xfId="0" applyFont="1" applyAlignment="1">
      <alignment horizontal="left"/>
    </xf>
    <xf numFmtId="0" fontId="18" fillId="4" borderId="0" xfId="0" applyFont="1" applyFill="1"/>
    <xf numFmtId="0" fontId="0" fillId="22" borderId="0" xfId="0" applyFill="1"/>
    <xf numFmtId="2" fontId="13" fillId="0" borderId="0" xfId="0" applyNumberFormat="1" applyFont="1"/>
    <xf numFmtId="9" fontId="18" fillId="4" borderId="0" xfId="5" applyFont="1" applyFill="1"/>
    <xf numFmtId="9" fontId="13" fillId="0" borderId="0" xfId="0" applyNumberFormat="1" applyFont="1"/>
    <xf numFmtId="171" fontId="13" fillId="0" borderId="0" xfId="0" applyNumberFormat="1" applyFont="1"/>
    <xf numFmtId="10" fontId="13" fillId="0" borderId="0" xfId="0" applyNumberFormat="1" applyFont="1"/>
    <xf numFmtId="0" fontId="13" fillId="22" borderId="0" xfId="0" applyFont="1" applyFill="1"/>
    <xf numFmtId="169" fontId="13" fillId="0" borderId="0" xfId="0" applyNumberFormat="1" applyFont="1"/>
    <xf numFmtId="172" fontId="13" fillId="0" borderId="0" xfId="0" applyNumberFormat="1" applyFont="1"/>
    <xf numFmtId="0" fontId="0" fillId="12" borderId="0" xfId="0" applyFill="1"/>
    <xf numFmtId="0" fontId="4" fillId="12" borderId="0" xfId="0" applyFont="1" applyFill="1"/>
    <xf numFmtId="0" fontId="0" fillId="0" borderId="1" xfId="0" applyBorder="1" applyAlignment="1">
      <alignment horizontal="left"/>
    </xf>
    <xf numFmtId="0" fontId="3" fillId="0" borderId="1" xfId="0" applyFont="1" applyBorder="1" applyAlignment="1">
      <alignment horizontal="center"/>
    </xf>
    <xf numFmtId="0" fontId="0" fillId="0" borderId="5" xfId="0" applyBorder="1" applyAlignment="1">
      <alignment horizontal="center"/>
    </xf>
    <xf numFmtId="0" fontId="3" fillId="0" borderId="6" xfId="0" applyFont="1" applyBorder="1" applyAlignment="1">
      <alignment horizontal="center"/>
    </xf>
    <xf numFmtId="164" fontId="10" fillId="0" borderId="6" xfId="0" applyNumberFormat="1" applyFont="1" applyBorder="1" applyAlignment="1">
      <alignment horizontal="center" vertical="center"/>
    </xf>
    <xf numFmtId="164" fontId="10" fillId="0" borderId="6" xfId="0" applyNumberFormat="1" applyFont="1" applyBorder="1" applyAlignment="1">
      <alignment horizontal="center"/>
    </xf>
    <xf numFmtId="0" fontId="0" fillId="0" borderId="6" xfId="0" applyBorder="1" applyAlignment="1">
      <alignment horizontal="center"/>
    </xf>
    <xf numFmtId="0" fontId="1" fillId="0" borderId="0" xfId="0" applyFont="1"/>
    <xf numFmtId="0" fontId="0" fillId="0" borderId="6" xfId="0" applyBorder="1" applyAlignment="1">
      <alignment horizontal="left"/>
    </xf>
    <xf numFmtId="170" fontId="4" fillId="0" borderId="0" xfId="0" applyNumberFormat="1" applyFont="1" applyAlignment="1">
      <alignment horizontal="center"/>
    </xf>
    <xf numFmtId="10" fontId="0" fillId="0" borderId="0" xfId="0" applyNumberFormat="1"/>
    <xf numFmtId="9" fontId="6" fillId="4" borderId="0" xfId="5" applyFont="1" applyFill="1"/>
    <xf numFmtId="0" fontId="18" fillId="22" borderId="0" xfId="0" applyFont="1" applyFill="1" applyAlignment="1">
      <alignment horizontal="center"/>
    </xf>
    <xf numFmtId="0" fontId="6" fillId="15" borderId="3" xfId="0" applyFont="1" applyFill="1" applyBorder="1" applyAlignment="1">
      <alignment vertical="center" wrapText="1"/>
    </xf>
    <xf numFmtId="0" fontId="6" fillId="5" borderId="3" xfId="0" applyFont="1" applyFill="1" applyBorder="1" applyAlignment="1">
      <alignment vertical="center" wrapText="1"/>
    </xf>
    <xf numFmtId="0" fontId="6" fillId="3" borderId="3" xfId="0" applyFont="1" applyFill="1" applyBorder="1" applyAlignment="1">
      <alignment vertical="center" wrapText="1"/>
    </xf>
    <xf numFmtId="0" fontId="11" fillId="8" borderId="3" xfId="0" applyFont="1" applyFill="1" applyBorder="1" applyAlignment="1">
      <alignment vertical="center" wrapText="1"/>
    </xf>
    <xf numFmtId="0" fontId="6" fillId="9" borderId="3" xfId="0" applyFont="1" applyFill="1" applyBorder="1" applyAlignment="1">
      <alignment vertical="center" wrapText="1"/>
    </xf>
    <xf numFmtId="0" fontId="11" fillId="10" borderId="3" xfId="0" applyFont="1" applyFill="1" applyBorder="1" applyAlignment="1">
      <alignment vertical="center" wrapText="1"/>
    </xf>
    <xf numFmtId="0" fontId="6" fillId="4" borderId="3" xfId="0" applyFont="1" applyFill="1" applyBorder="1" applyAlignment="1">
      <alignment vertical="center" wrapText="1"/>
    </xf>
    <xf numFmtId="0" fontId="6" fillId="14" borderId="3" xfId="0" applyFont="1" applyFill="1" applyBorder="1" applyAlignment="1">
      <alignment vertical="center" wrapText="1"/>
    </xf>
    <xf numFmtId="8" fontId="0" fillId="7" borderId="2" xfId="0" applyNumberFormat="1" applyFill="1" applyBorder="1" applyAlignment="1">
      <alignment vertical="center" wrapText="1"/>
    </xf>
    <xf numFmtId="8" fontId="0" fillId="11" borderId="2" xfId="0" applyNumberFormat="1" applyFill="1" applyBorder="1" applyAlignment="1">
      <alignment vertical="center" wrapText="1"/>
    </xf>
    <xf numFmtId="8" fontId="0" fillId="19" borderId="2" xfId="0" applyNumberFormat="1" applyFill="1" applyBorder="1" applyAlignment="1">
      <alignment vertical="center" wrapText="1"/>
    </xf>
    <xf numFmtId="8" fontId="0" fillId="12" borderId="2" xfId="0" applyNumberFormat="1" applyFill="1" applyBorder="1" applyAlignment="1">
      <alignment vertical="center" wrapText="1"/>
    </xf>
    <xf numFmtId="8" fontId="0" fillId="17" borderId="2" xfId="0" applyNumberFormat="1" applyFill="1" applyBorder="1" applyAlignment="1">
      <alignment vertical="center" wrapText="1"/>
    </xf>
    <xf numFmtId="8" fontId="0" fillId="18" borderId="2" xfId="0" applyNumberFormat="1" applyFill="1" applyBorder="1" applyAlignment="1">
      <alignment vertical="center" wrapText="1"/>
    </xf>
    <xf numFmtId="8" fontId="0" fillId="13" borderId="2" xfId="0" applyNumberFormat="1" applyFill="1" applyBorder="1" applyAlignment="1">
      <alignment vertical="center" wrapText="1"/>
    </xf>
    <xf numFmtId="8" fontId="0" fillId="20" borderId="2" xfId="0" applyNumberFormat="1" applyFill="1" applyBorder="1" applyAlignment="1">
      <alignment vertical="center" wrapText="1"/>
    </xf>
    <xf numFmtId="0" fontId="6" fillId="0" borderId="8" xfId="0" applyFont="1" applyBorder="1" applyAlignment="1">
      <alignment vertical="center"/>
    </xf>
    <xf numFmtId="0" fontId="6" fillId="0" borderId="9" xfId="0" applyFont="1" applyBorder="1" applyAlignment="1">
      <alignment vertical="center"/>
    </xf>
    <xf numFmtId="0" fontId="6" fillId="0" borderId="10" xfId="0" applyFont="1" applyBorder="1" applyAlignment="1">
      <alignment vertical="center"/>
    </xf>
    <xf numFmtId="0" fontId="11" fillId="16" borderId="6" xfId="0" applyFont="1" applyFill="1" applyBorder="1" applyAlignment="1">
      <alignment vertical="center" wrapText="1"/>
    </xf>
    <xf numFmtId="0" fontId="0" fillId="0" borderId="6" xfId="0" applyBorder="1" applyAlignment="1">
      <alignment vertical="center" wrapText="1"/>
    </xf>
    <xf numFmtId="8" fontId="0" fillId="0" borderId="6" xfId="0" applyNumberFormat="1" applyBorder="1" applyAlignment="1">
      <alignment vertical="center" wrapText="1"/>
    </xf>
    <xf numFmtId="0" fontId="0" fillId="0" borderId="0" xfId="0" quotePrefix="1"/>
    <xf numFmtId="0" fontId="6" fillId="24" borderId="0" xfId="0" applyFont="1" applyFill="1" applyAlignment="1">
      <alignment vertical="center" wrapText="1"/>
    </xf>
    <xf numFmtId="0" fontId="6" fillId="23" borderId="11" xfId="0" applyFont="1" applyFill="1" applyBorder="1" applyAlignment="1">
      <alignment vertical="center" wrapText="1"/>
    </xf>
    <xf numFmtId="0" fontId="4" fillId="25" borderId="1" xfId="0" applyFont="1" applyFill="1" applyBorder="1" applyAlignment="1">
      <alignment vertical="center" wrapText="1"/>
    </xf>
    <xf numFmtId="8" fontId="0" fillId="25" borderId="1" xfId="0" applyNumberFormat="1" applyFill="1" applyBorder="1" applyAlignment="1">
      <alignment vertical="center" wrapText="1"/>
    </xf>
    <xf numFmtId="44" fontId="0" fillId="25" borderId="1" xfId="0" applyNumberFormat="1" applyFill="1" applyBorder="1" applyAlignment="1">
      <alignment vertical="center" wrapText="1"/>
    </xf>
    <xf numFmtId="164" fontId="3" fillId="0" borderId="0" xfId="0" applyNumberFormat="1" applyFont="1" applyAlignment="1">
      <alignment horizontal="center"/>
    </xf>
    <xf numFmtId="165" fontId="0" fillId="0" borderId="0" xfId="0" applyNumberFormat="1" applyAlignment="1">
      <alignment horizontal="center" vertical="center"/>
    </xf>
    <xf numFmtId="2" fontId="0" fillId="0" borderId="0" xfId="0" applyNumberFormat="1" applyAlignment="1">
      <alignment horizontal="center" vertical="center"/>
    </xf>
    <xf numFmtId="168" fontId="0" fillId="0" borderId="0" xfId="0" applyNumberFormat="1" applyAlignment="1">
      <alignment horizontal="center"/>
    </xf>
    <xf numFmtId="164" fontId="0" fillId="0" borderId="0" xfId="0" applyNumberFormat="1" applyAlignment="1">
      <alignment horizontal="center"/>
    </xf>
    <xf numFmtId="166" fontId="0" fillId="0" borderId="0" xfId="0" applyNumberFormat="1" applyAlignment="1">
      <alignment horizontal="left"/>
    </xf>
    <xf numFmtId="167" fontId="0" fillId="0" borderId="0" xfId="0" applyNumberFormat="1" applyAlignment="1">
      <alignment horizontal="center"/>
    </xf>
    <xf numFmtId="167" fontId="4" fillId="0" borderId="0" xfId="0" applyNumberFormat="1" applyFont="1" applyAlignment="1">
      <alignment horizontal="center"/>
    </xf>
    <xf numFmtId="0" fontId="3" fillId="0" borderId="3" xfId="0" applyFont="1" applyBorder="1" applyAlignment="1">
      <alignment horizontal="center"/>
    </xf>
    <xf numFmtId="0" fontId="3" fillId="0" borderId="1" xfId="0" applyFont="1" applyBorder="1" applyAlignment="1">
      <alignment horizontal="left"/>
    </xf>
    <xf numFmtId="0" fontId="3" fillId="0" borderId="5" xfId="0" applyFont="1" applyBorder="1" applyAlignment="1">
      <alignment horizontal="center"/>
    </xf>
    <xf numFmtId="0" fontId="3" fillId="0" borderId="6" xfId="0" applyFont="1" applyBorder="1" applyAlignment="1">
      <alignment horizontal="left"/>
    </xf>
    <xf numFmtId="0" fontId="3" fillId="0" borderId="1" xfId="0" applyFont="1" applyBorder="1" applyAlignment="1">
      <alignment horizontal="left" wrapText="1"/>
    </xf>
    <xf numFmtId="0" fontId="3" fillId="0" borderId="6" xfId="0" applyFont="1" applyBorder="1" applyAlignment="1">
      <alignment horizontal="left" wrapText="1"/>
    </xf>
    <xf numFmtId="0" fontId="4" fillId="0" borderId="1" xfId="0" applyFont="1" applyBorder="1" applyAlignment="1">
      <alignment horizontal="center"/>
    </xf>
    <xf numFmtId="44" fontId="0" fillId="0" borderId="0" xfId="3" applyFont="1" applyAlignment="1">
      <alignment horizontal="center"/>
    </xf>
    <xf numFmtId="0" fontId="4" fillId="15" borderId="0" xfId="0" applyFont="1" applyFill="1" applyAlignment="1">
      <alignment horizontal="center"/>
    </xf>
    <xf numFmtId="0" fontId="0" fillId="15" borderId="0" xfId="0" applyFill="1" applyAlignment="1">
      <alignment horizontal="center" vertical="center"/>
    </xf>
    <xf numFmtId="169" fontId="0" fillId="15" borderId="0" xfId="0" applyNumberFormat="1" applyFill="1" applyAlignment="1">
      <alignment horizontal="center"/>
    </xf>
    <xf numFmtId="14" fontId="0" fillId="15" borderId="0" xfId="0" applyNumberFormat="1" applyFill="1" applyAlignment="1">
      <alignment horizontal="center"/>
    </xf>
    <xf numFmtId="0" fontId="0" fillId="15" borderId="0" xfId="0" applyFill="1" applyAlignment="1">
      <alignment horizontal="center"/>
    </xf>
    <xf numFmtId="14" fontId="4" fillId="15" borderId="0" xfId="0" applyNumberFormat="1" applyFont="1" applyFill="1" applyAlignment="1">
      <alignment horizontal="left"/>
    </xf>
    <xf numFmtId="0" fontId="0" fillId="15" borderId="0" xfId="0" applyFill="1" applyAlignment="1">
      <alignment horizontal="left"/>
    </xf>
    <xf numFmtId="0" fontId="4" fillId="15" borderId="0" xfId="0" applyFont="1" applyFill="1" applyAlignment="1">
      <alignment horizontal="center" vertical="center"/>
    </xf>
    <xf numFmtId="44" fontId="4" fillId="0" borderId="0" xfId="0" applyNumberFormat="1" applyFont="1" applyAlignment="1">
      <alignment horizontal="center"/>
    </xf>
    <xf numFmtId="44" fontId="0" fillId="0" borderId="0" xfId="0" applyNumberFormat="1" applyAlignment="1">
      <alignment horizontal="center"/>
    </xf>
    <xf numFmtId="0" fontId="2" fillId="26" borderId="1" xfId="0" applyFont="1" applyFill="1" applyBorder="1" applyAlignment="1">
      <alignment horizontal="center" vertical="center"/>
    </xf>
  </cellXfs>
  <cellStyles count="8">
    <cellStyle name="Currency" xfId="3" builtinId="4"/>
    <cellStyle name="Hyperlink" xfId="1" builtinId="8"/>
    <cellStyle name="Normal" xfId="0" builtinId="0"/>
    <cellStyle name="Normal 2" xfId="2" xr:uid="{99EA890B-BF81-4883-B22A-1EC2E7BA8253}"/>
    <cellStyle name="Normal 3" xfId="6" xr:uid="{7265A385-5C69-41A5-A4BF-88D30A31F092}"/>
    <cellStyle name="Note" xfId="4" builtinId="10"/>
    <cellStyle name="Percent" xfId="5" builtinId="5"/>
    <cellStyle name="Standaard_Blad1" xfId="7" xr:uid="{FA996CCC-24FC-42EE-AEC5-DC74E3E10E6F}"/>
  </cellStyles>
  <dxfs count="184">
    <dxf>
      <numFmt numFmtId="12" formatCode="#,##0.00\ &quot;€&quot;;[Red]\-#,##0.00\ &quot;€&quo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2" formatCode="#,##0.00\ &quot;€&quot;;[Red]\-#,##0.00\ &quot;€&quo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2" formatCode="#,##0.00\ &quot;€&quot;;[Red]\-#,##0.00\ &quot;€&quo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2" formatCode="#,##0.00\ &quot;€&quot;;[Red]\-#,##0.00\ &quot;€&quo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2" formatCode="#,##0.00\ &quot;€&quot;;[Red]\-#,##0.00\ &quot;€&quo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2" formatCode="#,##0.00\ &quot;€&quot;;[Red]\-#,##0.00\ &quot;€&quo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2" formatCode="#,##0.00\ &quot;€&quot;;[Red]\-#,##0.00\ &quot;€&quo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alignment horizontal="general" vertical="center" textRotation="0" wrapText="1" indent="0" justifyLastLine="0" shrinkToFit="0" readingOrder="0"/>
    </dxf>
    <dxf>
      <font>
        <b/>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ont>
        <name val="Maersk Headline"/>
      </font>
    </dxf>
    <dxf>
      <font>
        <name val="Maersk Headline"/>
      </font>
    </dxf>
    <dxf>
      <font>
        <name val="Maersk Headline"/>
      </font>
    </dxf>
    <dxf>
      <font>
        <name val="Maersk Headline"/>
      </font>
    </dxf>
    <dxf>
      <font>
        <name val="Maersk Headline"/>
      </font>
    </dxf>
    <dxf>
      <font>
        <name val="Maersk Headline"/>
      </font>
    </dxf>
    <dxf>
      <numFmt numFmtId="172" formatCode="_-[$€-2]\ * #,##0_-;\-[$€-2]\ * #,##0_-;_-[$€-2]\ * &quot;-&quot;??_-;_-@_-"/>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numFmt numFmtId="13" formatCode="0%"/>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numFmt numFmtId="13" formatCode="0%"/>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numFmt numFmtId="171" formatCode="0.0%"/>
    </dxf>
    <dxf>
      <font>
        <name val="Maersk Headline"/>
      </font>
    </dxf>
    <dxf>
      <font>
        <name val="Maersk Headline"/>
      </font>
    </dxf>
    <dxf>
      <font>
        <name val="Maersk Headline"/>
      </font>
    </dxf>
    <dxf>
      <font>
        <name val="Maersk Headline"/>
      </font>
    </dxf>
    <dxf>
      <font>
        <name val="Maersk Headline"/>
      </font>
    </dxf>
    <dxf>
      <font>
        <name val="Maersk Headline"/>
      </font>
    </dxf>
    <dxf>
      <numFmt numFmtId="169" formatCode="_-[$€-2]\ * #,##0.00_-;\-[$€-2]\ * #,##0.00_-;_-[$€-2]\ * &quot;-&quot;??_-;_-@_-"/>
    </dxf>
    <dxf>
      <font>
        <name val="Maersk Headline"/>
      </font>
    </dxf>
    <dxf>
      <font>
        <name val="Maersk Headline"/>
      </font>
    </dxf>
    <dxf>
      <font>
        <name val="Maersk Headline"/>
      </font>
    </dxf>
    <dxf>
      <font>
        <name val="Maersk Headline"/>
      </font>
    </dxf>
    <dxf>
      <font>
        <name val="Maersk Headline"/>
      </font>
    </dxf>
    <dxf>
      <font>
        <name val="Maersk Headline"/>
      </font>
    </dxf>
    <dxf>
      <numFmt numFmtId="13" formatCode="0%"/>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67" formatCode="_-* #,##0.00\ [$€-C0A]_-;\-* #,##0.00\ [$€-C0A]_-;_-* &quot;-&quot;??\ [$€-C0A]_-;_-@_-"/>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67" formatCode="_-* #,##0.00\ [$€-C0A]_-;\-* #,##0.00\ [$€-C0A]_-;_-* &quot;-&quot;??\ [$€-C0A]_-;_-@_-"/>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0" formatCode="#,##0.00\ [$€-1]"/>
      <alignment horizontal="center" vertical="bottom" textRotation="0" wrapText="0" indent="0" justifyLastLine="0" shrinkToFit="0" readingOrder="0"/>
    </dxf>
    <dxf>
      <numFmt numFmtId="170" formatCode="#,##0.00\ [$€-1]"/>
      <fill>
        <patternFill patternType="none">
          <fgColor indexed="64"/>
          <bgColor indexed="65"/>
        </patternFill>
      </fill>
      <alignment horizontal="center" vertical="bottom" textRotation="0" wrapText="0" indent="0" justifyLastLine="0" shrinkToFit="0" readingOrder="0"/>
    </dxf>
    <dxf>
      <numFmt numFmtId="170" formatCode="#,##0.00\ [$€-1]"/>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0" formatCode="#,##0.00\ [$€-1]"/>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0" formatCode="#,##0.00\ [$€-1]"/>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0.00\ &quot;€&quot;"/>
      <alignment horizontal="left" vertical="bottom" textRotation="0" wrapText="0" indent="0" justifyLastLine="0" shrinkToFit="0" readingOrder="0"/>
    </dxf>
    <dxf>
      <numFmt numFmtId="166" formatCode="#,##0.00\ &quot;€&quot;"/>
      <alignment horizontal="left" vertical="bottom" textRotation="0" wrapText="0" indent="0" justifyLastLine="0" shrinkToFit="0" readingOrder="0"/>
    </dxf>
    <dxf>
      <numFmt numFmtId="166" formatCode="#,##0.00\ &quot;€&quot;"/>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34" formatCode="_-* #,##0.00\ &quot;€&quot;_-;\-* #,##0.00\ &quot;€&quot;_-;_-* &quot;-&quot;??\ &quot;€&quot;_-;_-@_-"/>
      <alignment horizontal="center" vertical="bottom" textRotation="0" wrapText="0" indent="0" justifyLastLine="0" shrinkToFit="0" readingOrder="0"/>
    </dxf>
    <dxf>
      <numFmt numFmtId="164" formatCode="mm/dd/yy\ hh:mm"/>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8" formatCode="[$-F400]h:mm:ss\ AM/PM"/>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numFmt numFmtId="2" formatCode="0.00"/>
      <fill>
        <patternFill patternType="none">
          <fgColor indexed="64"/>
          <bgColor auto="1"/>
        </patternFill>
      </fill>
      <alignment horizontal="center" vertical="center" textRotation="0" wrapText="0" indent="0" justifyLastLine="0" shrinkToFit="0" readingOrder="0"/>
    </dxf>
    <dxf>
      <numFmt numFmtId="165" formatCode="[h]:mm;@"/>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5" formatCode="[h]:mm;@"/>
      <alignment horizontal="center" vertical="center" textRotation="0" wrapText="0" indent="0" justifyLastLine="0" shrinkToFit="0" readingOrder="0"/>
    </dxf>
    <dxf>
      <numFmt numFmtId="165" formatCode="[h]:mm;@"/>
      <fill>
        <patternFill patternType="none">
          <fgColor indexed="64"/>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5" formatCode="[h]:mm;@"/>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5" formatCode="[h]:m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5" formatCode="[h]:mm;@"/>
      <alignment horizontal="center" vertical="center" textRotation="0" wrapText="0" indent="0" justifyLastLine="0" shrinkToFit="0" readingOrder="0"/>
    </dxf>
    <dxf>
      <font>
        <b val="0"/>
        <i val="0"/>
        <strike val="0"/>
        <condense val="0"/>
        <extend val="0"/>
        <outline val="0"/>
        <shadow val="0"/>
        <u val="none"/>
        <vertAlign val="baseline"/>
        <sz val="10"/>
        <color indexed="8"/>
        <name val="SansSerif"/>
        <scheme val="none"/>
      </font>
      <numFmt numFmtId="164" formatCode="mm/dd/yy\ hh:mm"/>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SansSerif"/>
        <scheme val="none"/>
      </font>
      <numFmt numFmtId="164" formatCode="mm/dd/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4F4D6"/>
      <color rgb="FFFF7575"/>
      <color rgb="FFFFCCFF"/>
      <color rgb="FFFF9999"/>
      <color rgb="FFFFEFFF"/>
      <color rgb="FFD08BFF"/>
      <color rgb="FF9FC6FF"/>
      <color rgb="FFFFB7B9"/>
      <color rgb="FF86D0EE"/>
      <color rgb="FFF4E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7/relationships/slicerCache" Target="slicerCaches/slicerCache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externalLink" Target="externalLinks/externalLink1.xml"/><Relationship Id="rId12" Type="http://schemas.microsoft.com/office/2007/relationships/slicerCache" Target="slicerCaches/slicerCache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ustomXml" Target="../customXml/item1.xml"/><Relationship Id="rId10" Type="http://schemas.openxmlformats.org/officeDocument/2006/relationships/pivotCacheDefinition" Target="pivotCache/pivotCacheDefinition2.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openxmlformats.org/officeDocument/2006/relationships/calcChain" Target="calcChain.xml"/><Relationship Id="rId27"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[KPIs_2026_CTNL_OCEAN.xlsm]PIVOTS!NUMBER OF CNTS</c:name>
    <c:fmtId val="7"/>
  </c:pivotSource>
  <c:chart>
    <c:title>
      <c:tx>
        <c:rich>
          <a:bodyPr/>
          <a:lstStyle/>
          <a:p>
            <a:pPr>
              <a:defRPr/>
            </a:pPr>
            <a:r>
              <a:rPr lang="en-US">
                <a:latin typeface="Maersk Headline" panose="00000500000000000000" pitchFamily="2" charset="0"/>
              </a:rPr>
              <a:t>Total</a:t>
            </a:r>
            <a:r>
              <a:rPr lang="en-US" baseline="0">
                <a:latin typeface="Maersk Headline" panose="00000500000000000000" pitchFamily="2" charset="0"/>
              </a:rPr>
              <a:t> CNTs delivered:</a:t>
            </a:r>
            <a:endParaRPr lang="en-US">
              <a:latin typeface="Maersk Headline" panose="00000500000000000000" pitchFamily="2" charset="0"/>
            </a:endParaRPr>
          </a:p>
        </c:rich>
      </c:tx>
      <c:layout>
        <c:manualLayout>
          <c:xMode val="edge"/>
          <c:yMode val="edge"/>
          <c:x val="5.6287190261780723E-2"/>
          <c:y val="6.0402671795662041E-2"/>
        </c:manualLayout>
      </c:layout>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1">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1">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65000"/>
            </a:schemeClr>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marker>
          <c:symbol val="none"/>
        </c:marker>
        <c:dLbl>
          <c:idx val="0"/>
          <c:delete val="1"/>
          <c:extLst>
            <c:ext xmlns:c15="http://schemas.microsoft.com/office/drawing/2012/chart" uri="{CE6537A1-D6FC-4f65-9D91-7224C49458BB}"/>
          </c:extLst>
        </c:dLbl>
      </c:pivotFmt>
      <c:pivotFmt>
        <c:idx val="25"/>
        <c:marker>
          <c:symbol val="none"/>
        </c:marker>
        <c:dLbl>
          <c:idx val="0"/>
          <c:delete val="1"/>
          <c:extLst>
            <c:ext xmlns:c15="http://schemas.microsoft.com/office/drawing/2012/chart" uri="{CE6537A1-D6FC-4f65-9D91-7224C49458BB}"/>
          </c:extLst>
        </c:dLbl>
      </c:pivotFmt>
      <c:pivotFmt>
        <c:idx val="26"/>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8.1592351379948636E-2"/>
          <c:y val="0.27536737824501861"/>
          <c:w val="0.89435419312967657"/>
          <c:h val="0.63121679834766198"/>
        </c:manualLayout>
      </c:layout>
      <c:barChart>
        <c:barDir val="col"/>
        <c:grouping val="stacked"/>
        <c:varyColors val="0"/>
        <c:ser>
          <c:idx val="0"/>
          <c:order val="0"/>
          <c:tx>
            <c:strRef>
              <c:f>PIVOTS!$B$3:$B$4</c:f>
              <c:strCache>
                <c:ptCount val="1"/>
                <c:pt idx="0">
                  <c:v>TRUCK</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PIVOTS!$A$5:$A$6</c:f>
              <c:strCache>
                <c:ptCount val="1"/>
                <c:pt idx="0">
                  <c:v>Feb</c:v>
                </c:pt>
              </c:strCache>
            </c:strRef>
          </c:cat>
          <c:val>
            <c:numRef>
              <c:f>PIVOTS!$B$5:$B$6</c:f>
              <c:numCache>
                <c:formatCode>General</c:formatCode>
                <c:ptCount val="1"/>
                <c:pt idx="0">
                  <c:v>231</c:v>
                </c:pt>
              </c:numCache>
            </c:numRef>
          </c:val>
          <c:extLst>
            <c:ext xmlns:c16="http://schemas.microsoft.com/office/drawing/2014/chart" uri="{C3380CC4-5D6E-409C-BE32-E72D297353CC}">
              <c16:uniqueId val="{0000000A-8EE2-4075-929B-3177E11FC281}"/>
            </c:ext>
          </c:extLst>
        </c:ser>
        <c:dLbls>
          <c:showLegendKey val="0"/>
          <c:showVal val="0"/>
          <c:showCatName val="0"/>
          <c:showSerName val="0"/>
          <c:showPercent val="0"/>
          <c:showBubbleSize val="0"/>
        </c:dLbls>
        <c:gapWidth val="219"/>
        <c:overlap val="100"/>
        <c:axId val="1292236207"/>
        <c:axId val="1292248687"/>
      </c:barChart>
      <c:catAx>
        <c:axId val="1292236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92248687"/>
        <c:crosses val="autoZero"/>
        <c:auto val="1"/>
        <c:lblAlgn val="ctr"/>
        <c:lblOffset val="100"/>
        <c:noMultiLvlLbl val="0"/>
      </c:catAx>
      <c:valAx>
        <c:axId val="12922486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92236207"/>
        <c:crosses val="autoZero"/>
        <c:crossBetween val="between"/>
      </c:valAx>
    </c:plotArea>
    <c:legend>
      <c:legendPos val="t"/>
      <c:layout>
        <c:manualLayout>
          <c:xMode val="edge"/>
          <c:yMode val="edge"/>
          <c:x val="0.83343834360708402"/>
          <c:y val="5.7583880445197806E-2"/>
          <c:w val="0.16656165639291604"/>
          <c:h val="7.2817085490231886E-2"/>
        </c:manualLayout>
      </c:layout>
      <c:overlay val="0"/>
    </c:legend>
    <c:plotVisOnly val="1"/>
    <c:dispBlanksAs val="gap"/>
    <c:showDLblsOverMax val="0"/>
    <c:extLst/>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[KPIs_2026_CTNL_OCEAN.xlsm]PIVOTS!ETA TO AVAILABILITY</c:name>
    <c:fmtId val="15"/>
  </c:pivotSource>
  <c:chart>
    <c:title>
      <c:tx>
        <c:rich>
          <a:bodyPr rot="0" spcFirstLastPara="1" vertOverflow="ellipsis" vert="horz" wrap="square" anchor="ctr" anchorCtr="1"/>
          <a:lstStyle/>
          <a:p>
            <a:pPr algn="ctr">
              <a:defRPr lang="en-US" sz="1080" b="0" i="0" u="none" strike="noStrike" kern="1200" cap="none" spc="20" baseline="0">
                <a:solidFill>
                  <a:schemeClr val="dk1"/>
                </a:solidFill>
                <a:latin typeface="+mn-lt"/>
                <a:ea typeface="+mn-ea"/>
                <a:cs typeface="+mn-cs"/>
              </a:defRPr>
            </a:pPr>
            <a:r>
              <a:rPr lang="en-US" sz="1400" b="1">
                <a:latin typeface="Maersk Headline" panose="00000500000000000000" pitchFamily="2" charset="0"/>
              </a:rPr>
              <a:t>ATA to AVAILABILITY (Hours / Week):</a:t>
            </a:r>
          </a:p>
        </c:rich>
      </c:tx>
      <c:overlay val="0"/>
      <c:spPr>
        <a:noFill/>
        <a:ln>
          <a:noFill/>
        </a:ln>
        <a:effectLst/>
      </c:spPr>
      <c:txPr>
        <a:bodyPr rot="0" spcFirstLastPara="1" vertOverflow="ellipsis" vert="horz" wrap="square" anchor="ctr" anchorCtr="1"/>
        <a:lstStyle/>
        <a:p>
          <a:pPr algn="ctr">
            <a:defRPr lang="en-US" sz="1080" b="0" i="0" u="none" strike="noStrike" kern="1200" cap="none" spc="20" baseline="0">
              <a:solidFill>
                <a:schemeClr val="dk1"/>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rgbClr val="00B0F0"/>
            </a:solidFill>
            <a:round/>
          </a:ln>
          <a:effectLst/>
        </c:spPr>
        <c:marker>
          <c:symbol val="circle"/>
          <c:size val="4"/>
          <c:spPr>
            <a:solidFill>
              <a:srgbClr val="00B0F0"/>
            </a:solidFill>
            <a:ln w="9525" cap="flat" cmpd="sng" algn="ctr">
              <a:solidFill>
                <a:srgbClr val="00B0F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cmpd="sng" algn="ctr">
            <a:solidFill>
              <a:srgbClr val="00B0F0"/>
            </a:solidFill>
            <a:round/>
          </a:ln>
          <a:effectLst/>
        </c:spPr>
        <c:marker>
          <c:symbol val="circle"/>
          <c:size val="4"/>
          <c:spPr>
            <a:solidFill>
              <a:srgbClr val="00B0F0"/>
            </a:solidFill>
            <a:ln w="9525" cap="flat" cmpd="sng" algn="ctr">
              <a:solidFill>
                <a:srgbClr val="00B0F0"/>
              </a:solidFill>
              <a:round/>
            </a:ln>
            <a:effectLst/>
          </c:spPr>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602731193014865E-2"/>
          <c:y val="0.19285858677328388"/>
          <c:w val="0.95479453761397026"/>
          <c:h val="0.67979486982475301"/>
        </c:manualLayout>
      </c:layout>
      <c:lineChart>
        <c:grouping val="standard"/>
        <c:varyColors val="0"/>
        <c:ser>
          <c:idx val="0"/>
          <c:order val="0"/>
          <c:tx>
            <c:strRef>
              <c:f>PIVOTS!$I$3</c:f>
              <c:strCache>
                <c:ptCount val="1"/>
                <c:pt idx="0">
                  <c:v>Total</c:v>
                </c:pt>
              </c:strCache>
            </c:strRef>
          </c:tx>
          <c:spPr>
            <a:ln w="22225" cap="rnd" cmpd="sng" algn="ctr">
              <a:solidFill>
                <a:srgbClr val="00B0F0"/>
              </a:solidFill>
              <a:round/>
            </a:ln>
            <a:effectLst/>
          </c:spPr>
          <c:marker>
            <c:symbol val="circle"/>
            <c:size val="4"/>
            <c:spPr>
              <a:solidFill>
                <a:srgbClr val="00B0F0"/>
              </a:solidFill>
              <a:ln w="9525" cap="flat" cmpd="sng" algn="ctr">
                <a:solidFill>
                  <a:srgbClr val="00B0F0"/>
                </a:solidFill>
                <a:round/>
              </a:ln>
              <a:effectLst/>
            </c:spPr>
          </c:marker>
          <c:dLbls>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trendline>
            <c:spPr>
              <a:ln w="9525" cap="rnd">
                <a:solidFill>
                  <a:schemeClr val="accent1"/>
                </a:solidFill>
              </a:ln>
              <a:effectLst/>
            </c:spPr>
            <c:trendlineType val="linear"/>
            <c:dispRSqr val="0"/>
            <c:dispEq val="0"/>
          </c:trendline>
          <c:cat>
            <c:strRef>
              <c:f>PIVOTS!$H$4:$H$9</c:f>
              <c:strCache>
                <c:ptCount val="5"/>
                <c:pt idx="0">
                  <c:v>5</c:v>
                </c:pt>
                <c:pt idx="1">
                  <c:v>6</c:v>
                </c:pt>
                <c:pt idx="2">
                  <c:v>7</c:v>
                </c:pt>
                <c:pt idx="3">
                  <c:v>8</c:v>
                </c:pt>
                <c:pt idx="4">
                  <c:v>9</c:v>
                </c:pt>
              </c:strCache>
            </c:strRef>
          </c:cat>
          <c:val>
            <c:numRef>
              <c:f>PIVOTS!$I$4:$I$9</c:f>
              <c:numCache>
                <c:formatCode>0.00</c:formatCode>
                <c:ptCount val="5"/>
                <c:pt idx="0">
                  <c:v>28.733333333395422</c:v>
                </c:pt>
                <c:pt idx="1">
                  <c:v>34.051923076970311</c:v>
                </c:pt>
                <c:pt idx="2">
                  <c:v>27.073333333339541</c:v>
                </c:pt>
                <c:pt idx="3">
                  <c:v>31.799999999973807</c:v>
                </c:pt>
                <c:pt idx="4">
                  <c:v>16.872549019562189</c:v>
                </c:pt>
              </c:numCache>
            </c:numRef>
          </c:val>
          <c:smooth val="0"/>
          <c:extLst>
            <c:ext xmlns:c16="http://schemas.microsoft.com/office/drawing/2014/chart" uri="{C3380CC4-5D6E-409C-BE32-E72D297353CC}">
              <c16:uniqueId val="{00000001-8BDB-4E6F-A0F2-6DBA99157EB9}"/>
            </c:ext>
          </c:extLst>
        </c:ser>
        <c:dLbls>
          <c:dLblPos val="b"/>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upDownBars>
          <c:gapWidth val="150"/>
          <c:upBars>
            <c:spPr>
              <a:solidFill>
                <a:schemeClr val="lt1"/>
              </a:solidFill>
              <a:ln w="9525">
                <a:solidFill>
                  <a:schemeClr val="dk1">
                    <a:lumMod val="65000"/>
                    <a:lumOff val="35000"/>
                  </a:schemeClr>
                </a:solidFill>
              </a:ln>
              <a:effectLst/>
            </c:spPr>
          </c:upBars>
          <c:downBars>
            <c:spPr>
              <a:solidFill>
                <a:schemeClr val="dk1">
                  <a:lumMod val="75000"/>
                  <a:lumOff val="25000"/>
                </a:schemeClr>
              </a:solidFill>
              <a:ln w="9525">
                <a:solidFill>
                  <a:schemeClr val="dk1">
                    <a:lumMod val="65000"/>
                    <a:lumOff val="35000"/>
                  </a:schemeClr>
                </a:solidFill>
              </a:ln>
              <a:effectLst/>
            </c:spPr>
          </c:downBars>
        </c:upDownBars>
        <c:marker val="1"/>
        <c:smooth val="0"/>
        <c:axId val="1239853551"/>
        <c:axId val="1239855951"/>
      </c:lineChart>
      <c:catAx>
        <c:axId val="1239853551"/>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lang="en-US" sz="900" b="0" i="0" u="none" strike="noStrike" kern="1200" spc="20" baseline="0">
                <a:solidFill>
                  <a:schemeClr val="dk1"/>
                </a:solidFill>
                <a:latin typeface="+mn-lt"/>
                <a:ea typeface="+mn-ea"/>
                <a:cs typeface="+mn-cs"/>
              </a:defRPr>
            </a:pPr>
            <a:endParaRPr lang="en-US"/>
          </a:p>
        </c:txPr>
        <c:crossAx val="1239855951"/>
        <c:crosses val="autoZero"/>
        <c:auto val="1"/>
        <c:lblAlgn val="ctr"/>
        <c:lblOffset val="100"/>
        <c:noMultiLvlLbl val="0"/>
      </c:catAx>
      <c:valAx>
        <c:axId val="1239855951"/>
        <c:scaling>
          <c:orientation val="minMax"/>
          <c:max val="45"/>
          <c:min val="0"/>
        </c:scaling>
        <c:delete val="1"/>
        <c:axPos val="l"/>
        <c:numFmt formatCode="0.00" sourceLinked="1"/>
        <c:majorTickMark val="none"/>
        <c:minorTickMark val="none"/>
        <c:tickLblPos val="nextTo"/>
        <c:crossAx val="1239853551"/>
        <c:crosses val="autoZero"/>
        <c:crossBetween val="between"/>
        <c:majorUnit val="5"/>
        <c:minorUnit val="1"/>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[KPIs_2026_CTNL_OCEAN.xlsm]PIVOTS!AVAILABILITY TO SLOT</c:name>
    <c:fmtId val="4"/>
  </c:pivotSource>
  <c:chart>
    <c:title>
      <c:tx>
        <c:rich>
          <a:bodyPr rot="0" spcFirstLastPara="1" vertOverflow="ellipsis" vert="horz" wrap="square" anchor="ctr" anchorCtr="1"/>
          <a:lstStyle/>
          <a:p>
            <a:pPr algn="ctr">
              <a:defRPr sz="1400" b="0" i="0" u="none" strike="noStrike" kern="1200" cap="none" spc="20" baseline="0">
                <a:solidFill>
                  <a:schemeClr val="dk1">
                    <a:lumMod val="50000"/>
                    <a:lumOff val="50000"/>
                  </a:schemeClr>
                </a:solidFill>
                <a:latin typeface="+mn-lt"/>
                <a:ea typeface="+mn-ea"/>
                <a:cs typeface="+mn-cs"/>
              </a:defRPr>
            </a:pPr>
            <a:r>
              <a:rPr lang="en-US" b="1">
                <a:solidFill>
                  <a:schemeClr val="tx1"/>
                </a:solidFill>
                <a:latin typeface="Maersk Headline" panose="00000500000000000000" pitchFamily="2" charset="0"/>
              </a:rPr>
              <a:t>AVAILABILITY to SLOT (Hours / Week):</a:t>
            </a:r>
          </a:p>
        </c:rich>
      </c:tx>
      <c:layout>
        <c:manualLayout>
          <c:xMode val="edge"/>
          <c:yMode val="edge"/>
          <c:x val="0.26268035582077065"/>
          <c:y val="5.2047868817659881E-2"/>
        </c:manualLayout>
      </c:layout>
      <c:overlay val="0"/>
      <c:spPr>
        <a:noFill/>
        <a:ln>
          <a:noFill/>
        </a:ln>
        <a:effectLst/>
      </c:spPr>
      <c:txPr>
        <a:bodyPr rot="0" spcFirstLastPara="1" vertOverflow="ellipsis" vert="horz" wrap="square" anchor="ctr" anchorCtr="1"/>
        <a:lstStyle/>
        <a:p>
          <a:pPr algn="ct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rgbClr val="00B0F0"/>
            </a:solidFill>
            <a:round/>
          </a:ln>
          <a:effectLst/>
        </c:spPr>
        <c:marker>
          <c:symbol val="circle"/>
          <c:size val="4"/>
          <c:spPr>
            <a:solidFill>
              <a:srgbClr val="00B0F0"/>
            </a:solidFill>
            <a:ln w="9525" cap="flat" cmpd="sng" algn="ctr">
              <a:solidFill>
                <a:srgbClr val="00B0F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956425029165274E-2"/>
          <c:y val="0.21688179618949577"/>
          <c:w val="0.95208714994166943"/>
          <c:h val="0.64732363398829296"/>
        </c:manualLayout>
      </c:layout>
      <c:lineChart>
        <c:grouping val="standard"/>
        <c:varyColors val="0"/>
        <c:ser>
          <c:idx val="0"/>
          <c:order val="0"/>
          <c:tx>
            <c:strRef>
              <c:f>PIVOTS!$N$3</c:f>
              <c:strCache>
                <c:ptCount val="1"/>
                <c:pt idx="0">
                  <c:v>Total</c:v>
                </c:pt>
              </c:strCache>
            </c:strRef>
          </c:tx>
          <c:spPr>
            <a:ln w="22225" cap="rnd" cmpd="sng" algn="ctr">
              <a:solidFill>
                <a:srgbClr val="00B0F0"/>
              </a:solidFill>
              <a:round/>
            </a:ln>
            <a:effectLst/>
          </c:spPr>
          <c:marker>
            <c:symbol val="circle"/>
            <c:size val="4"/>
            <c:spPr>
              <a:solidFill>
                <a:srgbClr val="00B0F0"/>
              </a:solidFill>
              <a:ln w="9525" cap="flat" cmpd="sng" algn="ctr">
                <a:solidFill>
                  <a:srgbClr val="00B0F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trendline>
            <c:spPr>
              <a:ln w="9525" cap="rnd">
                <a:solidFill>
                  <a:schemeClr val="accent1"/>
                </a:solidFill>
              </a:ln>
              <a:effectLst/>
            </c:spPr>
            <c:trendlineType val="linear"/>
            <c:dispRSqr val="0"/>
            <c:dispEq val="0"/>
          </c:trendline>
          <c:cat>
            <c:strRef>
              <c:f>PIVOTS!$M$4:$M$9</c:f>
              <c:strCache>
                <c:ptCount val="5"/>
                <c:pt idx="0">
                  <c:v>5</c:v>
                </c:pt>
                <c:pt idx="1">
                  <c:v>6</c:v>
                </c:pt>
                <c:pt idx="2">
                  <c:v>7</c:v>
                </c:pt>
                <c:pt idx="3">
                  <c:v>8</c:v>
                </c:pt>
                <c:pt idx="4">
                  <c:v>9</c:v>
                </c:pt>
              </c:strCache>
            </c:strRef>
          </c:cat>
          <c:val>
            <c:numRef>
              <c:f>PIVOTS!$N$4:$N$9</c:f>
              <c:numCache>
                <c:formatCode>0.00</c:formatCode>
                <c:ptCount val="5"/>
                <c:pt idx="0">
                  <c:v>15.3</c:v>
                </c:pt>
                <c:pt idx="1">
                  <c:v>12.163461538430196</c:v>
                </c:pt>
                <c:pt idx="2">
                  <c:v>15.649999999985448</c:v>
                </c:pt>
                <c:pt idx="3">
                  <c:v>7.8072916666969832</c:v>
                </c:pt>
                <c:pt idx="4">
                  <c:v>12.504901960813989</c:v>
                </c:pt>
              </c:numCache>
            </c:numRef>
          </c:val>
          <c:smooth val="0"/>
          <c:extLst>
            <c:ext xmlns:c16="http://schemas.microsoft.com/office/drawing/2014/chart" uri="{C3380CC4-5D6E-409C-BE32-E72D297353CC}">
              <c16:uniqueId val="{00000000-30B6-41B1-8A47-2B6641ED7334}"/>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969077504"/>
        <c:axId val="1969075584"/>
      </c:lineChart>
      <c:catAx>
        <c:axId val="196907750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69075584"/>
        <c:crosses val="autoZero"/>
        <c:auto val="1"/>
        <c:lblAlgn val="ctr"/>
        <c:lblOffset val="100"/>
        <c:noMultiLvlLbl val="0"/>
      </c:catAx>
      <c:valAx>
        <c:axId val="1969075584"/>
        <c:scaling>
          <c:orientation val="minMax"/>
        </c:scaling>
        <c:delete val="1"/>
        <c:axPos val="l"/>
        <c:numFmt formatCode="0.00" sourceLinked="1"/>
        <c:majorTickMark val="none"/>
        <c:minorTickMark val="none"/>
        <c:tickLblPos val="nextTo"/>
        <c:crossAx val="1969077504"/>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[KPIs_2026_CTNL_OCEAN.xlsm]PIVOTS!Transport Cost AVG</c:name>
    <c:fmtId val="2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latin typeface="Maersk Headline" panose="00000500000000000000" pitchFamily="2" charset="0"/>
              </a:rPr>
              <a:t>AVG.</a:t>
            </a:r>
            <a:r>
              <a:rPr lang="en-US" b="1" baseline="0">
                <a:solidFill>
                  <a:schemeClr val="tx1"/>
                </a:solidFill>
                <a:latin typeface="Maersk Headline" panose="00000500000000000000" pitchFamily="2" charset="0"/>
              </a:rPr>
              <a:t> Transport Cost (EUROS):</a:t>
            </a:r>
            <a:endParaRPr lang="en-US" b="1">
              <a:solidFill>
                <a:schemeClr val="tx1"/>
              </a:solidFill>
              <a:latin typeface="Maersk Headline" panose="00000500000000000000" pitchFamily="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s>
    <c:plotArea>
      <c:layout>
        <c:manualLayout>
          <c:layoutTarget val="inner"/>
          <c:xMode val="edge"/>
          <c:yMode val="edge"/>
          <c:x val="5.6347681539807522E-2"/>
          <c:y val="0.1534772258291173"/>
          <c:w val="0.92477480314960625"/>
          <c:h val="0.60388618812138617"/>
        </c:manualLayout>
      </c:layout>
      <c:barChart>
        <c:barDir val="col"/>
        <c:grouping val="clustered"/>
        <c:varyColors val="0"/>
        <c:ser>
          <c:idx val="0"/>
          <c:order val="0"/>
          <c:tx>
            <c:strRef>
              <c:f>PIVOTS!$X$16</c:f>
              <c:strCache>
                <c:ptCount val="1"/>
                <c:pt idx="0">
                  <c:v>Total</c:v>
                </c:pt>
              </c:strCache>
            </c:strRef>
          </c:tx>
          <c:spPr>
            <a:solidFill>
              <a:srgbClr val="00B0F0"/>
            </a:solidFill>
            <a:ln>
              <a:noFill/>
            </a:ln>
            <a:effectLst/>
          </c:spPr>
          <c:invertIfNegative val="0"/>
          <c:dPt>
            <c:idx val="5"/>
            <c:invertIfNegative val="0"/>
            <c:bubble3D val="0"/>
            <c:extLst>
              <c:ext xmlns:c16="http://schemas.microsoft.com/office/drawing/2014/chart" uri="{C3380CC4-5D6E-409C-BE32-E72D297353CC}">
                <c16:uniqueId val="{00000001-C812-4B6D-AC6B-D05062C23722}"/>
              </c:ext>
            </c:extLst>
          </c:dPt>
          <c:dPt>
            <c:idx val="10"/>
            <c:invertIfNegative val="0"/>
            <c:bubble3D val="0"/>
            <c:extLst>
              <c:ext xmlns:c16="http://schemas.microsoft.com/office/drawing/2014/chart" uri="{C3380CC4-5D6E-409C-BE32-E72D297353CC}">
                <c16:uniqueId val="{00000000-C812-4B6D-AC6B-D05062C23722}"/>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PIVOTS!$W$17:$W$23</c:f>
              <c:strCache>
                <c:ptCount val="6"/>
                <c:pt idx="0">
                  <c:v>LOGIX</c:v>
                </c:pt>
                <c:pt idx="1">
                  <c:v>MSI</c:v>
                </c:pt>
                <c:pt idx="2">
                  <c:v>OM TRANSPORT</c:v>
                </c:pt>
                <c:pt idx="3">
                  <c:v>ALTRANSA</c:v>
                </c:pt>
                <c:pt idx="4">
                  <c:v>CTK TRANSPORT</c:v>
                </c:pt>
                <c:pt idx="5">
                  <c:v>OTL</c:v>
                </c:pt>
              </c:strCache>
            </c:strRef>
          </c:cat>
          <c:val>
            <c:numRef>
              <c:f>PIVOTS!$X$17:$X$23</c:f>
              <c:numCache>
                <c:formatCode>_-[$€-2]\ * #,##0.00_-;\-[$€-2]\ * #,##0.00_-;_-[$€-2]\ * "-"??_-;_-@_-</c:formatCode>
                <c:ptCount val="6"/>
                <c:pt idx="0">
                  <c:v>605.52586206896547</c:v>
                </c:pt>
                <c:pt idx="1">
                  <c:v>658.28985507246375</c:v>
                </c:pt>
                <c:pt idx="2">
                  <c:v>612.82258064516134</c:v>
                </c:pt>
                <c:pt idx="3">
                  <c:v>0</c:v>
                </c:pt>
                <c:pt idx="4">
                  <c:v>673.96428571428567</c:v>
                </c:pt>
                <c:pt idx="5">
                  <c:v>591.20833333333337</c:v>
                </c:pt>
              </c:numCache>
            </c:numRef>
          </c:val>
          <c:extLst>
            <c:ext xmlns:c16="http://schemas.microsoft.com/office/drawing/2014/chart" uri="{C3380CC4-5D6E-409C-BE32-E72D297353CC}">
              <c16:uniqueId val="{00000000-29FB-49D7-ADF6-EE7EFE9EBE4E}"/>
            </c:ext>
          </c:extLst>
        </c:ser>
        <c:dLbls>
          <c:dLblPos val="inBase"/>
          <c:showLegendKey val="0"/>
          <c:showVal val="1"/>
          <c:showCatName val="0"/>
          <c:showSerName val="0"/>
          <c:showPercent val="0"/>
          <c:showBubbleSize val="0"/>
        </c:dLbls>
        <c:gapWidth val="150"/>
        <c:axId val="1263483231"/>
        <c:axId val="1263483711"/>
      </c:barChart>
      <c:catAx>
        <c:axId val="12634832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aersk Headline" panose="00000500000000000000" pitchFamily="2" charset="0"/>
                <a:ea typeface="+mn-ea"/>
                <a:cs typeface="+mn-cs"/>
              </a:defRPr>
            </a:pPr>
            <a:endParaRPr lang="en-US"/>
          </a:p>
        </c:txPr>
        <c:crossAx val="1263483711"/>
        <c:crosses val="autoZero"/>
        <c:auto val="1"/>
        <c:lblAlgn val="ctr"/>
        <c:lblOffset val="100"/>
        <c:noMultiLvlLbl val="0"/>
      </c:catAx>
      <c:valAx>
        <c:axId val="1263483711"/>
        <c:scaling>
          <c:orientation val="minMax"/>
        </c:scaling>
        <c:delete val="1"/>
        <c:axPos val="l"/>
        <c:numFmt formatCode="_-[$€-2]\ * #,##0.00_-;\-[$€-2]\ * #,##0.00_-;_-[$€-2]\ * &quot;-&quot;??_-;_-@_-" sourceLinked="1"/>
        <c:majorTickMark val="out"/>
        <c:minorTickMark val="none"/>
        <c:tickLblPos val="nextTo"/>
        <c:crossAx val="1263483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[KPIs_2026_CTNL_OCEAN.xlsm]PIVOTS!WT COSTS</c:name>
    <c:fmtId val="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baseline="0">
                <a:solidFill>
                  <a:schemeClr val="tx1"/>
                </a:solidFill>
                <a:latin typeface="Maersk Headline" panose="00000500000000000000" pitchFamily="2" charset="0"/>
              </a:rPr>
              <a:t>SUM WAITING TIME COSTS (EUROS):</a:t>
            </a:r>
            <a:endParaRPr lang="en-US" sz="1400" b="1">
              <a:solidFill>
                <a:schemeClr val="tx1"/>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spPr>
          <a:solidFill>
            <a:srgbClr val="00B0F0"/>
          </a:solidFill>
          <a:ln>
            <a:noFill/>
          </a:ln>
          <a:effectLst/>
        </c:spPr>
      </c:pivotFmt>
      <c:pivotFmt>
        <c:idx val="6"/>
        <c:spPr>
          <a:solidFill>
            <a:srgbClr val="00B0F0"/>
          </a:solidFill>
          <a:ln>
            <a:noFill/>
          </a:ln>
          <a:effectLst/>
        </c:spPr>
      </c:pivotFmt>
      <c:pivotFmt>
        <c:idx val="7"/>
      </c:pivotFmt>
      <c:pivotFmt>
        <c:idx val="8"/>
      </c:pivotFmt>
    </c:pivotFmts>
    <c:plotArea>
      <c:layout>
        <c:manualLayout>
          <c:layoutTarget val="inner"/>
          <c:xMode val="edge"/>
          <c:yMode val="edge"/>
          <c:x val="0.32261417322834646"/>
          <c:y val="0.23458585858585859"/>
          <c:w val="0.65362345053402982"/>
          <c:h val="0.72096969696969693"/>
        </c:manualLayout>
      </c:layout>
      <c:barChart>
        <c:barDir val="bar"/>
        <c:grouping val="stacked"/>
        <c:varyColors val="0"/>
        <c:ser>
          <c:idx val="0"/>
          <c:order val="0"/>
          <c:tx>
            <c:strRef>
              <c:f>PIVOTS!$X$42</c:f>
              <c:strCache>
                <c:ptCount val="1"/>
                <c:pt idx="0">
                  <c:v>Total</c:v>
                </c:pt>
              </c:strCache>
            </c:strRef>
          </c:tx>
          <c:spPr>
            <a:solidFill>
              <a:srgbClr val="00B0F0"/>
            </a:solidFill>
            <a:ln>
              <a:noFill/>
            </a:ln>
            <a:effectLst/>
          </c:spPr>
          <c:invertIfNegative val="0"/>
          <c:dPt>
            <c:idx val="0"/>
            <c:invertIfNegative val="0"/>
            <c:bubble3D val="0"/>
            <c:extLst>
              <c:ext xmlns:c16="http://schemas.microsoft.com/office/drawing/2014/chart" uri="{C3380CC4-5D6E-409C-BE32-E72D297353CC}">
                <c16:uniqueId val="{00000005-5338-4C2E-9C7E-851360632C36}"/>
              </c:ext>
            </c:extLst>
          </c:dPt>
          <c:dPt>
            <c:idx val="1"/>
            <c:invertIfNegative val="0"/>
            <c:bubble3D val="0"/>
            <c:extLst>
              <c:ext xmlns:c16="http://schemas.microsoft.com/office/drawing/2014/chart" uri="{C3380CC4-5D6E-409C-BE32-E72D297353CC}">
                <c16:uniqueId val="{00000004-5338-4C2E-9C7E-851360632C36}"/>
              </c:ext>
            </c:extLst>
          </c:dPt>
          <c:dPt>
            <c:idx val="2"/>
            <c:invertIfNegative val="0"/>
            <c:bubble3D val="0"/>
            <c:extLst>
              <c:ext xmlns:c16="http://schemas.microsoft.com/office/drawing/2014/chart" uri="{C3380CC4-5D6E-409C-BE32-E72D297353CC}">
                <c16:uniqueId val="{00000003-5338-4C2E-9C7E-851360632C36}"/>
              </c:ext>
            </c:extLst>
          </c:dPt>
          <c:dPt>
            <c:idx val="3"/>
            <c:invertIfNegative val="0"/>
            <c:bubble3D val="0"/>
            <c:extLst>
              <c:ext xmlns:c16="http://schemas.microsoft.com/office/drawing/2014/chart" uri="{C3380CC4-5D6E-409C-BE32-E72D297353CC}">
                <c16:uniqueId val="{00000006-5338-4C2E-9C7E-851360632C36}"/>
              </c:ext>
            </c:extLst>
          </c:dPt>
          <c:dPt>
            <c:idx val="4"/>
            <c:invertIfNegative val="0"/>
            <c:bubble3D val="0"/>
            <c:extLst>
              <c:ext xmlns:c16="http://schemas.microsoft.com/office/drawing/2014/chart" uri="{C3380CC4-5D6E-409C-BE32-E72D297353CC}">
                <c16:uniqueId val="{00000007-5338-4C2E-9C7E-851360632C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PIVOTS!$W$43:$W$49</c:f>
              <c:strCache>
                <c:ptCount val="6"/>
                <c:pt idx="0">
                  <c:v>MSI</c:v>
                </c:pt>
                <c:pt idx="1">
                  <c:v>OM TRANSPORT</c:v>
                </c:pt>
                <c:pt idx="2">
                  <c:v>OTL</c:v>
                </c:pt>
                <c:pt idx="3">
                  <c:v>CTK TRANSPORT</c:v>
                </c:pt>
                <c:pt idx="4">
                  <c:v>LOGIX</c:v>
                </c:pt>
                <c:pt idx="5">
                  <c:v>ALTRANSA</c:v>
                </c:pt>
              </c:strCache>
            </c:strRef>
          </c:cat>
          <c:val>
            <c:numRef>
              <c:f>PIVOTS!$X$43:$X$49</c:f>
              <c:numCache>
                <c:formatCode>_-[$€-2]\ * #,##0_-;\-[$€-2]\ * #,##0_-;_-[$€-2]\ * "-"??_-;_-@_-</c:formatCode>
                <c:ptCount val="6"/>
                <c:pt idx="0">
                  <c:v>5160</c:v>
                </c:pt>
                <c:pt idx="1">
                  <c:v>1597.5</c:v>
                </c:pt>
                <c:pt idx="2">
                  <c:v>240</c:v>
                </c:pt>
                <c:pt idx="3">
                  <c:v>225</c:v>
                </c:pt>
              </c:numCache>
            </c:numRef>
          </c:val>
          <c:extLst>
            <c:ext xmlns:c16="http://schemas.microsoft.com/office/drawing/2014/chart" uri="{C3380CC4-5D6E-409C-BE32-E72D297353CC}">
              <c16:uniqueId val="{00000001-5338-4C2E-9C7E-851360632C36}"/>
            </c:ext>
          </c:extLst>
        </c:ser>
        <c:dLbls>
          <c:dLblPos val="inBase"/>
          <c:showLegendKey val="0"/>
          <c:showVal val="1"/>
          <c:showCatName val="0"/>
          <c:showSerName val="0"/>
          <c:showPercent val="0"/>
          <c:showBubbleSize val="0"/>
        </c:dLbls>
        <c:gapWidth val="150"/>
        <c:overlap val="100"/>
        <c:axId val="486514528"/>
        <c:axId val="486512608"/>
      </c:barChart>
      <c:catAx>
        <c:axId val="486514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aersk Headline" panose="00000500000000000000" pitchFamily="2" charset="0"/>
                <a:ea typeface="+mn-ea"/>
                <a:cs typeface="+mn-cs"/>
              </a:defRPr>
            </a:pPr>
            <a:endParaRPr lang="en-US"/>
          </a:p>
        </c:txPr>
        <c:crossAx val="486512608"/>
        <c:crosses val="autoZero"/>
        <c:auto val="1"/>
        <c:lblAlgn val="ctr"/>
        <c:lblOffset val="100"/>
        <c:noMultiLvlLbl val="0"/>
      </c:catAx>
      <c:valAx>
        <c:axId val="486512608"/>
        <c:scaling>
          <c:orientation val="minMax"/>
        </c:scaling>
        <c:delete val="1"/>
        <c:axPos val="b"/>
        <c:numFmt formatCode="_-[$€-2]\ * #,##0_-;\-[$€-2]\ * #,##0_-;_-[$€-2]\ * &quot;-&quot;??_-;_-@_-" sourceLinked="1"/>
        <c:majorTickMark val="none"/>
        <c:minorTickMark val="none"/>
        <c:tickLblPos val="nextTo"/>
        <c:crossAx val="486514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 AVAILABLE -48h</c:name>
    <c:fmtId val="4"/>
  </c:pivotSource>
  <c:chart>
    <c:autoTitleDeleted val="1"/>
    <c:pivotFmts>
      <c:pivotFmt>
        <c:idx val="0"/>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65000"/>
            </a:schemeClr>
          </a:solidFill>
          <a:ln w="19050">
            <a:solidFill>
              <a:schemeClr val="lt1"/>
            </a:solidFill>
          </a:ln>
          <a:effectLst/>
        </c:spPr>
        <c:dLbl>
          <c:idx val="0"/>
          <c:layout>
            <c:manualLayout>
              <c:x val="2.2222222222222119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lumMod val="65000"/>
            </a:schemeClr>
          </a:solidFill>
          <a:ln w="19050">
            <a:solidFill>
              <a:schemeClr val="lt1"/>
            </a:solidFill>
          </a:ln>
          <a:effectLst/>
        </c:spPr>
        <c:dLbl>
          <c:idx val="0"/>
          <c:layout>
            <c:manualLayout>
              <c:x val="2.2222222222222119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w="19050">
            <a:solidFill>
              <a:schemeClr val="lt1"/>
            </a:solidFill>
          </a:ln>
          <a:effectLst/>
        </c:spPr>
      </c:pivotFmt>
      <c:pivotFmt>
        <c:idx val="5"/>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1">
              <a:lumMod val="65000"/>
            </a:schemeClr>
          </a:solidFill>
          <a:ln w="19050">
            <a:solidFill>
              <a:schemeClr val="lt1"/>
            </a:solidFill>
          </a:ln>
          <a:effectLst/>
        </c:spPr>
        <c:dLbl>
          <c:idx val="0"/>
          <c:layout>
            <c:manualLayout>
              <c:x val="-1.3598720231057956E-2"/>
              <c:y val="0.1170003149606299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w="19050">
            <a:solidFill>
              <a:schemeClr val="lt1"/>
            </a:solidFill>
          </a:ln>
          <a:effectLst/>
        </c:spPr>
      </c:pivotFmt>
      <c:pivotFmt>
        <c:idx val="8"/>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w="19050">
            <a:solidFill>
              <a:schemeClr val="lt1"/>
            </a:solidFill>
          </a:ln>
          <a:effectLst/>
        </c:spPr>
        <c:dLbl>
          <c:idx val="0"/>
          <c:layout>
            <c:manualLayout>
              <c:x val="2.2222222222222119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F0"/>
          </a:solidFill>
          <a:ln w="19050">
            <a:solidFill>
              <a:schemeClr val="lt1"/>
            </a:solidFill>
          </a:ln>
          <a:effectLst/>
        </c:spPr>
      </c:pivotFmt>
    </c:pivotFmts>
    <c:plotArea>
      <c:layout/>
      <c:doughnutChart>
        <c:varyColors val="1"/>
        <c:ser>
          <c:idx val="0"/>
          <c:order val="0"/>
          <c:tx>
            <c:strRef>
              <c:f>PIVOTS!$B$32</c:f>
              <c:strCache>
                <c:ptCount val="1"/>
                <c:pt idx="0">
                  <c:v>Total</c:v>
                </c:pt>
              </c:strCache>
            </c:strRef>
          </c:tx>
          <c:spPr>
            <a:solidFill>
              <a:srgbClr val="00B0F0"/>
            </a:solidFill>
          </c:spPr>
          <c:dPt>
            <c:idx val="0"/>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1-E67A-42CD-987A-0EE5FD565FF0}"/>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7A-42CD-987A-0EE5FD565FF0}"/>
              </c:ext>
            </c:extLst>
          </c:dPt>
          <c:dLbls>
            <c:dLbl>
              <c:idx val="0"/>
              <c:layout>
                <c:manualLayout>
                  <c:x val="-1.3598720231057956E-2"/>
                  <c:y val="0.117000314960629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67A-42CD-987A-0EE5FD565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PIVOTS!$A$33:$A$35</c:f>
              <c:strCache>
                <c:ptCount val="2"/>
                <c:pt idx="0">
                  <c:v>NO</c:v>
                </c:pt>
                <c:pt idx="1">
                  <c:v>YES</c:v>
                </c:pt>
              </c:strCache>
            </c:strRef>
          </c:cat>
          <c:val>
            <c:numRef>
              <c:f>PIVOTS!$B$33:$B$35</c:f>
              <c:numCache>
                <c:formatCode>0%</c:formatCode>
                <c:ptCount val="2"/>
                <c:pt idx="0">
                  <c:v>1.7316017316017316E-2</c:v>
                </c:pt>
                <c:pt idx="1">
                  <c:v>0.98268398268398272</c:v>
                </c:pt>
              </c:numCache>
            </c:numRef>
          </c:val>
          <c:extLst>
            <c:ext xmlns:c16="http://schemas.microsoft.com/office/drawing/2014/chart" uri="{C3380CC4-5D6E-409C-BE32-E72D297353CC}">
              <c16:uniqueId val="{00000004-E67A-42CD-987A-0EE5FD565FF0}"/>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 delivered -48h</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2">
              <a:lumMod val="90000"/>
            </a:schemeClr>
          </a:solidFill>
          <a:ln w="19050">
            <a:solidFill>
              <a:schemeClr val="lt1"/>
            </a:solidFill>
          </a:ln>
          <a:effectLst/>
        </c:spPr>
        <c:dLbl>
          <c:idx val="0"/>
          <c:layout>
            <c:manualLayout>
              <c:x val="0"/>
              <c:y val="-3.24324600404001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lumMod val="40000"/>
              <a:lumOff val="60000"/>
            </a:schemeClr>
          </a:solidFill>
          <a:ln w="19050">
            <a:solidFill>
              <a:schemeClr val="lt1"/>
            </a:solidFill>
          </a:ln>
          <a:effectLst/>
        </c:spPr>
        <c:dLbl>
          <c:idx val="0"/>
          <c:layout>
            <c:manualLayout>
              <c:x val="0"/>
              <c:y val="-3.24324600404001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w="19050">
            <a:solidFill>
              <a:schemeClr val="lt1"/>
            </a:solidFill>
          </a:ln>
          <a:effectLst/>
        </c:spPr>
      </c:pivotFmt>
    </c:pivotFmts>
    <c:plotArea>
      <c:layout/>
      <c:doughnutChart>
        <c:varyColors val="1"/>
        <c:ser>
          <c:idx val="0"/>
          <c:order val="0"/>
          <c:tx>
            <c:strRef>
              <c:f>PIVOTS!$B$41</c:f>
              <c:strCache>
                <c:ptCount val="1"/>
                <c:pt idx="0">
                  <c:v>Total</c:v>
                </c:pt>
              </c:strCache>
            </c:strRef>
          </c:tx>
          <c:dPt>
            <c:idx val="0"/>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1-2C41-4A8F-85F8-7404AABF9BA1}"/>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2C41-4A8F-85F8-7404AABF9BA1}"/>
              </c:ext>
            </c:extLst>
          </c:dPt>
          <c:dLbls>
            <c:dLbl>
              <c:idx val="0"/>
              <c:layout>
                <c:manualLayout>
                  <c:x val="0"/>
                  <c:y val="-3.24324600404001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C41-4A8F-85F8-7404AABF9B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PIVOTS!$A$42:$A$44</c:f>
              <c:strCache>
                <c:ptCount val="2"/>
                <c:pt idx="0">
                  <c:v>NO</c:v>
                </c:pt>
                <c:pt idx="1">
                  <c:v>YES</c:v>
                </c:pt>
              </c:strCache>
            </c:strRef>
          </c:cat>
          <c:val>
            <c:numRef>
              <c:f>PIVOTS!$B$42:$B$44</c:f>
              <c:numCache>
                <c:formatCode>0%</c:formatCode>
                <c:ptCount val="2"/>
                <c:pt idx="0">
                  <c:v>0.26839826839826841</c:v>
                </c:pt>
                <c:pt idx="1">
                  <c:v>0.73160173160173159</c:v>
                </c:pt>
              </c:numCache>
            </c:numRef>
          </c:val>
          <c:extLst>
            <c:ext xmlns:c16="http://schemas.microsoft.com/office/drawing/2014/chart" uri="{C3380CC4-5D6E-409C-BE32-E72D297353CC}">
              <c16:uniqueId val="{00000004-2C41-4A8F-85F8-7404AABF9BA1}"/>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[KPIs_2026_CTNL_OCEAN.xlsm]PIVOTS!ATA TO UNLOADING</c:name>
    <c:fmtId val="4"/>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solidFill>
                  <a:schemeClr val="tx1"/>
                </a:solidFill>
                <a:latin typeface="Maersk Headline" panose="00000500000000000000" pitchFamily="2" charset="0"/>
              </a:rPr>
              <a:t>ATA</a:t>
            </a:r>
            <a:r>
              <a:rPr lang="en-US" b="1" baseline="0">
                <a:solidFill>
                  <a:schemeClr val="tx1"/>
                </a:solidFill>
                <a:latin typeface="Maersk Headline" panose="00000500000000000000" pitchFamily="2" charset="0"/>
              </a:rPr>
              <a:t> to UNLOADING (Hours / Week):</a:t>
            </a:r>
            <a:endParaRPr lang="en-US" b="1">
              <a:solidFill>
                <a:schemeClr val="tx1"/>
              </a:solidFill>
              <a:latin typeface="Maersk Headline" panose="00000500000000000000" pitchFamily="2" charset="0"/>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rgbClr val="00B0F0"/>
            </a:solidFill>
            <a:round/>
          </a:ln>
          <a:effectLst/>
        </c:spPr>
        <c:marker>
          <c:symbol val="circle"/>
          <c:size val="4"/>
          <c:spPr>
            <a:solidFill>
              <a:srgbClr val="00B0F0"/>
            </a:solidFill>
            <a:ln w="9525" cap="flat" cmpd="sng" algn="ctr">
              <a:solidFill>
                <a:srgbClr val="00B0F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PIVOTS!$S$3</c:f>
              <c:strCache>
                <c:ptCount val="1"/>
                <c:pt idx="0">
                  <c:v>Total</c:v>
                </c:pt>
              </c:strCache>
            </c:strRef>
          </c:tx>
          <c:spPr>
            <a:ln w="22225" cap="rnd" cmpd="sng" algn="ctr">
              <a:solidFill>
                <a:srgbClr val="00B0F0"/>
              </a:solidFill>
              <a:round/>
            </a:ln>
            <a:effectLst/>
          </c:spPr>
          <c:marker>
            <c:symbol val="circle"/>
            <c:size val="4"/>
            <c:spPr>
              <a:solidFill>
                <a:srgbClr val="00B0F0"/>
              </a:solidFill>
              <a:ln w="9525" cap="flat" cmpd="sng" algn="ctr">
                <a:solidFill>
                  <a:srgbClr val="00B0F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trendline>
            <c:spPr>
              <a:ln w="9525" cap="rnd">
                <a:solidFill>
                  <a:schemeClr val="accent1"/>
                </a:solidFill>
              </a:ln>
              <a:effectLst/>
            </c:spPr>
            <c:trendlineType val="linear"/>
            <c:dispRSqr val="0"/>
            <c:dispEq val="0"/>
          </c:trendline>
          <c:cat>
            <c:strRef>
              <c:f>PIVOTS!$R$4:$R$9</c:f>
              <c:strCache>
                <c:ptCount val="5"/>
                <c:pt idx="0">
                  <c:v>5</c:v>
                </c:pt>
                <c:pt idx="1">
                  <c:v>6</c:v>
                </c:pt>
                <c:pt idx="2">
                  <c:v>7</c:v>
                </c:pt>
                <c:pt idx="3">
                  <c:v>8</c:v>
                </c:pt>
                <c:pt idx="4">
                  <c:v>9</c:v>
                </c:pt>
              </c:strCache>
            </c:strRef>
          </c:cat>
          <c:val>
            <c:numRef>
              <c:f>PIVOTS!$S$4:$S$9</c:f>
              <c:numCache>
                <c:formatCode>0.00</c:formatCode>
                <c:ptCount val="5"/>
                <c:pt idx="0">
                  <c:v>44.42333333339193</c:v>
                </c:pt>
                <c:pt idx="1">
                  <c:v>46.613461538465344</c:v>
                </c:pt>
                <c:pt idx="2">
                  <c:v>41.297222222192794</c:v>
                </c:pt>
                <c:pt idx="3">
                  <c:v>39.810069444454712</c:v>
                </c:pt>
                <c:pt idx="4">
                  <c:v>29.891503267972865</c:v>
                </c:pt>
              </c:numCache>
            </c:numRef>
          </c:val>
          <c:smooth val="0"/>
          <c:extLst>
            <c:ext xmlns:c16="http://schemas.microsoft.com/office/drawing/2014/chart" uri="{C3380CC4-5D6E-409C-BE32-E72D297353CC}">
              <c16:uniqueId val="{00000000-D622-4FDB-89C5-3D6C1A18AE60}"/>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544938831"/>
        <c:axId val="544939791"/>
      </c:lineChart>
      <c:catAx>
        <c:axId val="544938831"/>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44939791"/>
        <c:crosses val="autoZero"/>
        <c:auto val="1"/>
        <c:lblAlgn val="ctr"/>
        <c:lblOffset val="100"/>
        <c:noMultiLvlLbl val="0"/>
      </c:catAx>
      <c:valAx>
        <c:axId val="544939791"/>
        <c:scaling>
          <c:orientation val="minMax"/>
        </c:scaling>
        <c:delete val="1"/>
        <c:axPos val="l"/>
        <c:numFmt formatCode="0.00" sourceLinked="1"/>
        <c:majorTickMark val="none"/>
        <c:minorTickMark val="none"/>
        <c:tickLblPos val="nextTo"/>
        <c:crossAx val="544938831"/>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[KPIs_2026_CTNL_OCEAN.xlsm]PIVOTS!CARRIER % SHARE</c:name>
    <c:fmtId val="5"/>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solidFill>
                  <a:schemeClr val="tx1"/>
                </a:solidFill>
                <a:latin typeface="Maersk Headline" panose="00000500000000000000" pitchFamily="2" charset="0"/>
              </a:rPr>
              <a:t>CARRIER:</a:t>
            </a:r>
          </a:p>
        </c:rich>
      </c:tx>
      <c:layout>
        <c:manualLayout>
          <c:xMode val="edge"/>
          <c:yMode val="edge"/>
          <c:x val="9.6009694028760348E-2"/>
          <c:y val="6.9565217391304349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rgbClr val="00B0F0"/>
          </a:solidFill>
          <a:ln w="19050">
            <a:solidFill>
              <a:schemeClr val="lt1"/>
            </a:solidFill>
          </a:ln>
          <a:effectLst/>
        </c:spPr>
      </c:pivotFmt>
      <c:pivotFmt>
        <c:idx val="2"/>
        <c:spPr>
          <a:solidFill>
            <a:schemeClr val="bg1">
              <a:lumMod val="65000"/>
            </a:schemeClr>
          </a:solidFill>
          <a:ln w="19050">
            <a:solidFill>
              <a:schemeClr val="lt1"/>
            </a:solidFill>
          </a:ln>
          <a:effectLst/>
        </c:spPr>
        <c:dLbl>
          <c:idx val="0"/>
          <c:layout>
            <c:manualLayout>
              <c:x val="-2.2222222222222223E-2"/>
              <c:y val="0.3194444444444444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1">
              <a:lumMod val="65000"/>
            </a:schemeClr>
          </a:solidFill>
          <a:ln w="19050">
            <a:solidFill>
              <a:schemeClr val="lt1"/>
            </a:solidFill>
          </a:ln>
          <a:effectLst/>
        </c:spPr>
        <c:dLbl>
          <c:idx val="0"/>
          <c:layout>
            <c:manualLayout>
              <c:x val="0.05"/>
              <c:y val="0.305555555555555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65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1">
              <a:lumMod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B0F0"/>
          </a:solidFill>
          <a:ln w="19050">
            <a:solidFill>
              <a:schemeClr val="lt1"/>
            </a:solidFill>
          </a:ln>
          <a:effectLst/>
        </c:spPr>
      </c:pivotFmt>
      <c:pivotFmt>
        <c:idx val="9"/>
        <c:spPr>
          <a:solidFill>
            <a:schemeClr val="bg1">
              <a:lumMod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1">
              <a:lumMod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00B0F0"/>
          </a:solidFill>
          <a:ln w="19050">
            <a:solidFill>
              <a:schemeClr val="lt1"/>
            </a:solidFill>
          </a:ln>
          <a:effectLst/>
        </c:spPr>
        <c:dLbl>
          <c:idx val="0"/>
          <c:layout>
            <c:manualLayout>
              <c:x val="1.1529477652193008E-2"/>
              <c:y val="-0.209790302203756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1">
              <a:lumMod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dLbl>
          <c:idx val="0"/>
          <c:layout>
            <c:manualLayout>
              <c:x val="0.21538461538461534"/>
              <c:y val="-4.40367099723210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PIVOTS!$B$48</c:f>
              <c:strCache>
                <c:ptCount val="1"/>
                <c:pt idx="0">
                  <c:v>Total</c:v>
                </c:pt>
              </c:strCache>
            </c:strRef>
          </c:tx>
          <c:dPt>
            <c:idx val="0"/>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1-99F9-45CA-957A-21E9A6D9BA8B}"/>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99F9-45CA-957A-21E9A6D9BA8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9F9-45CA-957A-21E9A6D9BA8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9F9-45CA-957A-21E9A6D9BA8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CAF-4E7C-86B7-69316ECFEA6D}"/>
              </c:ext>
            </c:extLst>
          </c:dPt>
          <c:dLbls>
            <c:dLbl>
              <c:idx val="0"/>
              <c:delete val="1"/>
              <c:extLst>
                <c:ext xmlns:c15="http://schemas.microsoft.com/office/drawing/2012/chart" uri="{CE6537A1-D6FC-4f65-9D91-7224C49458BB}"/>
                <c:ext xmlns:c16="http://schemas.microsoft.com/office/drawing/2014/chart" uri="{C3380CC4-5D6E-409C-BE32-E72D297353CC}">
                  <c16:uniqueId val="{00000001-99F9-45CA-957A-21E9A6D9BA8B}"/>
                </c:ext>
              </c:extLst>
            </c:dLbl>
            <c:dLbl>
              <c:idx val="1"/>
              <c:layout>
                <c:manualLayout>
                  <c:x val="1.1529477652193008E-2"/>
                  <c:y val="-0.209790302203756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9F9-45CA-957A-21E9A6D9BA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PIVOTS!$A$49:$A$51</c:f>
              <c:strCache>
                <c:ptCount val="2"/>
                <c:pt idx="0">
                  <c:v>HAPAG LLOYD</c:v>
                </c:pt>
                <c:pt idx="1">
                  <c:v>MAERSK</c:v>
                </c:pt>
              </c:strCache>
            </c:strRef>
          </c:cat>
          <c:val>
            <c:numRef>
              <c:f>PIVOTS!$B$49:$B$51</c:f>
              <c:numCache>
                <c:formatCode>0.0%</c:formatCode>
                <c:ptCount val="2"/>
                <c:pt idx="0">
                  <c:v>8.6580086580086577E-2</c:v>
                </c:pt>
                <c:pt idx="1">
                  <c:v>0.91341991341991347</c:v>
                </c:pt>
              </c:numCache>
            </c:numRef>
          </c:val>
          <c:extLst>
            <c:ext xmlns:c16="http://schemas.microsoft.com/office/drawing/2014/chart" uri="{C3380CC4-5D6E-409C-BE32-E72D297353CC}">
              <c16:uniqueId val="{00000008-99F9-45CA-957A-21E9A6D9BA8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0815325079504334"/>
          <c:y val="4.1738652528686707E-2"/>
          <c:w val="0.35492348024795656"/>
          <c:h val="0.5582615542622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[KPIs_2026_CTNL_OCEAN.xlsm]PIVOTS!QUANTITIES YEARLY COMPARISON</c:name>
    <c:fmtId val="3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a:solidFill>
                  <a:schemeClr val="tx1"/>
                </a:solidFill>
                <a:latin typeface="Maersk Headline" panose="00000500000000000000" pitchFamily="2" charset="0"/>
              </a:rPr>
              <a:t>Yearly</a:t>
            </a:r>
            <a:r>
              <a:rPr lang="en-US" sz="1400" b="1" baseline="0">
                <a:solidFill>
                  <a:schemeClr val="tx1"/>
                </a:solidFill>
                <a:latin typeface="Maersk Headline" panose="00000500000000000000" pitchFamily="2" charset="0"/>
              </a:rPr>
              <a:t> Comparison of Total CNTS delivered:</a:t>
            </a:r>
            <a:endParaRPr lang="en-US" sz="1400" b="1">
              <a:solidFill>
                <a:schemeClr val="tx1"/>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rgbClr val="00B050"/>
            </a:solidFill>
            <a:prstDash val="sysDash"/>
            <a:round/>
          </a:ln>
          <a:effectLst/>
        </c:spPr>
      </c:pivotFmt>
      <c:pivotFmt>
        <c:idx val="21"/>
        <c:spPr>
          <a:solidFill>
            <a:schemeClr val="accent1"/>
          </a:solidFill>
          <a:ln w="28575" cap="rnd">
            <a:solidFill>
              <a:srgbClr val="00B050"/>
            </a:solidFill>
            <a:round/>
          </a:ln>
          <a:effectLst/>
        </c:spPr>
      </c:pivotFmt>
      <c:pivotFmt>
        <c:idx val="22"/>
        <c:spPr>
          <a:solidFill>
            <a:schemeClr val="accent1"/>
          </a:solidFill>
          <a:ln w="28575" cap="rnd">
            <a:solidFill>
              <a:schemeClr val="accent6"/>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PIVOTS!$AB$45:$AB$47</c:f>
              <c:strCache>
                <c:ptCount val="1"/>
                <c:pt idx="0">
                  <c:v>2021 - REAL</c:v>
                </c:pt>
              </c:strCache>
            </c:strRef>
          </c:tx>
          <c:spPr>
            <a:ln w="28575" cap="rnd">
              <a:solidFill>
                <a:schemeClr val="accent1"/>
              </a:solidFill>
              <a:round/>
            </a:ln>
            <a:effectLst/>
          </c:spPr>
          <c:marker>
            <c:symbol val="none"/>
          </c:marker>
          <c:cat>
            <c:strRef>
              <c:f>PIVOTS!$AA$48:$AA$60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PIVOTS!$AB$48:$AB$60</c:f>
              <c:numCache>
                <c:formatCode>General</c:formatCode>
                <c:ptCount val="12"/>
                <c:pt idx="0">
                  <c:v>0</c:v>
                </c:pt>
                <c:pt idx="1">
                  <c:v>0</c:v>
                </c:pt>
                <c:pt idx="2">
                  <c:v>0</c:v>
                </c:pt>
                <c:pt idx="3">
                  <c:v>0</c:v>
                </c:pt>
                <c:pt idx="4">
                  <c:v>0</c:v>
                </c:pt>
                <c:pt idx="5">
                  <c:v>99</c:v>
                </c:pt>
                <c:pt idx="6">
                  <c:v>85</c:v>
                </c:pt>
                <c:pt idx="7">
                  <c:v>116</c:v>
                </c:pt>
                <c:pt idx="8">
                  <c:v>393</c:v>
                </c:pt>
                <c:pt idx="9">
                  <c:v>402</c:v>
                </c:pt>
                <c:pt idx="10">
                  <c:v>218</c:v>
                </c:pt>
                <c:pt idx="11">
                  <c:v>81</c:v>
                </c:pt>
              </c:numCache>
            </c:numRef>
          </c:val>
          <c:smooth val="0"/>
          <c:extLst>
            <c:ext xmlns:c16="http://schemas.microsoft.com/office/drawing/2014/chart" uri="{C3380CC4-5D6E-409C-BE32-E72D297353CC}">
              <c16:uniqueId val="{00000000-66F2-4F99-B761-7041BAC60CF0}"/>
            </c:ext>
          </c:extLst>
        </c:ser>
        <c:ser>
          <c:idx val="1"/>
          <c:order val="1"/>
          <c:tx>
            <c:strRef>
              <c:f>PIVOTS!$AD$45:$AD$47</c:f>
              <c:strCache>
                <c:ptCount val="1"/>
                <c:pt idx="0">
                  <c:v>2022 - REAL</c:v>
                </c:pt>
              </c:strCache>
            </c:strRef>
          </c:tx>
          <c:spPr>
            <a:ln w="28575" cap="rnd">
              <a:solidFill>
                <a:schemeClr val="accent2"/>
              </a:solidFill>
              <a:round/>
            </a:ln>
            <a:effectLst/>
          </c:spPr>
          <c:marker>
            <c:symbol val="none"/>
          </c:marker>
          <c:cat>
            <c:strRef>
              <c:f>PIVOTS!$AA$48:$AA$60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PIVOTS!$AD$48:$AD$60</c:f>
              <c:numCache>
                <c:formatCode>General</c:formatCode>
                <c:ptCount val="12"/>
                <c:pt idx="0">
                  <c:v>265</c:v>
                </c:pt>
                <c:pt idx="1">
                  <c:v>182</c:v>
                </c:pt>
                <c:pt idx="2">
                  <c:v>239</c:v>
                </c:pt>
                <c:pt idx="3">
                  <c:v>179</c:v>
                </c:pt>
                <c:pt idx="4">
                  <c:v>103</c:v>
                </c:pt>
                <c:pt idx="5">
                  <c:v>100</c:v>
                </c:pt>
                <c:pt idx="6">
                  <c:v>295</c:v>
                </c:pt>
                <c:pt idx="7">
                  <c:v>394</c:v>
                </c:pt>
                <c:pt idx="8">
                  <c:v>705</c:v>
                </c:pt>
                <c:pt idx="9">
                  <c:v>700</c:v>
                </c:pt>
                <c:pt idx="10">
                  <c:v>299</c:v>
                </c:pt>
                <c:pt idx="11">
                  <c:v>143</c:v>
                </c:pt>
              </c:numCache>
            </c:numRef>
          </c:val>
          <c:smooth val="0"/>
          <c:extLst>
            <c:ext xmlns:c16="http://schemas.microsoft.com/office/drawing/2014/chart" uri="{C3380CC4-5D6E-409C-BE32-E72D297353CC}">
              <c16:uniqueId val="{00000001-66F2-4F99-B761-7041BAC60CF0}"/>
            </c:ext>
          </c:extLst>
        </c:ser>
        <c:ser>
          <c:idx val="2"/>
          <c:order val="2"/>
          <c:tx>
            <c:strRef>
              <c:f>PIVOTS!$AF$45:$AF$47</c:f>
              <c:strCache>
                <c:ptCount val="1"/>
                <c:pt idx="0">
                  <c:v>2023 - REAL</c:v>
                </c:pt>
              </c:strCache>
            </c:strRef>
          </c:tx>
          <c:spPr>
            <a:ln w="28575" cap="rnd">
              <a:solidFill>
                <a:schemeClr val="accent3"/>
              </a:solidFill>
              <a:round/>
            </a:ln>
            <a:effectLst/>
          </c:spPr>
          <c:marker>
            <c:symbol val="none"/>
          </c:marker>
          <c:cat>
            <c:strRef>
              <c:f>PIVOTS!$AA$48:$AA$60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PIVOTS!$AF$48:$AF$60</c:f>
              <c:numCache>
                <c:formatCode>General</c:formatCode>
                <c:ptCount val="12"/>
                <c:pt idx="0">
                  <c:v>225</c:v>
                </c:pt>
                <c:pt idx="1">
                  <c:v>224</c:v>
                </c:pt>
                <c:pt idx="2">
                  <c:v>167</c:v>
                </c:pt>
                <c:pt idx="3">
                  <c:v>157</c:v>
                </c:pt>
                <c:pt idx="4">
                  <c:v>146</c:v>
                </c:pt>
                <c:pt idx="5">
                  <c:v>98</c:v>
                </c:pt>
                <c:pt idx="6">
                  <c:v>122</c:v>
                </c:pt>
                <c:pt idx="7">
                  <c:v>227</c:v>
                </c:pt>
                <c:pt idx="8">
                  <c:v>497</c:v>
                </c:pt>
                <c:pt idx="9">
                  <c:v>502</c:v>
                </c:pt>
                <c:pt idx="10">
                  <c:v>356</c:v>
                </c:pt>
                <c:pt idx="11">
                  <c:v>171</c:v>
                </c:pt>
              </c:numCache>
            </c:numRef>
          </c:val>
          <c:smooth val="0"/>
          <c:extLst>
            <c:ext xmlns:c16="http://schemas.microsoft.com/office/drawing/2014/chart" uri="{C3380CC4-5D6E-409C-BE32-E72D297353CC}">
              <c16:uniqueId val="{00000002-66F2-4F99-B761-7041BAC60CF0}"/>
            </c:ext>
          </c:extLst>
        </c:ser>
        <c:ser>
          <c:idx val="3"/>
          <c:order val="3"/>
          <c:tx>
            <c:strRef>
              <c:f>PIVOTS!$AH$45:$AH$47</c:f>
              <c:strCache>
                <c:ptCount val="1"/>
                <c:pt idx="0">
                  <c:v>2024 - REAL</c:v>
                </c:pt>
              </c:strCache>
            </c:strRef>
          </c:tx>
          <c:spPr>
            <a:ln w="28575" cap="rnd">
              <a:solidFill>
                <a:schemeClr val="accent4"/>
              </a:solidFill>
              <a:round/>
            </a:ln>
            <a:effectLst/>
          </c:spPr>
          <c:marker>
            <c:symbol val="none"/>
          </c:marker>
          <c:cat>
            <c:strRef>
              <c:f>PIVOTS!$AA$48:$AA$60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PIVOTS!$AH$48:$AH$60</c:f>
              <c:numCache>
                <c:formatCode>General</c:formatCode>
                <c:ptCount val="12"/>
                <c:pt idx="0">
                  <c:v>172</c:v>
                </c:pt>
                <c:pt idx="1">
                  <c:v>134</c:v>
                </c:pt>
                <c:pt idx="2">
                  <c:v>260</c:v>
                </c:pt>
                <c:pt idx="3">
                  <c:v>218</c:v>
                </c:pt>
                <c:pt idx="4">
                  <c:v>154</c:v>
                </c:pt>
                <c:pt idx="5">
                  <c:v>79</c:v>
                </c:pt>
                <c:pt idx="6">
                  <c:v>123</c:v>
                </c:pt>
                <c:pt idx="7">
                  <c:v>213</c:v>
                </c:pt>
                <c:pt idx="8">
                  <c:v>284</c:v>
                </c:pt>
                <c:pt idx="9">
                  <c:v>540</c:v>
                </c:pt>
                <c:pt idx="10">
                  <c:v>412</c:v>
                </c:pt>
                <c:pt idx="11">
                  <c:v>160</c:v>
                </c:pt>
              </c:numCache>
            </c:numRef>
          </c:val>
          <c:smooth val="0"/>
          <c:extLst>
            <c:ext xmlns:c16="http://schemas.microsoft.com/office/drawing/2014/chart" uri="{C3380CC4-5D6E-409C-BE32-E72D297353CC}">
              <c16:uniqueId val="{00000003-66F2-4F99-B761-7041BAC60CF0}"/>
            </c:ext>
          </c:extLst>
        </c:ser>
        <c:ser>
          <c:idx val="4"/>
          <c:order val="4"/>
          <c:tx>
            <c:strRef>
              <c:f>PIVOTS!$AJ$45:$AJ$47</c:f>
              <c:strCache>
                <c:ptCount val="1"/>
                <c:pt idx="0">
                  <c:v>2025 - REAL</c:v>
                </c:pt>
              </c:strCache>
            </c:strRef>
          </c:tx>
          <c:spPr>
            <a:ln w="28575" cap="rnd">
              <a:solidFill>
                <a:schemeClr val="accent5"/>
              </a:solidFill>
              <a:round/>
            </a:ln>
            <a:effectLst/>
          </c:spPr>
          <c:marker>
            <c:symbol val="none"/>
          </c:marker>
          <c:cat>
            <c:strRef>
              <c:f>PIVOTS!$AA$48:$AA$60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PIVOTS!$AJ$48:$AJ$60</c:f>
              <c:numCache>
                <c:formatCode>General</c:formatCode>
                <c:ptCount val="12"/>
                <c:pt idx="0">
                  <c:v>291</c:v>
                </c:pt>
                <c:pt idx="1">
                  <c:v>301</c:v>
                </c:pt>
                <c:pt idx="2">
                  <c:v>330</c:v>
                </c:pt>
                <c:pt idx="3">
                  <c:v>274</c:v>
                </c:pt>
                <c:pt idx="4">
                  <c:v>171</c:v>
                </c:pt>
                <c:pt idx="5">
                  <c:v>116</c:v>
                </c:pt>
                <c:pt idx="6">
                  <c:v>117</c:v>
                </c:pt>
                <c:pt idx="7">
                  <c:v>245</c:v>
                </c:pt>
                <c:pt idx="8">
                  <c:v>579</c:v>
                </c:pt>
                <c:pt idx="9">
                  <c:v>538</c:v>
                </c:pt>
                <c:pt idx="10">
                  <c:v>493</c:v>
                </c:pt>
                <c:pt idx="11">
                  <c:v>153</c:v>
                </c:pt>
              </c:numCache>
            </c:numRef>
          </c:val>
          <c:smooth val="0"/>
          <c:extLst>
            <c:ext xmlns:c16="http://schemas.microsoft.com/office/drawing/2014/chart" uri="{C3380CC4-5D6E-409C-BE32-E72D297353CC}">
              <c16:uniqueId val="{00000004-66F2-4F99-B761-7041BAC60CF0}"/>
            </c:ext>
          </c:extLst>
        </c:ser>
        <c:ser>
          <c:idx val="5"/>
          <c:order val="5"/>
          <c:tx>
            <c:strRef>
              <c:f>PIVOTS!$AL$45:$AL$47</c:f>
              <c:strCache>
                <c:ptCount val="1"/>
                <c:pt idx="0">
                  <c:v>2026 - REAL</c:v>
                </c:pt>
              </c:strCache>
            </c:strRef>
          </c:tx>
          <c:spPr>
            <a:ln w="28575" cap="rnd">
              <a:solidFill>
                <a:schemeClr val="accent6"/>
              </a:solidFill>
              <a:round/>
            </a:ln>
            <a:effectLst/>
          </c:spPr>
          <c:marker>
            <c:symbol val="none"/>
          </c:marker>
          <c:cat>
            <c:strRef>
              <c:f>PIVOTS!$AA$48:$AA$60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PIVOTS!$AL$48:$AL$60</c:f>
              <c:numCache>
                <c:formatCode>General</c:formatCode>
                <c:ptCount val="12"/>
                <c:pt idx="0">
                  <c:v>164</c:v>
                </c:pt>
                <c:pt idx="1">
                  <c:v>231</c:v>
                </c:pt>
              </c:numCache>
            </c:numRef>
          </c:val>
          <c:smooth val="0"/>
          <c:extLst>
            <c:ext xmlns:c16="http://schemas.microsoft.com/office/drawing/2014/chart" uri="{C3380CC4-5D6E-409C-BE32-E72D297353CC}">
              <c16:uniqueId val="{00000000-D237-47A2-AC19-590DCAFFB678}"/>
            </c:ext>
          </c:extLst>
        </c:ser>
        <c:dLbls>
          <c:showLegendKey val="0"/>
          <c:showVal val="0"/>
          <c:showCatName val="0"/>
          <c:showSerName val="0"/>
          <c:showPercent val="0"/>
          <c:showBubbleSize val="0"/>
        </c:dLbls>
        <c:smooth val="0"/>
        <c:axId val="1656943744"/>
        <c:axId val="1656944704"/>
      </c:lineChart>
      <c:catAx>
        <c:axId val="1656943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944704"/>
        <c:crosses val="autoZero"/>
        <c:auto val="1"/>
        <c:lblAlgn val="ctr"/>
        <c:lblOffset val="100"/>
        <c:noMultiLvlLbl val="0"/>
      </c:catAx>
      <c:valAx>
        <c:axId val="16569447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9437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5.xml"/><Relationship Id="rId18" Type="http://schemas.openxmlformats.org/officeDocument/2006/relationships/chart" Target="../charts/chart10.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chart" Target="../charts/chart4.xml"/><Relationship Id="rId17" Type="http://schemas.openxmlformats.org/officeDocument/2006/relationships/chart" Target="../charts/chart9.xml"/><Relationship Id="rId2" Type="http://schemas.openxmlformats.org/officeDocument/2006/relationships/image" Target="../media/image2.svg"/><Relationship Id="rId16"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8.png"/><Relationship Id="rId5" Type="http://schemas.openxmlformats.org/officeDocument/2006/relationships/image" Target="../media/image5.png"/><Relationship Id="rId15" Type="http://schemas.openxmlformats.org/officeDocument/2006/relationships/chart" Target="../charts/chart7.xml"/><Relationship Id="rId10" Type="http://schemas.openxmlformats.org/officeDocument/2006/relationships/image" Target="../media/image7.png"/><Relationship Id="rId19" Type="http://schemas.openxmlformats.org/officeDocument/2006/relationships/image" Target="../media/image9.png"/><Relationship Id="rId4" Type="http://schemas.openxmlformats.org/officeDocument/2006/relationships/image" Target="../media/image4.svg"/><Relationship Id="rId9" Type="http://schemas.openxmlformats.org/officeDocument/2006/relationships/image" Target="../media/image6.png"/><Relationship Id="rId14" Type="http://schemas.openxmlformats.org/officeDocument/2006/relationships/chart" Target="../charts/chart6.xml"/></Relationships>
</file>

<file path=xl/drawings/_rels/drawing2.xml.rels><?xml version="1.0" encoding="UTF-8" standalone="yes"?>
<Relationships xmlns="http://schemas.openxmlformats.org/package/2006/relationships"><Relationship Id="rId2" Type="http://schemas.openxmlformats.org/officeDocument/2006/relationships/image" Target="../media/image11.sv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7</xdr:col>
      <xdr:colOff>196851</xdr:colOff>
      <xdr:row>7</xdr:row>
      <xdr:rowOff>63501</xdr:rowOff>
    </xdr:from>
    <xdr:to>
      <xdr:col>10</xdr:col>
      <xdr:colOff>179916</xdr:colOff>
      <xdr:row>15</xdr:row>
      <xdr:rowOff>148168</xdr:rowOff>
    </xdr:to>
    <xdr:sp macro="" textlink="">
      <xdr:nvSpPr>
        <xdr:cNvPr id="27" name="Rectangle 26">
          <a:extLst>
            <a:ext uri="{FF2B5EF4-FFF2-40B4-BE49-F238E27FC236}">
              <a16:creationId xmlns:a16="http://schemas.microsoft.com/office/drawing/2014/main" id="{873B9929-D061-4266-85FB-9EDC946C54F4}"/>
            </a:ext>
          </a:extLst>
        </xdr:cNvPr>
        <xdr:cNvSpPr/>
      </xdr:nvSpPr>
      <xdr:spPr>
        <a:xfrm>
          <a:off x="4493684" y="1322918"/>
          <a:ext cx="1824565" cy="1524000"/>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 CNTS delivered in -48H:</a:t>
          </a:r>
          <a:endParaRPr lang="en-US" sz="1100" b="1">
            <a:solidFill>
              <a:schemeClr val="tx1"/>
            </a:solidFill>
          </a:endParaRPr>
        </a:p>
      </xdr:txBody>
    </xdr:sp>
    <xdr:clientData/>
  </xdr:twoCellAnchor>
  <xdr:twoCellAnchor>
    <xdr:from>
      <xdr:col>10</xdr:col>
      <xdr:colOff>275166</xdr:colOff>
      <xdr:row>7</xdr:row>
      <xdr:rowOff>62439</xdr:rowOff>
    </xdr:from>
    <xdr:to>
      <xdr:col>13</xdr:col>
      <xdr:colOff>275167</xdr:colOff>
      <xdr:row>15</xdr:row>
      <xdr:rowOff>148167</xdr:rowOff>
    </xdr:to>
    <xdr:sp macro="" textlink="">
      <xdr:nvSpPr>
        <xdr:cNvPr id="51" name="Rectangle: Rounded Corners 28">
          <a:extLst>
            <a:ext uri="{FF2B5EF4-FFF2-40B4-BE49-F238E27FC236}">
              <a16:creationId xmlns:a16="http://schemas.microsoft.com/office/drawing/2014/main" id="{02B55633-C965-4E9F-83EE-978B73F4BBC2}"/>
            </a:ext>
          </a:extLst>
        </xdr:cNvPr>
        <xdr:cNvSpPr/>
      </xdr:nvSpPr>
      <xdr:spPr>
        <a:xfrm>
          <a:off x="6413499" y="1321856"/>
          <a:ext cx="1841501" cy="1525061"/>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CNTS delivered by BARGE:</a:t>
          </a:r>
          <a:endParaRPr lang="en-US" sz="1100" b="1">
            <a:solidFill>
              <a:schemeClr val="tx1"/>
            </a:solidFill>
          </a:endParaRPr>
        </a:p>
      </xdr:txBody>
    </xdr:sp>
    <xdr:clientData/>
  </xdr:twoCellAnchor>
  <xdr:twoCellAnchor>
    <xdr:from>
      <xdr:col>4</xdr:col>
      <xdr:colOff>105825</xdr:colOff>
      <xdr:row>7</xdr:row>
      <xdr:rowOff>64561</xdr:rowOff>
    </xdr:from>
    <xdr:to>
      <xdr:col>7</xdr:col>
      <xdr:colOff>105834</xdr:colOff>
      <xdr:row>15</xdr:row>
      <xdr:rowOff>148167</xdr:rowOff>
    </xdr:to>
    <xdr:sp macro="" textlink="">
      <xdr:nvSpPr>
        <xdr:cNvPr id="18" name="Rectangle: Rounded Corners 18">
          <a:extLst>
            <a:ext uri="{FF2B5EF4-FFF2-40B4-BE49-F238E27FC236}">
              <a16:creationId xmlns:a16="http://schemas.microsoft.com/office/drawing/2014/main" id="{1B58A277-84C9-4892-A140-99C42243F423}"/>
            </a:ext>
          </a:extLst>
        </xdr:cNvPr>
        <xdr:cNvSpPr/>
      </xdr:nvSpPr>
      <xdr:spPr>
        <a:xfrm>
          <a:off x="2561158" y="1323978"/>
          <a:ext cx="1841509" cy="1522939"/>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 CNTS available in -48H:</a:t>
          </a:r>
          <a:endParaRPr lang="en-US" sz="1100" b="1">
            <a:solidFill>
              <a:schemeClr val="tx1"/>
            </a:solidFill>
          </a:endParaRPr>
        </a:p>
      </xdr:txBody>
    </xdr:sp>
    <xdr:clientData/>
  </xdr:twoCellAnchor>
  <xdr:twoCellAnchor>
    <xdr:from>
      <xdr:col>0</xdr:col>
      <xdr:colOff>150289</xdr:colOff>
      <xdr:row>7</xdr:row>
      <xdr:rowOff>66676</xdr:rowOff>
    </xdr:from>
    <xdr:to>
      <xdr:col>4</xdr:col>
      <xdr:colOff>21174</xdr:colOff>
      <xdr:row>15</xdr:row>
      <xdr:rowOff>148167</xdr:rowOff>
    </xdr:to>
    <xdr:sp macro="" textlink="">
      <xdr:nvSpPr>
        <xdr:cNvPr id="22" name="Rectangle 21">
          <a:extLst>
            <a:ext uri="{FF2B5EF4-FFF2-40B4-BE49-F238E27FC236}">
              <a16:creationId xmlns:a16="http://schemas.microsoft.com/office/drawing/2014/main" id="{18A24627-0464-A66C-2ACE-2AA8F6338DF7}"/>
            </a:ext>
          </a:extLst>
        </xdr:cNvPr>
        <xdr:cNvSpPr/>
      </xdr:nvSpPr>
      <xdr:spPr>
        <a:xfrm>
          <a:off x="150289" y="1326093"/>
          <a:ext cx="2326218" cy="1520824"/>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latin typeface="Maersk Headline" panose="00000500000000000000" pitchFamily="2" charset="0"/>
            </a:rPr>
            <a:t>Total CNTS</a:t>
          </a:r>
          <a:r>
            <a:rPr lang="en-US" sz="1600" b="1" baseline="0">
              <a:solidFill>
                <a:schemeClr val="tx1"/>
              </a:solidFill>
              <a:latin typeface="Maersk Headline" panose="00000500000000000000" pitchFamily="2" charset="0"/>
            </a:rPr>
            <a:t> delivered:</a:t>
          </a:r>
        </a:p>
        <a:p>
          <a:pPr algn="l"/>
          <a:endParaRPr lang="en-US" sz="1100" baseline="0">
            <a:solidFill>
              <a:schemeClr val="tx1"/>
            </a:solidFill>
          </a:endParaRPr>
        </a:p>
        <a:p>
          <a:pPr algn="l"/>
          <a:endParaRPr lang="en-US" sz="1100" baseline="0">
            <a:solidFill>
              <a:schemeClr val="tx1"/>
            </a:solidFill>
          </a:endParaRPr>
        </a:p>
        <a:p>
          <a:pPr algn="l"/>
          <a:endParaRPr lang="en-US" sz="1100" baseline="0">
            <a:solidFill>
              <a:schemeClr val="tx1"/>
            </a:solidFill>
          </a:endParaRPr>
        </a:p>
        <a:p>
          <a:pPr algn="l"/>
          <a:endParaRPr lang="en-US" sz="1100">
            <a:solidFill>
              <a:schemeClr val="tx1"/>
            </a:solidFill>
          </a:endParaRPr>
        </a:p>
      </xdr:txBody>
    </xdr:sp>
    <xdr:clientData/>
  </xdr:twoCellAnchor>
  <xdr:twoCellAnchor editAs="oneCell">
    <xdr:from>
      <xdr:col>0</xdr:col>
      <xdr:colOff>171450</xdr:colOff>
      <xdr:row>1</xdr:row>
      <xdr:rowOff>28575</xdr:rowOff>
    </xdr:from>
    <xdr:to>
      <xdr:col>3</xdr:col>
      <xdr:colOff>483873</xdr:colOff>
      <xdr:row>3</xdr:row>
      <xdr:rowOff>116417</xdr:rowOff>
    </xdr:to>
    <xdr:pic macro="[0]!Refresh_Pivots_On_Sheet">
      <xdr:nvPicPr>
        <xdr:cNvPr id="3" name="Graphic 4">
          <a:extLst>
            <a:ext uri="{FF2B5EF4-FFF2-40B4-BE49-F238E27FC236}">
              <a16:creationId xmlns:a16="http://schemas.microsoft.com/office/drawing/2014/main" id="{9D6FFB83-D5CA-73F8-BF60-BDFEB09F9F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1450" y="208492"/>
          <a:ext cx="2153923" cy="447675"/>
        </a:xfrm>
        <a:prstGeom prst="rect">
          <a:avLst/>
        </a:prstGeom>
      </xdr:spPr>
    </xdr:pic>
    <xdr:clientData/>
  </xdr:twoCellAnchor>
  <xdr:twoCellAnchor editAs="oneCell">
    <xdr:from>
      <xdr:col>6</xdr:col>
      <xdr:colOff>485775</xdr:colOff>
      <xdr:row>45</xdr:row>
      <xdr:rowOff>123825</xdr:rowOff>
    </xdr:from>
    <xdr:to>
      <xdr:col>19</xdr:col>
      <xdr:colOff>333375</xdr:colOff>
      <xdr:row>65</xdr:row>
      <xdr:rowOff>151828</xdr:rowOff>
    </xdr:to>
    <xdr:pic>
      <xdr:nvPicPr>
        <xdr:cNvPr id="15" name="Graphic 14">
          <a:extLst>
            <a:ext uri="{FF2B5EF4-FFF2-40B4-BE49-F238E27FC236}">
              <a16:creationId xmlns:a16="http://schemas.microsoft.com/office/drawing/2014/main" id="{BBA0C18F-D238-7354-459D-98CDC50430B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143375" y="7410450"/>
          <a:ext cx="7772400" cy="3647503"/>
        </a:xfrm>
        <a:prstGeom prst="rect">
          <a:avLst/>
        </a:prstGeom>
      </xdr:spPr>
    </xdr:pic>
    <xdr:clientData/>
  </xdr:twoCellAnchor>
  <xdr:twoCellAnchor editAs="oneCell">
    <xdr:from>
      <xdr:col>4</xdr:col>
      <xdr:colOff>6352</xdr:colOff>
      <xdr:row>0</xdr:row>
      <xdr:rowOff>169334</xdr:rowOff>
    </xdr:from>
    <xdr:to>
      <xdr:col>7</xdr:col>
      <xdr:colOff>1</xdr:colOff>
      <xdr:row>3</xdr:row>
      <xdr:rowOff>78077</xdr:rowOff>
    </xdr:to>
    <xdr:pic macro="[0]!Refresh_Pivots_On_Sheet">
      <xdr:nvPicPr>
        <xdr:cNvPr id="20" name="Picture 19">
          <a:extLst>
            <a:ext uri="{FF2B5EF4-FFF2-40B4-BE49-F238E27FC236}">
              <a16:creationId xmlns:a16="http://schemas.microsoft.com/office/drawing/2014/main" id="{E180B989-BC2F-8C21-A3D5-EDF514F04220}"/>
            </a:ext>
          </a:extLst>
        </xdr:cNvPr>
        <xdr:cNvPicPr>
          <a:picLocks noChangeAspect="1"/>
        </xdr:cNvPicPr>
      </xdr:nvPicPr>
      <xdr:blipFill rotWithShape="1">
        <a:blip xmlns:r="http://schemas.openxmlformats.org/officeDocument/2006/relationships" r:embed="rId5"/>
        <a:srcRect l="1" t="36239" r="1323" b="39310"/>
        <a:stretch/>
      </xdr:blipFill>
      <xdr:spPr>
        <a:xfrm>
          <a:off x="2461685" y="169334"/>
          <a:ext cx="1835149" cy="448493"/>
        </a:xfrm>
        <a:prstGeom prst="rect">
          <a:avLst/>
        </a:prstGeom>
      </xdr:spPr>
    </xdr:pic>
    <xdr:clientData/>
  </xdr:twoCellAnchor>
  <xdr:twoCellAnchor>
    <xdr:from>
      <xdr:col>0</xdr:col>
      <xdr:colOff>68792</xdr:colOff>
      <xdr:row>3</xdr:row>
      <xdr:rowOff>140759</xdr:rowOff>
    </xdr:from>
    <xdr:to>
      <xdr:col>7</xdr:col>
      <xdr:colOff>95251</xdr:colOff>
      <xdr:row>6</xdr:row>
      <xdr:rowOff>116417</xdr:rowOff>
    </xdr:to>
    <xdr:sp macro="[0]!Refresh_Pivots_On_Sheet" textlink="">
      <xdr:nvSpPr>
        <xdr:cNvPr id="21" name="TextBox 20">
          <a:extLst>
            <a:ext uri="{FF2B5EF4-FFF2-40B4-BE49-F238E27FC236}">
              <a16:creationId xmlns:a16="http://schemas.microsoft.com/office/drawing/2014/main" id="{AEC0C117-9941-2B69-A0B0-501F25878EDC}"/>
            </a:ext>
          </a:extLst>
        </xdr:cNvPr>
        <xdr:cNvSpPr txBox="1"/>
      </xdr:nvSpPr>
      <xdr:spPr>
        <a:xfrm>
          <a:off x="68792" y="680509"/>
          <a:ext cx="4323292" cy="51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70C0"/>
              </a:solidFill>
            </a:rPr>
            <a:t>OCEAN</a:t>
          </a:r>
          <a:r>
            <a:rPr lang="en-US" sz="2800" b="1" baseline="0">
              <a:solidFill>
                <a:srgbClr val="0070C0"/>
              </a:solidFill>
            </a:rPr>
            <a:t> </a:t>
          </a:r>
          <a:r>
            <a:rPr lang="en-US" sz="2800" b="1">
              <a:solidFill>
                <a:srgbClr val="0070C0"/>
              </a:solidFill>
            </a:rPr>
            <a:t>Monthly KPI Review</a:t>
          </a:r>
        </a:p>
      </xdr:txBody>
    </xdr:sp>
    <xdr:clientData/>
  </xdr:twoCellAnchor>
  <xdr:twoCellAnchor>
    <xdr:from>
      <xdr:col>0</xdr:col>
      <xdr:colOff>148167</xdr:colOff>
      <xdr:row>16</xdr:row>
      <xdr:rowOff>56094</xdr:rowOff>
    </xdr:from>
    <xdr:to>
      <xdr:col>10</xdr:col>
      <xdr:colOff>190499</xdr:colOff>
      <xdr:row>20</xdr:row>
      <xdr:rowOff>74085</xdr:rowOff>
    </xdr:to>
    <xdr:sp macro="" textlink="">
      <xdr:nvSpPr>
        <xdr:cNvPr id="23" name="Rectangle 22">
          <a:extLst>
            <a:ext uri="{FF2B5EF4-FFF2-40B4-BE49-F238E27FC236}">
              <a16:creationId xmlns:a16="http://schemas.microsoft.com/office/drawing/2014/main" id="{B0A474C7-3BB1-4250-ACB3-10AAE54FB605}"/>
            </a:ext>
          </a:extLst>
        </xdr:cNvPr>
        <xdr:cNvSpPr/>
      </xdr:nvSpPr>
      <xdr:spPr>
        <a:xfrm>
          <a:off x="148167" y="2934761"/>
          <a:ext cx="6180665" cy="737657"/>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ETA to AVAILABILITY (H):</a:t>
          </a:r>
        </a:p>
        <a:p>
          <a:pPr algn="l"/>
          <a:endParaRPr lang="en-US" sz="1100">
            <a:solidFill>
              <a:schemeClr val="tx1"/>
            </a:solidFill>
            <a:latin typeface="Maersk Headline" panose="00000500000000000000" pitchFamily="2" charset="0"/>
          </a:endParaRPr>
        </a:p>
        <a:p>
          <a:pPr algn="l"/>
          <a:endParaRPr lang="en-US" sz="1100">
            <a:solidFill>
              <a:schemeClr val="tx1"/>
            </a:solidFill>
            <a:latin typeface="Maersk Headline" panose="00000500000000000000" pitchFamily="2" charset="0"/>
          </a:endParaRPr>
        </a:p>
      </xdr:txBody>
    </xdr:sp>
    <xdr:clientData/>
  </xdr:twoCellAnchor>
  <xdr:twoCellAnchor>
    <xdr:from>
      <xdr:col>10</xdr:col>
      <xdr:colOff>287856</xdr:colOff>
      <xdr:row>16</xdr:row>
      <xdr:rowOff>58208</xdr:rowOff>
    </xdr:from>
    <xdr:to>
      <xdr:col>20</xdr:col>
      <xdr:colOff>476250</xdr:colOff>
      <xdr:row>20</xdr:row>
      <xdr:rowOff>67734</xdr:rowOff>
    </xdr:to>
    <xdr:sp macro="" textlink="">
      <xdr:nvSpPr>
        <xdr:cNvPr id="24" name="Rectangle 23">
          <a:extLst>
            <a:ext uri="{FF2B5EF4-FFF2-40B4-BE49-F238E27FC236}">
              <a16:creationId xmlns:a16="http://schemas.microsoft.com/office/drawing/2014/main" id="{CDCBAF99-F475-4B0F-9F72-C9EE3CF5E983}"/>
            </a:ext>
          </a:extLst>
        </xdr:cNvPr>
        <xdr:cNvSpPr/>
      </xdr:nvSpPr>
      <xdr:spPr>
        <a:xfrm>
          <a:off x="6426189" y="2936875"/>
          <a:ext cx="6326728" cy="729192"/>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AVAILABILITY to SLOT (H):</a:t>
          </a:r>
        </a:p>
      </xdr:txBody>
    </xdr:sp>
    <xdr:clientData/>
  </xdr:twoCellAnchor>
  <xdr:twoCellAnchor>
    <xdr:from>
      <xdr:col>20</xdr:col>
      <xdr:colOff>582083</xdr:colOff>
      <xdr:row>16</xdr:row>
      <xdr:rowOff>63498</xdr:rowOff>
    </xdr:from>
    <xdr:to>
      <xdr:col>30</xdr:col>
      <xdr:colOff>391583</xdr:colOff>
      <xdr:row>20</xdr:row>
      <xdr:rowOff>74083</xdr:rowOff>
    </xdr:to>
    <xdr:sp macro="" textlink="">
      <xdr:nvSpPr>
        <xdr:cNvPr id="25" name="Rectangle 24">
          <a:extLst>
            <a:ext uri="{FF2B5EF4-FFF2-40B4-BE49-F238E27FC236}">
              <a16:creationId xmlns:a16="http://schemas.microsoft.com/office/drawing/2014/main" id="{E596DF20-D068-43A9-A442-1B9A9413DB59}"/>
            </a:ext>
          </a:extLst>
        </xdr:cNvPr>
        <xdr:cNvSpPr/>
      </xdr:nvSpPr>
      <xdr:spPr>
        <a:xfrm>
          <a:off x="12858750" y="2942165"/>
          <a:ext cx="5947833" cy="730251"/>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ATA to</a:t>
          </a:r>
          <a:r>
            <a:rPr lang="en-US" sz="1100" b="1" baseline="0">
              <a:solidFill>
                <a:schemeClr val="tx1"/>
              </a:solidFill>
              <a:latin typeface="Maersk Headline" panose="00000500000000000000" pitchFamily="2" charset="0"/>
            </a:rPr>
            <a:t> UNLOADING (H):</a:t>
          </a:r>
          <a:endParaRPr lang="en-US" sz="1100" b="1">
            <a:solidFill>
              <a:schemeClr val="tx1"/>
            </a:solidFill>
            <a:latin typeface="Maersk Headline" panose="00000500000000000000" pitchFamily="2" charset="0"/>
          </a:endParaRPr>
        </a:p>
      </xdr:txBody>
    </xdr:sp>
    <xdr:clientData/>
  </xdr:twoCellAnchor>
  <xdr:twoCellAnchor>
    <xdr:from>
      <xdr:col>18</xdr:col>
      <xdr:colOff>0</xdr:colOff>
      <xdr:row>7</xdr:row>
      <xdr:rowOff>66675</xdr:rowOff>
    </xdr:from>
    <xdr:to>
      <xdr:col>20</xdr:col>
      <xdr:colOff>455083</xdr:colOff>
      <xdr:row>15</xdr:row>
      <xdr:rowOff>137583</xdr:rowOff>
    </xdr:to>
    <xdr:sp macro="" textlink="">
      <xdr:nvSpPr>
        <xdr:cNvPr id="26" name="Rectangle 25">
          <a:extLst>
            <a:ext uri="{FF2B5EF4-FFF2-40B4-BE49-F238E27FC236}">
              <a16:creationId xmlns:a16="http://schemas.microsoft.com/office/drawing/2014/main" id="{8773F2D6-4C6B-4414-83EF-A5CA07EE7253}"/>
            </a:ext>
          </a:extLst>
        </xdr:cNvPr>
        <xdr:cNvSpPr/>
      </xdr:nvSpPr>
      <xdr:spPr>
        <a:xfrm>
          <a:off x="11049000" y="1326092"/>
          <a:ext cx="1682750" cy="1510241"/>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HAULER</a:t>
          </a:r>
          <a:r>
            <a:rPr lang="en-US" sz="1100" b="1" baseline="0">
              <a:solidFill>
                <a:schemeClr val="tx1"/>
              </a:solidFill>
              <a:latin typeface="Maersk Headline" panose="00000500000000000000" pitchFamily="2" charset="0"/>
            </a:rPr>
            <a:t> AVG DELAY</a:t>
          </a:r>
          <a:r>
            <a:rPr lang="en-US" sz="1100" b="1">
              <a:solidFill>
                <a:schemeClr val="tx1"/>
              </a:solidFill>
              <a:latin typeface="Maersk Headline" panose="00000500000000000000" pitchFamily="2" charset="0"/>
            </a:rPr>
            <a:t> (H):</a:t>
          </a:r>
        </a:p>
      </xdr:txBody>
    </xdr:sp>
    <xdr:clientData/>
  </xdr:twoCellAnchor>
  <xdr:twoCellAnchor>
    <xdr:from>
      <xdr:col>0</xdr:col>
      <xdr:colOff>158752</xdr:colOff>
      <xdr:row>33</xdr:row>
      <xdr:rowOff>74087</xdr:rowOff>
    </xdr:from>
    <xdr:to>
      <xdr:col>8</xdr:col>
      <xdr:colOff>1</xdr:colOff>
      <xdr:row>50</xdr:row>
      <xdr:rowOff>169338</xdr:rowOff>
    </xdr:to>
    <xdr:graphicFrame macro="">
      <xdr:nvGraphicFramePr>
        <xdr:cNvPr id="28" name="Chart 27">
          <a:extLst>
            <a:ext uri="{FF2B5EF4-FFF2-40B4-BE49-F238E27FC236}">
              <a16:creationId xmlns:a16="http://schemas.microsoft.com/office/drawing/2014/main" id="{A75A519C-BF6F-422A-BF99-99F898FDE1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16</xdr:col>
      <xdr:colOff>262466</xdr:colOff>
      <xdr:row>0</xdr:row>
      <xdr:rowOff>88912</xdr:rowOff>
    </xdr:from>
    <xdr:to>
      <xdr:col>19</xdr:col>
      <xdr:colOff>95251</xdr:colOff>
      <xdr:row>6</xdr:row>
      <xdr:rowOff>169333</xdr:rowOff>
    </xdr:to>
    <mc:AlternateContent xmlns:mc="http://schemas.openxmlformats.org/markup-compatibility/2006" xmlns:a14="http://schemas.microsoft.com/office/drawing/2010/main">
      <mc:Choice Requires="a14">
        <xdr:graphicFrame macro="">
          <xdr:nvGraphicFramePr>
            <xdr:cNvPr id="31" name="AVAILABLE -48H">
              <a:extLst>
                <a:ext uri="{FF2B5EF4-FFF2-40B4-BE49-F238E27FC236}">
                  <a16:creationId xmlns:a16="http://schemas.microsoft.com/office/drawing/2014/main" id="{4F49A143-8AA6-430D-B7C9-DA3FB3C26AE0}"/>
                </a:ext>
              </a:extLst>
            </xdr:cNvPr>
            <xdr:cNvGraphicFramePr/>
          </xdr:nvGraphicFramePr>
          <xdr:xfrm>
            <a:off x="0" y="0"/>
            <a:ext cx="0" cy="0"/>
          </xdr:xfrm>
          <a:graphic>
            <a:graphicData uri="http://schemas.microsoft.com/office/drawing/2010/slicer">
              <sle:slicer xmlns:sle="http://schemas.microsoft.com/office/drawing/2010/slicer" name="AVAILABLE -48H"/>
            </a:graphicData>
          </a:graphic>
        </xdr:graphicFrame>
      </mc:Choice>
      <mc:Fallback xmlns="">
        <xdr:sp macro="" textlink="">
          <xdr:nvSpPr>
            <xdr:cNvPr id="0" name=""/>
            <xdr:cNvSpPr>
              <a:spLocks noTextEdit="1"/>
            </xdr:cNvSpPr>
          </xdr:nvSpPr>
          <xdr:spPr>
            <a:xfrm>
              <a:off x="10083799" y="88912"/>
              <a:ext cx="1674285" cy="1159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537634</xdr:colOff>
      <xdr:row>0</xdr:row>
      <xdr:rowOff>76203</xdr:rowOff>
    </xdr:from>
    <xdr:to>
      <xdr:col>30</xdr:col>
      <xdr:colOff>370417</xdr:colOff>
      <xdr:row>15</xdr:row>
      <xdr:rowOff>169333</xdr:rowOff>
    </xdr:to>
    <mc:AlternateContent xmlns:mc="http://schemas.openxmlformats.org/markup-compatibility/2006" xmlns:a14="http://schemas.microsoft.com/office/drawing/2010/main">
      <mc:Choice Requires="a14">
        <xdr:graphicFrame macro="">
          <xdr:nvGraphicFramePr>
            <xdr:cNvPr id="32" name="HAULER">
              <a:extLst>
                <a:ext uri="{FF2B5EF4-FFF2-40B4-BE49-F238E27FC236}">
                  <a16:creationId xmlns:a16="http://schemas.microsoft.com/office/drawing/2014/main" id="{2BE270DD-7624-45BE-8079-D77CC35000E7}"/>
                </a:ext>
              </a:extLst>
            </xdr:cNvPr>
            <xdr:cNvGraphicFramePr/>
          </xdr:nvGraphicFramePr>
          <xdr:xfrm>
            <a:off x="0" y="0"/>
            <a:ext cx="0" cy="0"/>
          </xdr:xfrm>
          <a:graphic>
            <a:graphicData uri="http://schemas.microsoft.com/office/drawing/2010/slicer">
              <sle:slicer xmlns:sle="http://schemas.microsoft.com/office/drawing/2010/slicer" name="HAULER"/>
            </a:graphicData>
          </a:graphic>
        </xdr:graphicFrame>
      </mc:Choice>
      <mc:Fallback xmlns="">
        <xdr:sp macro="" textlink="">
          <xdr:nvSpPr>
            <xdr:cNvPr id="0" name=""/>
            <xdr:cNvSpPr>
              <a:spLocks noTextEdit="1"/>
            </xdr:cNvSpPr>
          </xdr:nvSpPr>
          <xdr:spPr>
            <a:xfrm>
              <a:off x="17111134" y="76203"/>
              <a:ext cx="1674283" cy="27918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158748</xdr:colOff>
      <xdr:row>20</xdr:row>
      <xdr:rowOff>152404</xdr:rowOff>
    </xdr:from>
    <xdr:to>
      <xdr:col>10</xdr:col>
      <xdr:colOff>201084</xdr:colOff>
      <xdr:row>33</xdr:row>
      <xdr:rowOff>1</xdr:rowOff>
    </xdr:to>
    <xdr:graphicFrame macro="">
      <xdr:nvGraphicFramePr>
        <xdr:cNvPr id="33" name="Chart 32">
          <a:extLst>
            <a:ext uri="{FF2B5EF4-FFF2-40B4-BE49-F238E27FC236}">
              <a16:creationId xmlns:a16="http://schemas.microsoft.com/office/drawing/2014/main" id="{D87CA56B-3A83-4837-B735-5670915056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148167</xdr:colOff>
      <xdr:row>9</xdr:row>
      <xdr:rowOff>74084</xdr:rowOff>
    </xdr:from>
    <xdr:to>
      <xdr:col>4</xdr:col>
      <xdr:colOff>10584</xdr:colOff>
      <xdr:row>15</xdr:row>
      <xdr:rowOff>169333</xdr:rowOff>
    </xdr:to>
    <xdr:sp macro="" textlink="PIVOTS!E3">
      <xdr:nvSpPr>
        <xdr:cNvPr id="45" name="TextBox 1">
          <a:extLst>
            <a:ext uri="{FF2B5EF4-FFF2-40B4-BE49-F238E27FC236}">
              <a16:creationId xmlns:a16="http://schemas.microsoft.com/office/drawing/2014/main" id="{8D3093AB-E91E-4774-B4A1-2A3817D0F3BB}"/>
            </a:ext>
          </a:extLst>
        </xdr:cNvPr>
        <xdr:cNvSpPr txBox="1"/>
      </xdr:nvSpPr>
      <xdr:spPr>
        <a:xfrm>
          <a:off x="148167" y="1693334"/>
          <a:ext cx="2317750" cy="1174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8A003C9-02E6-4781-8B39-ED2F28BF660D}" type="TxLink">
            <a:rPr lang="en-US" sz="6000" b="1" i="0" u="none" strike="noStrike">
              <a:solidFill>
                <a:srgbClr val="00B0F0"/>
              </a:solidFill>
              <a:latin typeface="Maersk Headline" panose="00000500000000000000" pitchFamily="2" charset="0"/>
              <a:cs typeface="Arial"/>
            </a:rPr>
            <a:pPr algn="ctr"/>
            <a:t>231</a:t>
          </a:fld>
          <a:endParaRPr lang="en-US" sz="7200" b="1">
            <a:solidFill>
              <a:srgbClr val="00B0F0"/>
            </a:solidFill>
            <a:latin typeface="Maersk Headline" panose="00000500000000000000" pitchFamily="2" charset="0"/>
          </a:endParaRPr>
        </a:p>
      </xdr:txBody>
    </xdr:sp>
    <xdr:clientData/>
  </xdr:twoCellAnchor>
  <xdr:twoCellAnchor>
    <xdr:from>
      <xdr:col>0</xdr:col>
      <xdr:colOff>137583</xdr:colOff>
      <xdr:row>17</xdr:row>
      <xdr:rowOff>70908</xdr:rowOff>
    </xdr:from>
    <xdr:to>
      <xdr:col>2</xdr:col>
      <xdr:colOff>571500</xdr:colOff>
      <xdr:row>20</xdr:row>
      <xdr:rowOff>61383</xdr:rowOff>
    </xdr:to>
    <xdr:sp macro="" textlink="PIVOTS!J3">
      <xdr:nvSpPr>
        <xdr:cNvPr id="5" name="TextBox 4">
          <a:extLst>
            <a:ext uri="{FF2B5EF4-FFF2-40B4-BE49-F238E27FC236}">
              <a16:creationId xmlns:a16="http://schemas.microsoft.com/office/drawing/2014/main" id="{3122ECD2-56F2-4BB4-A62D-0410BB5C0751}"/>
            </a:ext>
          </a:extLst>
        </xdr:cNvPr>
        <xdr:cNvSpPr txBox="1"/>
      </xdr:nvSpPr>
      <xdr:spPr>
        <a:xfrm>
          <a:off x="137583" y="3129491"/>
          <a:ext cx="1661584" cy="530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8287D71-9234-4C5D-B874-F3D18DE9C228}" type="TxLink">
            <a:rPr lang="en-US" sz="2800" b="1" i="0" u="none" strike="noStrike">
              <a:solidFill>
                <a:srgbClr val="00B0F0"/>
              </a:solidFill>
              <a:latin typeface="Maersk Headline" panose="00000500000000000000" pitchFamily="2" charset="0"/>
              <a:cs typeface="Arial"/>
            </a:rPr>
            <a:pPr algn="ctr"/>
            <a:t>27:31</a:t>
          </a:fld>
          <a:endParaRPr lang="en-US" sz="28700" b="1">
            <a:solidFill>
              <a:srgbClr val="00B0F0"/>
            </a:solidFill>
            <a:latin typeface="Maersk Headline" panose="00000500000000000000" pitchFamily="2" charset="0"/>
          </a:endParaRPr>
        </a:p>
      </xdr:txBody>
    </xdr:sp>
    <xdr:clientData/>
  </xdr:twoCellAnchor>
  <xdr:twoCellAnchor>
    <xdr:from>
      <xdr:col>10</xdr:col>
      <xdr:colOff>296334</xdr:colOff>
      <xdr:row>17</xdr:row>
      <xdr:rowOff>63500</xdr:rowOff>
    </xdr:from>
    <xdr:to>
      <xdr:col>13</xdr:col>
      <xdr:colOff>158750</xdr:colOff>
      <xdr:row>20</xdr:row>
      <xdr:rowOff>52917</xdr:rowOff>
    </xdr:to>
    <xdr:sp macro="" textlink="PIVOTS!O3">
      <xdr:nvSpPr>
        <xdr:cNvPr id="6" name="TextBox 5">
          <a:extLst>
            <a:ext uri="{FF2B5EF4-FFF2-40B4-BE49-F238E27FC236}">
              <a16:creationId xmlns:a16="http://schemas.microsoft.com/office/drawing/2014/main" id="{86321E73-317B-48CC-904D-A9C49B02A42D}"/>
            </a:ext>
          </a:extLst>
        </xdr:cNvPr>
        <xdr:cNvSpPr txBox="1"/>
      </xdr:nvSpPr>
      <xdr:spPr>
        <a:xfrm>
          <a:off x="6434667" y="3122083"/>
          <a:ext cx="1703916" cy="52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0BF48BF-E8C8-4130-B678-360CB2B64FBD}" type="TxLink">
            <a:rPr lang="en-US" sz="2800" b="1" i="0" u="none" strike="noStrike">
              <a:solidFill>
                <a:srgbClr val="00B0F0"/>
              </a:solidFill>
              <a:latin typeface="Maersk Headline" panose="00000500000000000000" pitchFamily="2" charset="0"/>
              <a:cs typeface="Arial"/>
            </a:rPr>
            <a:pPr algn="ctr"/>
            <a:t>12:30</a:t>
          </a:fld>
          <a:endParaRPr lang="en-US" sz="123400" b="1">
            <a:solidFill>
              <a:srgbClr val="00B0F0"/>
            </a:solidFill>
            <a:latin typeface="Maersk Headline" panose="00000500000000000000" pitchFamily="2" charset="0"/>
          </a:endParaRPr>
        </a:p>
      </xdr:txBody>
    </xdr:sp>
    <xdr:clientData/>
  </xdr:twoCellAnchor>
  <xdr:twoCellAnchor editAs="oneCell">
    <xdr:from>
      <xdr:col>22</xdr:col>
      <xdr:colOff>81497</xdr:colOff>
      <xdr:row>0</xdr:row>
      <xdr:rowOff>86781</xdr:rowOff>
    </xdr:from>
    <xdr:to>
      <xdr:col>25</xdr:col>
      <xdr:colOff>52922</xdr:colOff>
      <xdr:row>6</xdr:row>
      <xdr:rowOff>148166</xdr:rowOff>
    </xdr:to>
    <mc:AlternateContent xmlns:mc="http://schemas.openxmlformats.org/markup-compatibility/2006" xmlns:a14="http://schemas.microsoft.com/office/drawing/2010/main">
      <mc:Choice Requires="a14">
        <xdr:graphicFrame macro="">
          <xdr:nvGraphicFramePr>
            <xdr:cNvPr id="7" name="TRANSPORT MODE">
              <a:extLst>
                <a:ext uri="{FF2B5EF4-FFF2-40B4-BE49-F238E27FC236}">
                  <a16:creationId xmlns:a16="http://schemas.microsoft.com/office/drawing/2014/main" id="{5039301F-08CD-4C28-9F6A-24E9B9706D0E}"/>
                </a:ext>
              </a:extLst>
            </xdr:cNvPr>
            <xdr:cNvGraphicFramePr/>
          </xdr:nvGraphicFramePr>
          <xdr:xfrm>
            <a:off x="0" y="0"/>
            <a:ext cx="0" cy="0"/>
          </xdr:xfrm>
          <a:graphic>
            <a:graphicData uri="http://schemas.microsoft.com/office/drawing/2010/slicer">
              <sle:slicer xmlns:sle="http://schemas.microsoft.com/office/drawing/2010/slicer" name="TRANSPORT MODE"/>
            </a:graphicData>
          </a:graphic>
        </xdr:graphicFrame>
      </mc:Choice>
      <mc:Fallback xmlns="">
        <xdr:sp macro="" textlink="">
          <xdr:nvSpPr>
            <xdr:cNvPr id="0" name=""/>
            <xdr:cNvSpPr>
              <a:spLocks noTextEdit="1"/>
            </xdr:cNvSpPr>
          </xdr:nvSpPr>
          <xdr:spPr>
            <a:xfrm>
              <a:off x="13585830" y="86781"/>
              <a:ext cx="1812925" cy="11408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571501</xdr:colOff>
      <xdr:row>17</xdr:row>
      <xdr:rowOff>74084</xdr:rowOff>
    </xdr:from>
    <xdr:to>
      <xdr:col>23</xdr:col>
      <xdr:colOff>254001</xdr:colOff>
      <xdr:row>20</xdr:row>
      <xdr:rowOff>74084</xdr:rowOff>
    </xdr:to>
    <xdr:sp macro="" textlink="PIVOTS!T3">
      <xdr:nvSpPr>
        <xdr:cNvPr id="8" name="TextBox 7">
          <a:extLst>
            <a:ext uri="{FF2B5EF4-FFF2-40B4-BE49-F238E27FC236}">
              <a16:creationId xmlns:a16="http://schemas.microsoft.com/office/drawing/2014/main" id="{D8FD3ACB-16D4-4A87-92A7-DA47B4D83DA8}"/>
            </a:ext>
          </a:extLst>
        </xdr:cNvPr>
        <xdr:cNvSpPr txBox="1"/>
      </xdr:nvSpPr>
      <xdr:spPr>
        <a:xfrm>
          <a:off x="12848168" y="3132667"/>
          <a:ext cx="152400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5C5A654-8990-48D9-8B89-EF58477960B8}" type="TxLink">
            <a:rPr lang="en-US" sz="2800" b="1" i="0" u="none" strike="noStrike">
              <a:solidFill>
                <a:srgbClr val="00B0F0"/>
              </a:solidFill>
              <a:latin typeface="Maersk Headline" panose="00000500000000000000" pitchFamily="2" charset="0"/>
              <a:cs typeface="Arial"/>
            </a:rPr>
            <a:pPr algn="ctr"/>
            <a:t>39:56</a:t>
          </a:fld>
          <a:endParaRPr lang="en-US" sz="400000" b="1">
            <a:solidFill>
              <a:srgbClr val="00B0F0"/>
            </a:solidFill>
            <a:latin typeface="Maersk Headline" panose="00000500000000000000" pitchFamily="2" charset="0"/>
          </a:endParaRPr>
        </a:p>
      </xdr:txBody>
    </xdr:sp>
    <xdr:clientData/>
  </xdr:twoCellAnchor>
  <xdr:twoCellAnchor>
    <xdr:from>
      <xdr:col>17</xdr:col>
      <xdr:colOff>603250</xdr:colOff>
      <xdr:row>10</xdr:row>
      <xdr:rowOff>31750</xdr:rowOff>
    </xdr:from>
    <xdr:to>
      <xdr:col>20</xdr:col>
      <xdr:colOff>444499</xdr:colOff>
      <xdr:row>15</xdr:row>
      <xdr:rowOff>127000</xdr:rowOff>
    </xdr:to>
    <xdr:sp macro="" textlink="PIVOTS!AL2">
      <xdr:nvSpPr>
        <xdr:cNvPr id="9" name="TextBox 8">
          <a:extLst>
            <a:ext uri="{FF2B5EF4-FFF2-40B4-BE49-F238E27FC236}">
              <a16:creationId xmlns:a16="http://schemas.microsoft.com/office/drawing/2014/main" id="{D70E00D8-361B-4CF5-9229-76D0EA27A582}"/>
            </a:ext>
          </a:extLst>
        </xdr:cNvPr>
        <xdr:cNvSpPr txBox="1"/>
      </xdr:nvSpPr>
      <xdr:spPr>
        <a:xfrm>
          <a:off x="11038417" y="1830917"/>
          <a:ext cx="1682749" cy="994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ED9EDF6-7EA2-4F68-8F69-B2F4A651AB24}" type="TxLink">
            <a:rPr lang="en-US" sz="5400" b="1" i="0" u="none" strike="noStrike">
              <a:solidFill>
                <a:srgbClr val="00B0F0"/>
              </a:solidFill>
              <a:latin typeface="Maersk Headline" panose="00000500000000000000" pitchFamily="2" charset="0"/>
              <a:cs typeface="Arial"/>
            </a:rPr>
            <a:pPr algn="ctr"/>
            <a:t>0:19</a:t>
          </a:fld>
          <a:endParaRPr lang="en-US" sz="333300" b="1">
            <a:solidFill>
              <a:srgbClr val="00B0F0"/>
            </a:solidFill>
            <a:latin typeface="Maersk Headline" panose="00000500000000000000" pitchFamily="2" charset="0"/>
          </a:endParaRPr>
        </a:p>
      </xdr:txBody>
    </xdr:sp>
    <xdr:clientData/>
  </xdr:twoCellAnchor>
  <xdr:twoCellAnchor editAs="oneCell">
    <xdr:from>
      <xdr:col>19</xdr:col>
      <xdr:colOff>167218</xdr:colOff>
      <xdr:row>0</xdr:row>
      <xdr:rowOff>89958</xdr:rowOff>
    </xdr:from>
    <xdr:to>
      <xdr:col>22</xdr:col>
      <xdr:colOff>10584</xdr:colOff>
      <xdr:row>6</xdr:row>
      <xdr:rowOff>158750</xdr:rowOff>
    </xdr:to>
    <mc:AlternateContent xmlns:mc="http://schemas.openxmlformats.org/markup-compatibility/2006" xmlns:a14="http://schemas.microsoft.com/office/drawing/2010/main">
      <mc:Choice Requires="a14">
        <xdr:graphicFrame macro="">
          <xdr:nvGraphicFramePr>
            <xdr:cNvPr id="10" name="DELIVERED IN -48H">
              <a:extLst>
                <a:ext uri="{FF2B5EF4-FFF2-40B4-BE49-F238E27FC236}">
                  <a16:creationId xmlns:a16="http://schemas.microsoft.com/office/drawing/2014/main" id="{B6D05DA0-4719-4E38-B4A0-B1203CF4FC5C}"/>
                </a:ext>
              </a:extLst>
            </xdr:cNvPr>
            <xdr:cNvGraphicFramePr/>
          </xdr:nvGraphicFramePr>
          <xdr:xfrm>
            <a:off x="0" y="0"/>
            <a:ext cx="0" cy="0"/>
          </xdr:xfrm>
          <a:graphic>
            <a:graphicData uri="http://schemas.microsoft.com/office/drawing/2010/slicer">
              <sle:slicer xmlns:sle="http://schemas.microsoft.com/office/drawing/2010/slicer" name="DELIVERED IN -48H"/>
            </a:graphicData>
          </a:graphic>
        </xdr:graphicFrame>
      </mc:Choice>
      <mc:Fallback xmlns="">
        <xdr:sp macro="" textlink="">
          <xdr:nvSpPr>
            <xdr:cNvPr id="0" name=""/>
            <xdr:cNvSpPr>
              <a:spLocks noTextEdit="1"/>
            </xdr:cNvSpPr>
          </xdr:nvSpPr>
          <xdr:spPr>
            <a:xfrm>
              <a:off x="11830051" y="89958"/>
              <a:ext cx="1684866" cy="11482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296330</xdr:colOff>
      <xdr:row>20</xdr:row>
      <xdr:rowOff>148167</xdr:rowOff>
    </xdr:from>
    <xdr:to>
      <xdr:col>20</xdr:col>
      <xdr:colOff>465666</xdr:colOff>
      <xdr:row>32</xdr:row>
      <xdr:rowOff>169335</xdr:rowOff>
    </xdr:to>
    <xdr:graphicFrame macro="">
      <xdr:nvGraphicFramePr>
        <xdr:cNvPr id="11" name="Chart 10">
          <a:extLst>
            <a:ext uri="{FF2B5EF4-FFF2-40B4-BE49-F238E27FC236}">
              <a16:creationId xmlns:a16="http://schemas.microsoft.com/office/drawing/2014/main" id="{4B6C8EA0-C974-47CF-A4AD-C0BDBEF4A8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18</xdr:col>
      <xdr:colOff>169333</xdr:colOff>
      <xdr:row>16</xdr:row>
      <xdr:rowOff>148167</xdr:rowOff>
    </xdr:from>
    <xdr:to>
      <xdr:col>20</xdr:col>
      <xdr:colOff>275352</xdr:colOff>
      <xdr:row>20</xdr:row>
      <xdr:rowOff>9607</xdr:rowOff>
    </xdr:to>
    <xdr:pic>
      <xdr:nvPicPr>
        <xdr:cNvPr id="38" name="Picture 37">
          <a:extLst>
            <a:ext uri="{FF2B5EF4-FFF2-40B4-BE49-F238E27FC236}">
              <a16:creationId xmlns:a16="http://schemas.microsoft.com/office/drawing/2014/main" id="{9B2BDBB0-CE74-C540-B71B-02AEDAF30AA9}"/>
            </a:ext>
          </a:extLst>
        </xdr:cNvPr>
        <xdr:cNvPicPr>
          <a:picLocks noChangeAspect="1"/>
        </xdr:cNvPicPr>
      </xdr:nvPicPr>
      <xdr:blipFill>
        <a:blip xmlns:r="http://schemas.openxmlformats.org/officeDocument/2006/relationships" r:embed="rId9"/>
        <a:stretch>
          <a:fillRect/>
        </a:stretch>
      </xdr:blipFill>
      <xdr:spPr>
        <a:xfrm>
          <a:off x="11218333" y="3026834"/>
          <a:ext cx="1333686" cy="581106"/>
        </a:xfrm>
        <a:prstGeom prst="rect">
          <a:avLst/>
        </a:prstGeom>
      </xdr:spPr>
    </xdr:pic>
    <xdr:clientData/>
  </xdr:twoCellAnchor>
  <xdr:twoCellAnchor editAs="oneCell">
    <xdr:from>
      <xdr:col>28</xdr:col>
      <xdr:colOff>105835</xdr:colOff>
      <xdr:row>16</xdr:row>
      <xdr:rowOff>137583</xdr:rowOff>
    </xdr:from>
    <xdr:to>
      <xdr:col>30</xdr:col>
      <xdr:colOff>192801</xdr:colOff>
      <xdr:row>19</xdr:row>
      <xdr:rowOff>166236</xdr:rowOff>
    </xdr:to>
    <xdr:pic>
      <xdr:nvPicPr>
        <xdr:cNvPr id="39" name="Picture 38">
          <a:extLst>
            <a:ext uri="{FF2B5EF4-FFF2-40B4-BE49-F238E27FC236}">
              <a16:creationId xmlns:a16="http://schemas.microsoft.com/office/drawing/2014/main" id="{E4EC367D-DCDC-74F7-4BC1-5C763C0FDA5E}"/>
            </a:ext>
          </a:extLst>
        </xdr:cNvPr>
        <xdr:cNvPicPr>
          <a:picLocks noChangeAspect="1"/>
        </xdr:cNvPicPr>
      </xdr:nvPicPr>
      <xdr:blipFill>
        <a:blip xmlns:r="http://schemas.openxmlformats.org/officeDocument/2006/relationships" r:embed="rId10"/>
        <a:stretch>
          <a:fillRect/>
        </a:stretch>
      </xdr:blipFill>
      <xdr:spPr>
        <a:xfrm>
          <a:off x="17293168" y="3016250"/>
          <a:ext cx="1314633" cy="568403"/>
        </a:xfrm>
        <a:prstGeom prst="rect">
          <a:avLst/>
        </a:prstGeom>
      </xdr:spPr>
    </xdr:pic>
    <xdr:clientData/>
  </xdr:twoCellAnchor>
  <xdr:twoCellAnchor editAs="oneCell">
    <xdr:from>
      <xdr:col>18</xdr:col>
      <xdr:colOff>381000</xdr:colOff>
      <xdr:row>8</xdr:row>
      <xdr:rowOff>158750</xdr:rowOff>
    </xdr:from>
    <xdr:to>
      <xdr:col>20</xdr:col>
      <xdr:colOff>332315</xdr:colOff>
      <xdr:row>10</xdr:row>
      <xdr:rowOff>95250</xdr:rowOff>
    </xdr:to>
    <xdr:pic>
      <xdr:nvPicPr>
        <xdr:cNvPr id="40" name="Picture 39">
          <a:extLst>
            <a:ext uri="{FF2B5EF4-FFF2-40B4-BE49-F238E27FC236}">
              <a16:creationId xmlns:a16="http://schemas.microsoft.com/office/drawing/2014/main" id="{E151DC5C-4DC4-4049-DE6E-95B0D312CE49}"/>
            </a:ext>
          </a:extLst>
        </xdr:cNvPr>
        <xdr:cNvPicPr>
          <a:picLocks noChangeAspect="1"/>
        </xdr:cNvPicPr>
      </xdr:nvPicPr>
      <xdr:blipFill>
        <a:blip xmlns:r="http://schemas.openxmlformats.org/officeDocument/2006/relationships" r:embed="rId11"/>
        <a:stretch>
          <a:fillRect/>
        </a:stretch>
      </xdr:blipFill>
      <xdr:spPr>
        <a:xfrm>
          <a:off x="11430000" y="1598083"/>
          <a:ext cx="1178982" cy="296334"/>
        </a:xfrm>
        <a:prstGeom prst="rect">
          <a:avLst/>
        </a:prstGeom>
      </xdr:spPr>
    </xdr:pic>
    <xdr:clientData/>
  </xdr:twoCellAnchor>
  <xdr:twoCellAnchor>
    <xdr:from>
      <xdr:col>16</xdr:col>
      <xdr:colOff>10584</xdr:colOff>
      <xdr:row>33</xdr:row>
      <xdr:rowOff>74082</xdr:rowOff>
    </xdr:from>
    <xdr:to>
      <xdr:col>25</xdr:col>
      <xdr:colOff>201084</xdr:colOff>
      <xdr:row>50</xdr:row>
      <xdr:rowOff>169335</xdr:rowOff>
    </xdr:to>
    <xdr:graphicFrame macro="">
      <xdr:nvGraphicFramePr>
        <xdr:cNvPr id="46" name="Chart 40">
          <a:extLst>
            <a:ext uri="{FF2B5EF4-FFF2-40B4-BE49-F238E27FC236}">
              <a16:creationId xmlns:a16="http://schemas.microsoft.com/office/drawing/2014/main" id="{87A4FDCB-0CA8-46CE-92D3-D6FDB0792C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275168</xdr:colOff>
      <xdr:row>33</xdr:row>
      <xdr:rowOff>74083</xdr:rowOff>
    </xdr:from>
    <xdr:to>
      <xdr:col>30</xdr:col>
      <xdr:colOff>412751</xdr:colOff>
      <xdr:row>50</xdr:row>
      <xdr:rowOff>158750</xdr:rowOff>
    </xdr:to>
    <xdr:graphicFrame macro="">
      <xdr:nvGraphicFramePr>
        <xdr:cNvPr id="30" name="Chart 43">
          <a:extLst>
            <a:ext uri="{FF2B5EF4-FFF2-40B4-BE49-F238E27FC236}">
              <a16:creationId xmlns:a16="http://schemas.microsoft.com/office/drawing/2014/main" id="{CAF973D7-F116-41F5-A1CC-E7678CD16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582071</xdr:colOff>
      <xdr:row>7</xdr:row>
      <xdr:rowOff>137584</xdr:rowOff>
    </xdr:from>
    <xdr:to>
      <xdr:col>7</xdr:col>
      <xdr:colOff>253997</xdr:colOff>
      <xdr:row>16</xdr:row>
      <xdr:rowOff>105834</xdr:rowOff>
    </xdr:to>
    <xdr:graphicFrame macro="">
      <xdr:nvGraphicFramePr>
        <xdr:cNvPr id="48" name="Chart 45">
          <a:extLst>
            <a:ext uri="{FF2B5EF4-FFF2-40B4-BE49-F238E27FC236}">
              <a16:creationId xmlns:a16="http://schemas.microsoft.com/office/drawing/2014/main" id="{727C8BF6-5C25-49AA-9515-2ACF5A84B5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592668</xdr:colOff>
      <xdr:row>7</xdr:row>
      <xdr:rowOff>137583</xdr:rowOff>
    </xdr:from>
    <xdr:to>
      <xdr:col>10</xdr:col>
      <xdr:colOff>317500</xdr:colOff>
      <xdr:row>16</xdr:row>
      <xdr:rowOff>116417</xdr:rowOff>
    </xdr:to>
    <xdr:graphicFrame macro="">
      <xdr:nvGraphicFramePr>
        <xdr:cNvPr id="2" name="Chart 48">
          <a:extLst>
            <a:ext uri="{FF2B5EF4-FFF2-40B4-BE49-F238E27FC236}">
              <a16:creationId xmlns:a16="http://schemas.microsoft.com/office/drawing/2014/main" id="{7E40FD7B-9535-4E56-B9A7-A0221F1C6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20</xdr:col>
      <xdr:colOff>571497</xdr:colOff>
      <xdr:row>20</xdr:row>
      <xdr:rowOff>148165</xdr:rowOff>
    </xdr:from>
    <xdr:to>
      <xdr:col>30</xdr:col>
      <xdr:colOff>402168</xdr:colOff>
      <xdr:row>32</xdr:row>
      <xdr:rowOff>179916</xdr:rowOff>
    </xdr:to>
    <xdr:graphicFrame macro="">
      <xdr:nvGraphicFramePr>
        <xdr:cNvPr id="50" name="Chart 49">
          <a:extLst>
            <a:ext uri="{FF2B5EF4-FFF2-40B4-BE49-F238E27FC236}">
              <a16:creationId xmlns:a16="http://schemas.microsoft.com/office/drawing/2014/main" id="{443E9D2D-56CE-42EC-85A9-1FB19D6416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370418</xdr:colOff>
      <xdr:row>7</xdr:row>
      <xdr:rowOff>63500</xdr:rowOff>
    </xdr:from>
    <xdr:to>
      <xdr:col>17</xdr:col>
      <xdr:colOff>529166</xdr:colOff>
      <xdr:row>15</xdr:row>
      <xdr:rowOff>137583</xdr:rowOff>
    </xdr:to>
    <xdr:graphicFrame macro="">
      <xdr:nvGraphicFramePr>
        <xdr:cNvPr id="4" name="Chart 3">
          <a:extLst>
            <a:ext uri="{FF2B5EF4-FFF2-40B4-BE49-F238E27FC236}">
              <a16:creationId xmlns:a16="http://schemas.microsoft.com/office/drawing/2014/main" id="{8895E456-BC72-47D2-96A9-12AA737533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84669</xdr:colOff>
      <xdr:row>33</xdr:row>
      <xdr:rowOff>74090</xdr:rowOff>
    </xdr:from>
    <xdr:to>
      <xdr:col>15</xdr:col>
      <xdr:colOff>539751</xdr:colOff>
      <xdr:row>50</xdr:row>
      <xdr:rowOff>169339</xdr:rowOff>
    </xdr:to>
    <xdr:graphicFrame macro="">
      <xdr:nvGraphicFramePr>
        <xdr:cNvPr id="19" name="Chart 18">
          <a:extLst>
            <a:ext uri="{FF2B5EF4-FFF2-40B4-BE49-F238E27FC236}">
              <a16:creationId xmlns:a16="http://schemas.microsoft.com/office/drawing/2014/main" id="{5DC908E0-9996-4571-A570-BF61EE67D3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25</xdr:col>
      <xdr:colOff>127001</xdr:colOff>
      <xdr:row>0</xdr:row>
      <xdr:rowOff>84666</xdr:rowOff>
    </xdr:from>
    <xdr:to>
      <xdr:col>27</xdr:col>
      <xdr:colOff>476250</xdr:colOff>
      <xdr:row>15</xdr:row>
      <xdr:rowOff>169333</xdr:rowOff>
    </xdr:to>
    <mc:AlternateContent xmlns:mc="http://schemas.openxmlformats.org/markup-compatibility/2006" xmlns:a14="http://schemas.microsoft.com/office/drawing/2010/main">
      <mc:Choice Requires="a14">
        <xdr:graphicFrame macro="">
          <xdr:nvGraphicFramePr>
            <xdr:cNvPr id="42" name="TERMINAL">
              <a:extLst>
                <a:ext uri="{FF2B5EF4-FFF2-40B4-BE49-F238E27FC236}">
                  <a16:creationId xmlns:a16="http://schemas.microsoft.com/office/drawing/2014/main" id="{E05676EC-5834-40E5-BE65-4F5F51451605}"/>
                </a:ext>
              </a:extLst>
            </xdr:cNvPr>
            <xdr:cNvGraphicFramePr/>
          </xdr:nvGraphicFramePr>
          <xdr:xfrm>
            <a:off x="0" y="0"/>
            <a:ext cx="0" cy="0"/>
          </xdr:xfrm>
          <a:graphic>
            <a:graphicData uri="http://schemas.microsoft.com/office/drawing/2010/slicer">
              <sle:slicer xmlns:sle="http://schemas.microsoft.com/office/drawing/2010/slicer" name="TERMINAL"/>
            </a:graphicData>
          </a:graphic>
        </xdr:graphicFrame>
      </mc:Choice>
      <mc:Fallback xmlns="">
        <xdr:sp macro="" textlink="">
          <xdr:nvSpPr>
            <xdr:cNvPr id="0" name=""/>
            <xdr:cNvSpPr>
              <a:spLocks noTextEdit="1"/>
            </xdr:cNvSpPr>
          </xdr:nvSpPr>
          <xdr:spPr>
            <a:xfrm>
              <a:off x="15472834" y="84667"/>
              <a:ext cx="1576916" cy="1640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285748</xdr:colOff>
      <xdr:row>9</xdr:row>
      <xdr:rowOff>95250</xdr:rowOff>
    </xdr:from>
    <xdr:to>
      <xdr:col>13</xdr:col>
      <xdr:colOff>264582</xdr:colOff>
      <xdr:row>15</xdr:row>
      <xdr:rowOff>127000</xdr:rowOff>
    </xdr:to>
    <xdr:sp macro="" textlink="PIVOTS!C23">
      <xdr:nvSpPr>
        <xdr:cNvPr id="59" name="TextBox 1">
          <a:extLst>
            <a:ext uri="{FF2B5EF4-FFF2-40B4-BE49-F238E27FC236}">
              <a16:creationId xmlns:a16="http://schemas.microsoft.com/office/drawing/2014/main" id="{A040683D-2441-4C1D-890F-FFAF91F20C7E}"/>
            </a:ext>
          </a:extLst>
        </xdr:cNvPr>
        <xdr:cNvSpPr txBox="1"/>
      </xdr:nvSpPr>
      <xdr:spPr>
        <a:xfrm>
          <a:off x="6424081" y="1714500"/>
          <a:ext cx="1820334" cy="111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E2C3D47-93E3-4260-8B2F-8B5153B9ACAE}" type="TxLink">
            <a:rPr lang="en-US" sz="6000" b="1" i="0" u="none" strike="noStrike">
              <a:solidFill>
                <a:srgbClr val="00B0F0"/>
              </a:solidFill>
              <a:latin typeface="Maersk Headline" panose="00000500000000000000" pitchFamily="2" charset="0"/>
              <a:cs typeface="Arial"/>
            </a:rPr>
            <a:pPr algn="ctr"/>
            <a:t>0%</a:t>
          </a:fld>
          <a:endParaRPr lang="en-US" sz="102800" b="1">
            <a:solidFill>
              <a:srgbClr val="00B0F0"/>
            </a:solidFill>
            <a:latin typeface="Maersk Headline" panose="00000500000000000000" pitchFamily="2" charset="0"/>
          </a:endParaRPr>
        </a:p>
      </xdr:txBody>
    </xdr:sp>
    <xdr:clientData/>
  </xdr:twoCellAnchor>
  <xdr:twoCellAnchor editAs="oneCell">
    <xdr:from>
      <xdr:col>7</xdr:col>
      <xdr:colOff>402168</xdr:colOff>
      <xdr:row>0</xdr:row>
      <xdr:rowOff>84666</xdr:rowOff>
    </xdr:from>
    <xdr:to>
      <xdr:col>16</xdr:col>
      <xdr:colOff>179918</xdr:colOff>
      <xdr:row>6</xdr:row>
      <xdr:rowOff>148166</xdr:rowOff>
    </xdr:to>
    <mc:AlternateContent xmlns:mc="http://schemas.openxmlformats.org/markup-compatibility/2006" xmlns:tsle="http://schemas.microsoft.com/office/drawing/2012/timeslicer">
      <mc:Choice Requires="tsle">
        <xdr:graphicFrame macro="">
          <xdr:nvGraphicFramePr>
            <xdr:cNvPr id="44" name="TRUCK SHOW UP">
              <a:extLst>
                <a:ext uri="{FF2B5EF4-FFF2-40B4-BE49-F238E27FC236}">
                  <a16:creationId xmlns:a16="http://schemas.microsoft.com/office/drawing/2014/main" id="{38788BA9-DA95-4C4E-922B-60E548A3BD09}"/>
                </a:ext>
              </a:extLst>
            </xdr:cNvPr>
            <xdr:cNvGraphicFramePr/>
          </xdr:nvGraphicFramePr>
          <xdr:xfrm>
            <a:off x="0" y="0"/>
            <a:ext cx="0" cy="0"/>
          </xdr:xfrm>
          <a:graphic>
            <a:graphicData uri="http://schemas.microsoft.com/office/drawing/2012/timeslicer">
              <tsle:timeslicer name="TRUCK SHOW UP"/>
            </a:graphicData>
          </a:graphic>
        </xdr:graphicFrame>
      </mc:Choice>
      <mc:Fallback xmlns="">
        <xdr:sp macro="" textlink="">
          <xdr:nvSpPr>
            <xdr:cNvPr id="0" name=""/>
            <xdr:cNvSpPr>
              <a:spLocks noTextEdit="1"/>
            </xdr:cNvSpPr>
          </xdr:nvSpPr>
          <xdr:spPr>
            <a:xfrm>
              <a:off x="4699001" y="84666"/>
              <a:ext cx="5302250"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23</xdr:col>
      <xdr:colOff>74083</xdr:colOff>
      <xdr:row>7</xdr:row>
      <xdr:rowOff>63499</xdr:rowOff>
    </xdr:from>
    <xdr:to>
      <xdr:col>25</xdr:col>
      <xdr:colOff>63494</xdr:colOff>
      <xdr:row>15</xdr:row>
      <xdr:rowOff>149227</xdr:rowOff>
    </xdr:to>
    <xdr:sp macro="" textlink="">
      <xdr:nvSpPr>
        <xdr:cNvPr id="12" name="Rectangle: Rounded Corners 28">
          <a:extLst>
            <a:ext uri="{FF2B5EF4-FFF2-40B4-BE49-F238E27FC236}">
              <a16:creationId xmlns:a16="http://schemas.microsoft.com/office/drawing/2014/main" id="{8E5660D6-BF97-42C2-A71F-49B9DCA9272B}"/>
            </a:ext>
          </a:extLst>
        </xdr:cNvPr>
        <xdr:cNvSpPr/>
      </xdr:nvSpPr>
      <xdr:spPr>
        <a:xfrm>
          <a:off x="14192250" y="1322916"/>
          <a:ext cx="1217077" cy="1525061"/>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Total CNTS GOH cleaned:</a:t>
          </a:r>
          <a:endParaRPr lang="en-US" sz="1100" b="1">
            <a:solidFill>
              <a:schemeClr val="tx1"/>
            </a:solidFill>
          </a:endParaRPr>
        </a:p>
      </xdr:txBody>
    </xdr:sp>
    <xdr:clientData/>
  </xdr:twoCellAnchor>
  <xdr:twoCellAnchor>
    <xdr:from>
      <xdr:col>23</xdr:col>
      <xdr:colOff>84666</xdr:colOff>
      <xdr:row>9</xdr:row>
      <xdr:rowOff>158750</xdr:rowOff>
    </xdr:from>
    <xdr:to>
      <xdr:col>25</xdr:col>
      <xdr:colOff>63500</xdr:colOff>
      <xdr:row>15</xdr:row>
      <xdr:rowOff>152400</xdr:rowOff>
    </xdr:to>
    <xdr:sp macro="" textlink="PIVOTS!AC23">
      <xdr:nvSpPr>
        <xdr:cNvPr id="13" name="TextBox 1">
          <a:extLst>
            <a:ext uri="{FF2B5EF4-FFF2-40B4-BE49-F238E27FC236}">
              <a16:creationId xmlns:a16="http://schemas.microsoft.com/office/drawing/2014/main" id="{30C2065A-6A29-4945-B863-0F5C64AB0CF0}"/>
            </a:ext>
          </a:extLst>
        </xdr:cNvPr>
        <xdr:cNvSpPr txBox="1"/>
      </xdr:nvSpPr>
      <xdr:spPr>
        <a:xfrm>
          <a:off x="14202833" y="1778000"/>
          <a:ext cx="1206500" cy="1073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DAD09BB-F228-4155-AE82-B69DFF4ECD29}" type="TxLink">
            <a:rPr lang="en-US" sz="4400" b="1" i="0" u="none" strike="noStrike">
              <a:solidFill>
                <a:srgbClr val="00B0F0"/>
              </a:solidFill>
              <a:latin typeface="Maersk Headline"/>
              <a:cs typeface="Arial"/>
            </a:rPr>
            <a:pPr algn="ctr"/>
            <a:t>48</a:t>
          </a:fld>
          <a:endParaRPr lang="en-US" sz="333300" b="1">
            <a:solidFill>
              <a:srgbClr val="00B0F0"/>
            </a:solidFill>
            <a:latin typeface="Maersk Headline" panose="00000500000000000000" pitchFamily="2" charset="0"/>
          </a:endParaRPr>
        </a:p>
      </xdr:txBody>
    </xdr:sp>
    <xdr:clientData/>
  </xdr:twoCellAnchor>
  <xdr:twoCellAnchor>
    <xdr:from>
      <xdr:col>20</xdr:col>
      <xdr:colOff>565149</xdr:colOff>
      <xdr:row>7</xdr:row>
      <xdr:rowOff>74083</xdr:rowOff>
    </xdr:from>
    <xdr:to>
      <xdr:col>22</xdr:col>
      <xdr:colOff>603250</xdr:colOff>
      <xdr:row>15</xdr:row>
      <xdr:rowOff>148168</xdr:rowOff>
    </xdr:to>
    <xdr:sp macro="" textlink="">
      <xdr:nvSpPr>
        <xdr:cNvPr id="14" name="Rectangle: Rounded Corners 28">
          <a:extLst>
            <a:ext uri="{FF2B5EF4-FFF2-40B4-BE49-F238E27FC236}">
              <a16:creationId xmlns:a16="http://schemas.microsoft.com/office/drawing/2014/main" id="{9EA9F8E8-D694-4A8A-9F55-1FAC06A3F6AE}"/>
            </a:ext>
          </a:extLst>
        </xdr:cNvPr>
        <xdr:cNvSpPr/>
      </xdr:nvSpPr>
      <xdr:spPr>
        <a:xfrm>
          <a:off x="12841816" y="1333500"/>
          <a:ext cx="1265767" cy="1513418"/>
        </a:xfrm>
        <a:prstGeom prst="rect">
          <a:avLst/>
        </a:prstGeom>
        <a:solidFill>
          <a:schemeClr val="bg1"/>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ENTREGAS PUNTUALES:</a:t>
          </a:r>
          <a:endParaRPr lang="en-US" sz="1100" b="1">
            <a:solidFill>
              <a:schemeClr val="tx1"/>
            </a:solidFill>
            <a:latin typeface="Maersk Headline" panose="00000500000000000000" pitchFamily="2" charset="0"/>
          </a:endParaRPr>
        </a:p>
      </xdr:txBody>
    </xdr:sp>
    <xdr:clientData/>
  </xdr:twoCellAnchor>
  <xdr:twoCellAnchor>
    <xdr:from>
      <xdr:col>20</xdr:col>
      <xdr:colOff>571500</xdr:colOff>
      <xdr:row>9</xdr:row>
      <xdr:rowOff>169333</xdr:rowOff>
    </xdr:from>
    <xdr:to>
      <xdr:col>22</xdr:col>
      <xdr:colOff>603249</xdr:colOff>
      <xdr:row>15</xdr:row>
      <xdr:rowOff>148167</xdr:rowOff>
    </xdr:to>
    <xdr:sp macro="" textlink="PIVOTS!C60">
      <xdr:nvSpPr>
        <xdr:cNvPr id="16" name="TextBox 15">
          <a:extLst>
            <a:ext uri="{FF2B5EF4-FFF2-40B4-BE49-F238E27FC236}">
              <a16:creationId xmlns:a16="http://schemas.microsoft.com/office/drawing/2014/main" id="{9B800B78-E167-4B2A-B173-60B9E42F7895}"/>
            </a:ext>
          </a:extLst>
        </xdr:cNvPr>
        <xdr:cNvSpPr txBox="1"/>
      </xdr:nvSpPr>
      <xdr:spPr>
        <a:xfrm>
          <a:off x="12848167" y="1788583"/>
          <a:ext cx="1259415" cy="1058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2ED49E5-F6C3-4541-8680-4A69C4B08E66}" type="TxLink">
            <a:rPr lang="en-US" sz="4400" b="1" i="0" u="none" strike="noStrike">
              <a:solidFill>
                <a:srgbClr val="00B0F0"/>
              </a:solidFill>
              <a:latin typeface="Maersk Headline" panose="00000500000000000000" pitchFamily="2" charset="0"/>
              <a:cs typeface="Arial"/>
            </a:rPr>
            <a:pPr algn="ctr"/>
            <a:t>84%</a:t>
          </a:fld>
          <a:endParaRPr lang="en-US" sz="400000" b="1">
            <a:solidFill>
              <a:srgbClr val="00B0F0"/>
            </a:solidFill>
            <a:latin typeface="Maersk Headline" panose="00000500000000000000" pitchFamily="2" charset="0"/>
          </a:endParaRPr>
        </a:p>
      </xdr:txBody>
    </xdr:sp>
    <xdr:clientData/>
  </xdr:twoCellAnchor>
  <xdr:twoCellAnchor editAs="oneCell">
    <xdr:from>
      <xdr:col>7</xdr:col>
      <xdr:colOff>486834</xdr:colOff>
      <xdr:row>16</xdr:row>
      <xdr:rowOff>148167</xdr:rowOff>
    </xdr:from>
    <xdr:to>
      <xdr:col>9</xdr:col>
      <xdr:colOff>607675</xdr:colOff>
      <xdr:row>19</xdr:row>
      <xdr:rowOff>176742</xdr:rowOff>
    </xdr:to>
    <xdr:pic>
      <xdr:nvPicPr>
        <xdr:cNvPr id="41" name="Picture 16">
          <a:extLst>
            <a:ext uri="{FF2B5EF4-FFF2-40B4-BE49-F238E27FC236}">
              <a16:creationId xmlns:a16="http://schemas.microsoft.com/office/drawing/2014/main" id="{50D49FCE-7B9A-1815-8F76-8FDB7F096951}"/>
            </a:ext>
          </a:extLst>
        </xdr:cNvPr>
        <xdr:cNvPicPr>
          <a:picLocks noChangeAspect="1"/>
        </xdr:cNvPicPr>
      </xdr:nvPicPr>
      <xdr:blipFill>
        <a:blip xmlns:r="http://schemas.openxmlformats.org/officeDocument/2006/relationships" r:embed="rId19"/>
        <a:stretch>
          <a:fillRect/>
        </a:stretch>
      </xdr:blipFill>
      <xdr:spPr>
        <a:xfrm>
          <a:off x="4783667" y="3026834"/>
          <a:ext cx="1340041" cy="571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228601</xdr:colOff>
      <xdr:row>1</xdr:row>
      <xdr:rowOff>114300</xdr:rowOff>
    </xdr:from>
    <xdr:to>
      <xdr:col>2</xdr:col>
      <xdr:colOff>390525</xdr:colOff>
      <xdr:row>6</xdr:row>
      <xdr:rowOff>76199</xdr:rowOff>
    </xdr:to>
    <xdr:pic macro="[0]!Exportar_Reporte_Quincena_Final">
      <xdr:nvPicPr>
        <xdr:cNvPr id="3" name="Graphic 2" descr="Euro with solid fill">
          <a:extLst>
            <a:ext uri="{FF2B5EF4-FFF2-40B4-BE49-F238E27FC236}">
              <a16:creationId xmlns:a16="http://schemas.microsoft.com/office/drawing/2014/main" id="{8EE3766B-2757-5348-5434-13AC1B119C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38201" y="276225"/>
          <a:ext cx="771524" cy="7715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EDIA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RANSPORTIS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DIA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NSPORTIST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n Martinez Codina" refreshedDate="46084.50784791667" createdVersion="8" refreshedVersion="8" minRefreshableVersion="3" recordCount="403" xr:uid="{F4DF0F3F-05C2-46D4-96E3-137561D8BB56}">
  <cacheSource type="worksheet">
    <worksheetSource name="Table2"/>
  </cacheSource>
  <cacheFields count="57">
    <cacheField name="VESSEL" numFmtId="0">
      <sharedItems/>
    </cacheField>
    <cacheField name="TERMINAL" numFmtId="0">
      <sharedItems count="7">
        <s v="DCD"/>
        <s v="NLMVII"/>
        <s v="HPD2"/>
        <s v="Algeciras"/>
        <s v="Bremerhaven" u="1"/>
        <s v="Hamburg" u="1"/>
        <s v="ESALRTM" u="1"/>
      </sharedItems>
    </cacheField>
    <cacheField name="ATA" numFmtId="164">
      <sharedItems containsSemiMixedTypes="0" containsNonDate="0" containsDate="1" containsString="0" minDate="2025-12-29T11:41:00" maxDate="2026-02-27T17:11:00"/>
    </cacheField>
    <cacheField name="ETA" numFmtId="164">
      <sharedItems containsSemiMixedTypes="0" containsNonDate="0" containsDate="1" containsString="0" minDate="2025-12-29T12:00:00" maxDate="2026-02-27T17:00:00"/>
    </cacheField>
    <cacheField name="HAULER" numFmtId="164">
      <sharedItems count="16">
        <s v="AZOIA LOGISTICS"/>
        <s v="CTK TRANSPORT"/>
        <s v="LOGIX"/>
        <s v="MSI"/>
        <s v="OM TRANSPORT"/>
        <s v="OTL"/>
        <s v="ALTRANSA"/>
        <s v="UTURN" u="1"/>
        <s v="GTS" u="1"/>
        <s v="BALTIC" u="1"/>
        <s v="CTU FLEVOKUST BV" u="1"/>
        <s v="MARCOTRAN S.L." u="1"/>
        <s v="TMA MULTIMODAL B.V." u="1"/>
        <s v="BR LOGISTIK" u="1"/>
        <s v="ICL" u="1"/>
        <s v="VEPCO" u="1"/>
      </sharedItems>
    </cacheField>
    <cacheField name="MASTER BL" numFmtId="164">
      <sharedItems/>
    </cacheField>
    <cacheField name="CARRIER" numFmtId="164">
      <sharedItems containsBlank="1" count="9">
        <s v="MAERSK"/>
        <s v="HAPAG LLOYD"/>
        <s v="COSCO" u="1"/>
        <s v="ONE" u="1"/>
        <s v="CMA" u="1"/>
        <m u="1"/>
        <s v="MAEU" u="1"/>
        <s v="HLCU" u="1"/>
        <s v="OCEAN NETWORK EXPRESS (CHINA) LTD" u="1"/>
      </sharedItems>
    </cacheField>
    <cacheField name="PUERTO ORIGEN" numFmtId="164">
      <sharedItems/>
    </cacheField>
    <cacheField name="CONTAINER" numFmtId="0">
      <sharedItems/>
    </cacheField>
    <cacheField name="WAREHOUSE" numFmtId="0">
      <sharedItems/>
    </cacheField>
    <cacheField name="DELIVERY AVAILABLE SINCE" numFmtId="164">
      <sharedItems containsSemiMixedTypes="0" containsNonDate="0" containsDate="1" containsString="0" minDate="2025-12-30T17:00:00" maxDate="2026-03-01T08:00:00"/>
    </cacheField>
    <cacheField name="TRUCK SHOW UP" numFmtId="164">
      <sharedItems containsSemiMixedTypes="0" containsNonDate="0" containsDate="1" containsString="0" minDate="2026-01-02T07:40:00" maxDate="2026-03-01T18:29:00" count="394">
        <d v="2026-01-03T07:56:00"/>
        <d v="2026-01-02T10:45:00"/>
        <d v="2026-01-04T08:40:00"/>
        <d v="2026-01-12T07:56:00"/>
        <d v="2026-01-12T05:34:00"/>
        <d v="2026-01-12T15:31:00"/>
        <d v="2026-01-15T14:08:00"/>
        <d v="2026-01-15T11:00:00"/>
        <d v="2026-01-02T08:11:00"/>
        <d v="2026-01-05T09:00:00"/>
        <d v="2026-01-06T12:33:00"/>
        <d v="2026-01-06T14:30:00"/>
        <d v="2026-01-06T20:38:00"/>
        <d v="2026-01-08T10:00:00"/>
        <d v="2026-01-08T17:25:00"/>
        <d v="2026-01-08T19:00:00"/>
        <d v="2026-01-08T06:02:00"/>
        <d v="2026-01-08T14:25:00"/>
        <d v="2026-01-10T18:25:00"/>
        <d v="2026-01-10T07:19:00"/>
        <d v="2026-01-10T17:53:00"/>
        <d v="2026-01-10T10:47:00"/>
        <d v="2026-01-12T06:25:00"/>
        <d v="2026-01-12T00:05:00"/>
        <d v="2026-01-12T07:30:00"/>
        <d v="2026-01-12T13:37:00"/>
        <d v="2026-01-13T06:00:00"/>
        <d v="2026-01-14T19:27:00"/>
        <d v="2026-01-15T19:30:00"/>
        <d v="2026-01-15T07:40:00"/>
        <d v="2026-01-15T13:25:00"/>
        <d v="2026-01-15T12:05:00"/>
        <d v="2026-01-05T10:59:00"/>
        <d v="2026-01-05T12:20:00"/>
        <d v="2026-01-05T13:49:00"/>
        <d v="2026-01-08T09:42:00"/>
        <d v="2026-01-08T06:58:00"/>
        <d v="2026-01-08T16:30:00"/>
        <d v="2026-01-11T09:40:00"/>
        <d v="2026-01-11T11:30:00"/>
        <d v="2026-01-08T18:05:00"/>
        <d v="2026-01-09T20:43:00"/>
        <d v="2026-01-10T16:20:00"/>
        <d v="2026-01-10T11:30:00"/>
        <d v="2026-01-11T08:00:00"/>
        <d v="2026-01-12T06:00:00"/>
        <d v="2026-01-12T13:30:00"/>
        <d v="2026-01-11T18:07:00"/>
        <d v="2026-01-12T01:03:00"/>
        <d v="2026-01-12T07:34:00"/>
        <d v="2026-01-15T15:30:00"/>
        <d v="2026-01-15T13:30:00"/>
        <d v="2026-01-14T17:28:00"/>
        <d v="2026-01-14T16:28:00"/>
        <d v="2026-01-15T06:05:00"/>
        <d v="2026-01-15T16:50:00"/>
        <d v="2026-01-02T21:57:00"/>
        <d v="2026-01-05T00:56:00"/>
        <d v="2026-01-06T06:39:00"/>
        <d v="2026-01-05T14:00:00"/>
        <d v="2026-01-05T18:20:00"/>
        <d v="2026-01-05T19:41:00"/>
        <d v="2026-01-06T09:47:00"/>
        <d v="2026-01-06T14:20:00"/>
        <d v="2026-01-06T16:34:00"/>
        <d v="2026-01-06T20:00:00"/>
        <d v="2026-01-08T10:28:00"/>
        <d v="2026-01-08T16:40:00"/>
        <d v="2026-01-08T06:27:00"/>
        <d v="2026-01-08T15:00:00"/>
        <d v="2026-01-08T06:37:00"/>
        <d v="2026-01-08T08:12:00"/>
        <d v="2026-01-10T05:44:00"/>
        <d v="2026-01-08T11:58:00"/>
        <d v="2026-01-11T20:00:00"/>
        <d v="2026-01-12T05:55:00"/>
        <d v="2026-01-12T08:45:00"/>
        <d v="2026-01-11T21:31:00"/>
        <d v="2026-01-12T11:22:00"/>
        <d v="2026-01-12T19:24:00"/>
        <d v="2026-01-12T07:25:00"/>
        <d v="2026-01-14T19:00:00"/>
        <d v="2026-01-15T06:10:00"/>
        <d v="2026-01-15T15:21:00"/>
        <d v="2026-01-15T08:55:00"/>
        <d v="2026-01-15T07:05:00"/>
        <d v="2026-01-15T12:10:00"/>
        <d v="2026-01-02T07:40:00"/>
        <d v="2026-01-05T17:00:00"/>
        <d v="2026-01-06T01:00:00"/>
        <d v="2026-01-06T11:15:00"/>
        <d v="2026-01-06T16:15:00"/>
        <d v="2026-01-06T16:30:00"/>
        <d v="2026-01-15T12:00:00"/>
        <d v="2026-01-14T20:17:00"/>
        <d v="2026-01-14T20:20:00"/>
        <d v="2026-01-17T07:25:00"/>
        <d v="2026-01-18T08:29:00"/>
        <d v="2026-01-18T09:27:00"/>
        <d v="2026-01-18T10:11:00"/>
        <d v="2026-01-22T06:12:00"/>
        <d v="2026-01-22T09:04:00"/>
        <d v="2026-01-22T06:34:00"/>
        <d v="2026-01-22T07:19:00"/>
        <d v="2026-01-22T08:35:00"/>
        <d v="2026-01-22T09:00:00"/>
        <d v="2026-01-22T10:46:00"/>
        <d v="2026-01-22T11:02:00"/>
        <d v="2026-01-22T11:15:00"/>
        <d v="2026-01-22T12:13:00"/>
        <d v="2026-01-22T14:00:00"/>
        <d v="2026-01-22T14:05:00"/>
        <d v="2026-01-22T14:50:00"/>
        <d v="2026-01-22T18:12:00"/>
        <d v="2026-01-22T20:19:00"/>
        <d v="2026-01-23T13:30:00"/>
        <d v="2026-01-25T06:07:00"/>
        <d v="2026-01-25T05:06:00"/>
        <d v="2026-01-25T07:40:00"/>
        <d v="2026-01-25T07:54:00"/>
        <d v="2026-01-25T08:05:00"/>
        <d v="2026-01-25T08:00:00"/>
        <d v="2026-01-25T08:32:00"/>
        <d v="2026-01-25T09:36:00"/>
        <d v="2026-01-25T08:53:00"/>
        <d v="2026-01-25T09:57:00"/>
        <d v="2026-01-25T10:12:00"/>
        <d v="2026-01-25T12:08:00"/>
        <d v="2026-01-25T13:00:00"/>
        <d v="2026-01-25T13:18:00"/>
        <d v="2026-01-25T14:48:00"/>
        <d v="2026-01-25T15:51:00"/>
        <d v="2026-01-25T13:23:00"/>
        <d v="2026-01-25T09:00:00"/>
        <d v="2026-01-25T18:16:00"/>
        <d v="2026-01-25T21:05:00"/>
        <d v="2026-01-25T17:42:00"/>
        <d v="2026-01-25T22:09:00"/>
        <d v="2026-01-25T17:53:00"/>
        <d v="2026-01-26T08:10:00"/>
        <d v="2026-01-26T11:08:00"/>
        <d v="2026-01-29T09:00:00"/>
        <d v="2026-01-30T06:00:00"/>
        <d v="2026-01-29T06:00:00"/>
        <d v="2026-01-29T10:15:00"/>
        <d v="2026-01-29T15:25:00"/>
        <d v="2026-01-29T21:00:00"/>
        <d v="2026-01-29T16:20:00"/>
        <d v="2026-01-29T18:45:00"/>
        <d v="2026-01-30T09:45:00"/>
        <d v="2026-01-30T07:05:00"/>
        <d v="2026-01-30T08:05:00"/>
        <d v="2026-01-29T12:10:00"/>
        <d v="2026-01-29T11:25:00"/>
        <d v="2026-01-29T12:18:00"/>
        <d v="2026-02-01T08:59:00"/>
        <d v="2026-02-01T07:36:00"/>
        <d v="2026-01-31T18:19:00"/>
        <d v="2026-02-01T09:45:00"/>
        <d v="2026-02-01T07:16:00"/>
        <d v="2026-02-01T06:35:00"/>
        <d v="2026-02-01T04:03:00"/>
        <d v="2026-02-01T07:18:00"/>
        <d v="2026-02-01T09:35:00"/>
        <d v="2026-02-01T13:35:00"/>
        <d v="2026-02-01T13:09:00"/>
        <d v="2026-02-01T17:30:00"/>
        <d v="2026-02-01T06:03:00"/>
        <d v="2026-02-01T09:11:00"/>
        <d v="2026-02-01T08:30:00"/>
        <d v="2026-02-01T07:15:00"/>
        <d v="2026-02-01T01:00:00"/>
        <d v="2026-02-01T11:00:00"/>
        <d v="2026-01-31T16:41:00"/>
        <d v="2026-02-01T11:50:00"/>
        <d v="2026-02-01T11:35:00"/>
        <d v="2026-02-04T03:43:00"/>
        <d v="2026-02-04T06:00:00"/>
        <d v="2026-02-04T06:10:00"/>
        <d v="2026-02-04T07:03:00"/>
        <d v="2026-02-04T07:17:00"/>
        <d v="2026-02-04T06:50:00"/>
        <d v="2026-02-04T08:40:00"/>
        <d v="2026-02-04T11:00:00"/>
        <d v="2026-02-04T11:53:00"/>
        <d v="2026-02-04T13:45:00"/>
        <d v="2026-02-04T14:01:00"/>
        <d v="2026-02-04T16:53:00"/>
        <d v="2026-02-04T19:28:00"/>
        <d v="2026-02-04T20:00:00"/>
        <d v="2026-02-05T05:26:00"/>
        <d v="2026-02-05T07:00:00"/>
        <d v="2026-02-05T13:56:00"/>
        <d v="2026-02-05T18:25:00"/>
        <d v="2026-02-05T20:03:00"/>
        <d v="2026-02-05T18:15:00"/>
        <d v="2026-02-05T20:12:00"/>
        <d v="2026-02-05T17:36:00"/>
        <d v="2026-02-05T21:13:00"/>
        <d v="2026-02-05T20:11:00"/>
        <d v="2026-02-06T05:39:00"/>
        <d v="2026-02-06T07:00:00"/>
        <d v="2026-02-06T07:59:00"/>
        <d v="2026-02-06T07:55:00"/>
        <d v="2026-02-06T08:49:00"/>
        <d v="2026-02-06T08:29:00"/>
        <d v="2026-02-06T12:00:00"/>
        <d v="2026-02-06T14:14:00"/>
        <d v="2026-02-06T14:42:00"/>
        <d v="2026-02-06T18:26:00"/>
        <d v="2026-02-07T18:58:00"/>
        <d v="2026-02-07T19:12:00"/>
        <d v="2026-02-07T18:20:00"/>
        <d v="2026-02-07T19:49:00"/>
        <d v="2026-02-07T18:53:00"/>
        <d v="2026-02-08T09:04:00"/>
        <d v="2026-02-08T07:53:00"/>
        <d v="2026-02-08T10:07:00"/>
        <d v="2026-02-08T11:55:00"/>
        <d v="2026-02-08T10:53:00"/>
        <d v="2026-02-08T12:09:00"/>
        <d v="2026-02-08T11:20:00"/>
        <d v="2026-02-08T13:35:00"/>
        <d v="2026-02-08T12:10:00"/>
        <d v="2026-02-08T14:46:00"/>
        <d v="2026-02-08T19:01:00"/>
        <d v="2026-02-08T19:42:00"/>
        <d v="2026-02-08T20:07:00"/>
        <d v="2026-02-10T02:55:00"/>
        <d v="2026-02-10T04:40:00"/>
        <d v="2026-02-10T06:01:00"/>
        <d v="2026-02-10T06:12:00"/>
        <d v="2026-02-10T07:52:00"/>
        <d v="2026-02-10T07:35:00"/>
        <d v="2026-02-10T11:00:00"/>
        <d v="2026-02-10T15:47:00"/>
        <d v="2026-02-10T19:47:00"/>
        <d v="2026-02-12T06:55:00"/>
        <d v="2026-02-12T07:57:00"/>
        <d v="2026-02-12T09:42:00"/>
        <d v="2026-02-12T12:55:00"/>
        <d v="2026-02-12T12:01:00"/>
        <d v="2026-02-12T16:25:00"/>
        <d v="2026-02-12T18:05:00"/>
        <d v="2026-02-12T16:43:00"/>
        <d v="2026-02-12T20:00:00"/>
        <d v="2026-02-12T20:30:00"/>
        <d v="2026-02-12T21:25:00"/>
        <d v="2026-02-13T07:26:00"/>
        <d v="2026-02-12T19:00:00"/>
        <d v="2026-02-12T08:40:00"/>
        <d v="2026-02-12T10:55:00"/>
        <d v="2026-02-12T12:07:00"/>
        <d v="2026-02-12T15:15:00"/>
        <d v="2026-02-12T14:30:00"/>
        <d v="2026-02-12T15:05:00"/>
        <d v="2026-02-12T16:41:00"/>
        <d v="2026-02-12T18:02:00"/>
        <d v="2026-02-12T20:13:00"/>
        <d v="2026-02-12T19:21:00"/>
        <d v="2026-02-12T20:44:00"/>
        <d v="2026-02-12T14:45:00"/>
        <d v="2026-02-12T20:50:00"/>
        <d v="2026-02-12T23:04:00"/>
        <d v="2026-02-12T22:08:00"/>
        <d v="2026-02-12T22:12:00"/>
        <d v="2026-02-13T03:54:00"/>
        <d v="2026-02-13T07:17:00"/>
        <d v="2026-02-13T06:06:00"/>
        <d v="2026-02-13T07:00:00"/>
        <d v="2026-02-13T07:37:00"/>
        <d v="2026-02-13T07:56:00"/>
        <d v="2026-02-13T10:29:00"/>
        <d v="2026-02-13T12:00:00"/>
        <d v="2026-02-13T17:27:00"/>
        <d v="2026-02-13T18:10:00"/>
        <d v="2026-02-13T19:01:00"/>
        <d v="2026-02-13T18:33:00"/>
        <d v="2026-02-13T17:09:00"/>
        <d v="2026-02-13T20:40:00"/>
        <d v="2026-02-13T18:20:00"/>
        <d v="2026-02-13T21:52:00"/>
        <d v="2026-02-14T03:57:00"/>
        <d v="2026-02-14T09:35:00"/>
        <d v="2026-02-14T15:05:00"/>
        <d v="2026-02-14T16:09:00"/>
        <d v="2026-02-15T07:20:00"/>
        <d v="2026-02-15T10:55:00"/>
        <d v="2026-02-16T18:20:00"/>
        <d v="2026-02-16T18:39:00"/>
        <d v="2026-02-16T19:00:00"/>
        <d v="2026-02-16T18:30:00"/>
        <d v="2026-02-16T23:00:00"/>
        <d v="2026-02-17T02:39:00"/>
        <d v="2026-02-17T03:09:00"/>
        <d v="2026-02-17T03:44:00"/>
        <d v="2026-02-16T23:37:00"/>
        <d v="2026-02-17T05:20:00"/>
        <d v="2026-02-17T07:20:00"/>
        <d v="2026-02-17T06:27:00"/>
        <d v="2026-02-17T06:18:00"/>
        <d v="2026-02-17T06:25:00"/>
        <d v="2026-02-17T07:52:00"/>
        <d v="2026-02-17T05:32:00"/>
        <d v="2026-02-17T09:33:00"/>
        <d v="2026-02-17T10:25:00"/>
        <d v="2026-02-17T12:17:00"/>
        <d v="2026-02-17T13:20:00"/>
        <d v="2026-02-17T14:40:00"/>
        <d v="2026-02-17T17:51:00"/>
        <d v="2026-02-17T19:07:00"/>
        <d v="2026-02-19T05:46:00"/>
        <d v="2026-02-18T14:10:00"/>
        <d v="2026-02-18T13:07:00"/>
        <d v="2026-02-18T19:40:00"/>
        <d v="2026-02-18T17:30:00"/>
        <d v="2026-02-19T11:43:00"/>
        <d v="2026-02-18T20:45:00"/>
        <d v="2026-02-18T20:10:00"/>
        <d v="2026-02-18T15:00:00"/>
        <d v="2026-02-18T12:00:00"/>
        <d v="2026-02-18T20:29:00"/>
        <d v="2026-02-19T06:13:00"/>
        <d v="2026-02-18T22:10:00"/>
        <d v="2026-02-19T10:35:00"/>
        <d v="2026-02-18T20:27:00"/>
        <d v="2026-02-19T05:58:00"/>
        <d v="2026-02-21T12:20:00"/>
        <d v="2026-02-21T11:55:00"/>
        <d v="2026-02-22T08:09:00"/>
        <d v="2026-02-22T09:45:00"/>
        <d v="2026-02-22T12:36:00"/>
        <d v="2026-02-22T15:00:00"/>
        <d v="2026-02-22T15:58:00"/>
        <d v="2026-02-22T18:04:00"/>
        <d v="2026-02-22T17:15:00"/>
        <d v="2026-02-23T09:00:00"/>
        <d v="2026-02-23T14:49:00"/>
        <d v="2026-02-26T05:00:00"/>
        <d v="2026-02-26T10:00:00"/>
        <d v="2026-02-26T08:38:00"/>
        <d v="2026-02-26T11:08:00"/>
        <d v="2026-02-26T10:21:00"/>
        <d v="2026-02-26T10:40:00"/>
        <d v="2026-02-26T15:56:00"/>
        <d v="2026-02-26T13:50:00"/>
        <d v="2026-02-26T13:40:00"/>
        <d v="2026-02-26T15:53:00"/>
        <d v="2026-02-26T19:54:00"/>
        <d v="2026-02-27T06:42:00"/>
        <d v="2026-02-27T07:15:00"/>
        <d v="2026-02-27T06:44:00"/>
        <d v="2026-02-27T08:00:00"/>
        <d v="2026-02-27T07:06:00"/>
        <d v="2026-02-27T09:00:00"/>
        <d v="2026-02-27T08:51:00"/>
        <d v="2026-02-27T11:25:00"/>
        <d v="2026-02-26T11:00:00"/>
        <d v="2026-02-27T10:43:00"/>
        <d v="2026-02-27T11:10:00"/>
        <d v="2026-02-27T14:55:00"/>
        <d v="2026-02-27T11:32:00"/>
        <d v="2026-02-27T14:00:00"/>
        <d v="2026-02-27T15:45:00"/>
        <d v="2026-02-27T17:42:00"/>
        <d v="2026-02-27T12:54:00"/>
        <d v="2026-02-27T19:45:00"/>
        <d v="2026-02-27T16:18:00"/>
        <d v="2026-02-27T20:53:00"/>
        <d v="2026-02-27T18:40:00"/>
        <d v="2026-02-27T20:16:00"/>
        <d v="2026-02-27T17:10:00"/>
        <d v="2026-02-27T23:00:00"/>
        <d v="2026-02-27T23:34:00"/>
        <d v="2026-02-28T01:45:00"/>
        <d v="2026-02-28T01:47:00"/>
        <d v="2026-02-28T04:52:00"/>
        <d v="2026-02-28T08:32:00"/>
        <d v="2026-02-28T07:33:00"/>
        <d v="2026-02-28T08:56:00"/>
        <d v="2026-02-28T09:05:00"/>
        <d v="2026-02-28T11:05:00"/>
        <d v="2026-02-28T11:00:00"/>
        <d v="2026-02-28T15:17:00"/>
        <d v="2026-02-28T14:20:00"/>
        <d v="2026-02-28T15:48:00"/>
        <d v="2026-03-01T07:32:00"/>
        <d v="2026-03-01T07:20:00"/>
        <d v="2026-03-01T10:39:00"/>
        <d v="2026-03-01T12:33:00"/>
        <d v="2026-03-01T11:44:00"/>
        <d v="2026-03-01T08:49:00"/>
        <d v="2026-03-01T14:38:00"/>
        <d v="2026-03-01T18:29:00"/>
      </sharedItems>
    </cacheField>
    <cacheField name="TIMESLOT" numFmtId="164">
      <sharedItems containsSemiMixedTypes="0" containsNonDate="0" containsDate="1" containsString="0" minDate="2025-01-02T01:00:00" maxDate="2026-03-01T19:00:00" count="2715">
        <d v="2026-01-03T08:00:00"/>
        <d v="2026-01-02T09:00:00"/>
        <d v="2026-01-04T07:00:00"/>
        <d v="2026-01-12T08:00:00"/>
        <d v="2026-01-12T05:00:00"/>
        <d v="2026-01-12T15:30:00"/>
        <d v="2026-01-15T14:00:00"/>
        <d v="2026-01-15T09:30:00"/>
        <d v="2026-01-02T11:00:00"/>
        <d v="2026-01-05T08:00:00"/>
        <d v="2026-01-06T14:00:00"/>
        <d v="2026-01-06T17:00:00"/>
        <d v="2026-01-06T20:00:00"/>
        <d v="2026-01-08T09:00:00"/>
        <d v="2026-01-08T17:00:00"/>
        <d v="2026-01-08T19:00:00"/>
        <d v="2026-01-08T06:00:00"/>
        <d v="2026-01-08T14:00:00"/>
        <d v="2026-01-10T22:00:00"/>
        <d v="2026-01-10T07:00:00"/>
        <d v="2026-01-10T19:00:00"/>
        <d v="2026-01-10T10:00:00"/>
        <d v="2026-01-12T06:00:00"/>
        <d v="2026-01-12T17:00:00"/>
        <d v="2026-01-12T07:00:00"/>
        <d v="2026-01-12T14:00:00"/>
        <d v="2026-01-13T06:00:00"/>
        <d v="2026-01-14T19:00:00"/>
        <d v="2026-01-15T19:30:00"/>
        <d v="2026-01-15T07:30:00"/>
        <d v="2026-01-15T12:30:00"/>
        <d v="2026-01-15T11:00:00"/>
        <d v="2026-01-05T11:30:00"/>
        <d v="2026-01-05T12:00:00"/>
        <d v="2026-01-05T14:00:00"/>
        <d v="2026-01-08T10:00:00"/>
        <d v="2026-01-08T07:00:00"/>
        <d v="2026-01-08T16:30:00"/>
        <d v="2026-01-11T10:00:00"/>
        <d v="2026-01-11T11:30:00"/>
        <d v="2026-01-09T18:00:00"/>
        <d v="2026-01-10T16:00:00"/>
        <d v="2026-01-10T13:00:00"/>
        <d v="2026-01-11T08:00:00"/>
        <d v="2026-01-12T13:30:00"/>
        <d v="2026-01-12T01:00:00"/>
        <d v="2026-01-15T15:30:00"/>
        <d v="2026-01-15T13:30:00"/>
        <d v="2026-01-14T17:00:00"/>
        <d v="2026-01-15T06:00:00"/>
        <d v="2026-01-15T17:30:00"/>
        <d v="2026-01-02T21:00:00"/>
        <d v="2026-01-05T01:00:00"/>
        <d v="2026-01-05T18:00:00"/>
        <d v="2026-01-05T21:00:00"/>
        <d v="2026-01-06T10:00:00"/>
        <d v="2026-01-06T14:30:00"/>
        <d v="2026-01-06T16:00:00"/>
        <d v="2026-01-06T19:00:00"/>
        <d v="2026-01-08T11:00:00"/>
        <d v="2026-01-08T17:30:00"/>
        <d v="2026-01-08T15:00:00"/>
        <d v="2026-01-10T06:00:00"/>
        <d v="2026-01-08T12:00:00"/>
        <d v="2026-01-11T20:00:00"/>
        <d v="2026-01-12T09:00:00"/>
        <d v="2026-01-11T22:00:00"/>
        <d v="2026-01-12T11:00:00"/>
        <d v="2026-01-12T20:00:00"/>
        <d v="2026-01-02T07:00:00"/>
        <d v="2026-01-05T16:00:00"/>
        <d v="2026-01-06T00:00:00"/>
        <d v="2026-01-06T11:00:00"/>
        <d v="2026-01-14T20:30:00"/>
        <d v="2026-01-17T08:00:00"/>
        <d v="2026-01-18T08:00:00"/>
        <d v="2026-01-18T10:00:00"/>
        <d v="2026-01-22T06:00:00"/>
        <d v="2026-01-22T06:30:00"/>
        <d v="2026-01-22T07:30:00"/>
        <d v="2026-01-22T08:30:00"/>
        <d v="2026-01-22T09:30:00"/>
        <d v="2026-01-22T11:00:00"/>
        <d v="2026-01-22T12:30:00"/>
        <d v="2026-01-22T14:00:00"/>
        <d v="2026-01-22T16:00:00"/>
        <d v="2026-01-22T18:00:00"/>
        <d v="2026-01-22T20:00:00"/>
        <d v="2026-01-23T13:30:00"/>
        <d v="2026-01-25T06:00:00"/>
        <d v="2026-01-25T07:00:00"/>
        <d v="2026-01-25T08:00:00"/>
        <d v="2026-01-25T09:00:00"/>
        <d v="2026-01-25T09:30:00"/>
        <d v="2026-01-25T10:00:00"/>
        <d v="2026-01-25T11:30:00"/>
        <d v="2026-01-25T12:00:00"/>
        <d v="2026-01-25T12:30:00"/>
        <d v="2026-01-25T14:00:00"/>
        <d v="2026-01-25T14:30:00"/>
        <d v="2026-01-25T16:00:00"/>
        <d v="2026-01-25T18:00:00"/>
        <d v="2026-01-25T19:00:00"/>
        <d v="2026-01-25T21:00:00"/>
        <d v="2026-01-25T23:00:00"/>
        <d v="2026-01-26T08:00:00"/>
        <d v="2026-01-26T11:00:00"/>
        <d v="2026-01-29T08:00:00"/>
        <d v="2026-01-30T06:00:00"/>
        <d v="2026-01-29T06:00:00"/>
        <d v="2026-01-29T11:00:00"/>
        <d v="2026-01-29T16:00:00"/>
        <d v="2026-01-29T21:00:00"/>
        <d v="2026-01-29T18:45:00"/>
        <d v="2026-01-30T09:30:00"/>
        <d v="2026-01-30T07:30:00"/>
        <d v="2026-01-29T21:30:00"/>
        <d v="2026-01-29T12:30:00"/>
        <d v="2026-01-29T09:30:00"/>
        <d v="2026-01-29T12:15:00"/>
        <d v="2026-02-01T14:00:00"/>
        <d v="2026-02-01T01:00:00"/>
        <d v="2026-01-31T18:00:00"/>
        <d v="2026-02-01T10:00:00"/>
        <d v="2026-02-01T08:00:00"/>
        <d v="2026-02-01T07:00:00"/>
        <d v="2026-02-01T04:00:00"/>
        <d v="2026-02-01T16:00:00"/>
        <d v="2026-02-01T18:00:00"/>
        <d v="2026-02-01T06:00:00"/>
        <d v="2026-02-01T11:00:00"/>
        <d v="2026-02-01T12:00:00"/>
        <d v="2026-02-04T04:00:00"/>
        <d v="2026-02-04T06:00:00"/>
        <d v="2026-02-04T07:00:00"/>
        <d v="2026-02-04T08:00:00"/>
        <d v="2026-02-04T09:00:00"/>
        <d v="2026-02-04T11:00:00"/>
        <d v="2026-02-04T13:00:00"/>
        <d v="2026-02-04T14:00:00"/>
        <d v="2026-02-04T15:00:00"/>
        <d v="2026-02-04T17:00:00"/>
        <d v="2026-02-04T19:00:00"/>
        <d v="2026-02-04T20:00:00"/>
        <d v="2026-02-05T06:00:00"/>
        <d v="2026-02-05T07:00:00"/>
        <d v="2026-02-05T14:00:00"/>
        <d v="2026-02-05T17:00:00"/>
        <d v="2026-02-05T18:00:00"/>
        <d v="2026-02-05T19:00:00"/>
        <d v="2026-02-05T21:00:00"/>
        <d v="2026-02-06T00:00:00"/>
        <d v="2026-02-06T06:00:00"/>
        <d v="2026-02-06T07:00:00"/>
        <d v="2026-02-06T08:00:00"/>
        <d v="2026-02-06T10:00:00"/>
        <d v="2026-02-06T12:00:00"/>
        <d v="2026-02-06T14:00:00"/>
        <d v="2026-02-06T14:30:00"/>
        <d v="2026-02-06T16:00:00"/>
        <d v="2026-02-07T19:00:00"/>
        <d v="2026-02-07T20:00:00"/>
        <d v="2026-02-08T08:00:00"/>
        <d v="2026-02-08T10:00:00"/>
        <d v="2026-02-08T12:00:00"/>
        <d v="2026-02-08T14:00:00"/>
        <d v="2026-02-08T15:00:00"/>
        <d v="2026-02-08T17:00:00"/>
        <d v="2026-02-08T19:00:00"/>
        <d v="2026-02-08T21:00:00"/>
        <d v="2026-02-08T23:00:00"/>
        <d v="2026-02-10T03:00:00"/>
        <d v="2026-02-10T05:00:00"/>
        <d v="2026-02-10T06:00:00"/>
        <d v="2026-02-10T07:00:00"/>
        <d v="2026-02-10T08:00:00"/>
        <d v="2026-02-13T21:00:00"/>
        <d v="2026-02-10T13:00:00"/>
        <d v="2026-02-10T15:00:00"/>
        <d v="2026-02-10T17:00:00"/>
        <d v="2026-02-12T08:00:00"/>
        <d v="2026-02-12T08:30:00"/>
        <d v="2026-02-12T10:00:00"/>
        <d v="2026-02-12T12:00:00"/>
        <d v="2026-02-12T16:00:00"/>
        <d v="2026-02-12T17:00:00"/>
        <d v="2026-02-12T19:00:00"/>
        <d v="2026-02-12T20:00:00"/>
        <d v="2026-02-13T08:00:00"/>
        <d v="2026-02-12T11:00:00"/>
        <d v="2026-02-12T13:00:00"/>
        <d v="2026-02-12T14:00:00"/>
        <d v="2026-02-12T15:00:00"/>
        <d v="2026-02-12T16:30:00"/>
        <d v="2026-02-12T21:00:00"/>
        <d v="2026-02-12T23:00:00"/>
        <d v="2026-02-13T00:00:00"/>
        <d v="2026-02-13T01:00:00"/>
        <d v="2026-02-13T03:00:00"/>
        <d v="2026-02-13T04:00:00"/>
        <d v="2026-02-13T06:00:00"/>
        <d v="2026-02-13T07:00:00"/>
        <d v="2026-02-13T09:00:00"/>
        <d v="2026-02-13T11:00:00"/>
        <d v="2026-02-13T12:00:00"/>
        <d v="2026-02-13T17:00:00"/>
        <d v="2026-02-13T19:00:00"/>
        <d v="2026-02-13T20:00:00"/>
        <d v="2026-02-13T23:00:00"/>
        <d v="2026-02-13T18:00:00"/>
        <d v="2026-02-14T02:00:00"/>
        <d v="2026-02-14T04:00:00"/>
        <d v="2026-02-14T11:00:00"/>
        <d v="2026-02-14T16:00:00"/>
        <d v="2026-02-14T17:00:00"/>
        <d v="2026-02-15T07:00:00"/>
        <d v="2026-02-15T10:00:00"/>
        <d v="2026-02-16T19:00:00"/>
        <d v="2026-02-16T21:00:00"/>
        <d v="2026-02-16T23:00:00"/>
        <d v="2026-02-17T01:00:00"/>
        <d v="2026-02-17T03:00:00"/>
        <d v="2026-02-17T04:00:00"/>
        <d v="2026-02-17T05:00:00"/>
        <d v="2026-02-17T06:00:00"/>
        <d v="2026-02-17T07:00:00"/>
        <d v="2026-02-17T08:00:00"/>
        <d v="2026-02-17T10:00:00"/>
        <d v="2026-02-17T11:00:00"/>
        <d v="2026-02-17T13:00:00"/>
        <d v="2026-02-17T14:00:00"/>
        <d v="2026-02-17T16:00:00"/>
        <d v="2026-02-17T18:00:00"/>
        <d v="2026-02-17T19:00:00"/>
        <d v="2026-02-19T06:00:00"/>
        <d v="2026-02-18T20:00:00"/>
        <d v="2026-02-18T18:00:00"/>
        <d v="2026-02-19T12:00:00"/>
        <d v="2026-02-18T19:00:00"/>
        <d v="2026-02-18T23:00:00"/>
        <d v="2026-02-18T15:00:00"/>
        <d v="2026-02-18T12:00:00"/>
        <d v="2026-02-19T00:00:00"/>
        <d v="2026-02-19T11:00:00"/>
        <d v="2026-02-18T21:00:00"/>
        <d v="2026-02-21T13:00:00"/>
        <d v="2026-02-21T15:00:00"/>
        <d v="2026-02-22T08:00:00"/>
        <d v="2026-02-22T10:00:00"/>
        <d v="2026-02-22T12:45:00"/>
        <d v="2026-02-22T15:00:00"/>
        <d v="2026-02-22T18:00:00"/>
        <d v="2026-02-22T19:00:00"/>
        <d v="2026-02-23T09:00:00"/>
        <d v="2026-02-23T14:00:00"/>
        <d v="2026-02-26T05:00:00"/>
        <d v="2026-02-26T10:00:00"/>
        <d v="2026-02-26T11:00:00"/>
        <d v="2026-02-26T13:00:00"/>
        <d v="2026-02-26T14:00:00"/>
        <d v="2026-02-26T15:00:00"/>
        <d v="2026-02-26T16:00:00"/>
        <d v="2026-02-26T19:00:00"/>
        <d v="2026-02-27T07:00:00"/>
        <d v="2026-02-27T08:00:00"/>
        <d v="2026-02-27T09:00:00"/>
        <d v="2026-02-27T11:00:00"/>
        <d v="2026-02-27T13:00:00"/>
        <d v="2026-02-27T14:00:00"/>
        <d v="2026-02-27T15:45:00"/>
        <d v="2026-02-27T16:00:00"/>
        <d v="2026-02-27T17:00:00"/>
        <d v="2026-02-27T18:00:00"/>
        <d v="2026-02-27T19:00:00"/>
        <d v="2026-02-27T20:00:00"/>
        <d v="2026-02-27T21:00:00"/>
        <d v="2026-02-27T22:00:00"/>
        <d v="2026-02-27T23:00:00"/>
        <d v="2026-02-28T00:00:00"/>
        <d v="2026-02-28T02:00:00"/>
        <d v="2026-02-28T03:00:00"/>
        <d v="2026-02-28T05:00:00"/>
        <d v="2026-02-28T07:00:00"/>
        <d v="2026-02-28T08:00:00"/>
        <d v="2026-02-28T09:00:00"/>
        <d v="2026-02-28T10:00:00"/>
        <d v="2026-02-28T11:00:00"/>
        <d v="2026-02-28T12:00:00"/>
        <d v="2026-02-28T13:00:00"/>
        <d v="2026-02-28T14:00:00"/>
        <d v="2026-02-28T16:00:00"/>
        <d v="2026-03-01T08:00:00"/>
        <d v="2026-03-01T09:00:00"/>
        <d v="2026-03-01T10:00:00"/>
        <d v="2026-03-01T12:00:00"/>
        <d v="2026-03-01T15:00:00"/>
        <d v="2026-03-01T17:00:00"/>
        <d v="2026-03-01T19:00:00"/>
        <d v="2026-02-10T10:00:00" u="1"/>
        <d v="2025-01-02T01:00:00" u="1"/>
        <d v="2025-01-02T03:00:00" u="1"/>
        <d v="2025-01-02T06:00:00" u="1"/>
        <d v="2025-01-02T07:00:00" u="1"/>
        <d v="2025-01-02T08:00:00" u="1"/>
        <d v="2025-01-02T10:00:00" u="1"/>
        <d v="2025-01-02T12:00:00" u="1"/>
        <d v="2025-01-02T14:00:00" u="1"/>
        <d v="2025-01-02T16:00:00" u="1"/>
        <d v="2025-01-02T18:00:00" u="1"/>
        <d v="2025-01-02T20:00:00" u="1"/>
        <d v="2025-01-03T06:00:00" u="1"/>
        <d v="2025-01-03T08:00:00" u="1"/>
        <d v="2025-01-03T10:00:00" u="1"/>
        <d v="2025-01-03T13:00:00" u="1"/>
        <d v="2025-01-03T07:00:00" u="1"/>
        <d v="2025-01-03T15:00:00" u="1"/>
        <d v="2025-01-03T17:00:00" u="1"/>
        <d v="2025-01-05T14:00:00" u="1"/>
        <d v="2025-01-05T15:00:00" u="1"/>
        <d v="2025-01-06T16:00:00" u="1"/>
        <d v="2025-01-06T13:00:00" u="1"/>
        <d v="2025-01-07T00:00:00" u="1"/>
        <d v="2025-01-07T02:00:00" u="1"/>
        <d v="2025-01-07T04:00:00" u="1"/>
        <d v="2025-01-07T05:00:00" u="1"/>
        <d v="2025-01-07T06:00:00" u="1"/>
        <d v="2025-01-07T07:00:00" u="1"/>
        <d v="2025-01-07T08:00:00" u="1"/>
        <d v="2025-01-07T09:00:00" u="1"/>
        <d v="2025-01-07T10:00:00" u="1"/>
        <d v="2025-01-07T12:00:00" u="1"/>
        <d v="2025-01-07T13:00:00" u="1"/>
        <d v="2025-01-07T14:00:00" u="1"/>
        <d v="2025-01-07T15:00:00" u="1"/>
        <d v="2025-01-07T15:30:00" u="1"/>
        <d v="2025-01-07T16:00:00" u="1"/>
        <d v="2025-01-07T17:00:00" u="1"/>
        <d v="2025-01-07T18:00:00" u="1"/>
        <d v="2025-01-07T18:30:00" u="1"/>
        <d v="2025-01-07T19:00:00" u="1"/>
        <d v="2025-01-07T20:00:00" u="1"/>
        <d v="2025-01-07T23:00:00" u="1"/>
        <d v="2025-01-08T04:00:00" u="1"/>
        <d v="2025-01-08T06:00:00" u="1"/>
        <d v="2025-01-08T07:00:00" u="1"/>
        <d v="2025-01-08T08:00:00" u="1"/>
        <d v="2025-01-08T09:00:00" u="1"/>
        <d v="2025-01-08T10:00:00" u="1"/>
        <d v="2025-01-08T11:00:00" u="1"/>
        <d v="2025-01-08T14:00:00" u="1"/>
        <d v="2025-01-08T16:00:00" u="1"/>
        <d v="2025-01-08T18:00:00" u="1"/>
        <d v="2025-01-09T08:00:00" u="1"/>
        <d v="2025-01-08T00:00:00" u="1"/>
        <d v="2025-01-11T09:00:00" u="1"/>
        <d v="2025-01-11T10:00:00" u="1"/>
        <d v="2025-01-11T11:00:00" u="1"/>
        <d v="2025-01-14T05:00:00" u="1"/>
        <d v="2025-01-14T06:00:00" u="1"/>
        <d v="2025-01-14T08:00:00" u="1"/>
        <d v="2025-01-14T10:00:00" u="1"/>
        <d v="2025-01-16T18:00:00" u="1"/>
        <d v="2025-01-14T11:00:00" u="1"/>
        <d v="2025-01-14T12:00:00" u="1"/>
        <d v="2025-01-14T13:00:00" u="1"/>
        <d v="2025-01-14T18:00:00" u="1"/>
        <d v="2025-01-14T19:00:00" u="1"/>
        <d v="2025-01-14T20:00:00" u="1"/>
        <d v="2025-01-15T06:00:00" u="1"/>
        <d v="2025-01-15T08:00:00" u="1"/>
        <d v="2025-01-15T09:00:00" u="1"/>
        <d v="2025-01-15T10:00:00" u="1"/>
        <d v="2025-01-15T12:00:00" u="1"/>
        <d v="2025-01-15T13:00:00" u="1"/>
        <d v="2025-01-15T14:00:00" u="1"/>
        <d v="2025-01-15T16:00:00" u="1"/>
        <d v="2025-01-15T17:00:00" u="1"/>
        <d v="2025-01-15T18:00:00" u="1"/>
        <d v="2025-01-15T19:00:00" u="1"/>
        <d v="2025-01-15T20:00:00" u="1"/>
        <d v="2025-01-15T21:00:00" u="1"/>
        <d v="2025-01-15T23:00:00" u="1"/>
        <d v="2025-01-16T02:00:00" u="1"/>
        <d v="2025-01-16T04:00:00" u="1"/>
        <d v="2025-01-16T06:00:00" u="1"/>
        <d v="2025-01-16T07:00:00" u="1"/>
        <d v="2025-01-16T08:00:00" u="1"/>
        <d v="2025-01-16T09:00:00" u="1"/>
        <d v="2025-01-16T11:00:00" u="1"/>
        <d v="2025-01-16T12:00:00" u="1"/>
        <d v="2025-01-16T13:00:00" u="1"/>
        <d v="2025-01-16T14:00:00" u="1"/>
        <d v="2025-01-16T16:00:00" u="1"/>
        <d v="2025-01-16T20:00:00" u="1"/>
        <d v="2025-01-16T21:00:00" u="1"/>
        <d v="2025-01-16T23:00:00" u="1"/>
        <d v="2025-01-17T02:00:00" u="1"/>
        <d v="2025-01-17T05:00:00" u="1"/>
        <d v="2025-01-17T06:00:00" u="1"/>
        <d v="2025-01-17T08:00:00" u="1"/>
        <d v="2025-01-17T10:00:00" u="1"/>
        <d v="2025-01-17T12:00:00" u="1"/>
        <d v="2025-01-17T14:00:00" u="1"/>
        <d v="2025-01-17T16:00:00" u="1"/>
        <d v="2025-01-17T18:00:00" u="1"/>
        <d v="2025-01-17T20:00:00" u="1"/>
        <d v="2025-01-23T16:00:00" u="1"/>
        <d v="2025-01-23T17:00:00" u="1"/>
        <d v="2025-01-23T18:00:00" u="1"/>
        <d v="2025-01-23T19:00:00" u="1"/>
        <d v="2025-01-23T21:00:00" u="1"/>
        <d v="2025-01-24T09:00:00" u="1"/>
        <d v="2025-01-24T10:00:00" u="1"/>
        <d v="2025-01-24T10:30:00" u="1"/>
        <d v="2025-01-24T12:00:00" u="1"/>
        <d v="2025-01-24T13:00:00" u="1"/>
        <d v="2025-01-24T14:00:00" u="1"/>
        <d v="2025-01-24T15:30:00" u="1"/>
        <d v="2025-01-24T16:00:00" u="1"/>
        <d v="2025-01-24T17:00:00" u="1"/>
        <d v="2025-01-24T18:00:00" u="1"/>
        <d v="2025-01-24T18:30:00" u="1"/>
        <d v="2025-01-24T20:00:00" u="1"/>
        <d v="2025-01-24T21:30:00" u="1"/>
        <d v="2025-01-24T22:00:00" u="1"/>
        <d v="2025-01-25T17:00:00" u="1"/>
        <d v="2025-01-25T19:00:00" u="1"/>
        <d v="2025-01-25T21:00:00" u="1"/>
        <d v="2025-01-25T23:00:00" u="1"/>
        <d v="2025-01-26T01:00:00" u="1"/>
        <d v="2025-01-26T03:00:00" u="1"/>
        <d v="2025-01-26T05:00:00" u="1"/>
        <d v="2025-01-26T06:00:00" u="1"/>
        <d v="2025-01-26T07:30:00" u="1"/>
        <d v="2025-01-26T08:00:00" u="1"/>
        <d v="2025-01-26T09:00:00" u="1"/>
        <d v="2025-01-26T10:30:00" u="1"/>
        <d v="2025-01-26T12:00:00" u="1"/>
        <d v="2025-01-26T14:00:00" u="1"/>
        <d v="2025-01-26T15:30:00" u="1"/>
        <d v="2025-01-26T17:00:00" u="1"/>
        <d v="2025-01-26T19:00:00" u="1"/>
        <d v="2025-01-27T07:00:00" u="1"/>
        <d v="2025-01-29T12:00:00" u="1"/>
        <d v="2025-01-29T16:00:00" u="1"/>
        <d v="2025-01-29T20:00:00" u="1"/>
        <d v="2025-01-29T21:00:00" u="1"/>
        <d v="2025-01-29T22:00:00" u="1"/>
        <d v="2025-01-29T23:00:00" u="1"/>
        <d v="2025-01-30T01:00:00" u="1"/>
        <d v="2025-01-30T05:00:00" u="1"/>
        <d v="2025-01-30T06:00:00" u="1"/>
        <d v="2025-01-30T07:30:00" u="1"/>
        <d v="2025-01-30T08:00:00" u="1"/>
        <d v="2025-01-30T09:00:00" u="1"/>
        <d v="2025-01-30T10:00:00" u="1"/>
        <d v="2025-01-30T10:30:00" u="1"/>
        <d v="2025-01-30T12:00:00" u="1"/>
        <d v="2025-01-30T13:30:00" u="1"/>
        <d v="2025-01-30T14:00:00" u="1"/>
        <d v="2025-01-30T15:00:00" u="1"/>
        <d v="2025-01-30T16:30:00" u="1"/>
        <d v="2025-01-30T17:00:00" u="1"/>
        <d v="2025-01-30T18:00:00" u="1"/>
        <d v="2025-01-30T19:00:00" u="1"/>
        <d v="2025-01-30T20:00:00" u="1"/>
        <d v="2025-01-30T21:00:00" u="1"/>
        <d v="2025-01-30T23:00:00" u="1"/>
        <d v="2025-01-31T05:00:00" u="1"/>
        <d v="2025-01-31T06:00:00" u="1"/>
        <d v="2025-01-31T07:30:00" u="1"/>
        <d v="2025-01-31T09:00:00" u="1"/>
        <d v="2025-01-31T10:30:00" u="1"/>
        <d v="2025-01-31T12:00:00" u="1"/>
        <d v="2025-01-31T14:00:00" u="1"/>
        <d v="2025-01-31T15:00:00" u="1"/>
        <d v="2025-01-31T16:00:00" u="1"/>
        <d v="2025-01-31T18:00:00" u="1"/>
        <d v="2025-01-31T19:00:00" u="1"/>
        <d v="2025-01-31T20:00:00" u="1"/>
        <d v="2025-01-31T21:00:00" u="1"/>
        <d v="2025-01-31T23:00:00" u="1"/>
        <d v="2025-02-01T01:00:00" u="1"/>
        <d v="2025-02-01T05:00:00" u="1"/>
        <d v="2025-02-01T10:00:00" u="1"/>
        <d v="2025-02-01T12:00:00" u="1"/>
        <d v="2025-02-03T16:00:00" u="1"/>
        <d v="2025-02-04T15:30:00" u="1"/>
        <d v="2025-02-04T19:00:00" u="1"/>
        <d v="2025-02-05T07:00:00" u="1"/>
        <d v="2025-02-05T09:00:00" u="1"/>
        <d v="2025-02-05T10:00:00" u="1"/>
        <d v="2025-02-03T17:00:00" u="1"/>
        <d v="2025-02-03T19:00:00" u="1"/>
        <d v="2025-02-03T20:00:00" u="1"/>
        <d v="2025-02-04T11:30:00" u="1"/>
        <d v="2025-02-04T15:00:00" u="1"/>
        <d v="2025-02-04T16:00:00" u="1"/>
        <d v="2025-02-04T16:30:00" u="1"/>
        <d v="2025-02-04T17:00:00" u="1"/>
        <d v="2025-02-04T18:00:00" u="1"/>
        <d v="2025-02-04T20:00:00" u="1"/>
        <d v="2025-02-04T21:00:00" u="1"/>
        <d v="2025-02-05T03:00:00" u="1"/>
        <d v="2025-02-05T06:00:00" u="1"/>
        <d v="2025-02-05T08:00:00" u="1"/>
        <d v="2025-02-05T11:00:00" u="1"/>
        <d v="2025-02-05T12:00:00" u="1"/>
        <d v="2025-02-05T14:00:00" u="1"/>
        <d v="2025-02-05T15:00:00" u="1"/>
        <d v="2025-02-05T16:00:00" u="1"/>
        <d v="2025-02-05T17:00:00" u="1"/>
        <d v="2025-02-05T18:00:00" u="1"/>
        <d v="2025-02-05T20:00:00" u="1"/>
        <d v="2025-02-06T06:00:00" u="1"/>
        <d v="2025-02-06T06:30:00" u="1"/>
        <d v="2025-02-06T07:00:00" u="1"/>
        <d v="2025-02-06T08:00:00" u="1"/>
        <d v="2025-02-06T08:01:00" u="1"/>
        <d v="2025-02-06T09:00:00" u="1"/>
        <d v="2025-02-06T10:00:00" u="1"/>
        <d v="2025-02-06T12:00:00" u="1"/>
        <d v="2025-02-06T14:00:00" u="1"/>
        <d v="2025-02-06T16:00:00" u="1"/>
        <d v="2025-02-06T18:00:00" u="1"/>
        <d v="2025-02-06T19:00:00" u="1"/>
        <d v="2025-02-06T20:00:00" u="1"/>
        <d v="2025-02-06T23:00:00" u="1"/>
        <d v="2025-02-07T08:00:00" u="1"/>
        <d v="2025-02-07T10:00:00" u="1"/>
        <d v="2025-02-07T20:00:00" u="1"/>
        <d v="2025-02-07T20:45:00" u="1"/>
        <d v="2025-02-07T21:00:00" u="1"/>
        <d v="2025-02-07T23:00:00" u="1"/>
        <d v="2025-02-08T01:00:00" u="1"/>
        <d v="2025-02-08T14:00:00" u="1"/>
        <d v="2025-02-08T15:00:00" u="1"/>
        <d v="2025-02-10T12:00:00" u="1"/>
        <d v="2025-02-10T12:45:00" u="1"/>
        <d v="2025-02-10T13:00:00" u="1"/>
        <d v="2025-02-10T14:00:00" u="1"/>
        <d v="2025-02-10T16:00:00" u="1"/>
        <d v="2025-02-10T19:00:00" u="1"/>
        <d v="2025-02-11T01:00:00" u="1"/>
        <d v="2025-02-11T05:00:00" u="1"/>
        <d v="2025-02-11T06:00:00" u="1"/>
        <d v="2025-02-11T07:00:00" u="1"/>
        <d v="2025-02-11T08:00:00" u="1"/>
        <d v="2025-02-11T09:00:00" u="1"/>
        <d v="2025-02-11T10:00:00" u="1"/>
        <d v="2025-02-11T11:00:00" u="1"/>
        <d v="2025-02-11T12:00:00" u="1"/>
        <d v="2025-02-11T13:00:00" u="1"/>
        <d v="2025-02-11T14:00:00" u="1"/>
        <d v="2025-02-11T16:00:00" u="1"/>
        <d v="2025-02-11T17:00:00" u="1"/>
        <d v="2025-02-11T18:00:00" u="1"/>
        <d v="2025-02-11T19:00:00" u="1"/>
        <d v="2025-02-11T20:00:00" u="1"/>
        <d v="2025-02-11T21:00:00" u="1"/>
        <d v="2025-02-11T22:00:00" u="1"/>
        <d v="2025-02-11T23:00:00" u="1"/>
        <d v="2025-02-12T01:00:00" u="1"/>
        <d v="2025-02-12T05:00:00" u="1"/>
        <d v="2025-02-12T06:00:00" u="1"/>
        <d v="2025-02-12T07:00:00" u="1"/>
        <d v="2025-02-12T08:00:00" u="1"/>
        <d v="2025-02-12T09:00:00" u="1"/>
        <d v="2025-02-12T10:30:00" u="1"/>
        <d v="2025-02-12T11:00:00" u="1"/>
        <d v="2025-02-12T12:00:00" u="1"/>
        <d v="2025-02-12T13:00:00" u="1"/>
        <d v="2025-02-12T14:00:00" u="1"/>
        <d v="2025-02-12T16:00:00" u="1"/>
        <d v="2025-02-12T18:00:00" u="1"/>
        <d v="2025-02-12T20:00:00" u="1"/>
        <d v="2025-02-13T06:00:00" u="1"/>
        <d v="2025-02-13T11:00:00" u="1"/>
        <d v="2025-02-13T15:00:00" u="1"/>
        <d v="2025-02-13T17:00:00" u="1"/>
        <d v="2025-02-16T20:00:00" u="1"/>
        <d v="2025-02-16T21:00:00" u="1"/>
        <d v="2025-02-16T22:00:00" u="1"/>
        <d v="2025-02-16T23:00:00" u="1"/>
        <d v="2025-02-17T01:00:00" u="1"/>
        <d v="2025-02-17T06:00:00" u="1"/>
        <d v="2025-02-17T07:30:00" u="1"/>
        <d v="2025-02-17T08:00:00" u="1"/>
        <d v="2025-02-17T09:00:00" u="1"/>
        <d v="2025-02-17T10:00:00" u="1"/>
        <d v="2025-02-17T12:00:00" u="1"/>
        <d v="2025-02-17T13:00:00" u="1"/>
        <d v="2025-02-17T14:00:00" u="1"/>
        <d v="2025-02-17T15:00:00" u="1"/>
        <d v="2025-02-17T16:00:00" u="1"/>
        <d v="2025-02-17T17:00:00" u="1"/>
        <d v="2025-02-17T18:00:00" u="1"/>
        <d v="2025-02-17T19:00:00" u="1"/>
        <d v="2025-02-17T20:00:00" u="1"/>
        <d v="2025-02-17T21:00:00" u="1"/>
        <d v="2025-02-17T23:00:00" u="1"/>
        <d v="2025-02-18T01:00:00" u="1"/>
        <d v="2025-02-18T06:00:00" u="1"/>
        <d v="2025-02-18T08:00:00" u="1"/>
        <d v="2025-02-18T10:00:00" u="1"/>
        <d v="2025-02-18T12:00:00" u="1"/>
        <d v="2025-02-18T14:00:00" u="1"/>
        <d v="2025-02-18T16:00:00" u="1"/>
        <d v="2025-02-18T18:00:00" u="1"/>
        <d v="2025-02-18T23:00:00" u="1"/>
        <d v="2025-02-19T01:00:00" u="1"/>
        <d v="2025-02-19T05:00:00" u="1"/>
        <d v="2025-02-19T09:00:00" u="1"/>
        <d v="2025-02-19T11:00:00" u="1"/>
        <d v="2025-02-19T15:00:00" u="1"/>
        <d v="2025-02-19T21:00:00" u="1"/>
        <d v="2025-02-19T23:00:00" u="1"/>
        <d v="2025-02-19T16:00:00" u="1"/>
        <d v="2025-02-19T18:00:00" u="1"/>
        <d v="2025-02-19T19:00:00" u="1"/>
        <d v="2025-02-19T20:00:00" u="1"/>
        <d v="2025-02-19T22:00:00" u="1"/>
        <d v="2025-02-20T03:00:00" u="1"/>
        <d v="2025-02-20T06:00:00" u="1"/>
        <d v="2025-02-20T08:00:00" u="1"/>
        <d v="2025-02-20T17:00:00" u="1"/>
        <d v="2025-02-20T19:00:00" u="1"/>
        <d v="2025-02-20T20:00:00" u="1"/>
        <d v="2025-02-20T22:00:00" u="1"/>
        <d v="2025-02-20T23:00:00" u="1"/>
        <d v="2025-02-21T00:00:00" u="1"/>
        <d v="2025-02-21T05:00:00" u="1"/>
        <d v="2025-02-21T08:00:00" u="1"/>
        <d v="2025-02-21T10:00:00" u="1"/>
        <d v="2025-02-21T12:00:00" u="1"/>
        <d v="2025-02-25T14:00:00" u="1"/>
        <d v="2025-02-23T19:00:00" u="1"/>
        <d v="2025-02-23T21:00:00" u="1"/>
        <d v="2025-02-23T22:00:00" u="1"/>
        <d v="2025-02-23T23:00:00" u="1"/>
        <d v="2025-02-24T01:00:00" u="1"/>
        <d v="2025-02-24T05:00:00" u="1"/>
        <d v="2025-02-24T06:00:00" u="1"/>
        <d v="2025-02-24T06:30:00" u="1"/>
        <d v="2025-02-24T08:00:00" u="1"/>
        <d v="2025-02-24T08:30:00" u="1"/>
        <d v="2025-02-24T10:00:00" u="1"/>
        <d v="2025-02-24T11:00:00" u="1"/>
        <d v="2025-02-24T12:00:00" u="1"/>
        <d v="2025-02-24T12:30:00" u="1"/>
        <d v="2025-02-24T14:00:00" u="1"/>
        <d v="2025-02-24T15:00:00" u="1"/>
        <d v="2025-02-24T16:00:00" u="1"/>
        <d v="2025-02-24T17:00:00" u="1"/>
        <d v="2025-02-24T18:00:00" u="1"/>
        <d v="2025-02-24T20:00:00" u="1"/>
        <d v="2025-02-24T23:00:00" u="1"/>
        <d v="2025-02-25T00:00:00" u="1"/>
        <d v="2025-02-25T02:00:00" u="1"/>
        <d v="2025-02-25T03:00:00" u="1"/>
        <d v="2025-02-25T05:00:00" u="1"/>
        <d v="2025-02-25T06:00:00" u="1"/>
        <d v="2025-02-25T09:00:00" u="1"/>
        <d v="2025-02-25T10:00:00" u="1"/>
        <d v="2025-02-25T11:00:00" u="1"/>
        <d v="2025-02-25T12:00:00" u="1"/>
        <d v="2025-02-25T13:00:00" u="1"/>
        <d v="2025-02-25T18:00:00" u="1"/>
        <d v="2025-02-25T19:00:00" u="1"/>
        <d v="2025-02-25T20:00:00" u="1"/>
        <d v="2025-02-25T23:00:00" u="1"/>
        <d v="2025-02-26T04:00:00" u="1"/>
        <d v="2025-02-26T08:00:00" u="1"/>
        <d v="2025-02-26T09:00:00" u="1"/>
        <d v="2025-02-26T10:00:00" u="1"/>
        <d v="2025-02-26T11:00:00" u="1"/>
        <d v="2025-02-26T12:00:00" u="1"/>
        <d v="2025-02-26T14:00:00" u="1"/>
        <d v="2025-02-26T15:00:00" u="1"/>
        <d v="2025-02-26T17:00:00" u="1"/>
        <d v="2025-02-28T07:00:00" u="1"/>
        <d v="2025-02-28T09:00:00" u="1"/>
        <d v="2025-02-28T13:00:00" u="1"/>
        <d v="2025-03-01T06:00:00" u="1"/>
        <d v="2025-03-01T09:00:00" u="1"/>
        <d v="2025-03-01T11:00:00" u="1"/>
        <d v="2025-03-03T09:00:00" u="1"/>
        <d v="2025-03-03T10:00:00" u="1"/>
        <d v="2025-03-03T10:30:00" u="1"/>
        <d v="2025-03-03T11:00:00" u="1"/>
        <d v="2025-03-03T12:00:00" u="1"/>
        <d v="2025-03-03T13:00:00" u="1"/>
        <d v="2025-03-03T13:30:00" u="1"/>
        <d v="2025-03-03T14:00:00" u="1"/>
        <d v="2025-03-03T15:00:00" u="1"/>
        <d v="2025-03-03T17:00:00" u="1"/>
        <d v="2025-03-03T17:45:00" u="1"/>
        <d v="2025-03-03T18:00:00" u="1"/>
        <d v="2025-03-03T19:00:00" u="1"/>
        <d v="2025-03-03T19:30:00" u="1"/>
        <d v="2025-03-03T20:30:00" u="1"/>
        <d v="2025-03-03T21:00:00" u="1"/>
        <d v="2025-03-03T23:00:00" u="1"/>
        <d v="2025-03-04T01:00:00" u="1"/>
        <d v="2025-03-04T03:00:00" u="1"/>
        <d v="2025-03-04T05:00:00" u="1"/>
        <d v="2025-03-04T06:00:00" u="1"/>
        <d v="2025-03-04T07:00:00" u="1"/>
        <d v="2025-03-04T07:30:00" u="1"/>
        <d v="2025-03-04T08:00:00" u="1"/>
        <d v="2025-03-04T09:00:00" u="1"/>
        <d v="2025-03-04T10:00:00" u="1"/>
        <d v="2025-03-04T10:30:00" u="1"/>
        <d v="2025-03-04T11:30:00" u="1"/>
        <d v="2025-03-04T12:00:00" u="1"/>
        <d v="2025-03-04T12:30:00" u="1"/>
        <d v="2025-03-04T13:30:00" u="1"/>
        <d v="2025-03-04T14:00:00" u="1"/>
        <d v="2025-03-04T15:00:00" u="1"/>
        <d v="2025-03-04T18:00:00" u="1"/>
        <d v="2025-03-04T19:00:00" u="1"/>
        <d v="2025-03-04T20:00:00" u="1"/>
        <d v="2025-03-04T21:00:00" u="1"/>
        <d v="2025-03-04T22:00:00" u="1"/>
        <d v="2025-03-04T23:00:00" u="1"/>
        <d v="2025-03-05T00:00:00" u="1"/>
        <d v="2025-03-05T01:00:00" u="1"/>
        <d v="2025-03-05T02:00:00" u="1"/>
        <d v="2025-03-05T04:00:00" u="1"/>
        <d v="2025-03-05T05:00:00" u="1"/>
        <d v="2025-03-05T06:00:00" u="1"/>
        <d v="2025-03-05T07:00:00" u="1"/>
        <d v="2025-03-05T08:00:00" u="1"/>
        <d v="2025-03-05T09:00:00" u="1"/>
        <d v="2025-03-05T11:00:00" u="1"/>
        <d v="2025-03-05T12:00:00" u="1"/>
        <d v="2025-03-05T14:00:00" u="1"/>
        <d v="2025-03-05T17:00:00" u="1"/>
        <d v="2025-03-04T16:00:00" u="1"/>
        <d v="2025-03-04T17:30:00" u="1"/>
        <d v="2025-03-07T09:00:00" u="1"/>
        <d v="2025-03-07T13:00:00" u="1"/>
        <d v="2025-03-09T08:00:00" u="1"/>
        <d v="2025-03-09T12:30:00" u="1"/>
        <d v="2025-03-11T12:00:00" u="1"/>
        <d v="2025-03-11T14:00:00" u="1"/>
        <d v="2025-03-09T14:30:00" u="1"/>
        <d v="2025-03-09T19:30:00" u="1"/>
        <d v="2025-03-09T21:00:00" u="1"/>
        <d v="2025-03-09T23:00:00" u="1"/>
        <d v="2025-03-10T01:00:00" u="1"/>
        <d v="2025-03-10T04:00:00" u="1"/>
        <d v="2025-03-10T05:00:00" u="1"/>
        <d v="2025-03-10T06:00:00" u="1"/>
        <d v="2025-03-10T07:00:00" u="1"/>
        <d v="2025-03-10T07:30:00" u="1"/>
        <d v="2025-03-10T08:00:00" u="1"/>
        <d v="2025-03-10T09:00:00" u="1"/>
        <d v="2025-03-10T10:00:00" u="1"/>
        <d v="2025-03-10T10:30:00" u="1"/>
        <d v="2025-03-10T12:00:00" u="1"/>
        <d v="2025-03-10T13:30:00" u="1"/>
        <d v="2025-03-10T14:00:00" u="1"/>
        <d v="2025-03-10T14:30:00" u="1"/>
        <d v="2025-03-10T16:00:00" u="1"/>
        <d v="2025-03-10T18:00:00" u="1"/>
        <d v="2025-03-10T20:00:00" u="1"/>
        <d v="2025-03-10T22:00:00" u="1"/>
        <d v="2025-03-10T23:00:00" u="1"/>
        <d v="2025-03-11T01:00:00" u="1"/>
        <d v="2025-03-11T02:00:00" u="1"/>
        <d v="2025-03-11T03:00:00" u="1"/>
        <d v="2025-03-11T05:00:00" u="1"/>
        <d v="2025-03-11T07:00:00" u="1"/>
        <d v="2025-03-11T08:00:00" u="1"/>
        <d v="2025-03-11T10:00:00" u="1"/>
        <d v="2025-03-11T15:00:00" u="1"/>
        <d v="2025-03-11T16:00:00" u="1"/>
        <d v="2025-03-11T17:00:00" u="1"/>
        <d v="2025-03-11T19:00:00" u="1"/>
        <d v="2025-03-12T09:00:00" u="1"/>
        <d v="2025-03-15T13:00:00" u="1"/>
        <d v="2025-03-15T15:00:00" u="1"/>
        <d v="2025-03-15T16:00:00" u="1"/>
        <d v="2025-03-15T17:00:00" u="1"/>
        <d v="2025-03-15T19:00:00" u="1"/>
        <d v="2025-03-15T20:00:00" u="1"/>
        <d v="2025-03-15T22:00:00" u="1"/>
        <d v="2025-03-16T00:00:00" u="1"/>
        <d v="2025-03-16T09:00:00" u="1"/>
        <d v="2025-03-17T13:30:00" u="1"/>
        <d v="2025-03-17T15:00:00" u="1"/>
        <d v="2025-03-17T17:00:00" u="1"/>
        <d v="2025-03-17T19:00:00" u="1"/>
        <d v="2025-03-17T21:00:00" u="1"/>
        <d v="2025-03-17T23:30:00" u="1"/>
        <d v="2025-03-18T07:30:00" u="1"/>
        <d v="2025-03-18T08:00:00" u="1"/>
        <d v="2025-03-18T08:30:00" u="1"/>
        <d v="2025-03-16T11:00:00" u="1"/>
        <d v="2025-03-16T12:00:00" u="1"/>
        <d v="2025-03-16T12:30:00" u="1"/>
        <d v="2025-03-16T13:00:00" u="1"/>
        <d v="2025-03-16T14:00:00" u="1"/>
        <d v="2025-03-16T15:00:00" u="1"/>
        <d v="2025-03-16T17:00:00" u="1"/>
        <d v="2025-03-16T19:00:00" u="1"/>
        <d v="2025-03-16T20:00:00" u="1"/>
        <d v="2025-03-16T21:00:00" u="1"/>
        <d v="2025-03-16T22:00:00" u="1"/>
        <d v="2025-03-17T02:00:00" u="1"/>
        <d v="2025-03-17T05:00:00" u="1"/>
        <d v="2025-03-17T06:00:00" u="1"/>
        <d v="2025-03-17T07:30:00" u="1"/>
        <d v="2025-03-17T08:00:00" u="1"/>
        <d v="2025-03-17T09:00:00" u="1"/>
        <d v="2025-03-17T10:00:00" u="1"/>
        <d v="2025-03-17T10:30:00" u="1"/>
        <d v="2025-03-17T11:00:00" u="1"/>
        <d v="2025-03-17T12:00:00" u="1"/>
        <d v="2025-03-17T13:00:00" u="1"/>
        <d v="2025-03-17T14:00:00" u="1"/>
        <d v="2025-03-17T20:00:00" u="1"/>
        <d v="2025-03-18T02:00:00" u="1"/>
        <d v="2025-03-18T05:00:00" u="1"/>
        <d v="2025-03-18T07:00:00" u="1"/>
        <d v="2025-03-18T09:00:00" u="1"/>
        <d v="2025-03-18T11:00:00" u="1"/>
        <d v="2025-03-16T07:00:00" u="1"/>
        <d v="2025-03-16T08:00:00" u="1"/>
        <d v="2025-03-16T10:00:00" u="1"/>
        <d v="2025-03-16T18:00:00" u="1"/>
        <d v="2025-03-16T23:00:00" u="1"/>
        <d v="2025-03-17T19:45:00" u="1"/>
        <d v="2025-03-17T23:00:00" u="1"/>
        <d v="2025-03-21T11:00:00" u="1"/>
        <d v="2025-03-21T12:30:00" u="1"/>
        <d v="2025-03-21T15:00:00" u="1"/>
        <d v="2025-03-21T16:00:00" u="1"/>
        <d v="2025-03-21T17:00:00" u="1"/>
        <d v="2025-03-21T19:00:00" u="1"/>
        <d v="2025-03-21T21:00:00" u="1"/>
        <d v="2025-03-21T23:00:00" u="1"/>
        <d v="2025-03-22T01:00:00" u="1"/>
        <d v="2025-03-22T04:00:00" u="1"/>
        <d v="2025-03-22T10:00:00" u="1"/>
        <d v="2025-03-22T12:00:00" u="1"/>
        <d v="2025-03-22T14:00:00" u="1"/>
        <d v="2025-03-22T16:00:00" u="1"/>
        <d v="2025-03-22T18:00:00" u="1"/>
        <d v="2025-03-22T20:00:00" u="1"/>
        <d v="2025-03-22T22:00:00" u="1"/>
        <d v="2025-03-23T00:00:00" u="1"/>
        <d v="2025-03-23T02:00:00" u="1"/>
        <d v="2025-03-21T14:00:00" u="1"/>
        <d v="2025-03-23T12:00:00" u="1"/>
        <d v="2025-03-23T14:00:00" u="1"/>
        <d v="2025-03-24T07:00:00" u="1"/>
        <d v="2025-03-24T14:00:00" u="1"/>
        <d v="2025-03-28T07:00:00" u="1"/>
        <d v="2025-03-28T11:00:00" u="1"/>
        <d v="2025-03-28T12:30:00" u="1"/>
        <d v="2025-03-28T13:00:00" u="1"/>
        <d v="2025-03-28T14:30:00" u="1"/>
        <d v="2025-03-28T15:00:00" u="1"/>
        <d v="2025-03-28T16:00:00" u="1"/>
        <d v="2025-03-28T17:00:00" u="1"/>
        <d v="2025-03-28T17:30:00" u="1"/>
        <d v="2025-03-28T19:00:00" u="1"/>
        <d v="2025-03-28T21:00:00" u="1"/>
        <d v="2025-03-29T10:00:00" u="1"/>
        <d v="2025-03-29T15:00:00" u="1"/>
        <d v="2025-03-29T19:00:00" u="1"/>
        <d v="2025-03-30T08:00:00" u="1"/>
        <d v="2025-03-27T09:00:00" u="1"/>
        <d v="2025-03-27T10:30:00" u="1"/>
        <d v="2025-03-27T11:00:00" u="1"/>
        <d v="2025-03-27T12:00:00" u="1"/>
        <d v="2025-03-27T13:00:00" u="1"/>
        <d v="2025-03-27T13:30:00" u="1"/>
        <d v="2025-03-27T14:00:00" u="1"/>
        <d v="2025-03-27T15:00:00" u="1"/>
        <d v="2025-03-27T16:00:00" u="1"/>
        <d v="2025-03-27T16:30:00" u="1"/>
        <d v="2025-03-27T17:00:00" u="1"/>
        <d v="2025-03-27T18:00:00" u="1"/>
        <d v="2025-03-27T18:30:00" u="1"/>
        <d v="2025-03-27T19:00:00" u="1"/>
        <d v="2025-03-27T20:00:00" u="1"/>
        <d v="2025-03-27T20:30:00" u="1"/>
        <d v="2025-03-27T21:00:00" u="1"/>
        <d v="2025-03-27T22:00:00" u="1"/>
        <d v="2025-03-27T23:00:00" u="1"/>
        <d v="2025-03-28T02:00:00" u="1"/>
        <d v="2025-03-28T05:00:00" u="1"/>
        <d v="2025-03-28T08:00:00" u="1"/>
        <d v="2025-03-28T09:00:00" u="1"/>
        <d v="2025-03-28T12:00:00" u="1"/>
        <d v="2025-03-28T16:30:00" u="1"/>
        <d v="2025-03-28T23:00:00" u="1"/>
        <d v="2025-03-29T02:00:00" u="1"/>
        <d v="2025-03-29T05:00:00" u="1"/>
        <d v="2025-03-29T08:00:00" u="1"/>
        <d v="2025-03-29T11:00:00" u="1"/>
        <d v="2025-03-29T13:00:00" u="1"/>
        <d v="2025-03-29T14:00:00" u="1"/>
        <d v="2025-03-29T16:00:00" u="1"/>
        <d v="2025-03-29T17:00:00" u="1"/>
        <d v="2025-03-29T21:00:00" u="1"/>
        <d v="2025-04-01T16:00:00" u="1"/>
        <d v="2025-04-01T17:30:00" u="1"/>
        <d v="2025-04-01T18:00:00" u="1"/>
        <d v="2025-04-01T19:00:00" u="1"/>
        <d v="2025-04-01T20:00:00" u="1"/>
        <d v="2025-04-01T21:00:00" u="1"/>
        <d v="2025-04-01T22:00:00" u="1"/>
        <d v="2025-04-01T23:00:00" u="1"/>
        <d v="2025-04-02T01:00:00" u="1"/>
        <d v="2025-04-02T02:00:00" u="1"/>
        <d v="2025-04-02T04:00:00" u="1"/>
        <d v="2025-04-02T10:00:00" u="1"/>
        <d v="2025-04-02T13:00:00" u="1"/>
        <d v="2025-04-02T14:00:00" u="1"/>
        <d v="2025-04-02T15:00:00" u="1"/>
        <d v="2025-04-02T17:00:00" u="1"/>
        <d v="2025-04-02T19:00:00" u="1"/>
        <d v="2025-04-02T21:00:00" u="1"/>
        <d v="2025-04-02T23:00:00" u="1"/>
        <d v="2025-04-03T01:00:00" u="1"/>
        <d v="2025-04-03T11:00:00" u="1"/>
        <d v="2025-04-03T18:00:00" u="1"/>
        <d v="2025-04-02T06:00:00" u="1"/>
        <d v="2025-04-02T07:30:00" u="1"/>
        <d v="2025-04-02T09:00:00" u="1"/>
        <d v="2025-04-02T10:30:00" u="1"/>
        <d v="2025-04-02T11:30:00" u="1"/>
        <d v="2025-04-02T12:00:00" u="1"/>
        <d v="2025-04-02T13:30:00" u="1"/>
        <d v="2025-04-03T04:00:00" u="1"/>
        <d v="2025-04-03T07:00:00" u="1"/>
        <d v="2025-04-03T08:00:00" u="1"/>
        <d v="2025-04-03T10:00:00" u="1"/>
        <d v="2025-04-03T12:00:00" u="1"/>
        <d v="2025-04-03T13:30:00" u="1"/>
        <d v="2025-04-03T14:00:00" u="1"/>
        <d v="2025-04-03T15:00:00" u="1"/>
        <d v="2025-04-03T16:00:00" u="1"/>
        <d v="2025-04-03T19:00:00" u="1"/>
        <d v="2025-04-04T11:00:00" u="1"/>
        <d v="2025-04-04T14:00:00" u="1"/>
        <d v="2025-04-04T16:00:00" u="1"/>
        <d v="2025-04-04T17:00:00" u="1"/>
        <d v="2025-04-04T20:00:00" u="1"/>
        <d v="2025-04-04T21:00:00" u="1"/>
        <d v="2025-04-04T22:00:00" u="1"/>
        <d v="2025-04-05T01:00:00" u="1"/>
        <d v="2025-04-05T04:00:00" u="1"/>
        <d v="2025-04-05T13:00:00" u="1"/>
        <d v="2025-04-06T04:00:00" u="1"/>
        <d v="2025-04-06T06:00:00" u="1"/>
        <d v="2025-04-06T07:00:00" u="1"/>
        <d v="2025-04-06T08:00:00" u="1"/>
        <d v="2025-04-06T09:30:00" u="1"/>
        <d v="2025-04-06T10:00:00" u="1"/>
        <d v="2025-04-06T11:00:00" u="1"/>
        <d v="2025-04-06T12:00:00" u="1"/>
        <d v="2025-04-06T12:30:00" u="1"/>
        <d v="2025-04-06T14:00:00" u="1"/>
        <d v="2025-04-06T15:00:00" u="1"/>
        <d v="2025-04-06T16:00:00" u="1"/>
        <d v="2025-04-06T17:00:00" u="1"/>
        <d v="2025-04-06T18:00:00" u="1"/>
        <d v="2025-04-06T19:00:00" u="1"/>
        <d v="2025-04-06T20:00:00" u="1"/>
        <d v="2025-04-06T21:00:00" u="1"/>
        <d v="2025-04-06T22:00:00" u="1"/>
        <d v="2025-04-06T23:00:00" u="1"/>
        <d v="2025-04-07T00:00:00" u="1"/>
        <d v="2025-04-07T02:00:00" u="1"/>
        <d v="2025-04-07T06:00:00" u="1"/>
        <d v="2025-04-07T08:00:00" u="1"/>
        <d v="2025-04-07T10:00:00" u="1"/>
        <d v="2025-04-08T22:00:00" u="1"/>
        <d v="2025-04-08T23:00:00" u="1"/>
        <d v="2025-04-09T00:00:00" u="1"/>
        <d v="2025-04-09T02:00:00" u="1"/>
        <d v="2025-04-09T03:00:00" u="1"/>
        <d v="2025-04-09T04:00:00" u="1"/>
        <d v="2025-04-09T06:00:00" u="1"/>
        <d v="2025-04-09T07:30:00" u="1"/>
        <d v="2025-04-09T08:00:00" u="1"/>
        <d v="2025-04-09T09:00:00" u="1"/>
        <d v="2025-04-09T14:00:00" u="1"/>
        <d v="2025-04-09T16:00:00" u="1"/>
        <d v="2025-04-09T18:00:00" u="1"/>
        <d v="2025-04-09T20:00:00" u="1"/>
        <d v="2025-04-11T14:00:00" u="1"/>
        <d v="2025-04-11T16:00:00" u="1"/>
        <d v="2025-04-11T18:00:00" u="1"/>
        <d v="2025-04-11T19:00:00" u="1"/>
        <d v="2025-04-11T21:00:00" u="1"/>
        <d v="2025-04-11T22:00:00" u="1"/>
        <d v="2025-04-11T23:00:00" u="1"/>
        <d v="2025-04-12T04:00:00" u="1"/>
        <d v="2025-04-12T07:00:00" u="1"/>
        <d v="2025-04-12T10:00:00" u="1"/>
        <d v="2025-04-12T11:00:00" u="1"/>
        <d v="2025-04-12T12:00:00" u="1"/>
        <d v="2025-04-13T13:00:00" u="1"/>
        <d v="2025-04-13T14:30:00" u="1"/>
        <d v="2025-04-13T15:00:00" u="1"/>
        <d v="2025-04-13T17:00:00" u="1"/>
        <d v="2025-04-13T19:00:00" u="1"/>
        <d v="2025-04-13T20:00:00" u="1"/>
        <d v="2025-04-13T21:00:00" u="1"/>
        <d v="2025-04-13T23:00:00" u="1"/>
        <d v="2025-04-14T01:00:00" u="1"/>
        <d v="2025-04-14T02:00:00" u="1"/>
        <d v="2025-04-14T04:00:00" u="1"/>
        <d v="2025-04-14T05:00:00" u="1"/>
        <d v="2025-04-14T07:00:00" u="1"/>
        <d v="2025-04-14T08:00:00" u="1"/>
        <d v="2025-04-14T10:00:00" u="1"/>
        <d v="2025-04-14T11:00:00" u="1"/>
        <d v="2025-04-15T15:00:00" u="1"/>
        <d v="2025-04-15T17:00:00" u="1"/>
        <d v="2025-04-15T18:30:00" u="1"/>
        <d v="2025-04-15T19:00:00" u="1"/>
        <d v="2025-04-15T20:00:00" u="1"/>
        <d v="2025-04-16T07:00:00" u="1"/>
        <d v="2025-04-18T17:00:00" u="1"/>
        <d v="2025-04-18T18:30:00" u="1"/>
        <d v="2025-04-18T19:00:00" u="1"/>
        <d v="2025-04-18T20:00:00" u="1"/>
        <d v="2025-04-18T21:00:00" u="1"/>
        <d v="2025-04-18T22:00:00" u="1"/>
        <d v="2025-04-19T01:00:00" u="1"/>
        <d v="2025-04-19T04:00:00" u="1"/>
        <d v="2025-04-20T19:00:00" u="1"/>
        <d v="2025-04-20T21:00:00" u="1"/>
        <d v="2025-04-20T23:00:00" u="1"/>
        <d v="2025-04-21T02:00:00" u="1"/>
        <d v="2025-04-21T05:00:00" u="1"/>
        <d v="2025-04-21T06:00:00" u="1"/>
        <d v="2025-04-21T07:30:00" u="1"/>
        <d v="2025-04-21T08:00:00" u="1"/>
        <d v="2025-04-21T10:30:00" u="1"/>
        <d v="2025-04-21T11:00:00" u="1"/>
        <d v="2025-04-21T13:00:00" u="1"/>
        <d v="2025-04-21T14:00:00" u="1"/>
        <d v="2025-04-21T17:00:00" u="1"/>
        <d v="2025-04-21T19:00:00" u="1"/>
        <d v="2025-04-22T01:00:00" u="1"/>
        <d v="2025-04-22T04:00:00" u="1"/>
        <d v="2025-04-22T08:00:00" u="1"/>
        <d v="2025-04-22T09:00:00" u="1"/>
        <d v="2025-04-22T10:00:00" u="1"/>
        <d v="2025-04-22T11:00:00" u="1"/>
        <d v="2025-04-22T13:00:00" u="1"/>
        <d v="2025-04-22T15:00:00" u="1"/>
        <d v="2025-04-22T16:00:00" u="1"/>
        <d v="2025-04-22T18:00:00" u="1"/>
        <d v="2025-04-22T20:00:00" u="1"/>
        <d v="2025-04-22T14:00:00" u="1"/>
        <d v="2025-04-22T14:30:00" u="1"/>
        <d v="2025-04-22T17:00:00" u="1"/>
        <d v="2025-04-22T21:00:00" u="1"/>
        <d v="2025-04-25T07:00:00" u="1"/>
        <d v="2025-04-25T08:00:00" u="1"/>
        <d v="2025-04-25T09:00:00" u="1"/>
        <d v="2025-04-25T13:00:00" u="1"/>
        <d v="2025-04-25T15:00:00" u="1"/>
        <d v="2025-04-25T16:00:00" u="1"/>
        <d v="2025-04-25T17:00:00" u="1"/>
        <d v="2025-04-25T18:00:00" u="1"/>
        <d v="2025-04-25T21:00:00" u="1"/>
        <d v="2025-04-25T23:00:00" u="1"/>
        <d v="2025-04-26T02:00:00" u="1"/>
        <d v="2025-04-26T03:00:00" u="1"/>
        <d v="2025-04-27T16:00:00" u="1"/>
        <d v="2025-04-27T17:00:00" u="1"/>
        <d v="2025-04-27T19:00:00" u="1"/>
        <d v="2025-04-27T20:00:00" u="1"/>
        <d v="2025-04-27T22:00:00" u="1"/>
        <d v="2025-04-27T23:00:00" u="1"/>
        <d v="2025-04-28T01:00:00" u="1"/>
        <d v="2025-04-28T02:00:00" u="1"/>
        <d v="2025-04-28T04:00:00" u="1"/>
        <d v="2025-04-28T06:00:00" u="1"/>
        <d v="2025-04-28T07:30:00" u="1"/>
        <d v="2025-04-28T09:00:00" u="1"/>
        <d v="2025-04-28T10:00:00" u="1"/>
        <d v="2025-04-28T13:00:00" u="1"/>
        <d v="2025-04-28T15:00:00" u="1"/>
        <d v="2025-04-28T17:00:00" u="1"/>
        <d v="2025-04-28T18:00:00" u="1"/>
        <d v="2025-04-28T19:00:00" u="1"/>
        <d v="2025-04-28T20:00:00" u="1"/>
        <d v="2025-04-29T15:00:00" u="1"/>
        <d v="2025-04-29T17:00:00" u="1"/>
        <d v="2025-04-29T18:00:00" u="1"/>
        <d v="2025-04-29T20:00:00" u="1"/>
        <d v="2025-04-29T20:30:00" u="1"/>
        <d v="2025-04-29T21:00:00" u="1"/>
        <d v="2025-04-29T21:30:00" u="1"/>
        <d v="2025-04-29T22:00:00" u="1"/>
        <d v="2025-04-30T02:00:00" u="1"/>
        <d v="2025-05-01T23:00:00" u="1"/>
        <d v="2025-05-02T02:00:00" u="1"/>
        <d v="2025-05-02T05:00:00" u="1"/>
        <d v="2025-05-02T06:00:00" u="1"/>
        <d v="2025-05-02T07:30:00" u="1"/>
        <d v="2025-05-02T08:00:00" u="1"/>
        <d v="2025-05-02T11:00:00" u="1"/>
        <d v="2025-05-02T13:00:00" u="1"/>
        <d v="2025-05-04T17:00:00" u="1"/>
        <d v="2025-05-04T19:00:00" u="1"/>
        <d v="2025-05-04T21:00:00" u="1"/>
        <d v="2025-05-04T23:00:00" u="1"/>
        <d v="2025-05-05T02:00:00" u="1"/>
        <d v="2025-05-05T05:00:00" u="1"/>
        <d v="2025-05-05T06:00:00" u="1"/>
        <d v="2025-05-05T07:00:00" u="1"/>
        <d v="2025-05-05T08:00:00" u="1"/>
        <d v="2025-05-05T09:00:00" u="1"/>
        <d v="2025-05-05T10:00:00" u="1"/>
        <d v="2025-05-05T11:00:00" u="1"/>
        <d v="2025-05-05T12:00:00" u="1"/>
        <d v="2025-05-05T14:00:00" u="1"/>
        <d v="2025-05-05T16:00:00" u="1"/>
        <d v="2025-05-05T17:00:00" u="1"/>
        <d v="2025-05-05T18:00:00" u="1"/>
        <d v="2025-05-05T19:00:00" u="1"/>
        <d v="2025-05-05T20:00:00" u="1"/>
        <d v="2025-05-05T21:00:00" u="1"/>
        <d v="2025-05-05T23:00:00" u="1"/>
        <d v="2025-05-06T02:00:00" u="1"/>
        <d v="2025-05-06T05:00:00" u="1"/>
        <d v="2025-05-06T08:00:00" u="1"/>
        <d v="2025-05-06T11:00:00" u="1"/>
        <d v="2025-05-06T13:00:00" u="1"/>
        <d v="2025-05-06T14:00:00" u="1"/>
        <d v="2025-05-06T16:00:00" u="1"/>
        <d v="2025-05-06T18:00:00" u="1"/>
        <d v="2025-05-06T21:00:00" u="1"/>
        <d v="2025-05-06T23:00:00" u="1"/>
        <d v="2025-05-07T02:00:00" u="1"/>
        <d v="2025-05-07T05:00:00" u="1"/>
        <d v="2025-05-07T07:00:00" u="1"/>
        <d v="2025-05-09T06:00:00" u="1"/>
        <d v="2025-05-09T09:00:00" u="1"/>
        <d v="2025-05-09T10:00:00" u="1"/>
        <d v="2025-05-09T11:00:00" u="1"/>
        <d v="2025-05-09T16:00:00" u="1"/>
        <d v="2025-05-09T17:00:00" u="1"/>
        <d v="2025-05-09T18:00:00" u="1"/>
        <d v="2025-05-09T20:00:00" u="1"/>
        <d v="2025-05-09T22:00:00" u="1"/>
        <d v="2025-05-10T01:00:00" u="1"/>
        <d v="2025-05-11T12:00:00" u="1"/>
        <d v="2025-05-11T13:00:00" u="1"/>
        <d v="2025-05-13T21:00:00" u="1"/>
        <d v="2025-05-13T22:00:00" u="1"/>
        <d v="2025-05-14T02:00:00" u="1"/>
        <d v="2025-05-14T05:00:00" u="1"/>
        <d v="2025-05-14T06:00:00" u="1"/>
        <d v="2025-05-14T07:00:00" u="1"/>
        <d v="2025-05-14T11:00:00" u="1"/>
        <d v="2025-05-16T16:00:00" u="1"/>
        <d v="2025-05-16T19:00:00" u="1"/>
        <d v="2025-05-17T18:00:00" u="1"/>
        <d v="2025-05-17T19:00:00" u="1"/>
        <d v="2025-05-17T21:00:00" u="1"/>
        <d v="2025-05-18T08:00:00" u="1"/>
        <d v="2025-05-18T09:30:00" u="1"/>
        <d v="2025-05-18T17:00:00" u="1"/>
        <d v="2025-05-18T20:00:00" u="1"/>
        <d v="2025-05-18T23:00:00" u="1"/>
        <d v="2025-05-19T02:00:00" u="1"/>
        <d v="2025-05-19T06:00:00" u="1"/>
        <d v="2025-05-19T07:00:00" u="1"/>
        <d v="2025-05-19T09:00:00" u="1"/>
        <d v="2025-05-19T17:00:00" u="1"/>
        <d v="2025-05-19T18:00:00" u="1"/>
        <d v="2025-05-19T19:00:00" u="1"/>
        <d v="2025-05-19T20:00:00" u="1"/>
        <d v="2025-05-19T21:00:00" u="1"/>
        <d v="2025-05-19T23:00:00" u="1"/>
        <d v="2025-05-20T03:00:00" u="1"/>
        <d v="2025-05-20T06:00:00" u="1"/>
        <d v="2025-05-20T07:30:00" u="1"/>
        <d v="2025-05-20T11:00:00" u="1"/>
        <d v="2025-05-20T21:00:00" u="1"/>
        <d v="2025-05-21T02:00:00" u="1"/>
        <d v="2025-05-21T08:00:00" u="1"/>
        <d v="2025-05-23T10:00:00" u="1"/>
        <d v="2025-05-23T11:00:00" u="1"/>
        <d v="2025-05-23T14:00:00" u="1"/>
        <d v="2025-05-23T15:00:00" u="1"/>
        <d v="2025-05-23T18:00:00" u="1"/>
        <d v="2025-05-23T20:00:00" u="1"/>
        <d v="2025-05-23T21:00:00" u="1"/>
        <d v="2025-05-23T23:00:00" u="1"/>
        <d v="2025-05-25T09:00:00" u="1"/>
        <d v="2025-05-25T10:30:00" u="1"/>
        <d v="2025-05-25T11:00:00" u="1"/>
        <d v="2025-05-25T12:00:00" u="1"/>
        <d v="2025-05-25T13:00:00" u="1"/>
        <d v="2025-05-25T14:00:00" u="1"/>
        <d v="2025-05-25T15:00:00" u="1"/>
        <d v="2025-05-25T18:00:00" u="1"/>
        <d v="2025-05-25T20:00:00" u="1"/>
        <d v="2025-05-25T22:00:00" u="1"/>
        <d v="2025-05-25T23:00:00" u="1"/>
        <d v="2025-05-26T02:00:00" u="1"/>
        <d v="2025-05-26T05:00:00" u="1"/>
        <d v="2025-05-26T08:00:00" u="1"/>
        <d v="2025-05-26T11:00:00" u="1"/>
        <d v="2025-05-26T14:00:00" u="1"/>
        <d v="2025-05-26T17:00:00" u="1"/>
        <d v="2025-05-27T12:00:00" u="1"/>
        <d v="2025-05-27T13:30:00" u="1"/>
        <d v="2025-05-27T17:00:00" u="1"/>
        <d v="2025-05-28T06:00:00" u="1"/>
        <d v="2025-05-30T11:00:00" u="1"/>
        <d v="2025-05-30T12:30:00" u="1"/>
        <d v="2025-05-30T13:00:00" u="1"/>
        <d v="2025-05-30T15:00:00" u="1"/>
        <d v="2025-05-30T16:00:00" u="1"/>
        <d v="2025-05-30T17:00:00" u="1"/>
        <d v="2025-05-30T19:00:00" u="1"/>
        <d v="2025-06-01T08:00:00" u="1"/>
        <d v="2025-06-01T09:30:00" u="1"/>
        <d v="2025-06-01T13:00:00" u="1"/>
        <d v="2025-06-01T15:00:00" u="1"/>
        <d v="2025-06-01T16:00:00" u="1"/>
        <d v="2025-06-01T19:00:00" u="1"/>
        <d v="2025-06-01T21:00:00" u="1"/>
        <d v="2025-06-01T22:00:00" u="1"/>
        <d v="2025-06-02T01:00:00" u="1"/>
        <d v="2025-06-02T04:00:00" u="1"/>
        <d v="2025-06-02T08:00:00" u="1"/>
        <d v="2025-06-03T14:00:00" u="1"/>
        <d v="2025-06-03T16:00:00" u="1"/>
        <d v="2025-06-03T19:00:00" u="1"/>
        <d v="2025-06-06T03:00:00" u="1"/>
        <d v="2025-06-06T06:00:00" u="1"/>
        <d v="2025-06-08T08:00:00" u="1"/>
        <d v="2025-06-08T10:00:00" u="1"/>
        <d v="2025-06-08T13:00:00" u="1"/>
        <d v="2025-06-08T15:00:00" u="1"/>
        <d v="2025-06-08T16:00:00" u="1"/>
        <d v="2025-06-08T17:00:00" u="1"/>
        <d v="2025-06-08T18:00:00" u="1"/>
        <d v="2025-06-08T19:00:00" u="1"/>
        <d v="2025-06-08T21:00:00" u="1"/>
        <d v="2025-06-08T23:00:00" u="1"/>
        <d v="2025-06-09T02:00:00" u="1"/>
        <d v="2025-06-09T05:00:00" u="1"/>
        <d v="2025-06-09T06:00:00" u="1"/>
        <d v="2025-06-09T08:00:00" u="1"/>
        <d v="2025-06-09T10:00:00" u="1"/>
        <d v="2025-06-11T10:00:00" u="1"/>
        <d v="2025-06-11T12:00:00" u="1"/>
        <d v="2025-06-11T14:00:00" u="1"/>
        <d v="2025-06-11T15:00:00" u="1"/>
        <d v="2025-06-13T06:00:00" u="1"/>
        <d v="2025-06-13T10:00:00" u="1"/>
        <d v="2025-06-13T14:00:00" u="1"/>
        <d v="2025-06-13T15:15:00" u="1"/>
        <d v="2025-06-13T16:00:00" u="1"/>
        <d v="2025-06-13T18:00:00" u="1"/>
        <d v="2025-06-16T00:00:00" u="1"/>
        <d v="2025-06-16T02:00:00" u="1"/>
        <d v="2025-06-16T04:00:00" u="1"/>
        <d v="2025-06-16T06:00:00" u="1"/>
        <d v="2025-06-16T07:30:00" u="1"/>
        <d v="2025-06-16T08:00:00" u="1"/>
        <d v="2025-06-16T09:30:00" u="1"/>
        <d v="2025-06-16T10:00:00" u="1"/>
        <d v="2025-06-16T12:00:00" u="1"/>
        <d v="2025-06-16T16:00:00" u="1"/>
        <d v="2025-06-16T18:00:00" u="1"/>
        <d v="2025-06-17T16:00:00" u="1"/>
        <d v="2025-06-17T18:00:00" u="1"/>
        <d v="2025-06-17T20:00:00" u="1"/>
        <d v="2025-06-17T21:00:00" u="1"/>
        <d v="2025-06-17T23:00:00" u="1"/>
        <d v="2025-06-18T03:00:00" u="1"/>
        <d v="2025-06-20T15:00:00" u="1"/>
        <d v="2025-06-20T15:30:00" u="1"/>
        <d v="2025-06-20T17:00:00" u="1"/>
        <d v="2025-06-20T19:00:00" u="1"/>
        <d v="2025-06-20T21:00:00" u="1"/>
        <d v="2025-06-22T13:00:00" u="1"/>
        <d v="2025-06-22T14:01:00" u="1"/>
        <d v="2025-06-22T15:30:00" u="1"/>
        <d v="2025-06-22T21:00:00" u="1"/>
        <d v="2025-06-23T18:00:00" u="1"/>
        <d v="2025-06-24T16:00:00" u="1"/>
        <d v="2025-06-24T22:00:00" u="1"/>
        <d v="2025-06-25T00:00:00" u="1"/>
        <d v="2025-06-25T06:00:00" u="1"/>
        <d v="2025-06-25T07:30:00" u="1"/>
        <d v="2025-06-25T08:00:00" u="1"/>
        <d v="2025-06-25T09:00:00" u="1"/>
        <d v="2025-06-25T10:30:00" u="1"/>
        <d v="2025-06-27T15:00:00" u="1"/>
        <d v="2025-06-28T18:00:00" u="1"/>
        <d v="2025-06-29T08:00:00" u="1"/>
        <d v="2025-06-29T17:00:00" u="1"/>
        <d v="2025-06-29T19:00:00" u="1"/>
        <d v="2025-06-29T22:00:00" u="1"/>
        <d v="2025-06-29T23:59:00" u="1"/>
        <d v="2025-06-30T01:00:00" u="1"/>
        <d v="2025-06-30T05:00:00" u="1"/>
        <d v="2025-06-30T06:00:00" u="1"/>
        <d v="2025-06-30T08:00:00" u="1"/>
        <d v="2025-06-30T13:00:00" u="1"/>
        <d v="2025-06-30T16:00:00" u="1"/>
        <d v="2025-07-02T02:00:00" u="1"/>
        <d v="2025-07-02T04:00:00" u="1"/>
        <d v="2025-07-02T06:00:00" u="1"/>
        <d v="2025-07-02T09:00:00" u="1"/>
        <d v="2025-07-02T12:30:00" u="1"/>
        <d v="2025-07-02T13:15:00" u="1"/>
        <d v="2025-07-04T17:00:00" u="1"/>
        <d v="2025-07-04T20:00:00" u="1"/>
        <d v="2025-07-04T21:00:00" u="1"/>
        <d v="2025-07-04T23:00:00" u="1"/>
        <d v="2025-07-05T00:00:00" u="1"/>
        <d v="2025-07-05T01:00:00" u="1"/>
        <d v="2025-07-05T03:00:00" u="1"/>
        <d v="2025-07-05T05:00:00" u="1"/>
        <d v="2025-07-05T08:00:00" u="1"/>
        <d v="2025-07-06T13:00:00" u="1"/>
        <d v="2025-07-06T14:00:00" u="1"/>
        <d v="2025-07-06T14:30:00" u="1"/>
        <d v="2025-07-06T15:00:00" u="1"/>
        <d v="2025-07-06T16:00:00" u="1"/>
        <d v="2025-07-06T19:00:00" u="1"/>
        <d v="2025-07-06T20:00:00" u="1"/>
        <d v="2025-07-06T22:00:00" u="1"/>
        <d v="2025-07-07T00:00:00" u="1"/>
        <d v="2025-07-07T01:00:00" u="1"/>
        <d v="2025-07-07T04:00:00" u="1"/>
        <d v="2025-07-07T07:30:00" u="1"/>
        <d v="2025-07-07T12:00:00" u="1"/>
        <d v="2025-07-07T15:00:00" u="1"/>
        <d v="2025-07-07T21:00:00" u="1"/>
        <d v="2025-07-08T20:00:00" u="1"/>
        <d v="2025-07-08T23:00:00" u="1"/>
        <d v="2025-07-09T00:00:00" u="1"/>
        <d v="2025-07-09T02:00:00" u="1"/>
        <d v="2025-07-09T03:00:00" u="1"/>
        <d v="2025-07-09T08:00:00" u="1"/>
        <d v="2025-07-11T11:00:00" u="1"/>
        <d v="2025-07-11T14:00:00" u="1"/>
        <d v="2025-07-11T18:00:00" u="1"/>
        <d v="2025-07-11T21:00:00" u="1"/>
        <d v="2025-07-12T01:00:00" u="1"/>
        <d v="2025-07-13T15:00:00" u="1"/>
        <d v="2025-07-13T18:00:00" u="1"/>
        <d v="2025-07-13T21:00:00" u="1"/>
        <d v="2025-07-14T00:00:00" u="1"/>
        <d v="2025-07-14T03:00:00" u="1"/>
        <d v="2025-07-14T16:00:00" u="1"/>
        <d v="2025-07-14T18:00:00" u="1"/>
        <d v="2025-07-14T19:30:00" u="1"/>
        <d v="2025-07-14T20:00:00" u="1"/>
        <d v="2025-07-14T21:00:00" u="1"/>
        <d v="2025-07-14T22:00:00" u="1"/>
        <d v="2025-07-14T22:30:00" u="1"/>
        <d v="2025-07-14T23:00:00" u="1"/>
        <d v="2025-07-15T00:00:00" u="1"/>
        <d v="2025-07-15T04:00:00" u="1"/>
        <d v="2025-07-15T06:00:00" u="1"/>
        <d v="2025-07-15T07:00:00" u="1"/>
        <d v="2025-07-15T12:00:00" u="1"/>
        <d v="2025-07-15T14:00:00" u="1"/>
        <d v="2025-07-15T21:00:00" u="1"/>
        <d v="2025-07-16T06:00:00" u="1"/>
        <d v="2025-07-16T11:00:00" u="1"/>
        <d v="2025-07-18T11:00:00" u="1"/>
        <d v="2025-07-18T13:00:00" u="1"/>
        <d v="2025-07-18T15:00:00" u="1"/>
        <d v="2025-07-18T17:00:00" u="1"/>
        <d v="2025-07-19T17:00:00" u="1"/>
        <d v="2025-07-19T19:00:00" u="1"/>
        <d v="2025-07-20T07:00:00" u="1"/>
        <d v="2025-07-20T08:00:00" u="1"/>
        <d v="2025-07-20T11:00:00" u="1"/>
        <d v="2025-07-22T17:00:00" u="1"/>
        <d v="2025-07-22T18:30:00" u="1"/>
        <d v="2025-07-22T19:00:00" u="1"/>
        <d v="2025-07-22T20:00:00" u="1"/>
        <d v="2025-07-22T22:00:00" u="1"/>
        <d v="2025-07-23T04:00:00" u="1"/>
        <d v="2025-07-25T13:00:00" u="1"/>
        <d v="2025-07-25T14:00:00" u="1"/>
        <d v="2025-07-25T17:00:00" u="1"/>
        <d v="2025-07-26T15:00:00" u="1"/>
        <d v="2025-07-26T17:00:00" u="1"/>
        <d v="2025-07-26T19:00:00" u="1"/>
        <d v="2025-07-27T06:00:00" u="1"/>
        <d v="2025-07-27T08:00:00" u="1"/>
        <d v="2025-07-27T09:30:00" u="1"/>
        <d v="2025-07-27T13:00:00" u="1"/>
        <d v="2025-07-27T15:00:00" u="1"/>
        <d v="2025-07-27T17:00:00" u="1"/>
        <d v="2025-07-29T16:00:00" u="1"/>
        <d v="2025-07-29T17:00:00" u="1"/>
        <d v="2025-07-29T17:30:00" u="1"/>
        <d v="2025-07-29T19:00:00" u="1"/>
        <d v="2025-07-29T20:00:00" u="1"/>
        <d v="2025-07-29T21:00:00" u="1"/>
        <d v="2025-07-29T22:00:00" u="1"/>
        <d v="2025-07-30T00:00:00" u="1"/>
        <d v="2025-07-30T03:00:00" u="1"/>
        <d v="2025-07-30T06:00:00" u="1"/>
        <d v="2025-08-01T11:00:00" u="1"/>
        <d v="2025-08-01T13:00:00" u="1"/>
        <d v="2025-08-01T14:00:00" u="1"/>
        <d v="2025-08-01T17:00:00" u="1"/>
        <d v="2025-08-01T19:00:00" u="1"/>
        <d v="2025-08-01T21:00:00" u="1"/>
        <d v="2025-08-03T06:00:00" u="1"/>
        <d v="2025-08-03T07:00:00" u="1"/>
        <d v="2025-08-03T08:00:00" u="1"/>
        <d v="2025-08-03T09:00:00" u="1"/>
        <d v="2025-08-03T09:30:00" u="1"/>
        <d v="2025-08-03T10:00:00" u="1"/>
        <d v="2025-08-03T10:30:00" u="1"/>
        <d v="2025-08-03T11:30:00" u="1"/>
        <d v="2025-08-03T12:00:00" u="1"/>
        <d v="2025-08-03T13:00:00" u="1"/>
        <d v="2025-08-03T14:00:00" u="1"/>
        <d v="2025-08-03T16:00:00" u="1"/>
        <d v="2025-08-03T18:00:00" u="1"/>
        <d v="2025-08-03T20:00:00" u="1"/>
        <d v="2025-08-03T22:00:00" u="1"/>
        <d v="2025-08-04T00:00:00" u="1"/>
        <d v="2025-08-04T04:00:00" u="1"/>
        <d v="2025-08-04T08:00:00" u="1"/>
        <d v="2025-08-04T10:00:00" u="1"/>
        <d v="2025-08-04T12:00:00" u="1"/>
        <d v="2025-08-04T15:00:00" u="1"/>
        <d v="2025-08-04T17:00:00" u="1"/>
        <d v="2025-08-05T22:00:00" u="1"/>
        <d v="2025-08-06T06:00:00" u="1"/>
        <d v="2025-08-06T07:30:00" u="1"/>
        <d v="2025-08-06T09:30:00" u="1"/>
        <d v="2025-08-06T11:30:00" u="1"/>
        <d v="2025-08-06T14:00:00" u="1"/>
        <d v="2025-08-06T17:30:00" u="1"/>
        <d v="2025-08-08T08:00:00" u="1"/>
        <d v="2025-08-08T11:00:00" u="1"/>
        <d v="2025-08-08T14:00:00" u="1"/>
        <d v="2025-08-08T17:00:00" u="1"/>
        <d v="2025-08-08T18:30:00" u="1"/>
        <d v="2025-08-08T20:00:00" u="1"/>
        <d v="2025-08-09T00:00:00" u="1"/>
        <d v="2025-08-09T02:00:00" u="1"/>
        <d v="2025-08-09T08:00:00" u="1"/>
        <d v="2025-08-10T06:00:00" u="1"/>
        <d v="2025-08-10T08:00:00" u="1"/>
        <d v="2025-08-10T09:00:00" u="1"/>
        <d v="2025-08-10T09:30:00" u="1"/>
        <d v="2025-08-10T11:00:00" u="1"/>
        <d v="2025-08-10T11:30:00" u="1"/>
        <d v="2025-08-10T13:00:00" u="1"/>
        <d v="2025-08-10T14:00:00" u="1"/>
        <d v="2025-08-10T16:00:00" u="1"/>
        <d v="2025-08-10T18:00:00" u="1"/>
        <d v="2025-08-10T20:00:00" u="1"/>
        <d v="2025-08-10T22:00:00" u="1"/>
        <d v="2025-08-11T00:00:00" u="1"/>
        <d v="2025-08-11T03:00:00" u="1"/>
        <d v="2025-08-11T05:00:00" u="1"/>
        <d v="2025-08-11T08:00:00" u="1"/>
        <d v="2025-08-11T10:00:00" u="1"/>
        <d v="2025-08-11T12:00:00" u="1"/>
        <d v="2025-08-11T14:00:00" u="1"/>
        <d v="2025-08-11T16:00:00" u="1"/>
        <d v="2025-08-11T18:00:00" u="1"/>
        <d v="2025-08-11T20:00:00" u="1"/>
        <d v="2025-08-11T22:00:00" u="1"/>
        <d v="2025-08-12T00:00:00" u="1"/>
        <d v="2025-08-12T03:00:00" u="1"/>
        <d v="2025-08-12T08:00:00" u="1"/>
        <d v="2025-08-12T12:00:00" u="1"/>
        <d v="2025-08-12T22:00:00" u="1"/>
        <d v="2025-08-13T04:00:00" u="1"/>
        <d v="2025-08-13T06:00:00" u="1"/>
        <d v="2025-08-13T06:30:00" u="1"/>
        <d v="2025-08-13T07:00:00" u="1"/>
        <d v="2025-08-13T07:30:00" u="1"/>
        <d v="2025-08-13T09:30:00" u="1"/>
        <d v="2025-08-13T11:00:00" u="1"/>
        <d v="2025-08-13T11:30:00" u="1"/>
        <d v="2025-08-13T12:00:00" u="1"/>
        <d v="2025-08-13T12:30:00" u="1"/>
        <d v="2025-08-13T14:00:00" u="1"/>
        <d v="2025-08-13T17:00:00" u="1"/>
        <d v="2025-08-13T18:00:00" u="1"/>
        <d v="2025-08-13T19:00:00" u="1"/>
        <d v="2025-08-13T20:00:00" u="1"/>
        <d v="2025-08-13T21:00:00" u="1"/>
        <d v="2025-08-13T23:00:00" u="1"/>
        <d v="2025-08-14T02:00:00" u="1"/>
        <d v="2025-08-14T05:00:00" u="1"/>
        <d v="2025-08-14T08:00:00" u="1"/>
        <d v="2025-08-14T11:00:00" u="1"/>
        <d v="2025-08-14T14:00:00" u="1"/>
        <d v="2025-08-15T16:00:00" u="1"/>
        <d v="2025-08-15T17:00:00" u="1"/>
        <d v="2025-08-15T19:00:00" u="1"/>
        <d v="2025-08-15T22:00:00" u="1"/>
        <d v="2025-08-16T03:00:00" u="1"/>
        <d v="2025-08-17T00:00:00" u="1"/>
        <d v="2025-08-19T14:00:00" u="1"/>
        <d v="2025-08-19T16:00:00" u="1"/>
        <d v="2025-08-19T16:30:00" u="1"/>
        <d v="2025-08-19T17:30:00" u="1"/>
        <d v="2025-08-19T18:00:00" u="1"/>
        <d v="2025-08-19T19:30:00" u="1"/>
        <d v="2025-08-19T20:30:00" u="1"/>
        <d v="2025-08-19T21:00:00" u="1"/>
        <d v="2025-08-20T01:00:00" u="1"/>
        <d v="2025-08-20T03:00:00" u="1"/>
        <d v="2025-08-20T05:00:00" u="1"/>
        <d v="2025-08-20T06:00:00" u="1"/>
        <d v="2025-08-20T07:30:00" u="1"/>
        <d v="2025-08-20T08:00:00" u="1"/>
        <d v="2025-08-20T09:30:00" u="1"/>
        <d v="2025-08-20T11:00:00" u="1"/>
        <d v="2025-08-20T12:00:00" u="1"/>
        <d v="2025-08-20T12:30:00" u="1"/>
        <d v="2025-08-20T13:00:00" u="1"/>
        <d v="2025-08-20T15:00:00" u="1"/>
        <d v="2025-08-20T16:00:00" u="1"/>
        <d v="2025-08-21T01:00:00" u="1"/>
        <d v="2025-08-21T03:00:00" u="1"/>
        <d v="2025-08-21T04:00:00" u="1"/>
        <d v="2025-08-21T06:00:00" u="1"/>
        <d v="2025-08-21T06:30:00" u="1"/>
        <d v="2025-08-21T07:30:00" u="1"/>
        <d v="2025-08-21T08:00:00" u="1"/>
        <d v="2025-08-21T09:00:00" u="1"/>
        <d v="2025-08-21T09:30:00" u="1"/>
        <d v="2025-08-21T10:00:00" u="1"/>
        <d v="2025-08-21T11:00:00" u="1"/>
        <d v="2025-08-21T13:00:00" u="1"/>
        <d v="2025-08-21T15:00:00" u="1"/>
        <d v="2025-08-21T17:00:00" u="1"/>
        <d v="2025-08-21T21:00:00" u="1"/>
        <d v="2025-08-22T07:00:00" u="1"/>
        <d v="2025-08-22T09:00:00" u="1"/>
        <d v="2025-08-22T10:00:00" u="1"/>
        <d v="2025-08-22T11:00:00" u="1"/>
        <d v="2025-08-22T14:00:00" u="1"/>
        <d v="2025-08-22T13:00:00" u="1"/>
        <d v="2025-08-22T15:00:00" u="1"/>
        <d v="2025-08-22T17:00:00" u="1"/>
        <d v="2025-08-22T18:00:00" u="1"/>
        <d v="2025-08-22T19:00:00" u="1"/>
        <d v="2025-08-24T11:00:00" u="1"/>
        <d v="2025-08-24T12:30:00" u="1"/>
        <d v="2025-08-24T14:00:00" u="1"/>
        <d v="2025-08-24T15:00:00" u="1"/>
        <d v="2025-08-24T17:00:00" u="1"/>
        <d v="2025-08-26T16:00:00" u="1"/>
        <d v="2025-08-26T20:00:00" u="1"/>
        <d v="2025-08-26T21:00:00" u="1"/>
        <d v="2025-08-27T06:00:00" u="1"/>
        <d v="2025-08-27T07:30:00" u="1"/>
        <d v="2025-08-27T09:30:00" u="1"/>
        <d v="2025-08-27T10:00:00" u="1"/>
        <d v="2025-08-27T11:00:00" u="1"/>
        <d v="2025-08-27T12:00:00" u="1"/>
        <d v="2025-08-27T12:30:00" u="1"/>
        <d v="2025-08-27T14:30:00" u="1"/>
        <d v="2025-08-27T15:00:00" u="1"/>
        <d v="2025-08-27T15:30:00" u="1"/>
        <d v="2025-08-27T16:30:00" u="1"/>
        <d v="2025-08-27T17:00:00" u="1"/>
        <d v="2025-08-27T18:00:00" u="1"/>
        <d v="2025-08-27T19:00:00" u="1"/>
        <d v="2025-08-27T20:00:00" u="1"/>
        <d v="2025-08-28T06:00:00" u="1"/>
        <d v="2025-08-28T07:30:00" u="1"/>
        <d v="2025-08-28T09:00:00" u="1"/>
        <d v="2025-08-28T09:30:00" u="1"/>
        <d v="2025-08-28T11:00:00" u="1"/>
        <d v="2025-08-28T12:30:00" u="1"/>
        <d v="2025-08-28T14:00:00" u="1"/>
        <d v="2025-08-28T15:00:00" u="1"/>
        <d v="2025-08-29T15:00:00" u="1"/>
        <d v="2025-08-29T17:00:00" u="1"/>
        <d v="2025-08-29T19:00:00" u="1"/>
        <d v="2025-08-29T21:00:00" u="1"/>
        <d v="2025-08-29T23:00:00" u="1"/>
        <d v="2025-08-30T02:00:00" u="1"/>
        <d v="2025-08-30T05:00:00" u="1"/>
        <d v="2025-08-30T08:00:00" u="1"/>
        <d v="2025-08-30T13:00:00" u="1"/>
        <d v="2025-08-31T14:00:00" u="1"/>
        <d v="2025-09-02T14:00:00" u="1"/>
        <d v="2025-09-02T16:30:00" u="1"/>
        <d v="2025-09-02T18:00:00" u="1"/>
        <d v="2025-09-02T20:00:00" u="1"/>
        <d v="2025-09-02T21:00:00" u="1"/>
        <d v="2025-09-02T21:30:00" u="1"/>
        <d v="2025-09-02T22:00:00" u="1"/>
        <d v="2025-09-03T00:00:00" u="1"/>
        <d v="2025-09-03T00:30:00" u="1"/>
        <d v="2025-09-03T01:00:00" u="1"/>
        <d v="2025-09-03T02:00:00" u="1"/>
        <d v="2025-09-03T03:30:00" u="1"/>
        <d v="2025-09-03T04:00:00" u="1"/>
        <d v="2025-09-03T04:30:00" u="1"/>
        <d v="2025-09-03T06:00:00" u="1"/>
        <d v="2025-09-03T07:30:00" u="1"/>
        <d v="2025-09-03T09:00:00" u="1"/>
        <d v="2025-09-03T10:00:00" u="1"/>
        <d v="2025-09-03T10:30:00" u="1"/>
        <d v="2025-09-03T12:00:00" u="1"/>
        <d v="2025-09-03T12:30:00" u="1"/>
        <d v="2025-09-03T14:00:00" u="1"/>
        <d v="2025-09-03T15:30:00" u="1"/>
        <d v="2025-09-03T17:00:00" u="1"/>
        <d v="2025-09-03T17:30:00" u="1"/>
        <d v="2025-09-03T18:30:00" u="1"/>
        <d v="2025-09-03T21:00:00" u="1"/>
        <d v="2025-09-03T22:30:00" u="1"/>
        <d v="2025-09-04T03:30:00" u="1"/>
        <d v="2025-09-04T08:00:00" u="1"/>
        <d v="2025-09-04T11:00:00" u="1"/>
        <d v="2025-09-04T12:30:00" u="1"/>
        <d v="2025-09-04T17:00:00" u="1"/>
        <d v="2025-09-05T06:00:00" u="1"/>
        <d v="2025-09-05T09:00:00" u="1"/>
        <d v="2025-09-04T00:00:00" u="1"/>
        <d v="2025-09-04T00:30:00" u="1"/>
        <d v="2025-09-04T04:00:00" u="1"/>
        <d v="2025-09-04T05:00:00" u="1"/>
        <d v="2025-09-04T06:00:00" u="1"/>
        <d v="2025-09-04T07:00:00" u="1"/>
        <d v="2025-09-04T07:30:00" u="1"/>
        <d v="2025-09-04T09:00:00" u="1"/>
        <d v="2025-09-04T09:30:00" u="1"/>
        <d v="2025-09-04T12:00:00" u="1"/>
        <d v="2025-09-04T13:00:00" u="1"/>
        <d v="2025-09-04T14:00:00" u="1"/>
        <d v="2025-09-04T15:00:00" u="1"/>
        <d v="2025-09-04T15:30:00" u="1"/>
        <d v="2025-09-04T18:30:00" u="1"/>
        <d v="2025-09-04T19:00:00" u="1"/>
        <d v="2025-09-04T20:30:00" u="1"/>
        <d v="2025-09-04T21:00:00" u="1"/>
        <d v="2025-09-04T22:00:00" u="1"/>
        <d v="2025-09-04T23:00:00" u="1"/>
        <d v="2025-09-05T00:00:00" u="1"/>
        <d v="2025-09-05T01:00:00" u="1"/>
        <d v="2025-09-05T02:00:00" u="1"/>
        <d v="2025-09-05T03:00:00" u="1"/>
        <d v="2025-09-05T04:00:00" u="1"/>
        <d v="2025-09-05T08:00:00" u="1"/>
        <d v="2025-09-05T10:00:00" u="1"/>
        <d v="2025-09-05T10:30:00" u="1"/>
        <d v="2025-09-05T12:00:00" u="1"/>
        <d v="2025-09-05T14:00:00" u="1"/>
        <d v="2025-09-05T15:30:00" u="1"/>
        <d v="2025-09-05T17:00:00" u="1"/>
        <d v="2025-09-05T19:00:00" u="1"/>
        <d v="2025-09-05T21:00:00" u="1"/>
        <d v="2025-09-05T22:00:00" u="1"/>
        <d v="2025-09-05T23:00:00" u="1"/>
        <d v="2025-09-06T04:00:00" u="1"/>
        <d v="2025-09-06T06:00:00" u="1"/>
        <d v="2025-09-06T08:00:00" u="1"/>
        <d v="2025-09-06T10:00:00" u="1"/>
        <d v="2025-09-06T11:00:00" u="1"/>
        <d v="2025-09-06T13:00:00" u="1"/>
        <d v="2025-09-06T15:00:00" u="1"/>
        <d v="2025-09-07T09:00:00" u="1"/>
        <d v="2025-09-05T11:00:00" u="1"/>
        <d v="2025-09-05T16:00:00" u="1"/>
        <d v="2025-09-05T18:00:00" u="1"/>
        <d v="2025-09-05T20:00:00" u="1"/>
        <d v="2025-09-06T00:00:00" u="1"/>
        <d v="2025-09-06T02:00:00" u="1"/>
        <d v="2025-09-07T02:00:00" u="1"/>
        <d v="2025-09-07T05:00:00" u="1"/>
        <d v="2025-09-07T06:00:00" u="1"/>
        <d v="2025-09-07T07:30:00" u="1"/>
        <d v="2025-09-07T08:00:00" u="1"/>
        <d v="2025-09-07T10:00:00" u="1"/>
        <d v="2025-09-07T12:00:00" u="1"/>
        <d v="2025-09-07T13:00:00" u="1"/>
        <d v="2025-09-07T15:00:00" u="1"/>
        <d v="2025-09-07T17:00:00" u="1"/>
        <d v="2025-09-07T19:00:00" u="1"/>
        <d v="2025-09-07T21:00:00" u="1"/>
        <d v="2025-09-07T23:00:00" u="1"/>
        <d v="2025-09-08T02:00:00" u="1"/>
        <d v="2025-09-08T05:00:00" u="1"/>
        <d v="2025-09-08T08:00:00" u="1"/>
        <d v="2025-09-08T10:00:00" u="1"/>
        <d v="2025-09-08T11:00:00" u="1"/>
        <d v="2025-09-08T12:00:00" u="1"/>
        <d v="2025-09-08T13:00:00" u="1"/>
        <d v="2025-09-08T18:00:00" u="1"/>
        <d v="2025-09-08T18:15:00" u="1"/>
        <d v="2025-09-08T19:30:00" u="1"/>
        <d v="2025-09-09T17:00:00" u="1"/>
        <d v="2025-09-09T18:00:00" u="1"/>
        <d v="2025-09-09T18:30:00" u="1"/>
        <d v="2025-09-09T19:00:00" u="1"/>
        <d v="2025-09-09T20:00:00" u="1"/>
        <d v="2025-09-09T20:30:00" u="1"/>
        <d v="2025-09-09T23:30:00" u="1"/>
        <d v="2025-09-10T01:00:00" u="1"/>
        <d v="2025-09-10T01:30:00" u="1"/>
        <d v="2025-09-10T03:00:00" u="1"/>
        <d v="2025-09-10T04:30:00" u="1"/>
        <d v="2025-09-10T05:00:00" u="1"/>
        <d v="2025-09-10T06:00:00" u="1"/>
        <d v="2025-09-10T07:00:00" u="1"/>
        <d v="2025-09-10T07:30:00" u="1"/>
        <d v="2025-09-10T08:00:00" u="1"/>
        <d v="2025-09-10T09:30:00" u="1"/>
        <d v="2025-09-10T11:00:00" u="1"/>
        <d v="2025-09-10T12:30:00" u="1"/>
        <d v="2025-09-10T13:00:00" u="1"/>
        <d v="2025-09-10T14:00:00" u="1"/>
        <d v="2025-09-10T15:00:00" u="1"/>
        <d v="2025-09-10T15:30:00" u="1"/>
        <d v="2025-09-10T17:00:00" u="1"/>
        <d v="2025-09-10T17:30:00" u="1"/>
        <d v="2025-09-10T19:00:00" u="1"/>
        <d v="2025-09-10T20:00:00" u="1"/>
        <d v="2025-09-10T20:30:00" u="1"/>
        <d v="2025-09-10T22:00:00" u="1"/>
        <d v="2025-09-10T23:30:00" u="1"/>
        <d v="2025-09-11T03:00:00" u="1"/>
        <d v="2025-09-11T04:30:00" u="1"/>
        <d v="2025-09-11T06:00:00" u="1"/>
        <d v="2025-09-11T07:30:00" u="1"/>
        <d v="2025-09-11T09:30:00" u="1"/>
        <d v="2025-09-11T11:00:00" u="1"/>
        <d v="2025-09-11T13:00:00" u="1"/>
        <d v="2025-09-11T14:00:00" u="1"/>
        <d v="2025-09-11T15:00:00" u="1"/>
        <d v="2025-09-11T17:00:00" u="1"/>
        <d v="2025-09-11T18:00:00" u="1"/>
        <d v="2025-09-12T00:30:00" u="1"/>
        <d v="2025-09-12T22:00:00" u="1"/>
        <d v="2025-09-12T23:00:00" u="1"/>
        <d v="2025-09-13T01:00:00" u="1"/>
        <d v="2025-09-13T06:00:00" u="1"/>
        <d v="2025-09-13T12:00:00" u="1"/>
        <d v="2025-09-13T16:00:00" u="1"/>
        <d v="2025-09-13T19:00:00" u="1"/>
        <d v="2025-09-14T06:00:00" u="1"/>
        <d v="2025-09-14T06:30:00" u="1"/>
        <d v="2025-09-16T04:00:00" u="1"/>
        <d v="2025-09-14T12:00:00" u="1"/>
        <d v="2025-09-14T13:00:00" u="1"/>
        <d v="2025-09-14T14:00:00" u="1"/>
        <d v="2025-09-14T15:00:00" u="1"/>
        <d v="2025-09-14T15:30:00" u="1"/>
        <d v="2025-09-14T17:00:00" u="1"/>
        <d v="2025-09-14T17:30:00" u="1"/>
        <d v="2025-09-14T18:00:00" u="1"/>
        <d v="2025-09-14T19:00:00" u="1"/>
        <d v="2025-09-14T19:30:00" u="1"/>
        <d v="2025-09-14T20:00:00" u="1"/>
        <d v="2025-09-14T21:00:00" u="1"/>
        <d v="2025-09-14T22:00:00" u="1"/>
        <d v="2025-09-15T00:00:00" u="1"/>
        <d v="2025-09-15T03:00:00" u="1"/>
        <d v="2025-09-15T04:00:00" u="1"/>
        <d v="2025-09-15T08:00:00" u="1"/>
        <d v="2025-09-15T10:00:00" u="1"/>
        <d v="2025-09-15T12:00:00" u="1"/>
        <d v="2025-09-15T14:00:00" u="1"/>
        <d v="2025-09-15T15:00:00" u="1"/>
        <d v="2025-09-15T17:00:00" u="1"/>
        <d v="2025-09-15T18:00:00" u="1"/>
        <d v="2025-09-15T19:00:00" u="1"/>
        <d v="2025-09-15T20:00:00" u="1"/>
        <d v="2025-09-15T22:00:00" u="1"/>
        <d v="2025-09-16T00:00:00" u="1"/>
        <d v="2025-09-16T02:00:00" u="1"/>
        <d v="2025-09-16T07:00:00" u="1"/>
        <d v="2025-09-16T08:00:00" u="1"/>
        <d v="2025-09-16T10:00:00" u="1"/>
        <d v="2025-09-16T11:00:00" u="1"/>
        <d v="2025-09-16T14:00:00" u="1"/>
        <d v="2025-09-16T17:00:00" u="1"/>
        <d v="2025-09-16T19:00:00" u="1"/>
        <d v="2025-09-16T21:00:00" u="1"/>
        <d v="2025-09-16T23:00:00" u="1"/>
        <d v="2025-09-19T14:00:00" u="1"/>
        <d v="2025-09-19T17:00:00" u="1"/>
        <d v="2025-09-19T21:00:00" u="1"/>
        <d v="2025-09-20T02:00:00" u="1"/>
        <d v="2025-09-20T08:00:00" u="1"/>
        <d v="2025-09-20T10:00:00" u="1"/>
        <d v="2025-09-20T14:00:00" u="1"/>
        <d v="2025-09-21T12:00:00" u="1"/>
        <d v="2025-09-23T14:00:00" u="1"/>
        <d v="2025-09-23T16:00:00" u="1"/>
        <d v="2025-09-23T21:00:00" u="1"/>
        <d v="2025-09-24T01:00:00" u="1"/>
        <d v="2025-09-24T05:00:00" u="1"/>
        <d v="2025-09-24T07:00:00" u="1"/>
        <d v="2025-09-24T11:00:00" u="1"/>
        <d v="2025-09-21T07:00:00" u="1"/>
        <d v="2025-09-21T09:00:00" u="1"/>
        <d v="2025-09-21T10:30:00" u="1"/>
        <d v="2025-09-21T11:00:00" u="1"/>
        <d v="2025-09-21T12:30:00" u="1"/>
        <d v="2025-09-21T14:00:00" u="1"/>
        <d v="2025-09-21T15:00:00" u="1"/>
        <d v="2025-09-21T15:30:00" u="1"/>
        <d v="2025-09-21T17:00:00" u="1"/>
        <d v="2025-09-21T17:30:00" u="1"/>
        <d v="2025-09-21T18:00:00" u="1"/>
        <d v="2025-09-21T19:00:00" u="1"/>
        <d v="2025-09-21T20:30:00" u="1"/>
        <d v="2025-09-21T22:00:00" u="1"/>
        <d v="2025-09-21T23:30:00" u="1"/>
        <d v="2025-09-22T02:30:00" u="1"/>
        <d v="2025-09-22T04:00:00" u="1"/>
        <d v="2025-09-22T06:00:00" u="1"/>
        <d v="2025-09-22T07:30:00" u="1"/>
        <d v="2025-09-22T09:30:00" u="1"/>
        <d v="2025-09-22T10:00:00" u="1"/>
        <d v="2025-09-22T11:00:00" u="1"/>
        <d v="2025-09-22T12:30:00" u="1"/>
        <d v="2025-09-22T13:00:00" u="1"/>
        <d v="2025-09-22T14:00:00" u="1"/>
        <d v="2025-09-22T14:30:00" u="1"/>
        <d v="2025-09-22T15:00:00" u="1"/>
        <d v="2025-09-22T16:00:00" u="1"/>
        <d v="2025-09-22T16:30:00" u="1"/>
        <d v="2025-09-22T18:00:00" u="1"/>
        <d v="2025-09-22T19:30:00" u="1"/>
        <d v="2025-09-23T00:00:00" u="1"/>
        <d v="2025-09-23T02:00:00" u="1"/>
        <d v="2025-09-23T04:00:00" u="1"/>
        <d v="2025-09-23T06:00:00" u="1"/>
        <d v="2025-09-23T08:00:00" u="1"/>
        <d v="2025-09-23T10:00:00" u="1"/>
        <d v="2025-09-23T12:00:00" u="1"/>
        <d v="2025-09-23T18:00:00" u="1"/>
        <d v="2025-09-23T20:00:00" u="1"/>
        <d v="2025-09-23T22:00:00" u="1"/>
        <d v="2025-09-24T00:00:00" u="1"/>
        <d v="2025-09-24T02:00:00" u="1"/>
        <d v="2025-09-24T04:00:00" u="1"/>
        <d v="2025-09-24T06:00:00" u="1"/>
        <d v="2025-09-24T08:00:00" u="1"/>
        <d v="2025-09-24T10:00:00" u="1"/>
        <d v="2025-09-24T12:00:00" u="1"/>
        <d v="2025-09-24T13:00:00" u="1"/>
        <d v="2025-09-24T14:00:00" u="1"/>
        <d v="2025-09-24T17:00:00" u="1"/>
        <d v="2025-09-25T09:00:00" u="1"/>
        <d v="2025-09-21T10:00:00" u="1"/>
        <d v="2025-09-21T16:00:00" u="1"/>
        <d v="2025-09-21T21:00:00" u="1"/>
        <d v="2025-09-22T01:00:00" u="1"/>
        <d v="2025-09-22T03:00:00" u="1"/>
        <d v="2025-09-22T05:30:00" u="1"/>
        <d v="2025-09-22T08:00:00" u="1"/>
        <d v="2025-09-22T09:00:00" u="1"/>
        <d v="2025-09-22T17:00:00" u="1"/>
        <d v="2025-09-22T20:00:00" u="1"/>
        <d v="2025-09-22T22:00:00" u="1"/>
        <d v="2025-09-22T23:00:00" u="1"/>
        <d v="2025-09-23T01:00:00" u="1"/>
        <d v="2025-09-23T03:00:00" u="1"/>
        <d v="2025-09-23T07:00:00" u="1"/>
        <d v="2025-09-23T09:00:00" u="1"/>
        <d v="2025-09-23T17:00:00" u="1"/>
        <d v="2025-09-24T21:00:00" u="1"/>
        <d v="2025-09-24T23:00:00" u="1"/>
        <d v="2025-09-26T21:00:00" u="1"/>
        <d v="2025-09-26T23:00:00" u="1"/>
        <d v="2025-09-27T00:00:00" u="1"/>
        <d v="2025-09-27T12:00:00" u="1"/>
        <d v="2025-09-27T18:00:00" u="1"/>
        <d v="2025-09-27T20:00:00" u="1"/>
        <d v="2025-09-27T23:00:00" u="1"/>
        <d v="2025-09-29T12:00:00" u="1"/>
        <d v="2025-09-26T11:00:00" u="1"/>
        <d v="2025-09-26T13:00:00" u="1"/>
        <d v="2025-09-26T15:00:00" u="1"/>
        <d v="2025-09-26T16:30:00" u="1"/>
        <d v="2025-09-26T17:00:00" u="1"/>
        <d v="2025-09-26T17:30:00" u="1"/>
        <d v="2025-09-26T18:00:00" u="1"/>
        <d v="2025-09-26T18:30:00" u="1"/>
        <d v="2025-09-26T19:00:00" u="1"/>
        <d v="2025-09-26T20:00:00" u="1"/>
        <d v="2025-09-27T06:00:00" u="1"/>
        <d v="2025-09-27T07:30:00" u="1"/>
        <d v="2025-09-27T09:30:00" u="1"/>
        <d v="2025-09-27T11:00:00" u="1"/>
        <d v="2025-09-27T11:30:00" u="1"/>
        <d v="2025-09-27T12:30:00" u="1"/>
        <d v="2025-09-28T06:00:00" u="1"/>
        <d v="2025-09-28T06:30:00" u="1"/>
        <d v="2025-09-28T07:30:00" u="1"/>
        <d v="2025-09-28T09:00:00" u="1"/>
        <d v="2025-09-28T09:30:00" u="1"/>
        <d v="2025-09-28T11:00:00" u="1"/>
        <d v="2025-09-28T11:30:00" u="1"/>
        <d v="2025-09-28T12:30:00" u="1"/>
        <d v="2025-09-28T13:00:00" u="1"/>
        <d v="2025-09-28T14:00:00" u="1"/>
        <d v="2025-09-28T14:30:00" u="1"/>
        <d v="2025-09-28T15:30:00" u="1"/>
        <d v="2025-09-28T16:30:00" u="1"/>
        <d v="2025-09-28T17:30:00" u="1"/>
        <d v="2025-09-28T18:00:00" u="1"/>
        <d v="2025-09-28T19:00:00" u="1"/>
        <d v="2025-09-28T21:00:00" u="1"/>
        <d v="2025-09-28T23:30:00" u="1"/>
        <d v="2025-09-29T01:30:00" u="1"/>
        <d v="2025-09-29T06:00:00" u="1"/>
        <d v="2025-09-29T08:00:00" u="1"/>
        <d v="2025-09-29T10:00:00" u="1"/>
        <d v="2025-09-29T14:00:00" u="1"/>
        <d v="2025-09-29T15:00:00" u="1"/>
        <d v="2025-09-29T17:00:00" u="1"/>
        <d v="2025-09-29T23:30:00" u="1"/>
        <d v="2025-09-30T03:00:00" u="1"/>
        <d v="2025-09-30T08:00:00" u="1"/>
        <d v="2025-09-30T15:00:00" u="1"/>
        <d v="2025-09-30T16:00:00" u="1"/>
        <d v="2025-09-30T20:00:00" u="1"/>
        <d v="2025-09-30T22:00:00" u="1"/>
        <d v="2025-09-30T23:00:00" u="1"/>
        <d v="2025-09-30T23:55:00" u="1"/>
        <d v="2025-10-01T06:00:00" u="1"/>
        <d v="2025-09-28T07:00:00" u="1"/>
        <d v="2025-09-28T08:00:00" u="1"/>
        <d v="2025-09-28T10:00:00" u="1"/>
        <d v="2025-09-28T12:00:00" u="1"/>
        <d v="2025-09-28T16:00:00" u="1"/>
        <d v="2025-09-28T17:00:00" u="1"/>
        <d v="2025-09-28T20:00:00" u="1"/>
        <d v="2025-09-28T22:00:00" u="1"/>
        <d v="2025-09-29T03:00:00" u="1"/>
        <d v="2025-09-29T05:00:00" u="1"/>
        <d v="2025-09-29T16:00:00" u="1"/>
        <d v="2025-09-29T18:00:00" u="1"/>
        <d v="2025-09-29T19:00:00" u="1"/>
        <d v="2025-09-29T20:00:00" u="1"/>
        <d v="2025-09-29T21:00:00" u="1"/>
        <d v="2025-09-29T22:00:00" u="1"/>
        <d v="2025-09-29T23:00:00" u="1"/>
        <d v="2025-09-30T00:00:00" u="1"/>
        <d v="2025-09-30T01:00:00" u="1"/>
        <d v="2025-09-30T04:30:00" u="1"/>
        <d v="2025-09-30T06:00:00" u="1"/>
        <d v="2025-09-30T10:00:00" u="1"/>
        <d v="2025-09-30T12:00:00" u="1"/>
        <d v="2025-09-30T14:00:00" u="1"/>
        <d v="2025-09-30T18:00:00" u="1"/>
        <d v="2025-09-30T23:30:00" u="1"/>
        <d v="2025-10-01T04:30:00" u="1"/>
        <d v="2025-10-05T01:30:00" u="1"/>
        <d v="2025-10-05T03:00:00" u="1"/>
        <d v="2025-10-05T04:00:00" u="1"/>
        <d v="2025-10-05T08:00:00" u="1"/>
        <d v="2025-10-05T10:00:00" u="1"/>
        <d v="2025-10-05T15:00:00" u="1"/>
        <d v="2025-10-05T18:00:00" u="1"/>
        <d v="2025-10-05T23:59:00" u="1"/>
        <d v="2025-10-06T01:00:00" u="1"/>
        <d v="2025-10-06T03:00:00" u="1"/>
        <d v="2025-10-06T03:30:00" u="1"/>
        <d v="2025-10-06T04:00:00" u="1"/>
        <d v="2025-10-06T06:00:00" u="1"/>
        <d v="2025-10-06T07:00:00" u="1"/>
        <d v="2025-10-06T09:00:00" u="1"/>
        <d v="2025-10-06T10:00:00" u="1"/>
        <d v="2025-10-06T11:00:00" u="1"/>
        <d v="2025-10-06T12:00:00" u="1"/>
        <d v="2025-10-06T12:30:00" u="1"/>
        <d v="2025-10-06T13:00:00" u="1"/>
        <d v="2025-10-06T14:00:00" u="1"/>
        <d v="2025-10-06T14:30:00" u="1"/>
        <d v="2025-10-06T16:00:00" u="1"/>
        <d v="2025-10-06T17:00:00" u="1"/>
        <d v="2025-10-06T20:30:00" u="1"/>
        <d v="2025-10-06T23:00:00" u="1"/>
        <d v="2025-10-07T01:30:00" u="1"/>
        <d v="2025-10-07T06:00:00" u="1"/>
        <d v="2025-10-07T06:30:00" u="1"/>
        <d v="2025-10-07T07:00:00" u="1"/>
        <d v="2025-10-07T08:00:00" u="1"/>
        <d v="2025-10-07T09:00:00" u="1"/>
        <d v="2025-10-07T11:00:00" u="1"/>
        <d v="2025-10-07T12:30:00" u="1"/>
        <d v="2025-10-07T16:30:00" u="1"/>
        <d v="2025-10-07T18:00:00" u="1"/>
        <d v="2025-10-07T19:00:00" u="1"/>
        <d v="2025-10-07T21:00:00" u="1"/>
        <d v="2025-10-07T22:00:00" u="1"/>
        <d v="2025-10-08T01:00:00" u="1"/>
        <d v="2025-10-08T02:00:00" u="1"/>
        <d v="2025-10-09T07:00:00" u="1"/>
        <d v="2025-10-09T09:00:00" u="1"/>
        <d v="2025-10-09T11:00:00" u="1"/>
        <d v="2025-10-09T13:00:00" u="1"/>
        <d v="2025-10-09T14:00:00" u="1"/>
        <d v="2025-10-09T15:00:00" u="1"/>
        <d v="2025-10-09T17:00:00" u="1"/>
        <d v="2025-10-09T19:00:00" u="1"/>
        <d v="2025-10-10T18:00:00" u="1"/>
        <d v="2025-10-10T20:00:00" u="1"/>
        <d v="2025-10-05T02:00:00" u="1"/>
        <d v="2025-10-05T06:30:00" u="1"/>
        <d v="2025-10-05T07:00:00" u="1"/>
        <d v="2025-10-05T09:00:00" u="1"/>
        <d v="2025-10-05T10:20:00" u="1"/>
        <d v="2025-10-05T10:30:00" u="1"/>
        <d v="2025-10-05T12:00:00" u="1"/>
        <d v="2025-10-05T13:00:00" u="1"/>
        <d v="2025-10-05T13:30:00" u="1"/>
        <d v="2025-10-05T14:00:00" u="1"/>
        <d v="2025-10-05T16:00:00" u="1"/>
        <d v="2025-10-05T17:30:00" u="1"/>
        <d v="2025-10-05T18:30:00" u="1"/>
        <d v="2025-10-05T19:00:00" u="1"/>
        <d v="2025-10-05T19:30:00" u="1"/>
        <d v="2025-10-05T20:00:00" u="1"/>
        <d v="2025-10-05T20:30:00" u="1"/>
        <d v="2025-10-05T21:00:00" u="1"/>
        <d v="2025-10-05T22:00:00" u="1"/>
        <d v="2025-10-05T22:30:00" u="1"/>
        <d v="2025-10-05T23:00:00" u="1"/>
        <d v="2025-10-06T00:00:00" u="1"/>
        <d v="2025-10-06T02:00:00" u="1"/>
        <d v="2025-10-06T04:30:00" u="1"/>
        <d v="2025-10-06T07:30:00" u="1"/>
        <d v="2025-10-06T08:00:00" u="1"/>
        <d v="2025-10-06T09:30:00" u="1"/>
        <d v="2025-10-06T15:00:00" u="1"/>
        <d v="2025-10-06T16:30:00" u="1"/>
        <d v="2025-10-06T17:30:00" u="1"/>
        <d v="2025-10-06T18:00:00" u="1"/>
        <d v="2025-10-06T18:30:00" u="1"/>
        <d v="2025-10-06T19:00:00" u="1"/>
        <d v="2025-10-06T21:00:00" u="1"/>
        <d v="2025-10-06T22:30:00" u="1"/>
        <d v="2025-10-07T00:00:00" u="1"/>
        <d v="2025-10-07T01:00:00" u="1"/>
        <d v="2025-10-07T02:00:00" u="1"/>
        <d v="2025-10-07T02:30:00" u="1"/>
        <d v="2025-10-07T04:00:00" u="1"/>
        <d v="2025-10-07T04:30:00" u="1"/>
        <d v="2025-10-07T05:30:00" u="1"/>
        <d v="2025-10-07T07:30:00" u="1"/>
        <d v="2025-10-07T08:30:00" u="1"/>
        <d v="2025-10-07T10:30:00" u="1"/>
        <d v="2025-10-07T14:00:00" u="1"/>
        <d v="2025-10-07T14:30:00" u="1"/>
        <d v="2025-10-07T15:00:00" u="1"/>
        <d v="2025-10-07T16:00:00" u="1"/>
        <d v="2025-10-07T20:30:00" u="1"/>
        <d v="2025-10-07T21:30:00" u="1"/>
        <d v="2025-10-07T23:00:00" u="1"/>
        <d v="2025-10-08T03:00:00" u="1"/>
        <d v="2025-10-08T04:30:00" u="1"/>
        <d v="2025-10-08T07:00:00" u="1"/>
        <d v="2025-10-08T08:00:00" u="1"/>
        <d v="2025-10-08T09:00:00" u="1"/>
        <d v="2025-10-08T11:00:00" u="1"/>
        <d v="2025-10-08T12:30:00" u="1"/>
        <d v="2025-10-08T13:00:00" u="1"/>
        <d v="2025-10-08T15:00:00" u="1"/>
        <d v="2025-10-08T20:00:00" u="1"/>
        <d v="2025-10-08T12:00:00" u="1"/>
        <d v="2025-10-08T15:45:00" u="1"/>
        <d v="2025-10-08T17:00:00" u="1"/>
        <d v="2025-10-08T22:00:00" u="1"/>
        <d v="2025-10-09T03:30:00" u="1"/>
        <d v="2025-10-09T06:00:00" u="1"/>
        <d v="2025-10-09T08:00:00" u="1"/>
        <d v="2025-10-09T09:30:00" u="1"/>
        <d v="2025-10-09T11:30:00" u="1"/>
        <d v="2025-10-09T12:30:00" u="1"/>
        <d v="2025-10-09T17:30:00" u="1"/>
        <d v="2025-10-09T22:00:00" u="1"/>
        <d v="2025-10-09T23:00:00" u="1"/>
        <d v="2025-10-10T00:00:00" u="1"/>
        <d v="2025-10-10T04:30:00" u="1"/>
        <d v="2025-10-10T07:30:00" u="1"/>
        <d v="2025-10-10T09:30:00" u="1"/>
        <d v="2025-10-13T13:00:00" u="1"/>
        <d v="2025-10-13T14:00:00" u="1"/>
        <d v="2025-10-13T15:00:00" u="1"/>
        <d v="2025-10-13T15:30:00" u="1"/>
        <d v="2025-10-13T16:00:00" u="1"/>
        <d v="2025-10-13T16:30:00" u="1"/>
        <d v="2025-10-13T17:00:00" u="1"/>
        <d v="2025-10-13T17:30:00" u="1"/>
        <d v="2025-10-13T18:00:00" u="1"/>
        <d v="2025-10-13T19:00:00" u="1"/>
        <d v="2025-10-13T20:00:00" u="1"/>
        <d v="2025-10-13T21:00:00" u="1"/>
        <d v="2025-10-13T23:00:00" u="1"/>
        <d v="2025-10-14T01:00:00" u="1"/>
        <d v="2025-10-14T01:30:00" u="1"/>
        <d v="2025-10-14T02:00:00" u="1"/>
        <d v="2025-10-14T04:00:00" u="1"/>
        <d v="2025-10-14T05:00:00" u="1"/>
        <d v="2025-10-14T08:00:00" u="1"/>
        <d v="2025-10-14T09:00:00" u="1"/>
        <d v="2025-10-14T10:00:00" u="1"/>
        <d v="2025-10-14T10:30:00" u="1"/>
        <d v="2025-10-14T12:00:00" u="1"/>
        <d v="2025-10-14T13:00:00" u="1"/>
        <d v="2025-10-14T15:30:00" u="1"/>
        <d v="2025-10-14T16:00:00" u="1"/>
        <d v="2025-10-14T17:30:00" u="1"/>
        <d v="2025-10-14T18:00:00" u="1"/>
        <d v="2025-10-14T19:00:00" u="1"/>
        <d v="2025-10-14T20:00:00" u="1"/>
        <d v="2025-10-14T20:30:00" u="1"/>
        <d v="2025-10-14T22:30:00" u="1"/>
        <d v="2025-10-15T06:00:00" u="1"/>
        <d v="2025-10-15T09:00:00" u="1"/>
        <d v="2025-10-15T11:00:00" u="1"/>
        <d v="2025-10-15T12:00:00" u="1"/>
        <d v="2025-10-15T14:30:00" u="1"/>
        <d v="2025-10-15T20:00:00" u="1"/>
        <d v="2025-10-15T20:30:00" u="1"/>
        <d v="2025-10-15T21:00:00" u="1"/>
        <d v="2025-10-15T22:00:00" u="1"/>
        <d v="2025-10-15T22:30:00" u="1"/>
        <d v="2025-10-15T23:00:00" u="1"/>
        <d v="2025-10-15T23:59:00" u="1"/>
        <d v="2025-10-16T01:00:00" u="1"/>
        <d v="2025-10-16T01:30:00" u="1"/>
        <d v="2025-10-16T03:00:00" u="1"/>
        <d v="2025-10-16T04:30:00" u="1"/>
        <d v="2025-10-16T05:00:00" u="1"/>
        <d v="2025-10-16T06:00:00" u="1"/>
        <d v="2025-10-16T07:00:00" u="1"/>
        <d v="2025-10-16T07:30:00" u="1"/>
        <d v="2025-10-15T14:00:00" u="1"/>
        <d v="2025-10-15T18:00:00" u="1"/>
        <d v="2025-10-14T03:00:00" u="1"/>
        <d v="2025-10-14T07:00:00" u="1"/>
        <d v="2025-10-14T14:00:00" u="1"/>
        <d v="2025-10-14T17:00:00" u="1"/>
        <d v="2025-10-14T22:00:00" u="1"/>
        <d v="2025-10-15T00:00:00" u="1"/>
        <d v="2025-10-15T03:00:00" u="1"/>
        <d v="2025-10-15T04:30:00" u="1"/>
        <d v="2025-10-15T07:00:00" u="1"/>
        <d v="2025-10-15T07:30:00" u="1"/>
        <d v="2025-10-15T09:30:00" u="1"/>
        <d v="2025-10-15T12:30:00" u="1"/>
        <d v="2025-10-16T09:00:00" u="1"/>
        <d v="2025-10-17T21:00:00" u="1"/>
        <d v="2025-10-18T15:00:00" u="1"/>
        <d v="2025-10-18T16:00:00" u="1"/>
        <d v="2025-10-18T21:00:00" u="1"/>
        <d v="2025-10-19T07:00:00" u="1"/>
        <d v="2025-10-20T10:00:00" u="1"/>
        <d v="2025-10-23T18:00:00" u="1"/>
        <d v="2025-10-24T05:00:00" u="1"/>
        <d v="2025-10-18T05:00:00" u="1"/>
        <d v="2025-10-18T06:00:00" u="1"/>
        <d v="2025-10-18T06:30:00" u="1"/>
        <d v="2025-10-18T07:00:00" u="1"/>
        <d v="2025-10-18T07:30:00" u="1"/>
        <d v="2025-10-18T08:00:00" u="1"/>
        <d v="2025-10-18T09:00:00" u="1"/>
        <d v="2025-10-18T09:30:00" u="1"/>
        <d v="2025-10-18T10:00:00" u="1"/>
        <d v="2025-10-18T11:00:00" u="1"/>
        <d v="2025-10-18T12:00:00" u="1"/>
        <d v="2025-10-18T12:30:00" u="1"/>
        <d v="2025-10-18T13:00:00" u="1"/>
        <d v="2025-10-18T14:00:00" u="1"/>
        <d v="2025-10-18T18:00:00" u="1"/>
        <d v="2025-10-18T20:00:00" u="1"/>
        <d v="2025-10-18T22:00:00" u="1"/>
        <d v="2025-10-19T00:00:00" u="1"/>
        <d v="2025-10-19T02:00:00" u="1"/>
        <d v="2025-10-19T04:00:00" u="1"/>
        <d v="2025-10-19T06:00:00" u="1"/>
        <d v="2025-10-19T07:30:00" u="1"/>
        <d v="2025-10-19T09:30:00" u="1"/>
        <d v="2025-10-19T12:30:00" u="1"/>
        <d v="2025-10-19T14:00:00" u="1"/>
        <d v="2025-10-19T14:30:00" u="1"/>
        <d v="2025-10-19T15:30:00" u="1"/>
        <d v="2025-10-19T16:00:00" u="1"/>
        <d v="2025-10-19T16:30:00" u="1"/>
        <d v="2025-10-19T17:30:00" u="1"/>
        <d v="2025-10-19T18:00:00" u="1"/>
        <d v="2025-10-19T19:00:00" u="1"/>
        <d v="2025-10-19T19:30:00" u="1"/>
        <d v="2025-10-19T21:00:00" u="1"/>
        <d v="2025-10-19T22:00:00" u="1"/>
        <d v="2025-10-19T23:30:00" u="1"/>
        <d v="2025-10-20T00:00:00" u="1"/>
        <d v="2025-10-20T01:00:00" u="1"/>
        <d v="2025-10-20T03:00:00" u="1"/>
        <d v="2025-10-20T05:00:00" u="1"/>
        <d v="2025-10-20T06:00:00" u="1"/>
        <d v="2025-10-20T07:00:00" u="1"/>
        <d v="2025-10-20T07:30:00" u="1"/>
        <d v="2025-10-20T08:00:00" u="1"/>
        <d v="2025-10-20T09:00:00" u="1"/>
        <d v="2025-10-20T09:30:00" u="1"/>
        <d v="2025-10-20T12:00:00" u="1"/>
        <d v="2025-10-20T12:30:00" u="1"/>
        <d v="2025-10-20T13:00:00" u="1"/>
        <d v="2025-10-20T15:00:00" u="1"/>
        <d v="2025-10-20T18:00:00" u="1"/>
        <d v="2025-10-20T19:00:00" u="1"/>
        <d v="2025-10-20T19:30:00" u="1"/>
        <d v="2025-10-20T20:00:00" u="1"/>
        <d v="2025-10-20T21:00:00" u="1"/>
        <d v="2025-10-20T22:30:00" u="1"/>
        <d v="2025-10-20T23:00:00" u="1"/>
        <d v="2025-10-21T00:00:00" u="1"/>
        <d v="2025-10-21T01:00:00" u="1"/>
        <d v="2025-10-21T01:30:00" u="1"/>
        <d v="2025-10-21T03:00:00" u="1"/>
        <d v="2025-10-21T05:00:00" u="1"/>
        <d v="2025-10-21T07:00:00" u="1"/>
        <d v="2025-10-21T09:00:00" u="1"/>
        <d v="2025-10-21T10:00:00" u="1"/>
        <d v="2025-10-21T11:00:00" u="1"/>
        <d v="2025-10-21T13:00:00" u="1"/>
        <d v="2025-10-21T15:00:00" u="1"/>
        <d v="2025-10-21T16:00:00" u="1"/>
        <d v="2025-10-19T06:30:00" u="1"/>
        <d v="2025-10-19T08:00:00" u="1"/>
        <d v="2025-10-19T10:00:00" u="1"/>
        <d v="2025-10-19T11:00:00" u="1"/>
        <d v="2025-10-19T11:30:00" u="1"/>
        <d v="2025-10-19T13:00:00" u="1"/>
        <d v="2025-10-19T20:30:00" u="1"/>
        <d v="2025-10-20T01:30:00" u="1"/>
        <d v="2025-10-20T02:00:00" u="1"/>
        <d v="2025-10-20T04:00:00" u="1"/>
        <d v="2025-10-20T04:30:00" u="1"/>
        <d v="2025-10-20T11:00:00" u="1"/>
        <d v="2025-10-20T14:00:00" u="1"/>
        <d v="2025-10-20T16:00:00" u="1"/>
        <d v="2025-10-21T06:00:00" u="1"/>
        <d v="2025-10-21T08:00:00" u="1"/>
        <d v="2025-10-23T16:00:00" u="1"/>
        <d v="2025-10-23T17:00:00" u="1"/>
        <d v="2025-10-24T07:00:00" u="1"/>
        <d v="2025-10-24T13:00:00" u="1"/>
        <d v="2025-10-24T16:00:00" u="1"/>
        <d v="2025-10-24T16:30:00" u="1"/>
        <d v="2025-10-24T17:00:00" u="1"/>
        <d v="2025-10-24T18:00:00" u="1"/>
        <d v="2025-10-27T02:00:00" u="1"/>
        <d v="2025-10-28T16:45:00" u="1"/>
        <d v="2025-10-28T18:00:00" u="1"/>
        <d v="2025-10-28T20:00:00" u="1"/>
        <d v="2025-10-28T20:30:00" u="1"/>
        <d v="2025-10-28T22:00:00" u="1"/>
        <d v="2025-10-29T00:00:00" u="1"/>
        <d v="2025-10-29T03:00:00" u="1"/>
        <d v="2025-10-29T04:30:00" u="1"/>
        <d v="2025-10-29T05:00:00" u="1"/>
        <d v="2025-10-29T06:00:00" u="1"/>
        <d v="2025-10-29T06:30:00" u="1"/>
        <d v="2025-10-29T07:30:00" u="1"/>
        <d v="2025-10-29T09:00:00" u="1"/>
        <d v="2025-10-29T09:30:00" u="1"/>
        <d v="2025-10-29T10:00:00" u="1"/>
        <d v="2025-10-29T11:00:00" u="1"/>
        <d v="2025-10-29T12:30:00" u="1"/>
        <d v="2025-10-29T14:00:00" u="1"/>
        <d v="2025-10-29T15:30:00" u="1"/>
        <d v="2025-10-29T16:15:00" u="1"/>
        <d v="2025-10-29T17:00:00" u="1"/>
        <d v="2025-10-29T17:30:00" u="1"/>
        <d v="2025-10-29T18:00:00" u="1"/>
        <d v="2025-10-29T19:00:00" u="1"/>
        <d v="2025-10-29T20:30:00" u="1"/>
        <d v="2025-10-29T21:00:00" u="1"/>
        <d v="2025-10-31T12:30:00" u="1"/>
        <d v="2025-11-02T06:00:00" u="1"/>
        <d v="2025-10-29T22:00:00" u="1"/>
        <d v="2025-10-29T22:30:00" u="1"/>
        <d v="2025-10-30T00:00:00" u="1"/>
        <d v="2025-10-30T01:30:00" u="1"/>
        <d v="2025-10-30T03:00:00" u="1"/>
        <d v="2025-10-30T04:00:00" u="1"/>
        <d v="2025-10-30T04:30:00" u="1"/>
        <d v="2025-10-30T05:00:00" u="1"/>
        <d v="2025-10-30T06:00:00" u="1"/>
        <d v="2025-10-30T07:00:00" u="1"/>
        <d v="2025-10-30T07:30:00" u="1"/>
        <d v="2025-10-30T08:00:00" u="1"/>
        <d v="2025-10-30T09:30:00" u="1"/>
        <d v="2025-10-30T11:00:00" u="1"/>
        <d v="2025-10-30T12:00:00" u="1"/>
        <d v="2025-10-30T12:30:00" u="1"/>
        <d v="2025-10-30T14:00:00" u="1"/>
        <d v="2025-10-30T15:30:00" u="1"/>
        <d v="2025-10-30T17:00:00" u="1"/>
        <d v="2025-10-30T17:30:00" u="1"/>
        <d v="2025-10-30T18:00:00" u="1"/>
        <d v="2025-10-30T19:00:00" u="1"/>
        <d v="2025-10-30T20:00:00" u="1"/>
        <d v="2025-10-30T20:30:00" u="1"/>
        <d v="2025-10-30T22:00:00" u="1"/>
        <d v="2025-10-30T23:00:00" u="1"/>
        <d v="2025-10-31T00:00:00" u="1"/>
        <d v="2025-10-31T01:30:00" u="1"/>
        <d v="2025-10-31T03:00:00" u="1"/>
        <d v="2025-10-31T04:30:00" u="1"/>
        <d v="2025-10-31T06:00:00" u="1"/>
        <d v="2025-10-31T07:30:00" u="1"/>
        <d v="2025-10-31T09:30:00" u="1"/>
        <d v="2025-10-31T11:00:00" u="1"/>
        <d v="2025-10-31T13:00:00" u="1"/>
        <d v="2025-10-31T14:00:00" u="1"/>
        <d v="2025-10-31T15:30:00" u="1"/>
        <d v="2025-10-31T16:00:00" u="1"/>
        <d v="2025-10-31T17:30:00" u="1"/>
        <d v="2025-10-31T19:00:00" u="1"/>
        <d v="2025-10-31T20:30:00" u="1"/>
        <d v="2025-11-01T09:00:00" u="1"/>
        <d v="2025-11-01T10:00:00" u="1"/>
        <d v="2025-11-01T10:30:00" u="1"/>
        <d v="2025-11-01T11:30:00" u="1"/>
        <d v="2025-11-01T12:30:00" u="1"/>
        <d v="2025-11-01T14:00:00" u="1"/>
        <d v="2025-11-01T15:00:00" u="1"/>
        <d v="2025-11-01T15:30:00" u="1"/>
        <d v="2025-11-02T08:00:00" u="1"/>
        <d v="2025-11-02T10:00:00" u="1"/>
        <d v="2025-11-02T11:00:00" u="1"/>
        <d v="2025-11-02T12:00:00" u="1"/>
        <d v="2025-11-02T14:00:00" u="1"/>
        <d v="2025-11-02T16:00:00" u="1"/>
        <d v="2025-11-02T18:00:00" u="1"/>
        <d v="2025-11-02T20:00:00" u="1"/>
        <d v="2025-11-02T22:00:00" u="1"/>
        <d v="2025-11-03T00:00:00" u="1"/>
        <d v="2025-11-03T02:00:00" u="1"/>
        <d v="2025-11-03T04:00:00" u="1"/>
        <d v="2025-11-03T06:00:00" u="1"/>
        <d v="2025-11-01T20:00:00" u="1"/>
        <d v="2025-11-01T22:00:00" u="1"/>
        <d v="2025-11-02T01:00:00" u="1"/>
        <d v="2025-11-03T08:00:00" u="1"/>
        <d v="2025-11-03T10:00:00" u="1"/>
        <d v="2025-11-03T11:00:00" u="1"/>
        <d v="2025-11-03T11:30:00" u="1"/>
        <d v="2025-11-03T12:30:00" u="1"/>
        <d v="2025-11-03T14:00:00" u="1"/>
        <d v="2025-11-03T15:00:00" u="1"/>
        <d v="2025-11-03T15:30:00" u="1"/>
        <d v="2025-11-03T16:00:00" u="1"/>
        <d v="2025-11-03T17:00:00" u="1"/>
        <d v="2025-11-03T19:00:00" u="1"/>
        <d v="2025-11-03T19:30:00" u="1"/>
        <d v="2025-11-03T20:00:00" u="1"/>
        <d v="2025-11-03T21:00:00" u="1"/>
        <d v="2025-11-03T22:00:00" u="1"/>
        <d v="2025-11-03T22:30:00" u="1"/>
        <d v="2025-11-04T00:30:00" u="1"/>
        <d v="2025-11-04T02:00:00" u="1"/>
        <d v="2025-11-04T04:00:00" u="1"/>
        <d v="2025-11-04T06:00:00" u="1"/>
        <d v="2025-11-04T07:00:00" u="1"/>
        <d v="2025-11-04T09:30:00" u="1"/>
        <d v="2025-11-04T11:00:00" u="1"/>
        <d v="2025-11-06T03:00:00" u="1"/>
        <d v="2025-11-06T03:30:00" u="1"/>
        <d v="2025-11-06T04:30:00" u="1"/>
        <d v="2025-11-06T05:00:00" u="1"/>
        <d v="2025-11-06T06:00:00" u="1"/>
        <d v="2025-11-06T07:30:00" u="1"/>
        <d v="2025-11-06T08:00:00" u="1"/>
        <d v="2025-11-06T09:00:00" u="1"/>
        <d v="2025-11-06T09:30:00" u="1"/>
        <d v="2025-11-06T11:00:00" u="1"/>
        <d v="2025-11-06T12:30:00" u="1"/>
        <d v="2025-11-06T13:00:00" u="1"/>
        <d v="2025-11-06T14:00:00" u="1"/>
        <d v="2025-11-06T15:00:00" u="1"/>
        <d v="2025-11-06T15:30:00" u="1"/>
        <d v="2025-11-06T17:00:00" u="1"/>
        <d v="2025-11-06T17:30:00" u="1"/>
        <d v="2025-11-06T19:00:00" u="1"/>
        <d v="2025-11-06T20:30:00" u="1"/>
        <d v="2025-11-06T21:00:00" u="1"/>
        <d v="2025-11-06T22:00:00" u="1"/>
        <d v="2025-11-06T22:30:00" u="1"/>
        <d v="2025-11-07T00:00:00" u="1"/>
        <d v="2025-11-07T01:30:00" u="1"/>
        <d v="2025-11-07T03:00:00" u="1"/>
        <d v="2025-11-07T04:00:00" u="1"/>
        <d v="2025-11-07T04:30:00" u="1"/>
        <d v="2025-11-07T05:00:00" u="1"/>
        <d v="2025-11-07T06:00:00" u="1"/>
        <d v="2025-11-07T07:00:00" u="1"/>
        <d v="2025-11-07T07:30:00" u="1"/>
        <d v="2025-11-07T08:00:00" u="1"/>
        <d v="2025-11-07T09:30:00" u="1"/>
        <d v="2025-11-07T11:00:00" u="1"/>
        <d v="2025-11-07T12:30:00" u="1"/>
        <d v="2025-11-07T13:00:00" u="1"/>
        <d v="2025-11-07T14:00:00" u="1"/>
        <d v="2025-11-07T15:00:00" u="1"/>
        <d v="2025-11-07T15:30:00" u="1"/>
        <d v="2025-11-07T16:00:00" u="1"/>
        <d v="2025-11-07T16:30:00" u="1"/>
        <d v="2025-11-07T17:00:00" u="1"/>
        <d v="2025-11-07T17:30:00" u="1"/>
        <d v="2025-11-07T19:00:00" u="1"/>
        <d v="2025-11-07T20:00:00" u="1"/>
        <d v="2025-11-07T20:30:00" u="1"/>
        <d v="2025-11-07T21:00:00" u="1"/>
        <d v="2025-11-08T09:00:00" u="1"/>
        <d v="2025-11-08T10:00:00" u="1"/>
        <d v="2025-11-08T11:00:00" u="1"/>
        <d v="2025-11-08T12:30:00" u="1"/>
        <d v="2025-11-08T14:00:00" u="1"/>
        <d v="2025-11-08T15:30:00" u="1"/>
        <d v="2025-11-09T06:00:00" u="1"/>
        <d v="2025-11-09T07:30:00" u="1"/>
        <d v="2025-11-09T09:30:00" u="1"/>
        <d v="2025-11-09T11:00:00" u="1"/>
        <d v="2025-11-09T12:30:00" u="1"/>
        <d v="2025-11-09T14:00:00" u="1"/>
        <d v="2025-11-09T15:30:00" u="1"/>
        <d v="2025-11-09T17:30:00" u="1"/>
        <d v="2025-11-09T19:00:00" u="1"/>
        <d v="2025-11-09T19:30:00" u="1"/>
        <d v="2025-11-09T20:30:00" u="1"/>
        <d v="2025-11-09T22:30:00" u="1"/>
        <d v="2025-11-10T00:00:00" u="1"/>
        <d v="2025-11-10T06:00:00" u="1"/>
        <d v="2025-11-10T07:30:00" u="1"/>
        <d v="2025-11-10T14:00:00" u="1"/>
        <d v="2025-11-10T22:30:00" u="1"/>
        <d v="2025-11-07T22:00:00" u="1"/>
        <d v="2025-11-07T23:00:00" u="1"/>
        <d v="2025-11-08T01:00:00" u="1"/>
        <d v="2025-11-10T04:30:00" u="1"/>
        <d v="2025-11-09T06:30:00" u="1"/>
        <d v="2025-11-09T08:00:00" u="1"/>
        <d v="2025-11-09T09:00:00" u="1"/>
        <d v="2025-11-09T12:00:00" u="1"/>
        <d v="2025-11-09T18:00:00" u="1"/>
        <d v="2025-11-09T20:00:00" u="1"/>
        <d v="2025-11-09T23:00:00" u="1"/>
        <d v="2025-11-10T01:30:00" u="1"/>
        <d v="2025-11-10T03:00:00" u="1"/>
        <d v="2025-11-12T20:00:00" u="1"/>
        <d v="2025-11-12T21:00:00" u="1"/>
        <d v="2025-11-12T22:00:00" u="1"/>
        <d v="2025-11-12T22:30:00" u="1"/>
        <d v="2025-11-13T00:00:00" u="1"/>
        <d v="2025-11-13T01:00:00" u="1"/>
        <d v="2025-11-13T01:30:00" u="1"/>
        <d v="2025-11-13T03:00:00" u="1"/>
        <d v="2025-11-13T04:30:00" u="1"/>
        <d v="2025-11-13T05:00:00" u="1"/>
        <d v="2025-11-13T06:00:00" u="1"/>
        <d v="2025-11-13T07:00:00" u="1"/>
        <d v="2025-11-13T07:30:00" u="1"/>
        <d v="2025-11-13T09:00:00" u="1"/>
        <d v="2025-11-13T09:30:00" u="1"/>
        <d v="2025-11-13T10:00:00" u="1"/>
        <d v="2025-11-13T11:00:00" u="1"/>
        <d v="2025-11-13T12:30:00" u="1"/>
        <d v="2025-11-13T13:30:00" u="1"/>
        <d v="2025-11-13T14:00:00" u="1"/>
        <d v="2025-11-13T14:30:00" u="1"/>
        <d v="2025-11-13T15:30:00" u="1"/>
        <d v="2025-11-13T17:00:00" u="1"/>
        <d v="2025-11-13T17:30:00" u="1"/>
        <d v="2025-11-13T19:00:00" u="1"/>
        <d v="2025-11-13T19:30:00" u="1"/>
        <d v="2025-11-13T20:30:00" u="1"/>
        <d v="2025-11-13T22:30:00" u="1"/>
        <d v="2025-11-14T00:00:00" u="1"/>
        <d v="2025-11-14T00:30:00" u="1"/>
        <d v="2025-11-14T01:30:00" u="1"/>
        <d v="2025-11-14T03:00:00" u="1"/>
        <d v="2025-11-14T03:30:00" u="1"/>
        <d v="2025-11-14T05:30:00" u="1"/>
        <d v="2025-11-14T06:00:00" u="1"/>
        <d v="2025-11-14T07:00:00" u="1"/>
        <d v="2025-11-14T08:30:00" u="1"/>
        <d v="2025-11-14T09:00:00" u="1"/>
        <d v="2025-11-14T11:30:00" u="1"/>
        <d v="2025-11-14T12:00:00" u="1"/>
        <d v="2025-11-14T13:00:00" u="1"/>
        <d v="2025-11-14T15:00:00" u="1"/>
        <d v="2025-11-14T17:00:00" u="1"/>
        <d v="2025-11-14T19:00:00" u="1"/>
        <d v="2025-11-14T22:00:00" u="1"/>
        <d v="2025-11-16T07:00:00" u="1"/>
        <d v="2025-11-16T09:00:00" u="1"/>
        <d v="2025-11-16T11:00:00" u="1"/>
        <d v="2025-11-16T13:00:00" u="1"/>
        <d v="2025-11-16T15:00:00" u="1"/>
        <d v="2025-11-16T17:00:00" u="1"/>
        <d v="2025-11-16T19:00:00" u="1"/>
        <d v="2025-11-16T21:00:00" u="1"/>
        <d v="2025-11-16T22:00:00" u="1"/>
        <d v="2025-11-16T23:00:00" u="1"/>
        <d v="2025-11-17T00:00:00" u="1"/>
        <d v="2025-11-17T03:00:00" u="1"/>
        <d v="2025-11-17T04:00:00" u="1"/>
        <d v="2025-11-17T08:00:00" u="1"/>
        <d v="2025-11-14T16:00:00" u="1"/>
        <d v="2025-11-14T21:00:00" u="1"/>
        <d v="2025-11-14T23:00:00" u="1"/>
        <d v="2025-11-15T00:00:00" u="1"/>
        <d v="2025-11-16T10:00:00" u="1"/>
        <d v="2025-11-17T16:15:00" u="1"/>
        <d v="2025-11-18T06:00:00" u="1"/>
        <d v="2025-11-18T06:30:00" u="1"/>
        <d v="2025-11-18T07:00:00" u="1"/>
        <d v="2025-11-18T07:30:00" u="1"/>
        <d v="2025-11-18T08:00:00" u="1"/>
        <d v="2025-11-18T09:30:00" u="1"/>
        <d v="2025-11-18T10:00:00" u="1"/>
        <d v="2025-11-18T11:00:00" u="1"/>
        <d v="2025-11-18T11:30:00" u="1"/>
        <d v="2025-11-18T12:00:00" u="1"/>
        <d v="2025-11-18T12:30:00" u="1"/>
        <d v="2025-11-18T13:30:00" u="1"/>
        <d v="2025-11-18T14:00:00" u="1"/>
        <d v="2025-11-18T16:00:00" u="1"/>
        <d v="2025-11-18T19:30:00" u="1"/>
        <d v="2025-11-19T10:00:00" u="1"/>
        <d v="2025-11-19T12:00:00" u="1"/>
        <d v="2025-11-18T17:00:00" u="1"/>
        <d v="2025-11-18T17:30:00" u="1"/>
        <d v="2025-11-18T18:30:00" u="1"/>
        <d v="2025-11-18T20:30:00" u="1"/>
        <d v="2025-11-18T21:30:00" u="1"/>
        <d v="2025-11-18T22:30:00" u="1"/>
        <d v="2025-11-19T00:00:00" u="1"/>
        <d v="2025-11-19T00:30:00" u="1"/>
        <d v="2025-11-19T01:30:00" u="1"/>
        <d v="2025-11-19T03:00:00" u="1"/>
        <d v="2025-11-19T03:30:00" u="1"/>
        <d v="2025-11-19T04:30:00" u="1"/>
        <d v="2025-11-19T06:00:00" u="1"/>
        <d v="2025-11-19T07:30:00" u="1"/>
        <d v="2025-11-19T08:00:00" u="1"/>
        <d v="2025-11-19T09:30:00" u="1"/>
        <d v="2025-11-19T11:00:00" u="1"/>
        <d v="2025-11-19T14:00:00" u="1"/>
        <d v="2025-11-19T14:30:00" u="1"/>
        <d v="2025-11-19T16:30:00" u="1"/>
        <d v="2025-11-19T18:30:00" u="1"/>
        <d v="2025-11-21T02:00:00" u="1"/>
        <d v="2025-11-21T18:00:00" u="1"/>
        <d v="2025-11-21T21:00:00" u="1"/>
        <d v="2025-11-21T22:00:00" u="1"/>
        <d v="2025-11-22T03:00:00" u="1"/>
        <d v="2025-11-22T17:00:00" u="1"/>
        <d v="2025-11-22T20:00:00" u="1"/>
        <d v="2025-11-23T06:00:00" u="1"/>
        <d v="2025-11-23T06:30:00" u="1"/>
        <d v="2025-11-23T07:00:00" u="1"/>
        <d v="2025-11-23T07:30:00" u="1"/>
        <d v="2025-11-23T09:30:00" u="1"/>
        <d v="2025-11-23T10:00:00" u="1"/>
        <d v="2025-11-23T11:00:00" u="1"/>
        <d v="2025-11-23T14:00:00" u="1"/>
        <d v="2025-11-23T15:30:00" u="1"/>
        <d v="2025-11-23T17:00:00" u="1"/>
        <d v="2025-11-23T17:30:00" u="1"/>
        <d v="2025-11-23T19:00:00" u="1"/>
        <d v="2025-11-23T20:30:00" u="1"/>
        <d v="2025-11-23T21:00:00" u="1"/>
        <d v="2025-11-24T00:00:00" u="1"/>
        <d v="2025-11-24T01:30:00" u="1"/>
        <d v="2025-11-24T06:00:00" u="1"/>
        <d v="2025-11-24T09:30:00" u="1"/>
        <d v="2025-11-24T10:00:00" u="1"/>
        <d v="2025-11-24T11:00:00" u="1"/>
        <d v="2025-11-24T12:30:00" u="1"/>
        <d v="2025-11-24T14:00:00" u="1"/>
        <d v="2025-11-24T15:30:00" u="1"/>
        <d v="2025-11-24T17:30:00" u="1"/>
        <d v="2025-11-24T18:00:00" u="1"/>
        <d v="2025-11-24T19:00:00" u="1"/>
        <d v="2025-11-25T02:30:00" u="1"/>
        <d v="2025-11-25T06:30:00" u="1"/>
        <d v="2025-11-25T08:30:00" u="1"/>
        <d v="2025-11-26T06:00:00" u="1"/>
        <d v="2025-11-23T11:30:00" u="1"/>
        <d v="2025-11-23T12:00:00" u="1"/>
        <d v="2025-11-23T12:30:00" u="1"/>
        <d v="2025-11-23T16:00:00" u="1"/>
        <d v="2025-11-23T22:00:00" u="1"/>
        <d v="2025-11-23T22:30:00" u="1"/>
        <d v="2025-11-24T03:00:00" u="1"/>
        <d v="2025-11-24T04:30:00" u="1"/>
        <d v="2025-11-24T07:30:00" u="1"/>
        <d v="2025-11-24T20:30:00" u="1"/>
        <d v="2025-11-24T22:30:00" u="1"/>
        <d v="2025-11-25T00:30:00" u="1"/>
        <d v="2025-11-25T08:00:00" u="1"/>
        <d v="2025-11-25T14:00:00" u="1"/>
        <d v="2025-11-25T12:30:00" u="1"/>
        <d v="2025-11-26T07:30:00" u="1"/>
        <d v="2025-11-26T08:00:00" u="1"/>
        <d v="2025-11-26T08:30:00" u="1"/>
        <d v="2025-11-26T09:30:00" u="1"/>
        <d v="2025-11-26T10:00:00" u="1"/>
        <d v="2025-11-26T11:00:00" u="1"/>
        <d v="2025-11-26T11:30:00" u="1"/>
        <d v="2025-11-26T12:30:00" u="1"/>
        <d v="2025-11-26T13:00:00" u="1"/>
        <d v="2025-11-26T14:00:00" u="1"/>
        <d v="2025-11-26T15:00:00" u="1"/>
        <d v="2025-11-26T15:30:00" u="1"/>
        <d v="2025-11-26T17:00:00" u="1"/>
        <d v="2025-11-26T17:30:00" u="1"/>
        <d v="2025-11-26T19:00:00" u="1"/>
        <d v="2025-11-26T19:30:00" u="1"/>
        <d v="2025-11-26T20:30:00" u="1"/>
        <d v="2025-11-26T21:30:00" u="1"/>
        <d v="2025-11-26T22:30:00" u="1"/>
        <d v="2025-11-27T00:00:00" u="1"/>
        <d v="2025-11-27T02:00:00" u="1"/>
        <d v="2025-11-27T04:00:00" u="1"/>
        <d v="2025-11-27T04:30:00" u="1"/>
        <d v="2025-11-27T06:00:00" u="1"/>
        <d v="2025-11-27T07:30:00" u="1"/>
        <d v="2025-11-27T08:00:00" u="1"/>
        <d v="2025-11-27T11:00:00" u="1"/>
        <d v="2025-11-27T13:00:00" u="1"/>
        <d v="2025-11-27T14:00:00" u="1"/>
        <d v="2025-11-27T15:00:00" u="1"/>
        <d v="2025-11-27T18:00:00" u="1"/>
        <d v="2025-11-27T21:00:00" u="1"/>
        <d v="2025-11-27T23:00:00" u="1"/>
        <d v="2025-11-28T16:30:00" u="1"/>
        <d v="2025-11-28T15:00:00" u="1"/>
        <d v="2025-11-28T21:00:00" u="1"/>
        <d v="2025-11-28T22:00:00" u="1"/>
        <d v="2025-11-28T23:00:00" u="1"/>
        <d v="2025-11-29T06:00:00" u="1"/>
        <d v="2025-11-29T08:00:00" u="1"/>
        <d v="2025-11-29T11:00:00" u="1"/>
        <d v="2025-11-29T14:00:00" u="1"/>
        <d v="2025-11-29T15:00:00" u="1"/>
        <d v="2025-11-30T06:00:00" u="1"/>
        <d v="2025-11-30T07:30:00" u="1"/>
        <d v="2025-11-30T09:00:00" u="1"/>
        <d v="2025-11-30T09:30:00" u="1"/>
        <d v="2025-11-30T11:00:00" u="1"/>
        <d v="2025-11-30T12:30:00" u="1"/>
        <d v="2025-11-30T15:30:00" u="1"/>
        <d v="2025-11-30T19:00:00" u="1"/>
        <d v="2025-12-01T07:00:00" u="1"/>
        <d v="2025-12-01T09:00:00" u="1"/>
        <d v="2025-12-02T17:00:00" u="1"/>
        <d v="2025-12-02T17:30:00" u="1"/>
        <d v="2025-12-02T18:30:00" u="1"/>
        <d v="2025-12-02T19:00:00" u="1"/>
        <d v="2025-12-02T20:00:00" u="1"/>
        <d v="2025-12-02T21:00:00" u="1"/>
        <d v="2025-12-03T00:00:00" u="1"/>
        <d v="2025-12-03T01:00:00" u="1"/>
        <d v="2025-12-03T06:00:00" u="1"/>
        <d v="2025-12-03T07:00:00" u="1"/>
        <d v="2025-12-03T07:30:00" u="1"/>
        <d v="2025-12-03T09:30:00" u="1"/>
        <d v="2025-12-03T11:00:00" u="1"/>
        <d v="2025-12-03T12:30:00" u="1"/>
        <d v="2025-12-03T14:00:00" u="1"/>
        <d v="2025-12-03T15:00:00" u="1"/>
        <d v="2025-12-03T16:00:00" u="1"/>
        <d v="2025-12-03T18:00:00" u="1"/>
        <d v="2025-12-03T20:00:00" u="1"/>
        <d v="2025-12-03T21:00:00" u="1"/>
        <d v="2025-12-04T06:00:00" u="1"/>
        <d v="2025-12-04T08:00:00" u="1"/>
        <d v="2025-12-05T19:00:00" u="1"/>
        <d v="2025-12-06T02:00:00" u="1"/>
        <d v="2025-12-05T08:00:00" u="1"/>
        <d v="2025-12-07T08:00:00" u="1"/>
        <d v="2025-11-18T18:00:00" u="1"/>
        <d v="2025-10-16T08:00:00" u="1"/>
        <d v="2025-10-01T01:30:00" u="1"/>
        <d v="2025-10-01T03:00:00" u="1"/>
        <d v="2025-09-05T05:00:00" u="1"/>
        <d v="2025-06-30T00:01:00" u="1"/>
        <d v="2025-04-15T14:41:00" u="1"/>
      </sharedItems>
      <fieldGroup par="56"/>
    </cacheField>
    <cacheField name="DC start date" numFmtId="164">
      <sharedItems containsSemiMixedTypes="0" containsNonDate="0" containsDate="1" containsString="0" minDate="2026-01-02T07:45:00" maxDate="2026-03-01T21:00:00"/>
    </cacheField>
    <cacheField name="TRANSPORT MODE" numFmtId="164">
      <sharedItems count="4">
        <s v="TRUCK"/>
        <s v="BARGE" u="1"/>
        <s v="NO" u="1"/>
        <s v="YES" u="1"/>
      </sharedItems>
    </cacheField>
    <cacheField name="CLEANING" numFmtId="0">
      <sharedItems count="3">
        <s v="NO"/>
        <s v="CLEANING"/>
        <s v="CLEANING SPECIAL" u="1"/>
      </sharedItems>
    </cacheField>
    <cacheField name="EXTRA STOP" numFmtId="0">
      <sharedItems containsSemiMixedTypes="0" containsString="0" containsNumber="1" containsInteger="1" minValue="0" maxValue="2"/>
    </cacheField>
    <cacheField name="WEEK" numFmtId="0">
      <sharedItems containsSemiMixedTypes="0" containsString="0" containsNumber="1" containsInteger="1" minValue="1" maxValue="49" count="49">
        <n v="1"/>
        <n v="3"/>
        <n v="2"/>
        <n v="4"/>
        <n v="5"/>
        <n v="6"/>
        <n v="7"/>
        <n v="8"/>
        <n v="9"/>
        <n v="10" u="1"/>
        <n v="11" u="1"/>
        <n v="12" u="1"/>
        <n v="13" u="1"/>
        <n v="14" u="1"/>
        <n v="15" u="1"/>
        <n v="16" u="1"/>
        <n v="17" u="1"/>
        <n v="18" u="1"/>
        <n v="19" u="1"/>
        <n v="20" u="1"/>
        <n v="21" u="1"/>
        <n v="22" u="1"/>
        <n v="23" u="1"/>
        <n v="24" u="1"/>
        <n v="25" u="1"/>
        <n v="26" u="1"/>
        <n v="27" u="1"/>
        <n v="28" u="1"/>
        <n v="29" u="1"/>
        <n v="30" u="1"/>
        <n v="31" u="1"/>
        <n v="32" u="1"/>
        <n v="33" u="1"/>
        <n v="34" u="1"/>
        <n v="35" u="1"/>
        <n v="36" u="1"/>
        <n v="37" u="1"/>
        <n v="38" u="1"/>
        <n v="39" u="1"/>
        <n v="40" u="1"/>
        <n v="41" u="1"/>
        <n v="42" u="1"/>
        <n v="43" u="1"/>
        <n v="44" u="1"/>
        <n v="45" u="1"/>
        <n v="46" u="1"/>
        <n v="47" u="1"/>
        <n v="48" u="1"/>
        <n v="49" u="1"/>
      </sharedItems>
    </cacheField>
    <cacheField name="MONTH" numFmtId="0">
      <sharedItems containsSemiMixedTypes="0" containsString="0" containsNumber="1" containsInteger="1" minValue="1" maxValue="12" count="12">
        <n v="1"/>
        <n v="2"/>
        <n v="3"/>
        <n v="4" u="1"/>
        <n v="5" u="1"/>
        <n v="6" u="1"/>
        <n v="7" u="1"/>
        <n v="8" u="1"/>
        <n v="9" u="1"/>
        <n v="10" u="1"/>
        <n v="11" u="1"/>
        <n v="12" u="1"/>
      </sharedItems>
    </cacheField>
    <cacheField name="HORA DE LLEGADA CONT" numFmtId="164">
      <sharedItems containsSemiMixedTypes="0" containsNonDate="0" containsDate="1" containsString="0" minDate="2026-01-02T07:40:00" maxDate="2026-03-01T18:29:00"/>
    </cacheField>
    <cacheField name="ATA A OFRECIMIENTO" numFmtId="165">
      <sharedItems containsSemiMixedTypes="0" containsNonDate="0" containsDate="1" containsString="0" minDate="1899-12-30T08:55:00" maxDate="1900-01-02T14:55:00"/>
    </cacheField>
    <cacheField name="ATA A OFRECIMIENTO 2" numFmtId="2">
      <sharedItems containsSemiMixedTypes="0" containsString="0" containsNumber="1" minValue="8.9166666667442769" maxValue="86.916666666569654"/>
    </cacheField>
    <cacheField name="AVAILABILITY  -48H" numFmtId="0">
      <sharedItems count="2">
        <s v="YES"/>
        <s v="NO"/>
      </sharedItems>
    </cacheField>
    <cacheField name="DEL. AVAILABLE A SLOT" numFmtId="165">
      <sharedItems containsSemiMixedTypes="0" containsDate="1" containsString="0" containsMixedTypes="1" minDate="1899-12-31T03:37:11" maxDate="1900-01-03T14:00:00"/>
    </cacheField>
    <cacheField name="DEL. AVAILABLE A SLOT 2" numFmtId="2">
      <sharedItems containsSemiMixedTypes="0" containsString="0" containsNumber="1" minValue="-8.25" maxValue="109.99999999988358"/>
    </cacheField>
    <cacheField name="TIMESLOT MENOS DE 24H " numFmtId="0">
      <sharedItems/>
    </cacheField>
    <cacheField name="ATA A TIMESLOT" numFmtId="165">
      <sharedItems containsSemiMixedTypes="0" containsNonDate="0" containsDate="1" containsString="0" minDate="1899-12-30T08:55:00" maxDate="1900-01-04T19:19:00"/>
    </cacheField>
    <cacheField name="ATA A TIMESLOT 2" numFmtId="2">
      <sharedItems containsSemiMixedTypes="0" containsString="0" containsNumber="1" minValue="8.9166666667442769" maxValue="139.31666666659294"/>
    </cacheField>
    <cacheField name="PUNTUALIDAD (H)" numFmtId="165">
      <sharedItems containsSemiMixedTypes="0" containsNonDate="0" containsDate="1" containsString="0" minDate="1899-12-30T00:00:00" maxDate="1899-12-31T00:00:00"/>
    </cacheField>
    <cacheField name="PUNTUALIDAD 2" numFmtId="165">
      <sharedItems count="2">
        <s v="SI"/>
        <s v="NO"/>
      </sharedItems>
    </cacheField>
    <cacheField name="PUNTUALIDAD 3" numFmtId="2">
      <sharedItems containsSemiMixedTypes="0" containsString="0" containsNumber="1" minValue="0" maxValue="22.649999999965075"/>
    </cacheField>
    <cacheField name="ATA TO UNLOADING" numFmtId="165">
      <sharedItems containsSemiMixedTypes="0" containsNonDate="0" containsDate="1" containsString="0" minDate="1899-12-30T07:55:00" maxDate="1900-01-04T21:04:00"/>
    </cacheField>
    <cacheField name="ATA TO UNLOADING 2" numFmtId="2">
      <sharedItems containsSemiMixedTypes="0" containsString="0" containsNumber="1" minValue="7.9166666666278616" maxValue="141.06666666670935"/>
    </cacheField>
    <cacheField name="DELIVERED IN -48H" numFmtId="2">
      <sharedItems count="2">
        <s v="YES"/>
        <s v="NO"/>
      </sharedItems>
    </cacheField>
    <cacheField name="COMMENTS FOR LATE DELIVERY AND FOR DELAYS" numFmtId="0">
      <sharedItems containsBlank="1"/>
    </cacheField>
    <cacheField name="HOUR" numFmtId="168">
      <sharedItems containsSemiMixedTypes="0" containsNonDate="0" containsDate="1" containsString="0" minDate="1899-12-30T00:00:00" maxDate="1899-12-30T23:00:00"/>
    </cacheField>
    <cacheField name="NIGHT" numFmtId="0">
      <sharedItems/>
    </cacheField>
    <cacheField name="WEEK2" numFmtId="0">
      <sharedItems/>
    </cacheField>
    <cacheField name="CONTAINER4" numFmtId="0">
      <sharedItems/>
    </cacheField>
    <cacheField name="VENDOR" numFmtId="164">
      <sharedItems/>
    </cacheField>
    <cacheField name="COST" numFmtId="44">
      <sharedItems containsSemiMixedTypes="0" containsString="0" containsNumber="1" minValue="0" maxValue="648.5"/>
    </cacheField>
    <cacheField name="CLEANING5" numFmtId="166">
      <sharedItems containsMixedTypes="1" containsNumber="1" containsInteger="1" minValue="0" maxValue="120"/>
    </cacheField>
    <cacheField name="E.S. COST" numFmtId="166">
      <sharedItems containsMixedTypes="1" containsNumber="1" containsInteger="1" minValue="45" maxValue="60"/>
    </cacheField>
    <cacheField name="EXTRA STOP TOTAL" numFmtId="166">
      <sharedItems containsSemiMixedTypes="0" containsString="0" containsNumber="1" containsInteger="1" minValue="0" maxValue="120"/>
    </cacheField>
    <cacheField name="WEEKDAY" numFmtId="0">
      <sharedItems containsSemiMixedTypes="0" containsString="0" containsNumber="1" containsInteger="1" minValue="1" maxValue="7"/>
    </cacheField>
    <cacheField name="DELIVERED AT" numFmtId="0">
      <sharedItems count="4">
        <s v="SATURDAY"/>
        <s v="WEEK"/>
        <s v="SUNDAY"/>
        <s v="NIGHT"/>
      </sharedItems>
    </cacheField>
    <cacheField name="VENDOR+BASECOST" numFmtId="0">
      <sharedItems/>
    </cacheField>
    <cacheField name="TOTAL COST" numFmtId="170">
      <sharedItems containsSemiMixedTypes="0" containsString="0" containsNumber="1" minValue="0" maxValue="1183.5"/>
    </cacheField>
    <cacheField name="ADMIN FEE" numFmtId="170">
      <sharedItems containsSemiMixedTypes="0" containsString="0" containsNumber="1" containsInteger="1" minValue="0" maxValue="20"/>
    </cacheField>
    <cacheField name="WAITING TIMES" numFmtId="170">
      <sharedItems containsString="0" containsBlank="1" containsNumber="1" minValue="15" maxValue="555"/>
    </cacheField>
    <cacheField name="WAITING TIMES (HOURS)" numFmtId="0">
      <sharedItems containsBlank="1"/>
    </cacheField>
    <cacheField name="TOTAL SELL" numFmtId="170">
      <sharedItems containsSemiMixedTypes="0" containsString="0" containsNumber="1" minValue="0" maxValue="1203.5"/>
    </cacheField>
    <cacheField name="MANAGEMENT FEE" numFmtId="167">
      <sharedItems containsSemiMixedTypes="0" containsString="0" containsNumber="1" containsInteger="1" minValue="70" maxValue="70"/>
    </cacheField>
    <cacheField name="ALTIA" numFmtId="167">
      <sharedItems containsSemiMixedTypes="0" containsString="0" containsNumber="1" containsInteger="1" minValue="1" maxValue="2"/>
    </cacheField>
    <cacheField name="ESTIMATION COMPLETED ON" numFmtId="0">
      <sharedItems containsBlank="1"/>
    </cacheField>
    <cacheField name="Days (TIMESLOT)" numFmtId="0" databaseField="0">
      <fieldGroup base="12">
        <rangePr groupBy="days" startDate="2026-01-02T07:00:00" endDate="2026-03-01T19:00:00"/>
        <groupItems count="368">
          <s v="&lt;02/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3/2026"/>
        </groupItems>
      </fieldGroup>
    </cacheField>
    <cacheField name="Months (TIMESLOT)" numFmtId="0" databaseField="0">
      <fieldGroup base="12">
        <rangePr groupBy="months" startDate="2026-01-02T07:00:00" endDate="2026-03-01T19:00:00"/>
        <groupItems count="14">
          <s v="&lt;02/01/2026"/>
          <s v="Jan"/>
          <s v="Feb"/>
          <s v="Mar"/>
          <s v="Apr"/>
          <s v="May"/>
          <s v="Jun"/>
          <s v="Jul"/>
          <s v="Aug"/>
          <s v="Sep"/>
          <s v="Oct"/>
          <s v="Nov"/>
          <s v="Dec"/>
          <s v="&gt;01/03/2026"/>
        </groupItems>
      </fieldGroup>
    </cacheField>
  </cacheFields>
  <extLst>
    <ext xmlns:x14="http://schemas.microsoft.com/office/spreadsheetml/2009/9/main" uri="{725AE2AE-9491-48be-B2B4-4EB974FC3084}">
      <x14:pivotCacheDefinition pivotCacheId="3555938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n Martinez Codina" refreshedDate="46084.512159027778" createdVersion="8" refreshedVersion="8" minRefreshableVersion="3" recordCount="72" xr:uid="{53C963DC-D6C1-4B49-A67E-70A585A686B7}">
  <cacheSource type="worksheet">
    <worksheetSource name="Table3"/>
  </cacheSource>
  <cacheFields count="4">
    <cacheField name="YEAR" numFmtId="0">
      <sharedItems containsSemiMixedTypes="0" containsString="0" containsNumber="1" containsInteger="1" minValue="2021" maxValue="2026" count="6">
        <n v="2021"/>
        <n v="2022"/>
        <n v="2023"/>
        <n v="2024"/>
        <n v="2025"/>
        <n v="2026"/>
      </sharedItems>
    </cacheField>
    <cacheField name="MONTH" numFmtId="0">
      <sharedItems containsSemiMixedTypes="0" containsString="0" containsNumber="1" containsInteger="1" minValue="1" maxValue="12" count="12">
        <n v="1"/>
        <n v="2"/>
        <n v="3"/>
        <n v="4"/>
        <n v="5"/>
        <n v="6"/>
        <n v="7"/>
        <n v="8"/>
        <n v="9"/>
        <n v="10"/>
        <n v="11"/>
        <n v="12"/>
      </sharedItems>
    </cacheField>
    <cacheField name="CNTR" numFmtId="0">
      <sharedItems containsString="0" containsBlank="1" containsNumber="1" containsInteger="1" minValue="0" maxValue="705"/>
    </cacheField>
    <cacheField name="TIPO DATO" numFmtId="0">
      <sharedItems count="2">
        <s v="REAL"/>
        <s v="FORECA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3">
  <r>
    <s v="OAKLAND EXPRESS"/>
    <x v="0"/>
    <d v="2026-01-01T15:46:00"/>
    <d v="2026-01-01T12:00:00"/>
    <x v="0"/>
    <s v="MAEU261749559"/>
    <x v="0"/>
    <s v="Karachi-Muhammad Bin Qasim"/>
    <s v="TLLU4893839"/>
    <s v="LELYSTAD"/>
    <d v="2026-01-02T21:00:00"/>
    <x v="0"/>
    <x v="0"/>
    <d v="2026-01-03T08:25:00"/>
    <x v="0"/>
    <x v="0"/>
    <n v="0"/>
    <x v="0"/>
    <x v="0"/>
    <d v="2026-01-03T07:56:00"/>
    <d v="1899-12-31T05:14:00"/>
    <n v="29.233333333279006"/>
    <x v="0"/>
    <d v="1899-12-30T11:00:00"/>
    <n v="11.000000000058208"/>
    <s v="SI"/>
    <d v="1899-12-31T16:14:00"/>
    <n v="40.233333333337214"/>
    <d v="1899-12-30T00:00:00"/>
    <x v="0"/>
    <n v="0"/>
    <d v="1899-12-31T16:39:00"/>
    <n v="40.649999999965075"/>
    <x v="0"/>
    <m/>
    <d v="1899-12-30T08:00:00"/>
    <s v="NO"/>
    <s v="1/26"/>
    <s v="TLLU4893839"/>
    <s v="AZOIA LOGISTICS"/>
    <n v="623.5"/>
    <e v="#N/A"/>
    <n v="45"/>
    <n v="0"/>
    <n v="6"/>
    <x v="0"/>
    <s v="AZOIA LOGISTICSSATURDAY"/>
    <n v="623.5"/>
    <n v="20"/>
    <m/>
    <m/>
    <n v="643.5"/>
    <n v="70"/>
    <n v="1"/>
    <s v="IBE MSO / INDITEX CT / NJU021 / JANUARY 2026 ESTIMATION"/>
  </r>
  <r>
    <s v="MARCHEN MAERSK"/>
    <x v="1"/>
    <d v="2025-12-29T11:41:00"/>
    <d v="2025-12-29T12:00:00"/>
    <x v="1"/>
    <s v="MAEU259851797"/>
    <x v="0"/>
    <s v="Shanghai"/>
    <s v="FFAU5311224"/>
    <s v="XPO TALLER LELYSTAD"/>
    <d v="2025-12-30T17:00:00"/>
    <x v="1"/>
    <x v="1"/>
    <d v="2026-01-02T10:50:00"/>
    <x v="0"/>
    <x v="0"/>
    <n v="0"/>
    <x v="0"/>
    <x v="0"/>
    <d v="2026-01-02T10:45:00"/>
    <d v="1899-12-31T05:19:00"/>
    <n v="29.316666666709352"/>
    <x v="0"/>
    <d v="1900-01-01T16:00:00"/>
    <n v="63.999999999941792"/>
    <s v="NO"/>
    <d v="1900-01-02T21:19:00"/>
    <n v="93.316666666651145"/>
    <d v="1899-12-30T01:45:00"/>
    <x v="1"/>
    <n v="1.7499999999417923"/>
    <d v="1900-01-02T23:09:00"/>
    <n v="95.150000000023283"/>
    <x v="1"/>
    <s v="Delivered when WHS requested it"/>
    <d v="1899-12-30T09:00:00"/>
    <s v="NO"/>
    <s v="1/26"/>
    <s v="FFAU5311224"/>
    <s v="CTK TRANSPORT"/>
    <n v="550"/>
    <e v="#N/A"/>
    <n v="50"/>
    <n v="0"/>
    <n v="5"/>
    <x v="1"/>
    <s v="CTK TRANSPORTWEEK"/>
    <n v="550"/>
    <n v="20"/>
    <m/>
    <m/>
    <n v="570"/>
    <n v="70"/>
    <n v="1"/>
    <s v="IBE MSO / INDITEX CT / NJU021 / JANUARY 2026 ESTIMATION"/>
  </r>
  <r>
    <s v="MARCHEN MAERSK"/>
    <x v="1"/>
    <d v="2025-12-29T11:41:00"/>
    <d v="2025-12-29T12:00:00"/>
    <x v="1"/>
    <s v="MAEU260870920"/>
    <x v="0"/>
    <s v="Sihanoukville"/>
    <s v="CAAU5146701"/>
    <s v="XPO TALLER LELYSTAD"/>
    <d v="2025-12-30T17:00:00"/>
    <x v="2"/>
    <x v="2"/>
    <d v="2026-01-04T08:45:00"/>
    <x v="0"/>
    <x v="0"/>
    <n v="1"/>
    <x v="0"/>
    <x v="0"/>
    <d v="2026-01-04T08:40:00"/>
    <d v="1899-12-31T05:19:00"/>
    <n v="29.316666666709352"/>
    <x v="0"/>
    <d v="1900-01-03T14:00:00"/>
    <n v="109.99999999988358"/>
    <s v="NO"/>
    <d v="1900-01-04T19:19:00"/>
    <n v="139.31666666659294"/>
    <d v="1899-12-30T01:40:00"/>
    <x v="1"/>
    <n v="1.6666666666860692"/>
    <d v="1900-01-04T21:04:00"/>
    <n v="141.06666666670935"/>
    <x v="1"/>
    <s v="Delivered when WHS was open"/>
    <d v="1899-12-30T07:00:00"/>
    <s v="NO"/>
    <s v="1/26"/>
    <s v="CAAU5146701"/>
    <s v="CTK TRANSPORT"/>
    <n v="625"/>
    <e v="#N/A"/>
    <n v="50"/>
    <n v="50"/>
    <n v="7"/>
    <x v="2"/>
    <s v="CTK TRANSPORTSUNDAY"/>
    <n v="675"/>
    <n v="20"/>
    <m/>
    <m/>
    <n v="695"/>
    <n v="70"/>
    <n v="1"/>
    <s v="IBE MSO / INDITEX CT / NJU021 / JANUARY 2026 ESTIMATION"/>
  </r>
  <r>
    <s v="MAERSK SALALAH"/>
    <x v="0"/>
    <d v="2026-01-11T11:05:00"/>
    <d v="2026-01-11T02:00:00"/>
    <x v="1"/>
    <s v="MAEU261989817"/>
    <x v="0"/>
    <s v="Chittagong"/>
    <s v="CAIU8274268"/>
    <s v="LELYSTAD"/>
    <d v="2026-01-11T20:00:00"/>
    <x v="3"/>
    <x v="3"/>
    <d v="2026-01-12T08:30:00"/>
    <x v="0"/>
    <x v="0"/>
    <n v="0"/>
    <x v="1"/>
    <x v="0"/>
    <d v="2026-01-12T07:56:00"/>
    <d v="1899-12-30T08:55:00"/>
    <n v="8.9166666667442769"/>
    <x v="0"/>
    <d v="1899-12-30T12:00:00"/>
    <n v="12"/>
    <s v="SI"/>
    <d v="1899-12-30T20:55:00"/>
    <n v="20.916666666744277"/>
    <d v="1899-12-30T00:00:00"/>
    <x v="0"/>
    <n v="0"/>
    <d v="1899-12-30T21:25:00"/>
    <n v="21.416666666627862"/>
    <x v="0"/>
    <m/>
    <d v="1899-12-30T08:00:00"/>
    <s v="NO"/>
    <s v="3/26"/>
    <s v="CAIU8274268"/>
    <s v="CTK TRANSPORT"/>
    <n v="573.5"/>
    <e v="#N/A"/>
    <n v="50"/>
    <n v="0"/>
    <n v="1"/>
    <x v="1"/>
    <s v="CTK TRANSPORTWEEK"/>
    <n v="711"/>
    <n v="20"/>
    <n v="137.5"/>
    <s v="08:00 - 12:40"/>
    <n v="731"/>
    <n v="70"/>
    <n v="1"/>
    <s v="IBE MSO / INDITEX CT / NJU021 / JANUARY 2026 ESTIMATION"/>
  </r>
  <r>
    <s v="MAERSK SALALAH"/>
    <x v="0"/>
    <d v="2026-01-11T11:05:00"/>
    <d v="2026-01-11T02:00:00"/>
    <x v="1"/>
    <s v="MAEU261989817"/>
    <x v="0"/>
    <s v="Chittagong"/>
    <s v="MRKU4971780"/>
    <s v="LELYSTAD"/>
    <d v="2026-01-11T20:00:00"/>
    <x v="4"/>
    <x v="4"/>
    <d v="2026-01-12T06:00:00"/>
    <x v="0"/>
    <x v="0"/>
    <n v="0"/>
    <x v="1"/>
    <x v="0"/>
    <d v="2026-01-12T05:34:00"/>
    <d v="1899-12-30T08:55:00"/>
    <n v="8.9166666667442769"/>
    <x v="0"/>
    <d v="1899-12-30T09:00:00"/>
    <n v="9"/>
    <s v="SI"/>
    <d v="1899-12-30T17:55:00"/>
    <n v="17.916666666744277"/>
    <d v="1899-12-30T00:34:00"/>
    <x v="0"/>
    <n v="0.56666666659293696"/>
    <d v="1899-12-30T18:55:00"/>
    <n v="18.916666666686069"/>
    <x v="0"/>
    <m/>
    <d v="1899-12-30T05:00:00"/>
    <s v="NO"/>
    <s v="3/26"/>
    <s v="MRKU4971780"/>
    <s v="CTK TRANSPORT"/>
    <n v="573.5"/>
    <e v="#N/A"/>
    <n v="50"/>
    <n v="0"/>
    <n v="1"/>
    <x v="1"/>
    <s v="CTK TRANSPORTWEEK"/>
    <n v="623.5"/>
    <n v="20"/>
    <n v="50"/>
    <s v="05:30 - 08:25"/>
    <n v="643.5"/>
    <n v="70"/>
    <n v="1"/>
    <s v="IBE MSO / INDITEX CT / NJU021 / JANUARY 2026 ESTIMATION"/>
  </r>
  <r>
    <s v="MAERSK SALALAH"/>
    <x v="0"/>
    <d v="2026-01-11T11:05:00"/>
    <d v="2026-01-11T02:00:00"/>
    <x v="1"/>
    <s v="MAEU261989834"/>
    <x v="0"/>
    <s v="Chittagong"/>
    <s v="MRSU5838137"/>
    <s v="SIMEI LELYSTAD"/>
    <d v="2026-01-11T20:00:00"/>
    <x v="5"/>
    <x v="5"/>
    <d v="2026-01-12T18:15:00"/>
    <x v="0"/>
    <x v="0"/>
    <n v="0"/>
    <x v="1"/>
    <x v="0"/>
    <d v="2026-01-12T15:31:00"/>
    <d v="1899-12-30T08:55:00"/>
    <n v="8.9166666667442769"/>
    <x v="0"/>
    <d v="1899-12-30T19:30:00"/>
    <n v="19.5"/>
    <s v="SI"/>
    <d v="1899-12-31T04:25:00"/>
    <n v="28.416666666744277"/>
    <d v="1899-12-30T00:01:00"/>
    <x v="0"/>
    <n v="1.6666666546370834E-2"/>
    <d v="1899-12-31T07:10:00"/>
    <n v="31.166666666627862"/>
    <x v="0"/>
    <m/>
    <d v="1899-12-30T15:30:00"/>
    <s v="NO"/>
    <s v="3/26"/>
    <s v="MRSU5838137"/>
    <s v="CTK TRANSPORT"/>
    <n v="573.5"/>
    <e v="#N/A"/>
    <n v="50"/>
    <n v="0"/>
    <n v="1"/>
    <x v="1"/>
    <s v="CTK TRANSPORTWEEK"/>
    <n v="673.5"/>
    <n v="20"/>
    <n v="100"/>
    <s v="15:15 - 19:10"/>
    <n v="693.5"/>
    <n v="70"/>
    <n v="1"/>
    <s v="IBE MSO / INDITEX CT / NJU021 / JANUARY 2026 ESTIMATION"/>
  </r>
  <r>
    <s v="AL NEFUD"/>
    <x v="1"/>
    <d v="2026-01-14T02:15:00"/>
    <d v="2026-01-13T18:00:00"/>
    <x v="1"/>
    <s v="MAEU262216337"/>
    <x v="0"/>
    <s v="Yantian"/>
    <s v="MSKU4738873"/>
    <s v="SIMEI LELYSTAD"/>
    <d v="2026-01-14T19:00:00"/>
    <x v="6"/>
    <x v="6"/>
    <d v="2026-01-15T14:15:00"/>
    <x v="0"/>
    <x v="0"/>
    <n v="0"/>
    <x v="1"/>
    <x v="0"/>
    <d v="2026-01-15T14:08:00"/>
    <d v="1899-12-30T16:45:00"/>
    <n v="16.749999999941792"/>
    <x v="0"/>
    <d v="1899-12-30T19:00:00"/>
    <n v="19.000000000116415"/>
    <s v="SI"/>
    <d v="1899-12-31T11:45:00"/>
    <n v="35.750000000058208"/>
    <d v="1899-12-30T00:08:00"/>
    <x v="0"/>
    <n v="0.13333333324408159"/>
    <d v="1899-12-31T12:00:00"/>
    <n v="36"/>
    <x v="0"/>
    <m/>
    <d v="1899-12-30T14:00:00"/>
    <s v="NO"/>
    <s v="3/26"/>
    <s v="MSKU4738873"/>
    <s v="CTK TRANSPORT"/>
    <n v="550"/>
    <e v="#N/A"/>
    <n v="50"/>
    <n v="0"/>
    <n v="4"/>
    <x v="1"/>
    <s v="CTK TRANSPORTWEEK"/>
    <n v="550"/>
    <n v="20"/>
    <m/>
    <m/>
    <n v="570"/>
    <n v="70"/>
    <n v="1"/>
    <s v="IBE MSO / INDITEX CT / NJU021 / JANUARY 2026 ESTIMATION"/>
  </r>
  <r>
    <s v="AL NEFUD"/>
    <x v="1"/>
    <d v="2026-01-14T02:15:00"/>
    <d v="2026-01-13T18:00:00"/>
    <x v="1"/>
    <s v="MAEU261216813"/>
    <x v="0"/>
    <s v="Sihanoukville"/>
    <s v="TCKU7414512"/>
    <s v="SIMEI LELYSTAD"/>
    <d v="2026-01-14T19:00:00"/>
    <x v="7"/>
    <x v="7"/>
    <d v="2026-01-15T11:10:00"/>
    <x v="0"/>
    <x v="0"/>
    <n v="0"/>
    <x v="1"/>
    <x v="0"/>
    <d v="2026-01-15T11:00:00"/>
    <d v="1899-12-30T16:45:00"/>
    <n v="16.749999999941792"/>
    <x v="0"/>
    <d v="1899-12-30T14:30:00"/>
    <n v="14.500000000116415"/>
    <s v="SI"/>
    <d v="1899-12-31T07:15:00"/>
    <n v="31.250000000058208"/>
    <d v="1899-12-30T01:30:00"/>
    <x v="1"/>
    <n v="1.5"/>
    <d v="1899-12-31T08:55:00"/>
    <n v="32.916666666744277"/>
    <x v="0"/>
    <m/>
    <d v="1899-12-30T09:30:00"/>
    <s v="NO"/>
    <s v="3/26"/>
    <s v="TCKU7414512"/>
    <s v="CTK TRANSPORT"/>
    <n v="550"/>
    <e v="#N/A"/>
    <n v="50"/>
    <n v="0"/>
    <n v="4"/>
    <x v="1"/>
    <s v="CTK TRANSPORTWEEK"/>
    <n v="550"/>
    <n v="20"/>
    <m/>
    <m/>
    <n v="570"/>
    <n v="70"/>
    <n v="1"/>
    <s v="IBE MSO / INDITEX CT / NJU021 / JANUARY 2026 ESTIMATION"/>
  </r>
  <r>
    <s v="MARCHEN MAERSK"/>
    <x v="1"/>
    <d v="2025-12-29T11:41:00"/>
    <d v="2025-12-29T12:00:00"/>
    <x v="2"/>
    <s v="MAEU260870920"/>
    <x v="0"/>
    <s v="Sihanoukville"/>
    <s v="GCXU5601183"/>
    <s v="XPO TALLER LELYSTAD"/>
    <d v="2025-12-30T17:00:00"/>
    <x v="8"/>
    <x v="8"/>
    <d v="2026-01-02T15:00:00"/>
    <x v="0"/>
    <x v="0"/>
    <n v="0"/>
    <x v="0"/>
    <x v="0"/>
    <d v="2026-01-02T08:11:00"/>
    <d v="1899-12-31T05:19:00"/>
    <n v="29.316666666709352"/>
    <x v="0"/>
    <d v="1900-01-01T18:00:00"/>
    <n v="66"/>
    <s v="NO"/>
    <d v="1900-01-02T23:19:00"/>
    <n v="95.316666666709352"/>
    <d v="1899-12-30T00:00:00"/>
    <x v="0"/>
    <n v="0"/>
    <d v="1900-01-03T03:19:00"/>
    <n v="99.316666666651145"/>
    <x v="1"/>
    <s v="Delivered when WHS requested it"/>
    <d v="1899-12-30T11:00:00"/>
    <s v="NO"/>
    <s v="1/26"/>
    <s v="GCXU5601183"/>
    <s v="LOGIX"/>
    <n v="550"/>
    <e v="#N/A"/>
    <n v="50"/>
    <n v="0"/>
    <n v="5"/>
    <x v="1"/>
    <s v="LOGIXWEEK"/>
    <n v="550"/>
    <n v="20"/>
    <m/>
    <m/>
    <n v="570"/>
    <n v="70"/>
    <n v="1"/>
    <s v="IBE MSO / INDITEX CT / NJU021 / JANUARY 2026 ESTIMATION"/>
  </r>
  <r>
    <s v="MAERSK SEOUL"/>
    <x v="0"/>
    <d v="2026-01-04T22:00:00"/>
    <d v="2026-01-03T20:00:00"/>
    <x v="2"/>
    <s v="MAEU262378355"/>
    <x v="0"/>
    <s v="Chittagong"/>
    <s v="TCLU8157186"/>
    <s v="LELYSTAD"/>
    <d v="2026-01-05T08:00:00"/>
    <x v="9"/>
    <x v="9"/>
    <d v="2026-01-05T09:00:00"/>
    <x v="0"/>
    <x v="0"/>
    <n v="0"/>
    <x v="2"/>
    <x v="0"/>
    <d v="2026-01-05T09:00:00"/>
    <d v="1899-12-30T10:00:00"/>
    <n v="10.000000000116415"/>
    <x v="0"/>
    <d v="1899-12-30T00:00:00"/>
    <n v="0"/>
    <s v="SI"/>
    <d v="1899-12-30T10:00:00"/>
    <n v="10.000000000116415"/>
    <d v="1899-12-30T01:00:00"/>
    <x v="1"/>
    <n v="0.99999999994179234"/>
    <d v="1899-12-30T11:00:00"/>
    <n v="11.000000000058208"/>
    <x v="0"/>
    <m/>
    <d v="1899-12-30T08:00:00"/>
    <s v="NO"/>
    <s v="2/26"/>
    <s v="TCLU8157186"/>
    <s v="LOGIX"/>
    <n v="573.5"/>
    <e v="#N/A"/>
    <n v="50"/>
    <n v="0"/>
    <n v="1"/>
    <x v="1"/>
    <s v="LOGIXWEEK"/>
    <n v="573.5"/>
    <n v="20"/>
    <m/>
    <m/>
    <n v="593.5"/>
    <n v="70"/>
    <n v="1"/>
    <s v="IBE MSO / INDITEX CT / NJU021 / JANUARY 2026 ESTIMATION"/>
  </r>
  <r>
    <s v="MAERSK SEOUL"/>
    <x v="0"/>
    <d v="2026-01-04T22:00:00"/>
    <d v="2026-01-03T20:00:00"/>
    <x v="2"/>
    <s v="MAEU262378355"/>
    <x v="0"/>
    <s v="Chittagong"/>
    <s v="MRKU6156890"/>
    <s v="LELYSTAD"/>
    <d v="2026-01-05T08:00:00"/>
    <x v="10"/>
    <x v="10"/>
    <d v="2026-01-06T13:18:00"/>
    <x v="0"/>
    <x v="0"/>
    <n v="0"/>
    <x v="2"/>
    <x v="0"/>
    <d v="2026-01-06T12:33:00"/>
    <d v="1899-12-30T10:00:00"/>
    <n v="10.000000000116415"/>
    <x v="0"/>
    <d v="1899-12-31T06:00:00"/>
    <n v="30"/>
    <s v="NO"/>
    <d v="1899-12-31T16:00:00"/>
    <n v="40.000000000116415"/>
    <d v="1899-12-30T00:00:00"/>
    <x v="0"/>
    <n v="0"/>
    <d v="1899-12-31T15:18:00"/>
    <n v="39.300000000104774"/>
    <x v="0"/>
    <m/>
    <d v="1899-12-30T14:00:00"/>
    <s v="NO"/>
    <s v="2/26"/>
    <s v="MRKU6156890"/>
    <s v="LOGIX"/>
    <n v="573.5"/>
    <e v="#N/A"/>
    <n v="50"/>
    <n v="0"/>
    <n v="2"/>
    <x v="1"/>
    <s v="LOGIXWEEK"/>
    <n v="573.5"/>
    <n v="20"/>
    <m/>
    <m/>
    <n v="593.5"/>
    <n v="70"/>
    <n v="1"/>
    <s v="IBE MSO / INDITEX CT / NJU021 / JANUARY 2026 ESTIMATION"/>
  </r>
  <r>
    <s v="MAERSK SEOUL"/>
    <x v="0"/>
    <d v="2026-01-04T22:00:00"/>
    <d v="2026-01-03T20:00:00"/>
    <x v="2"/>
    <s v="MAEU261713161"/>
    <x v="0"/>
    <s v="Chittagong"/>
    <s v="MRSU5088161"/>
    <s v="LELYSTAD"/>
    <d v="2026-01-05T08:00:00"/>
    <x v="11"/>
    <x v="11"/>
    <d v="2026-01-06T15:00:00"/>
    <x v="0"/>
    <x v="0"/>
    <n v="0"/>
    <x v="2"/>
    <x v="0"/>
    <d v="2026-01-06T14:30:00"/>
    <d v="1899-12-30T10:00:00"/>
    <n v="10.000000000116415"/>
    <x v="0"/>
    <d v="1899-12-31T09:00:00"/>
    <n v="33"/>
    <s v="NO"/>
    <d v="1899-12-31T19:00:00"/>
    <n v="43.000000000116415"/>
    <d v="1899-12-30T00:00:00"/>
    <x v="0"/>
    <n v="0"/>
    <d v="1899-12-31T17:00:00"/>
    <n v="41.000000000058208"/>
    <x v="0"/>
    <m/>
    <d v="1899-12-30T17:00:00"/>
    <s v="NO"/>
    <s v="2/26"/>
    <s v="MRSU5088161"/>
    <s v="LOGIX"/>
    <n v="573.5"/>
    <e v="#N/A"/>
    <n v="50"/>
    <n v="0"/>
    <n v="2"/>
    <x v="1"/>
    <s v="LOGIXWEEK"/>
    <n v="573.5"/>
    <n v="20"/>
    <m/>
    <m/>
    <n v="593.5"/>
    <n v="70"/>
    <n v="1"/>
    <s v="IBE MSO / INDITEX CT / NJU021 / JANUARY 2026 ESTIMATION"/>
  </r>
  <r>
    <s v="MAERSK SEOUL"/>
    <x v="0"/>
    <d v="2026-01-04T22:00:00"/>
    <d v="2026-01-03T20:00:00"/>
    <x v="2"/>
    <s v="MAEU261738627"/>
    <x v="0"/>
    <s v="Chittagong"/>
    <s v="MRSU7901394"/>
    <s v="LELYSTAD"/>
    <d v="2026-01-05T08:00:00"/>
    <x v="12"/>
    <x v="12"/>
    <d v="2026-01-06T21:25:00"/>
    <x v="0"/>
    <x v="1"/>
    <n v="0"/>
    <x v="2"/>
    <x v="0"/>
    <d v="2026-01-06T20:38:00"/>
    <d v="1899-12-30T10:00:00"/>
    <n v="10.000000000116415"/>
    <x v="0"/>
    <d v="1899-12-31T12:00:00"/>
    <n v="36"/>
    <s v="NO"/>
    <d v="1899-12-31T22:00:00"/>
    <n v="46.000000000116415"/>
    <d v="1899-12-30T00:38:00"/>
    <x v="0"/>
    <n v="0.63333333330228925"/>
    <d v="1899-12-31T23:25:00"/>
    <n v="47.416666666686069"/>
    <x v="0"/>
    <m/>
    <d v="1899-12-30T20:00:00"/>
    <s v="NIGHT"/>
    <s v="2/26"/>
    <s v="MRSU7901394"/>
    <s v="LOGIX"/>
    <n v="573.5"/>
    <n v="100"/>
    <n v="50"/>
    <n v="0"/>
    <n v="2"/>
    <x v="3"/>
    <s v="LOGIXNIGHT"/>
    <n v="673.5"/>
    <n v="20"/>
    <m/>
    <m/>
    <n v="693.5"/>
    <n v="70"/>
    <n v="1"/>
    <s v="IBE MSO / INDITEX CT / NJU021 / JANUARY 2026 ESTIMATION"/>
  </r>
  <r>
    <s v="AL MURAYKH"/>
    <x v="1"/>
    <d v="2026-01-06T18:42:00"/>
    <d v="2026-01-06T14:00:00"/>
    <x v="2"/>
    <s v="MAEU261948369"/>
    <x v="0"/>
    <s v="Shanghai"/>
    <s v="MAEU9283402"/>
    <s v="SIMEI LELYSTAD"/>
    <d v="2026-01-08T00:00:00"/>
    <x v="13"/>
    <x v="13"/>
    <d v="2026-01-08T10:15:00"/>
    <x v="0"/>
    <x v="0"/>
    <n v="0"/>
    <x v="2"/>
    <x v="0"/>
    <d v="2026-01-08T10:00:00"/>
    <d v="1899-12-31T05:18:00"/>
    <n v="29.299999999988358"/>
    <x v="0"/>
    <d v="1899-12-30T09:00:00"/>
    <n v="9"/>
    <s v="SI"/>
    <d v="1899-12-31T14:18:00"/>
    <n v="38.299999999988358"/>
    <d v="1899-12-30T01:00:00"/>
    <x v="1"/>
    <n v="0.99999999994179234"/>
    <d v="1899-12-31T15:33:00"/>
    <n v="39.550000000046566"/>
    <x v="0"/>
    <m/>
    <d v="1899-12-30T09:00:00"/>
    <s v="NO"/>
    <s v="2/26"/>
    <s v="MAEU9283402"/>
    <s v="LOGIX"/>
    <n v="550"/>
    <e v="#N/A"/>
    <n v="50"/>
    <n v="0"/>
    <n v="4"/>
    <x v="1"/>
    <s v="LOGIXWEEK"/>
    <n v="550"/>
    <n v="20"/>
    <m/>
    <m/>
    <n v="570"/>
    <n v="70"/>
    <n v="1"/>
    <s v="IBE MSO / INDITEX CT / NJU021 / JANUARY 2026 ESTIMATION"/>
  </r>
  <r>
    <s v="AL MURAYKH"/>
    <x v="1"/>
    <d v="2026-01-06T18:42:00"/>
    <d v="2026-01-06T14:00:00"/>
    <x v="2"/>
    <s v="MAEU261384919"/>
    <x v="0"/>
    <s v="Sihanoukville"/>
    <s v="MRSU3879055"/>
    <s v="SIMEI LELYSTAD"/>
    <d v="2026-01-08T00:00:00"/>
    <x v="14"/>
    <x v="14"/>
    <d v="2026-01-08T17:35:00"/>
    <x v="0"/>
    <x v="0"/>
    <n v="0"/>
    <x v="2"/>
    <x v="0"/>
    <d v="2026-01-08T17:25:00"/>
    <d v="1899-12-31T05:18:00"/>
    <n v="29.299999999988358"/>
    <x v="0"/>
    <d v="1899-12-30T17:00:00"/>
    <n v="17.000000000058208"/>
    <s v="SI"/>
    <d v="1899-12-31T22:18:00"/>
    <n v="46.300000000046566"/>
    <d v="1899-12-30T00:25:00"/>
    <x v="0"/>
    <n v="0.41666666662786156"/>
    <d v="1899-12-31T22:53:00"/>
    <n v="46.883333333360497"/>
    <x v="0"/>
    <m/>
    <d v="1899-12-30T17:00:00"/>
    <s v="NO"/>
    <s v="2/26"/>
    <s v="MRSU3879055"/>
    <s v="LOGIX"/>
    <n v="550"/>
    <e v="#N/A"/>
    <n v="50"/>
    <n v="0"/>
    <n v="4"/>
    <x v="1"/>
    <s v="LOGIXWEEK"/>
    <n v="550"/>
    <n v="20"/>
    <m/>
    <m/>
    <n v="570"/>
    <n v="70"/>
    <n v="1"/>
    <s v="IBE MSO / INDITEX CT / NJU021 / JANUARY 2026 ESTIMATION"/>
  </r>
  <r>
    <s v="AL MURAYKH"/>
    <x v="1"/>
    <d v="2026-01-06T18:42:00"/>
    <d v="2026-01-06T14:00:00"/>
    <x v="2"/>
    <s v="MAEU261384919"/>
    <x v="0"/>
    <s v="Sihanoukville"/>
    <s v="MRSU7360767"/>
    <s v="XPO TALLER LELYSTAD"/>
    <d v="2026-01-08T00:00:00"/>
    <x v="15"/>
    <x v="15"/>
    <d v="2026-01-08T19:25:00"/>
    <x v="0"/>
    <x v="0"/>
    <n v="0"/>
    <x v="2"/>
    <x v="0"/>
    <d v="2026-01-08T19:00:00"/>
    <d v="1899-12-31T05:18:00"/>
    <n v="29.299999999988358"/>
    <x v="0"/>
    <d v="1899-12-30T19:00:00"/>
    <n v="18.999999999941792"/>
    <s v="SI"/>
    <d v="1900-01-01T00:18:00"/>
    <n v="48.299999999930151"/>
    <d v="1899-12-30T00:00:00"/>
    <x v="0"/>
    <n v="0"/>
    <d v="1900-01-01T00:43:00"/>
    <n v="48.716666666732635"/>
    <x v="1"/>
    <m/>
    <d v="1899-12-30T19:00:00"/>
    <s v="NO"/>
    <s v="2/26"/>
    <s v="MRSU7360767"/>
    <s v="LOGIX"/>
    <n v="550"/>
    <e v="#N/A"/>
    <n v="50"/>
    <n v="0"/>
    <n v="4"/>
    <x v="1"/>
    <s v="LOGIXWEEK"/>
    <n v="550"/>
    <n v="20"/>
    <m/>
    <m/>
    <n v="570"/>
    <n v="70"/>
    <n v="1"/>
    <s v="IBE MSO / INDITEX CT / NJU021 / JANUARY 2026 ESTIMATION"/>
  </r>
  <r>
    <s v="AL MURAYKH"/>
    <x v="1"/>
    <d v="2026-01-06T18:42:00"/>
    <d v="2026-01-06T14:00:00"/>
    <x v="2"/>
    <s v="MAEU261384919"/>
    <x v="0"/>
    <s v="Sihanoukville"/>
    <s v="MRSU8147376"/>
    <s v="SIMEI LELYSTAD"/>
    <d v="2026-01-08T00:00:00"/>
    <x v="16"/>
    <x v="16"/>
    <d v="2026-01-08T06:10:00"/>
    <x v="0"/>
    <x v="0"/>
    <n v="1"/>
    <x v="2"/>
    <x v="0"/>
    <d v="2026-01-08T06:02:00"/>
    <d v="1899-12-31T05:18:00"/>
    <n v="29.299999999988358"/>
    <x v="0"/>
    <d v="1899-12-30T06:00:00"/>
    <n v="6"/>
    <s v="SI"/>
    <d v="1899-12-31T11:18:00"/>
    <n v="35.299999999988358"/>
    <d v="1899-12-30T00:02:00"/>
    <x v="0"/>
    <n v="3.3333333267364651E-2"/>
    <d v="1899-12-31T11:28:00"/>
    <n v="35.466666666674428"/>
    <x v="0"/>
    <m/>
    <d v="1899-12-30T06:00:00"/>
    <s v="NO"/>
    <s v="2/26"/>
    <s v="MRSU8147376"/>
    <s v="LOGIX"/>
    <n v="550"/>
    <e v="#N/A"/>
    <n v="50"/>
    <n v="50"/>
    <n v="4"/>
    <x v="1"/>
    <s v="LOGIXWEEK"/>
    <n v="600"/>
    <n v="20"/>
    <m/>
    <m/>
    <n v="620"/>
    <n v="70"/>
    <n v="1"/>
    <s v="IBE MSO / INDITEX CT / NJU021 / JANUARY 2026 ESTIMATION"/>
  </r>
  <r>
    <s v="AL MURAYKH"/>
    <x v="1"/>
    <d v="2026-01-06T18:42:00"/>
    <d v="2026-01-06T14:00:00"/>
    <x v="2"/>
    <s v="HLCUSHA2511BAWV7"/>
    <x v="1"/>
    <s v="Shanghai"/>
    <s v="UACU5889557"/>
    <s v="SIMEI LELYSTAD"/>
    <d v="2026-01-08T00:00:00"/>
    <x v="17"/>
    <x v="17"/>
    <d v="2026-01-08T14:35:00"/>
    <x v="0"/>
    <x v="0"/>
    <n v="0"/>
    <x v="2"/>
    <x v="0"/>
    <d v="2026-01-08T14:25:00"/>
    <d v="1899-12-31T05:18:00"/>
    <n v="29.299999999988358"/>
    <x v="0"/>
    <d v="1899-12-30T14:00:00"/>
    <n v="14.000000000058208"/>
    <s v="SI"/>
    <d v="1899-12-31T19:18:00"/>
    <n v="43.300000000046566"/>
    <d v="1899-12-30T00:25:00"/>
    <x v="0"/>
    <n v="0.41666666662786156"/>
    <d v="1899-12-31T19:53:00"/>
    <n v="43.883333333360497"/>
    <x v="0"/>
    <m/>
    <d v="1899-12-30T14:00:00"/>
    <s v="NO"/>
    <s v="2/26"/>
    <s v="UACU5889557"/>
    <s v="LOGIX"/>
    <n v="550"/>
    <e v="#N/A"/>
    <n v="50"/>
    <n v="0"/>
    <n v="4"/>
    <x v="1"/>
    <s v="LOGIXWEEK"/>
    <n v="550"/>
    <n v="20"/>
    <m/>
    <m/>
    <n v="570"/>
    <n v="70"/>
    <n v="1"/>
    <s v="IBE MSO / INDITEX CT / NJU021 / JANUARY 2026 ESTIMATION"/>
  </r>
  <r>
    <s v="NORFOLK EXPRESS"/>
    <x v="0"/>
    <d v="2026-01-09T07:02:00"/>
    <d v="2026-01-09T03:00:00"/>
    <x v="2"/>
    <s v="MAEU262030428"/>
    <x v="0"/>
    <s v="Karachi-Muhammad Bin Qasim"/>
    <s v="CAAU5262070"/>
    <s v="LELYSTAD"/>
    <d v="2026-01-10T07:00:00"/>
    <x v="18"/>
    <x v="18"/>
    <d v="2026-01-10T18:25:00"/>
    <x v="0"/>
    <x v="0"/>
    <n v="0"/>
    <x v="2"/>
    <x v="0"/>
    <d v="2026-01-10T18:25:00"/>
    <d v="1899-12-30T23:58:00"/>
    <n v="23.966666666558012"/>
    <x v="0"/>
    <d v="1899-12-30T15:00:00"/>
    <n v="15"/>
    <s v="SI"/>
    <d v="1899-12-31T14:58:00"/>
    <n v="38.966666666558012"/>
    <d v="1899-12-30T00:00:00"/>
    <x v="0"/>
    <n v="0"/>
    <d v="1899-12-31T11:23:00"/>
    <n v="35.383333333244082"/>
    <x v="0"/>
    <m/>
    <d v="1899-12-30T22:00:00"/>
    <s v="NIGHT"/>
    <s v="2/26"/>
    <s v="CAAU5262070"/>
    <s v="LOGIX"/>
    <n v="573.5"/>
    <e v="#N/A"/>
    <n v="50"/>
    <n v="0"/>
    <n v="6"/>
    <x v="0"/>
    <s v="LOGIXSATURDAY"/>
    <n v="573.5"/>
    <n v="20"/>
    <m/>
    <m/>
    <n v="593.5"/>
    <n v="70"/>
    <n v="1"/>
    <s v="IBE MSO / INDITEX CT / NJU021 / JANUARY 2026 ESTIMATION"/>
  </r>
  <r>
    <s v="NORFOLK EXPRESS"/>
    <x v="0"/>
    <d v="2026-01-09T07:02:00"/>
    <d v="2026-01-09T03:00:00"/>
    <x v="2"/>
    <s v="MAEU262030595"/>
    <x v="0"/>
    <s v="Karachi-Muhammad Bin Qasim"/>
    <s v="HASU1298241"/>
    <s v="LELYSTAD"/>
    <d v="2026-01-10T07:00:00"/>
    <x v="19"/>
    <x v="19"/>
    <d v="2026-01-10T15:45:00"/>
    <x v="0"/>
    <x v="0"/>
    <n v="0"/>
    <x v="2"/>
    <x v="0"/>
    <d v="2026-01-10T07:19:00"/>
    <d v="1899-12-30T23:58:00"/>
    <n v="23.966666666558012"/>
    <x v="0"/>
    <d v="1899-12-30T00:00:00"/>
    <n v="0"/>
    <s v="SI"/>
    <d v="1899-12-30T23:58:00"/>
    <n v="23.966666666558012"/>
    <d v="1899-12-30T00:19:00"/>
    <x v="0"/>
    <n v="0.31666666665114462"/>
    <d v="1899-12-31T08:43:00"/>
    <n v="32.71666666661622"/>
    <x v="0"/>
    <m/>
    <d v="1899-12-30T07:00:00"/>
    <s v="NO"/>
    <s v="2/26"/>
    <s v="HASU1298241"/>
    <s v="LOGIX"/>
    <n v="573.5"/>
    <e v="#N/A"/>
    <n v="50"/>
    <n v="0"/>
    <n v="6"/>
    <x v="0"/>
    <s v="LOGIXSATURDAY"/>
    <n v="573.5"/>
    <n v="20"/>
    <m/>
    <m/>
    <n v="593.5"/>
    <n v="70"/>
    <n v="1"/>
    <s v="IBE MSO / INDITEX CT / NJU021 / JANUARY 2026 ESTIMATION"/>
  </r>
  <r>
    <s v="NORFOLK EXPRESS"/>
    <x v="0"/>
    <d v="2026-01-09T07:02:00"/>
    <d v="2026-01-09T03:00:00"/>
    <x v="2"/>
    <s v="MAEU262030255"/>
    <x v="0"/>
    <s v="Karachi-Muhammad Bin Qasim"/>
    <s v="HASU4177114"/>
    <s v="LELYSTAD"/>
    <d v="2026-01-10T07:00:00"/>
    <x v="20"/>
    <x v="20"/>
    <d v="2026-01-10T18:55:00"/>
    <x v="0"/>
    <x v="0"/>
    <n v="0"/>
    <x v="2"/>
    <x v="0"/>
    <d v="2026-01-10T17:53:00"/>
    <d v="1899-12-30T23:58:00"/>
    <n v="23.966666666558012"/>
    <x v="0"/>
    <d v="1899-12-30T12:00:00"/>
    <n v="12"/>
    <s v="SI"/>
    <d v="1899-12-31T11:58:00"/>
    <n v="35.966666666558012"/>
    <d v="1899-12-30T00:00:00"/>
    <x v="0"/>
    <n v="0"/>
    <d v="1899-12-31T11:53:00"/>
    <n v="35.883333333302289"/>
    <x v="0"/>
    <m/>
    <d v="1899-12-30T19:00:00"/>
    <s v="NO"/>
    <s v="2/26"/>
    <s v="HASU4177114"/>
    <s v="LOGIX"/>
    <n v="573.5"/>
    <e v="#N/A"/>
    <n v="50"/>
    <n v="0"/>
    <n v="6"/>
    <x v="0"/>
    <s v="LOGIXSATURDAY"/>
    <n v="573.5"/>
    <n v="20"/>
    <m/>
    <m/>
    <n v="593.5"/>
    <n v="70"/>
    <n v="1"/>
    <s v="IBE MSO / INDITEX CT / NJU021 / JANUARY 2026 ESTIMATION"/>
  </r>
  <r>
    <s v="NORFOLK EXPRESS"/>
    <x v="0"/>
    <d v="2026-01-09T07:02:00"/>
    <d v="2026-01-09T03:00:00"/>
    <x v="2"/>
    <s v="MAEU262030428"/>
    <x v="0"/>
    <s v="Karachi-Muhammad Bin Qasim"/>
    <s v="TCNU6200906"/>
    <s v="LELYSTAD"/>
    <d v="2026-01-10T07:00:00"/>
    <x v="21"/>
    <x v="21"/>
    <d v="2026-01-10T11:30:00"/>
    <x v="0"/>
    <x v="0"/>
    <n v="0"/>
    <x v="2"/>
    <x v="0"/>
    <d v="2026-01-10T10:47:00"/>
    <d v="1899-12-30T23:58:00"/>
    <n v="23.966666666558012"/>
    <x v="0"/>
    <d v="1899-12-30T03:00:00"/>
    <n v="3"/>
    <s v="SI"/>
    <d v="1899-12-31T02:58:00"/>
    <n v="26.966666666558012"/>
    <d v="1899-12-30T00:47:00"/>
    <x v="1"/>
    <n v="0.78333333344198763"/>
    <d v="1899-12-31T04:28:00"/>
    <n v="28.466666666558012"/>
    <x v="0"/>
    <m/>
    <d v="1899-12-30T10:00:00"/>
    <s v="NO"/>
    <s v="2/26"/>
    <s v="TCNU6200906"/>
    <s v="LOGIX"/>
    <n v="573.5"/>
    <e v="#N/A"/>
    <n v="50"/>
    <n v="0"/>
    <n v="6"/>
    <x v="0"/>
    <s v="LOGIXSATURDAY"/>
    <n v="573.5"/>
    <n v="20"/>
    <m/>
    <m/>
    <n v="593.5"/>
    <n v="70"/>
    <n v="1"/>
    <s v="IBE MSO / INDITEX CT / NJU021 / JANUARY 2026 ESTIMATION"/>
  </r>
  <r>
    <s v="MAERSK SALALAH"/>
    <x v="0"/>
    <d v="2026-01-11T11:05:00"/>
    <d v="2026-01-11T02:00:00"/>
    <x v="2"/>
    <s v="MAEU261989817"/>
    <x v="0"/>
    <s v="Chittagong"/>
    <s v="MRSU3259347"/>
    <s v="SIMEI LELYSTAD"/>
    <d v="2026-01-11T20:00:00"/>
    <x v="22"/>
    <x v="22"/>
    <d v="2026-01-12T06:35:00"/>
    <x v="0"/>
    <x v="0"/>
    <n v="0"/>
    <x v="1"/>
    <x v="0"/>
    <d v="2026-01-12T06:25:00"/>
    <d v="1899-12-30T08:55:00"/>
    <n v="8.9166666667442769"/>
    <x v="0"/>
    <d v="1899-12-30T10:00:00"/>
    <n v="9.9999999999417923"/>
    <s v="SI"/>
    <d v="1899-12-30T18:55:00"/>
    <n v="18.916666666686069"/>
    <d v="1899-12-30T00:25:00"/>
    <x v="0"/>
    <n v="0.41666666662786156"/>
    <d v="1899-12-30T19:30:00"/>
    <n v="19.5"/>
    <x v="0"/>
    <m/>
    <d v="1899-12-30T06:00:00"/>
    <s v="NO"/>
    <s v="3/26"/>
    <s v="MRSU3259347"/>
    <s v="LOGIX"/>
    <n v="573.5"/>
    <e v="#N/A"/>
    <n v="50"/>
    <n v="0"/>
    <n v="1"/>
    <x v="1"/>
    <s v="LOGIXWEEK"/>
    <n v="573.5"/>
    <n v="20"/>
    <m/>
    <m/>
    <n v="593.5"/>
    <n v="70"/>
    <n v="1"/>
    <s v="IBE MSO / INDITEX CT / NJU021 / JANUARY 2026 ESTIMATION"/>
  </r>
  <r>
    <s v="MAERSK SALALAH"/>
    <x v="0"/>
    <d v="2026-01-11T11:05:00"/>
    <d v="2026-01-11T02:00:00"/>
    <x v="2"/>
    <s v="MAEU261989834"/>
    <x v="0"/>
    <s v="Chittagong"/>
    <s v="MRSU5158741"/>
    <s v="LELYSTAD"/>
    <d v="2026-01-11T20:00:00"/>
    <x v="23"/>
    <x v="23"/>
    <d v="2026-01-12T00:05:00"/>
    <x v="0"/>
    <x v="0"/>
    <n v="0"/>
    <x v="1"/>
    <x v="0"/>
    <d v="2026-01-12T00:05:00"/>
    <d v="1899-12-30T08:55:00"/>
    <n v="8.9166666667442769"/>
    <x v="0"/>
    <d v="1899-12-30T21:00:00"/>
    <n v="21"/>
    <s v="SI"/>
    <d v="1899-12-31T05:55:00"/>
    <n v="29.916666666744277"/>
    <d v="1899-12-30T00:00:00"/>
    <x v="0"/>
    <n v="0"/>
    <d v="1899-12-30T13:00:00"/>
    <n v="12.999999999941792"/>
    <x v="0"/>
    <m/>
    <d v="1899-12-30T17:00:00"/>
    <s v="NO"/>
    <s v="3/26"/>
    <s v="MRSU5158741"/>
    <s v="LOGIX"/>
    <n v="573.5"/>
    <e v="#N/A"/>
    <n v="50"/>
    <n v="0"/>
    <n v="1"/>
    <x v="1"/>
    <s v="LOGIXWEEK"/>
    <n v="573.5"/>
    <n v="20"/>
    <m/>
    <m/>
    <n v="593.5"/>
    <n v="70"/>
    <n v="1"/>
    <s v="IBE MSO / INDITEX CT / NJU021 / JANUARY 2026 ESTIMATION"/>
  </r>
  <r>
    <s v="MAERSK SALALAH"/>
    <x v="0"/>
    <d v="2026-01-11T11:05:00"/>
    <d v="2026-01-11T02:00:00"/>
    <x v="2"/>
    <s v="MAEU261989817"/>
    <x v="0"/>
    <s v="Chittagong"/>
    <s v="MRSU5982648"/>
    <s v="SIMEI LELYSTAD"/>
    <d v="2026-01-11T20:00:00"/>
    <x v="24"/>
    <x v="24"/>
    <d v="2026-01-12T07:40:00"/>
    <x v="0"/>
    <x v="0"/>
    <n v="0"/>
    <x v="1"/>
    <x v="0"/>
    <d v="2026-01-12T07:30:00"/>
    <d v="1899-12-30T08:55:00"/>
    <n v="8.9166666667442769"/>
    <x v="0"/>
    <d v="1899-12-30T11:00:00"/>
    <n v="10.999999999883585"/>
    <s v="SI"/>
    <d v="1899-12-30T19:55:00"/>
    <n v="19.916666666627862"/>
    <d v="1899-12-30T00:30:00"/>
    <x v="0"/>
    <n v="0.50000000005820766"/>
    <d v="1899-12-30T20:35:00"/>
    <n v="20.583333333372138"/>
    <x v="0"/>
    <m/>
    <d v="1899-12-30T07:00:00"/>
    <s v="NO"/>
    <s v="3/26"/>
    <s v="MRSU5982648"/>
    <s v="LOGIX"/>
    <n v="573.5"/>
    <e v="#N/A"/>
    <n v="50"/>
    <n v="0"/>
    <n v="1"/>
    <x v="1"/>
    <s v="LOGIXWEEK"/>
    <n v="573.5"/>
    <n v="20"/>
    <m/>
    <m/>
    <n v="593.5"/>
    <n v="70"/>
    <n v="1"/>
    <s v="IBE MSO / INDITEX CT / NJU021 / JANUARY 2026 ESTIMATION"/>
  </r>
  <r>
    <s v="MAERSK SALALAH"/>
    <x v="0"/>
    <d v="2026-01-11T11:05:00"/>
    <d v="2026-01-11T02:00:00"/>
    <x v="2"/>
    <s v="MAEU261989817"/>
    <x v="0"/>
    <s v="Chittagong"/>
    <s v="MSKU9399026"/>
    <s v="LELYSTAD"/>
    <d v="2026-01-11T20:00:00"/>
    <x v="25"/>
    <x v="25"/>
    <d v="2026-01-12T18:02:00"/>
    <x v="0"/>
    <x v="0"/>
    <n v="0"/>
    <x v="1"/>
    <x v="0"/>
    <d v="2026-01-12T13:37:00"/>
    <d v="1899-12-30T08:55:00"/>
    <n v="8.9166666667442769"/>
    <x v="0"/>
    <d v="1899-12-30T18:00:00"/>
    <n v="18"/>
    <s v="SI"/>
    <d v="1899-12-31T02:55:00"/>
    <n v="26.916666666744277"/>
    <d v="1899-12-30T00:00:00"/>
    <x v="0"/>
    <n v="0"/>
    <d v="1899-12-31T06:57:00"/>
    <n v="30.949999999953434"/>
    <x v="0"/>
    <m/>
    <d v="1899-12-30T14:00:00"/>
    <s v="NO"/>
    <s v="3/26"/>
    <s v="MSKU9399026"/>
    <s v="LOGIX"/>
    <n v="573.5"/>
    <e v="#N/A"/>
    <n v="50"/>
    <n v="0"/>
    <n v="1"/>
    <x v="1"/>
    <s v="LOGIXWEEK"/>
    <n v="573.5"/>
    <n v="20"/>
    <m/>
    <m/>
    <n v="593.5"/>
    <n v="70"/>
    <n v="1"/>
    <s v="IBE MSO / INDITEX CT / NJU021 / JANUARY 2026 ESTIMATION"/>
  </r>
  <r>
    <s v="MAERSK SALALAH"/>
    <x v="0"/>
    <d v="2026-01-11T11:05:00"/>
    <d v="2026-01-11T02:00:00"/>
    <x v="2"/>
    <s v="HLCUDA1251200889"/>
    <x v="1"/>
    <s v="Chittagong"/>
    <s v="TTNU5677414"/>
    <s v="LELYSTAD"/>
    <d v="2026-01-11T20:00:00"/>
    <x v="26"/>
    <x v="26"/>
    <d v="2026-01-13T08:57:00"/>
    <x v="0"/>
    <x v="0"/>
    <n v="0"/>
    <x v="1"/>
    <x v="0"/>
    <d v="2026-01-13T06:00:00"/>
    <d v="1899-12-30T08:55:00"/>
    <n v="8.9166666667442769"/>
    <x v="0"/>
    <d v="1899-12-31T10:00:00"/>
    <n v="33.999999999941792"/>
    <s v="NO"/>
    <d v="1899-12-31T18:55:00"/>
    <n v="42.916666666686069"/>
    <d v="1899-12-30T00:00:00"/>
    <x v="0"/>
    <n v="0"/>
    <d v="1899-12-31T21:52:00"/>
    <n v="45.866666666697711"/>
    <x v="0"/>
    <m/>
    <d v="1899-12-30T06:00:00"/>
    <s v="NO"/>
    <s v="3/26"/>
    <s v="TTNU5677414"/>
    <s v="LOGIX"/>
    <n v="573.5"/>
    <e v="#N/A"/>
    <n v="50"/>
    <n v="0"/>
    <n v="2"/>
    <x v="1"/>
    <s v="LOGIXWEEK"/>
    <n v="573.5"/>
    <n v="20"/>
    <m/>
    <m/>
    <n v="593.5"/>
    <n v="70"/>
    <n v="1"/>
    <s v="IBE MSO / INDITEX CT / NJU021 / JANUARY 2026 ESTIMATION"/>
  </r>
  <r>
    <s v="AL NEFUD"/>
    <x v="1"/>
    <d v="2026-01-14T02:15:00"/>
    <d v="2026-01-13T18:00:00"/>
    <x v="2"/>
    <s v="MAEU262216337"/>
    <x v="0"/>
    <s v="Yantian"/>
    <s v="MRKU1010938"/>
    <s v="SIMEI LELYSTAD"/>
    <d v="2026-01-14T19:00:00"/>
    <x v="27"/>
    <x v="27"/>
    <d v="2026-01-14T19:45:00"/>
    <x v="0"/>
    <x v="0"/>
    <n v="0"/>
    <x v="1"/>
    <x v="0"/>
    <d v="2026-01-14T19:27:00"/>
    <d v="1899-12-30T16:45:00"/>
    <n v="16.749999999941792"/>
    <x v="0"/>
    <d v="1899-12-30T00:00:00"/>
    <n v="0"/>
    <s v="SI"/>
    <d v="1899-12-30T16:45:00"/>
    <n v="16.749999999941792"/>
    <d v="1899-12-30T00:27:00"/>
    <x v="0"/>
    <n v="0.45000000006984919"/>
    <d v="1899-12-30T17:30:00"/>
    <n v="17.499999999941792"/>
    <x v="0"/>
    <m/>
    <d v="1899-12-30T19:00:00"/>
    <s v="NO"/>
    <s v="3/26"/>
    <s v="MRKU1010938"/>
    <s v="LOGIX"/>
    <n v="550"/>
    <e v="#N/A"/>
    <n v="50"/>
    <n v="0"/>
    <n v="3"/>
    <x v="1"/>
    <s v="LOGIXWEEK"/>
    <n v="550"/>
    <n v="20"/>
    <m/>
    <m/>
    <n v="570"/>
    <n v="70"/>
    <n v="1"/>
    <s v="IBE MSO / INDITEX CT / NJU021 / JANUARY 2026 ESTIMATION"/>
  </r>
  <r>
    <s v="AL NEFUD"/>
    <x v="1"/>
    <d v="2026-01-14T02:15:00"/>
    <d v="2026-01-13T18:00:00"/>
    <x v="2"/>
    <s v="MAEU260875146"/>
    <x v="0"/>
    <s v="Shanghai"/>
    <s v="MRSU4838960"/>
    <s v="SIMEI LELYSTAD"/>
    <d v="2026-01-14T19:00:00"/>
    <x v="28"/>
    <x v="28"/>
    <d v="2026-01-15T19:42:00"/>
    <x v="0"/>
    <x v="0"/>
    <n v="0"/>
    <x v="1"/>
    <x v="0"/>
    <d v="2026-01-15T19:30:00"/>
    <d v="1899-12-30T16:45:00"/>
    <n v="16.749999999941792"/>
    <x v="0"/>
    <d v="1899-12-31T00:30:00"/>
    <n v="24.500000000058208"/>
    <s v="NO"/>
    <d v="1899-12-31T17:15:00"/>
    <n v="41.25"/>
    <d v="1899-12-30T00:00:00"/>
    <x v="0"/>
    <n v="0"/>
    <d v="1899-12-31T17:27:00"/>
    <n v="41.449999999953434"/>
    <x v="0"/>
    <m/>
    <d v="1899-12-30T19:30:00"/>
    <s v="NO"/>
    <s v="3/26"/>
    <s v="MRSU4838960"/>
    <s v="LOGIX"/>
    <n v="550"/>
    <e v="#N/A"/>
    <n v="50"/>
    <n v="0"/>
    <n v="4"/>
    <x v="1"/>
    <s v="LOGIXWEEK"/>
    <n v="550"/>
    <n v="20"/>
    <m/>
    <m/>
    <n v="570"/>
    <n v="70"/>
    <n v="1"/>
    <s v="IBE MSO / INDITEX CT / NJU021 / JANUARY 2026 ESTIMATION"/>
  </r>
  <r>
    <s v="AL NEFUD"/>
    <x v="1"/>
    <d v="2026-01-14T02:15:00"/>
    <d v="2026-01-13T18:00:00"/>
    <x v="2"/>
    <s v="MAEU261216813"/>
    <x v="0"/>
    <s v="Sihanoukville"/>
    <s v="MRSU7109134"/>
    <s v="SIMEI LELYSTAD"/>
    <d v="2026-01-14T19:00:00"/>
    <x v="29"/>
    <x v="29"/>
    <d v="2026-01-15T07:50:00"/>
    <x v="0"/>
    <x v="0"/>
    <n v="0"/>
    <x v="1"/>
    <x v="0"/>
    <d v="2026-01-15T07:40:00"/>
    <d v="1899-12-30T16:45:00"/>
    <n v="16.749999999941792"/>
    <x v="0"/>
    <d v="1899-12-30T12:30:00"/>
    <n v="12.500000000058208"/>
    <s v="SI"/>
    <d v="1899-12-31T05:15:00"/>
    <n v="29.25"/>
    <d v="1899-12-30T00:10:00"/>
    <x v="0"/>
    <n v="0.16666666668606922"/>
    <d v="1899-12-31T05:35:00"/>
    <n v="29.583333333372138"/>
    <x v="0"/>
    <m/>
    <d v="1899-12-30T07:30:00"/>
    <s v="NO"/>
    <s v="3/26"/>
    <s v="MRSU7109134"/>
    <s v="LOGIX"/>
    <n v="550"/>
    <e v="#N/A"/>
    <n v="50"/>
    <n v="0"/>
    <n v="4"/>
    <x v="1"/>
    <s v="LOGIXWEEK"/>
    <n v="550"/>
    <n v="20"/>
    <m/>
    <m/>
    <n v="570"/>
    <n v="70"/>
    <n v="1"/>
    <s v="IBE MSO / INDITEX CT / NJU021 / JANUARY 2026 ESTIMATION"/>
  </r>
  <r>
    <s v="AL NEFUD"/>
    <x v="1"/>
    <d v="2026-01-14T02:15:00"/>
    <d v="2026-01-13T18:00:00"/>
    <x v="2"/>
    <s v="MAEU261216813"/>
    <x v="0"/>
    <s v="Sihanoukville"/>
    <s v="MRSU7882231"/>
    <s v="SIMEI LELYSTAD"/>
    <d v="2026-01-14T19:00:00"/>
    <x v="30"/>
    <x v="30"/>
    <d v="2026-01-15T14:25:00"/>
    <x v="0"/>
    <x v="0"/>
    <n v="1"/>
    <x v="1"/>
    <x v="0"/>
    <d v="2026-01-15T13:25:00"/>
    <d v="1899-12-30T16:45:00"/>
    <n v="16.749999999941792"/>
    <x v="0"/>
    <d v="1899-12-30T17:30:00"/>
    <n v="17.500000000116415"/>
    <s v="SI"/>
    <d v="1899-12-31T10:15:00"/>
    <n v="34.250000000058208"/>
    <d v="1899-12-30T00:55:00"/>
    <x v="1"/>
    <n v="0.91666666668606922"/>
    <d v="1899-12-31T12:10:00"/>
    <n v="36.166666666686069"/>
    <x v="0"/>
    <m/>
    <d v="1899-12-30T12:30:00"/>
    <s v="NO"/>
    <s v="3/26"/>
    <s v="MRSU7882231"/>
    <s v="LOGIX"/>
    <n v="550"/>
    <e v="#N/A"/>
    <n v="50"/>
    <n v="50"/>
    <n v="4"/>
    <x v="1"/>
    <s v="LOGIXWEEK"/>
    <n v="600"/>
    <n v="20"/>
    <m/>
    <m/>
    <n v="620"/>
    <n v="70"/>
    <n v="1"/>
    <s v="IBE MSO / INDITEX CT / NJU021 / JANUARY 2026 ESTIMATION"/>
  </r>
  <r>
    <s v="AL NEFUD"/>
    <x v="1"/>
    <d v="2026-01-14T02:15:00"/>
    <d v="2026-01-13T18:00:00"/>
    <x v="2"/>
    <s v="MAEU262518017"/>
    <x v="0"/>
    <s v="Ho Chi Minh City"/>
    <s v="TCKU6778058"/>
    <s v="LELYSTAD"/>
    <d v="2026-01-14T19:00:00"/>
    <x v="31"/>
    <x v="31"/>
    <d v="2026-01-15T12:56:00"/>
    <x v="0"/>
    <x v="0"/>
    <n v="0"/>
    <x v="1"/>
    <x v="0"/>
    <d v="2026-01-15T12:05:00"/>
    <d v="1899-12-30T16:45:00"/>
    <n v="16.749999999941792"/>
    <x v="0"/>
    <d v="1899-12-30T16:00:00"/>
    <n v="16.000000000116415"/>
    <s v="SI"/>
    <d v="1899-12-31T08:45:00"/>
    <n v="32.750000000058208"/>
    <d v="1899-12-30T01:05:00"/>
    <x v="1"/>
    <n v="1.0833333331975155"/>
    <d v="1899-12-31T10:41:00"/>
    <n v="34.683333333407063"/>
    <x v="0"/>
    <m/>
    <d v="1899-12-30T11:00:00"/>
    <s v="NO"/>
    <s v="3/26"/>
    <s v="TCKU6778058"/>
    <s v="LOGIX"/>
    <n v="550"/>
    <e v="#N/A"/>
    <n v="50"/>
    <n v="0"/>
    <n v="4"/>
    <x v="1"/>
    <s v="LOGIXWEEK"/>
    <n v="550"/>
    <n v="20"/>
    <m/>
    <m/>
    <n v="570"/>
    <n v="70"/>
    <n v="1"/>
    <s v="IBE MSO / INDITEX CT / NJU021 / JANUARY 2026 ESTIMATION"/>
  </r>
  <r>
    <s v="MAERSK SEOUL"/>
    <x v="0"/>
    <d v="2026-01-04T22:00:00"/>
    <d v="2026-01-03T20:00:00"/>
    <x v="3"/>
    <s v="MAEU261713161"/>
    <x v="0"/>
    <s v="Chittagong"/>
    <s v="MRKU5625592"/>
    <s v="SIMEI LELYSTAD"/>
    <d v="2026-01-05T08:00:00"/>
    <x v="32"/>
    <x v="32"/>
    <d v="2026-01-05T11:12:00"/>
    <x v="0"/>
    <x v="0"/>
    <n v="1"/>
    <x v="2"/>
    <x v="0"/>
    <d v="2026-01-05T10:59:00"/>
    <d v="1899-12-30T10:00:00"/>
    <n v="10.000000000116415"/>
    <x v="0"/>
    <d v="1899-12-30T03:30:00"/>
    <n v="3.4999999998835847"/>
    <s v="SI"/>
    <d v="1899-12-30T13:30:00"/>
    <n v="13.5"/>
    <d v="1899-12-30T00:00:00"/>
    <x v="0"/>
    <n v="0"/>
    <d v="1899-12-30T13:12:00"/>
    <n v="13.200000000069849"/>
    <x v="0"/>
    <m/>
    <d v="1899-12-30T11:30:00"/>
    <s v="NO"/>
    <s v="2/26"/>
    <s v="MRKU5625592"/>
    <s v="MSI"/>
    <n v="503.5"/>
    <e v="#N/A"/>
    <n v="50"/>
    <n v="50"/>
    <n v="1"/>
    <x v="1"/>
    <s v="MSIWEEK"/>
    <n v="553.5"/>
    <n v="20"/>
    <m/>
    <m/>
    <n v="573.5"/>
    <n v="70"/>
    <n v="1"/>
    <s v="IBE MSO / INDITEX CT / NJU021 / JANUARY 2026 ESTIMATION"/>
  </r>
  <r>
    <s v="MAERSK SEOUL"/>
    <x v="0"/>
    <d v="2026-01-04T22:00:00"/>
    <d v="2026-01-03T20:00:00"/>
    <x v="3"/>
    <s v="MAEU262378355"/>
    <x v="0"/>
    <s v="Chittagong"/>
    <s v="TCNU5285410"/>
    <s v="XPO TALLER LELYSTAD"/>
    <d v="2026-01-05T08:00:00"/>
    <x v="33"/>
    <x v="33"/>
    <d v="2026-01-05T14:00:00"/>
    <x v="0"/>
    <x v="0"/>
    <n v="0"/>
    <x v="2"/>
    <x v="0"/>
    <d v="2026-01-05T12:20:00"/>
    <d v="1899-12-30T10:00:00"/>
    <n v="10.000000000116415"/>
    <x v="0"/>
    <d v="1899-12-30T04:00:00"/>
    <n v="3.9999999999417923"/>
    <s v="SI"/>
    <d v="1899-12-30T14:00:00"/>
    <n v="14.000000000058208"/>
    <d v="1899-12-30T00:20:00"/>
    <x v="0"/>
    <n v="0.33333333337213844"/>
    <d v="1899-12-30T16:00:00"/>
    <n v="16.000000000116415"/>
    <x v="0"/>
    <m/>
    <d v="1899-12-30T12:00:00"/>
    <s v="NO"/>
    <s v="2/26"/>
    <s v="TCNU5285410"/>
    <s v="MSI"/>
    <n v="503.5"/>
    <e v="#N/A"/>
    <n v="50"/>
    <n v="0"/>
    <n v="1"/>
    <x v="1"/>
    <s v="MSIWEEK"/>
    <n v="578.5"/>
    <n v="20"/>
    <n v="75"/>
    <s v="11:45 - 15:00"/>
    <n v="598.5"/>
    <n v="70"/>
    <n v="1"/>
    <s v="IBE MSO / INDITEX CT / NJU021 / JANUARY 2026 ESTIMATION"/>
  </r>
  <r>
    <s v="MAERSK SEOUL"/>
    <x v="0"/>
    <d v="2026-01-04T22:00:00"/>
    <d v="2026-01-03T20:00:00"/>
    <x v="3"/>
    <s v="MAEU261738627"/>
    <x v="0"/>
    <s v="Chittagong"/>
    <s v="MRSU5828587"/>
    <s v="LELYSTAD"/>
    <d v="2026-01-05T08:00:00"/>
    <x v="34"/>
    <x v="34"/>
    <d v="2026-01-05T14:40:00"/>
    <x v="0"/>
    <x v="1"/>
    <n v="0"/>
    <x v="2"/>
    <x v="0"/>
    <d v="2026-01-05T13:49:00"/>
    <d v="1899-12-30T10:00:00"/>
    <n v="10.000000000116415"/>
    <x v="0"/>
    <d v="1899-12-30T06:00:00"/>
    <n v="6"/>
    <s v="SI"/>
    <d v="1899-12-30T16:00:00"/>
    <n v="16.000000000116415"/>
    <d v="1899-12-30T00:00:00"/>
    <x v="0"/>
    <n v="0"/>
    <d v="1899-12-30T16:40:00"/>
    <n v="16.666666666686069"/>
    <x v="0"/>
    <m/>
    <d v="1899-12-30T14:00:00"/>
    <s v="NO"/>
    <s v="2/26"/>
    <s v="MRSU5828587"/>
    <s v="MSI"/>
    <n v="503.5"/>
    <n v="120"/>
    <n v="50"/>
    <n v="0"/>
    <n v="1"/>
    <x v="1"/>
    <s v="MSIWEEK"/>
    <n v="788.5"/>
    <n v="20"/>
    <n v="165"/>
    <s v="14:00 - 18:45"/>
    <n v="808.5"/>
    <n v="70"/>
    <n v="1"/>
    <s v="IBE MSO / INDITEX CT / NJU021 / JANUARY 2026 ESTIMATION"/>
  </r>
  <r>
    <s v="AL MURAYKH"/>
    <x v="1"/>
    <d v="2026-01-06T18:42:00"/>
    <d v="2026-01-06T14:00:00"/>
    <x v="3"/>
    <s v="MAEU259153952"/>
    <x v="0"/>
    <s v="Shanghai"/>
    <s v="MAEU9234687"/>
    <s v="XPO TALLER LELYSTAD"/>
    <d v="2026-01-08T00:00:00"/>
    <x v="35"/>
    <x v="35"/>
    <d v="2026-01-08T10:30:00"/>
    <x v="0"/>
    <x v="0"/>
    <n v="1"/>
    <x v="2"/>
    <x v="0"/>
    <d v="2026-01-08T09:42:00"/>
    <d v="1899-12-31T05:18:00"/>
    <n v="29.299999999988358"/>
    <x v="0"/>
    <d v="1899-12-30T10:00:00"/>
    <n v="9.9999999999417923"/>
    <s v="SI"/>
    <d v="1899-12-31T15:18:00"/>
    <n v="39.299999999930151"/>
    <d v="1899-12-30T00:00:00"/>
    <x v="0"/>
    <n v="0"/>
    <d v="1899-12-31T15:48:00"/>
    <n v="39.799999999988358"/>
    <x v="0"/>
    <m/>
    <d v="1899-12-30T10:00:00"/>
    <s v="NO"/>
    <s v="2/26"/>
    <s v="MAEU9234687"/>
    <s v="MSI"/>
    <n v="480"/>
    <e v="#N/A"/>
    <n v="50"/>
    <n v="50"/>
    <n v="4"/>
    <x v="1"/>
    <s v="MSIWEEK"/>
    <n v="530"/>
    <n v="20"/>
    <m/>
    <m/>
    <n v="550"/>
    <n v="70"/>
    <n v="1"/>
    <s v="IBE MSO / INDITEX CT / NJU021 / JANUARY 2026 ESTIMATION"/>
  </r>
  <r>
    <s v="AL MURAYKH"/>
    <x v="1"/>
    <d v="2026-01-06T18:42:00"/>
    <d v="2026-01-06T14:00:00"/>
    <x v="3"/>
    <s v="MAEU261384919"/>
    <x v="0"/>
    <s v="Sihanoukville"/>
    <s v="MRSU3342770"/>
    <s v="LELYSTAD"/>
    <d v="2026-01-08T00:00:00"/>
    <x v="36"/>
    <x v="36"/>
    <d v="2026-01-08T07:20:00"/>
    <x v="0"/>
    <x v="0"/>
    <n v="0"/>
    <x v="2"/>
    <x v="0"/>
    <d v="2026-01-08T06:58:00"/>
    <d v="1899-12-31T05:18:00"/>
    <n v="29.299999999988358"/>
    <x v="0"/>
    <d v="1899-12-30T07:00:00"/>
    <n v="6.9999999999417923"/>
    <s v="SI"/>
    <d v="1899-12-31T12:18:00"/>
    <n v="36.299999999930151"/>
    <d v="1899-12-30T00:00:00"/>
    <x v="0"/>
    <n v="0"/>
    <d v="1899-12-31T12:38:00"/>
    <n v="36.633333333302289"/>
    <x v="0"/>
    <m/>
    <d v="1899-12-30T07:00:00"/>
    <s v="NO"/>
    <s v="2/26"/>
    <s v="MRSU3342770"/>
    <s v="MSI"/>
    <n v="480"/>
    <e v="#N/A"/>
    <n v="50"/>
    <n v="0"/>
    <n v="4"/>
    <x v="1"/>
    <s v="MSIWEEK"/>
    <n v="525"/>
    <n v="20"/>
    <n v="45"/>
    <s v="07:00 - 09:45"/>
    <n v="545"/>
    <n v="70"/>
    <n v="1"/>
    <s v="IBE MSO / INDITEX CT / NJU021 / JANUARY 2026 ESTIMATION"/>
  </r>
  <r>
    <s v="AL MURAYKH"/>
    <x v="1"/>
    <d v="2026-01-06T18:42:00"/>
    <d v="2026-01-06T14:00:00"/>
    <x v="3"/>
    <s v="MAEU261384919"/>
    <x v="0"/>
    <s v="Sihanoukville"/>
    <s v="MRSU3674543"/>
    <s v="LELYSTAD"/>
    <d v="2026-01-08T00:00:00"/>
    <x v="37"/>
    <x v="37"/>
    <d v="2026-01-08T17:13:00"/>
    <x v="0"/>
    <x v="0"/>
    <n v="0"/>
    <x v="2"/>
    <x v="0"/>
    <d v="2026-01-08T16:30:00"/>
    <d v="1899-12-31T05:18:00"/>
    <n v="29.299999999988358"/>
    <x v="0"/>
    <d v="1899-12-30T16:30:00"/>
    <n v="16.5"/>
    <s v="SI"/>
    <d v="1899-12-31T21:48:00"/>
    <n v="45.799999999988358"/>
    <d v="1899-12-30T00:00:00"/>
    <x v="0"/>
    <n v="0"/>
    <d v="1899-12-31T22:31:00"/>
    <n v="46.516666666720994"/>
    <x v="0"/>
    <m/>
    <d v="1899-12-30T16:30:00"/>
    <s v="NO"/>
    <s v="2/26"/>
    <s v="MRSU3674543"/>
    <s v="MSI"/>
    <n v="480"/>
    <e v="#N/A"/>
    <n v="50"/>
    <n v="0"/>
    <n v="4"/>
    <x v="1"/>
    <s v="MSIWEEK"/>
    <n v="480"/>
    <n v="20"/>
    <m/>
    <m/>
    <n v="500"/>
    <n v="70"/>
    <n v="1"/>
    <s v="IBE MSO / INDITEX CT / NJU021 / JANUARY 2026 ESTIMATION"/>
  </r>
  <r>
    <s v="AL MURAYKH"/>
    <x v="1"/>
    <d v="2026-01-06T18:42:00"/>
    <d v="2026-01-06T14:00:00"/>
    <x v="3"/>
    <s v="MAEU259153952"/>
    <x v="0"/>
    <s v="Shanghai"/>
    <s v="MRSU5781284"/>
    <s v="SIMEI LELYSTAD"/>
    <d v="2026-01-08T00:00:00"/>
    <x v="38"/>
    <x v="38"/>
    <d v="2026-01-11T09:40:00"/>
    <x v="0"/>
    <x v="0"/>
    <n v="2"/>
    <x v="2"/>
    <x v="0"/>
    <d v="2026-01-11T09:40:00"/>
    <d v="1899-12-31T05:18:00"/>
    <n v="29.299999999988358"/>
    <x v="0"/>
    <d v="1900-01-02T10:00:00"/>
    <n v="81.999999999941792"/>
    <s v="NO"/>
    <d v="1900-01-03T15:18:00"/>
    <n v="111.29999999993015"/>
    <d v="1899-12-30T00:00:00"/>
    <x v="0"/>
    <n v="0"/>
    <d v="1900-01-03T14:58:00"/>
    <n v="110.96666666673264"/>
    <x v="1"/>
    <s v="snowfall and strong winds. Cnt not unloaded"/>
    <d v="1899-12-30T10:00:00"/>
    <s v="NO"/>
    <s v="2/26"/>
    <s v="MRSU5781284"/>
    <s v="MSI"/>
    <n v="500"/>
    <e v="#N/A"/>
    <n v="50"/>
    <n v="100"/>
    <n v="7"/>
    <x v="2"/>
    <s v="MSISUNDAY"/>
    <n v="600"/>
    <n v="20"/>
    <m/>
    <m/>
    <n v="620"/>
    <n v="70"/>
    <n v="1"/>
    <s v="IBE MSO / INDITEX CT / NJU021 / JANUARY 2026 ESTIMATION"/>
  </r>
  <r>
    <s v="AL MURAYKH"/>
    <x v="1"/>
    <d v="2026-01-06T18:42:00"/>
    <d v="2026-01-06T14:00:00"/>
    <x v="3"/>
    <s v="MAEU259153952"/>
    <x v="0"/>
    <s v="Shanghai"/>
    <s v="MRSU6073567"/>
    <s v="SIMEI LELYSTAD"/>
    <d v="2026-01-08T00:00:00"/>
    <x v="39"/>
    <x v="39"/>
    <d v="2026-01-11T11:45:00"/>
    <x v="0"/>
    <x v="0"/>
    <n v="1"/>
    <x v="2"/>
    <x v="0"/>
    <d v="2026-01-11T11:30:00"/>
    <d v="1899-12-31T05:18:00"/>
    <n v="29.299999999988358"/>
    <x v="0"/>
    <d v="1900-01-02T11:30:00"/>
    <n v="83.499999999941792"/>
    <s v="NO"/>
    <d v="1900-01-03T16:48:00"/>
    <n v="112.79999999993015"/>
    <d v="1899-12-30T00:00:00"/>
    <x v="0"/>
    <n v="0"/>
    <d v="1900-01-03T17:03:00"/>
    <n v="113.05000000004657"/>
    <x v="1"/>
    <s v="snowfall and strong winds. Cnt not unloaded"/>
    <d v="1899-12-30T11:30:00"/>
    <s v="NO"/>
    <s v="2/26"/>
    <s v="MRSU6073567"/>
    <s v="MSI"/>
    <n v="500"/>
    <e v="#N/A"/>
    <n v="50"/>
    <n v="50"/>
    <n v="7"/>
    <x v="2"/>
    <s v="MSISUNDAY"/>
    <n v="550"/>
    <n v="20"/>
    <m/>
    <m/>
    <n v="570"/>
    <n v="70"/>
    <n v="1"/>
    <s v="IBE MSO / INDITEX CT / NJU021 / JANUARY 2026 ESTIMATION"/>
  </r>
  <r>
    <s v="AL MURAYKH"/>
    <x v="1"/>
    <d v="2026-01-06T18:42:00"/>
    <d v="2026-01-06T14:00:00"/>
    <x v="3"/>
    <s v="MAEU262079544"/>
    <x v="0"/>
    <s v="Yantian"/>
    <s v="MSKU5020915"/>
    <s v="SIMEI LELYSTAD"/>
    <d v="2026-01-08T00:00:00"/>
    <x v="40"/>
    <x v="14"/>
    <d v="2026-01-08T18:15:00"/>
    <x v="0"/>
    <x v="0"/>
    <n v="0"/>
    <x v="2"/>
    <x v="0"/>
    <d v="2026-01-08T18:05:00"/>
    <d v="1899-12-31T05:18:00"/>
    <n v="29.299999999988358"/>
    <x v="0"/>
    <d v="1899-12-30T17:00:00"/>
    <n v="17.000000000058208"/>
    <s v="SI"/>
    <d v="1899-12-31T22:18:00"/>
    <n v="46.300000000046566"/>
    <d v="1899-12-30T01:05:00"/>
    <x v="1"/>
    <n v="1.0833333331975155"/>
    <d v="1899-12-31T23:33:00"/>
    <n v="47.549999999930151"/>
    <x v="0"/>
    <m/>
    <d v="1899-12-30T17:00:00"/>
    <s v="NO"/>
    <s v="2/26"/>
    <s v="MSKU5020915"/>
    <s v="MSI"/>
    <n v="480"/>
    <e v="#N/A"/>
    <n v="50"/>
    <n v="0"/>
    <n v="4"/>
    <x v="1"/>
    <s v="MSIWEEK"/>
    <n v="480"/>
    <n v="20"/>
    <m/>
    <m/>
    <n v="500"/>
    <n v="70"/>
    <n v="1"/>
    <s v="IBE MSO / INDITEX CT / NJU021 / JANUARY 2026 ESTIMATION"/>
  </r>
  <r>
    <s v="AL MURAYKH"/>
    <x v="1"/>
    <d v="2026-01-06T18:42:00"/>
    <d v="2026-01-06T14:00:00"/>
    <x v="3"/>
    <s v="MAEU261384919"/>
    <x v="0"/>
    <s v="Sihanoukville"/>
    <s v="PONU2057947"/>
    <s v="LELYSTAD"/>
    <d v="2026-01-08T00:00:00"/>
    <x v="41"/>
    <x v="40"/>
    <d v="2026-01-09T21:45:00"/>
    <x v="0"/>
    <x v="0"/>
    <n v="0"/>
    <x v="2"/>
    <x v="0"/>
    <d v="2026-01-09T20:43:00"/>
    <d v="1899-12-31T05:18:00"/>
    <n v="29.299999999988358"/>
    <x v="0"/>
    <d v="1899-12-31T18:00:00"/>
    <n v="42"/>
    <s v="NO"/>
    <d v="1900-01-01T23:18:00"/>
    <n v="71.299999999988358"/>
    <d v="1899-12-30T02:43:00"/>
    <x v="1"/>
    <n v="2.71666666661622"/>
    <d v="1900-01-02T03:03:00"/>
    <n v="75.049999999988358"/>
    <x v="1"/>
    <s v="snowfall and strong winds. Cnt not unloaded"/>
    <d v="1899-12-30T18:00:00"/>
    <s v="NO"/>
    <s v="2/26"/>
    <s v="PONU2057947"/>
    <s v="MSI"/>
    <n v="480"/>
    <e v="#N/A"/>
    <n v="50"/>
    <n v="0"/>
    <n v="5"/>
    <x v="1"/>
    <s v="MSIWEEK"/>
    <n v="480"/>
    <n v="20"/>
    <m/>
    <m/>
    <n v="500"/>
    <n v="70"/>
    <n v="1"/>
    <s v="IBE MSO / INDITEX CT / NJU021 / JANUARY 2026 ESTIMATION"/>
  </r>
  <r>
    <s v="NORFOLK EXPRESS"/>
    <x v="0"/>
    <d v="2026-01-09T07:02:00"/>
    <d v="2026-01-09T03:00:00"/>
    <x v="3"/>
    <s v="MAEU262030255"/>
    <x v="0"/>
    <s v="Karachi-Muhammad Bin Qasim"/>
    <s v="MSKU8590927"/>
    <s v="LELYSTAD"/>
    <d v="2026-01-10T07:00:00"/>
    <x v="42"/>
    <x v="41"/>
    <d v="2026-01-10T17:12:00"/>
    <x v="0"/>
    <x v="0"/>
    <n v="0"/>
    <x v="2"/>
    <x v="0"/>
    <d v="2026-01-10T16:20:00"/>
    <d v="1899-12-30T23:58:00"/>
    <n v="23.966666666558012"/>
    <x v="0"/>
    <d v="1899-12-30T09:00:00"/>
    <n v="9"/>
    <s v="SI"/>
    <d v="1899-12-31T08:58:00"/>
    <n v="32.966666666558012"/>
    <d v="1899-12-30T00:20:00"/>
    <x v="0"/>
    <n v="0.33333333337213844"/>
    <d v="1899-12-31T10:10:00"/>
    <n v="34.166666666627862"/>
    <x v="0"/>
    <m/>
    <d v="1899-12-30T16:00:00"/>
    <s v="NO"/>
    <s v="2/26"/>
    <s v="MSKU8590927"/>
    <s v="MSI"/>
    <n v="523.5"/>
    <e v="#N/A"/>
    <n v="50"/>
    <n v="0"/>
    <n v="6"/>
    <x v="0"/>
    <s v="MSISATURDAY"/>
    <n v="583.5"/>
    <n v="20"/>
    <n v="60"/>
    <s v="16:00 - 19:00"/>
    <n v="603.5"/>
    <n v="70"/>
    <n v="1"/>
    <s v="IBE MSO / INDITEX CT / NJU021 / JANUARY 2026 ESTIMATION"/>
  </r>
  <r>
    <s v="NORFOLK EXPRESS"/>
    <x v="0"/>
    <d v="2026-01-09T07:02:00"/>
    <d v="2026-01-09T03:00:00"/>
    <x v="3"/>
    <s v="MAEU262030255"/>
    <x v="0"/>
    <s v="Karachi-Muhammad Bin Qasim"/>
    <s v="MSKU8784558"/>
    <s v="LELYSTAD"/>
    <d v="2026-01-10T07:00:00"/>
    <x v="43"/>
    <x v="42"/>
    <d v="2026-01-10T11:56:00"/>
    <x v="0"/>
    <x v="0"/>
    <n v="0"/>
    <x v="2"/>
    <x v="0"/>
    <d v="2026-01-10T11:30:00"/>
    <d v="1899-12-30T23:58:00"/>
    <n v="23.966666666558012"/>
    <x v="0"/>
    <d v="1899-12-30T06:00:00"/>
    <n v="6"/>
    <s v="SI"/>
    <d v="1899-12-31T05:58:00"/>
    <n v="29.966666666558012"/>
    <d v="1899-12-30T00:00:00"/>
    <x v="0"/>
    <n v="0"/>
    <d v="1899-12-31T04:54:00"/>
    <n v="28.899999999906868"/>
    <x v="0"/>
    <m/>
    <d v="1899-12-30T13:00:00"/>
    <s v="NO"/>
    <s v="2/26"/>
    <s v="MSKU8784558"/>
    <s v="MSI"/>
    <n v="523.5"/>
    <e v="#N/A"/>
    <n v="50"/>
    <n v="0"/>
    <n v="6"/>
    <x v="0"/>
    <s v="MSISATURDAY"/>
    <n v="553.5"/>
    <n v="20"/>
    <n v="30"/>
    <s v="11:30 - 14:40"/>
    <n v="573.5"/>
    <n v="70"/>
    <n v="1"/>
    <s v="IBE MSO / INDITEX CT / NJU021 / JANUARY 2026 ESTIMATION"/>
  </r>
  <r>
    <s v="NORFOLK EXPRESS"/>
    <x v="0"/>
    <d v="2026-01-09T07:02:00"/>
    <d v="2026-01-09T03:00:00"/>
    <x v="3"/>
    <s v="MAEU262030255"/>
    <x v="0"/>
    <s v="Karachi-Muhammad Bin Qasim"/>
    <s v="SUDU8884993"/>
    <s v="SIMEI LELYSTAD"/>
    <d v="2026-01-10T07:00:00"/>
    <x v="44"/>
    <x v="43"/>
    <d v="2026-01-11T08:10:00"/>
    <x v="0"/>
    <x v="0"/>
    <n v="1"/>
    <x v="2"/>
    <x v="0"/>
    <d v="2026-01-11T08:00:00"/>
    <d v="1899-12-30T23:58:00"/>
    <n v="23.966666666558012"/>
    <x v="0"/>
    <d v="1899-12-31T01:00:00"/>
    <n v="25.000000000116415"/>
    <s v="NO"/>
    <d v="1900-01-01T00:58:00"/>
    <n v="48.966666666674428"/>
    <d v="1899-12-30T00:00:00"/>
    <x v="0"/>
    <n v="0"/>
    <d v="1900-01-01T01:08:00"/>
    <n v="49.133333333360497"/>
    <x v="1"/>
    <m/>
    <d v="1899-12-30T08:00:00"/>
    <s v="NO"/>
    <s v="2/26"/>
    <s v="SUDU8884993"/>
    <s v="MSI"/>
    <n v="523.5"/>
    <e v="#N/A"/>
    <n v="50"/>
    <n v="50"/>
    <n v="7"/>
    <x v="2"/>
    <s v="MSISUNDAY"/>
    <n v="573.5"/>
    <n v="20"/>
    <m/>
    <m/>
    <n v="593.5"/>
    <n v="70"/>
    <n v="1"/>
    <s v="IBE MSO / INDITEX CT / NJU021 / JANUARY 2026 ESTIMATION"/>
  </r>
  <r>
    <s v="MAERSK SALALAH"/>
    <x v="0"/>
    <d v="2026-01-11T11:05:00"/>
    <d v="2026-01-11T02:00:00"/>
    <x v="3"/>
    <s v="MAEU261989817"/>
    <x v="0"/>
    <s v="Chittagong"/>
    <s v="MRKU8117208"/>
    <s v="SIMEI LELYSTAD"/>
    <d v="2026-01-11T20:00:00"/>
    <x v="45"/>
    <x v="22"/>
    <d v="2026-01-12T06:10:00"/>
    <x v="0"/>
    <x v="0"/>
    <n v="1"/>
    <x v="1"/>
    <x v="0"/>
    <d v="2026-01-12T06:00:00"/>
    <d v="1899-12-30T08:55:00"/>
    <n v="8.9166666667442769"/>
    <x v="0"/>
    <d v="1899-12-30T10:00:00"/>
    <n v="9.9999999999417923"/>
    <s v="SI"/>
    <d v="1899-12-30T18:55:00"/>
    <n v="18.916666666686069"/>
    <d v="1899-12-30T00:00:00"/>
    <x v="0"/>
    <n v="0"/>
    <d v="1899-12-30T19:05:00"/>
    <n v="19.083333333372138"/>
    <x v="0"/>
    <m/>
    <d v="1899-12-30T06:00:00"/>
    <s v="NO"/>
    <s v="3/26"/>
    <s v="MRKU8117208"/>
    <s v="MSI"/>
    <n v="503.5"/>
    <e v="#N/A"/>
    <n v="50"/>
    <n v="50"/>
    <n v="1"/>
    <x v="1"/>
    <s v="MSIWEEK"/>
    <n v="553.5"/>
    <n v="20"/>
    <m/>
    <m/>
    <n v="573.5"/>
    <n v="70"/>
    <n v="1"/>
    <s v="IBE MSO / INDITEX CT / NJU021 / JANUARY 2026 ESTIMATION"/>
  </r>
  <r>
    <s v="MAERSK SALALAH"/>
    <x v="0"/>
    <d v="2026-01-11T11:05:00"/>
    <d v="2026-01-11T02:00:00"/>
    <x v="3"/>
    <s v="MAEU262115869"/>
    <x v="0"/>
    <s v="Chittagong"/>
    <s v="MRSU3703472"/>
    <s v="LELYSTAD"/>
    <d v="2026-01-11T20:00:00"/>
    <x v="46"/>
    <x v="44"/>
    <d v="2026-01-12T18:30:00"/>
    <x v="0"/>
    <x v="1"/>
    <n v="0"/>
    <x v="1"/>
    <x v="0"/>
    <d v="2026-01-12T13:30:00"/>
    <d v="1899-12-30T08:55:00"/>
    <n v="8.9166666667442769"/>
    <x v="0"/>
    <d v="1899-12-30T17:30:00"/>
    <n v="17.499999999941792"/>
    <s v="SI"/>
    <d v="1899-12-31T02:25:00"/>
    <n v="26.416666666686069"/>
    <d v="1899-12-30T00:00:00"/>
    <x v="0"/>
    <n v="0"/>
    <d v="1899-12-31T07:25:00"/>
    <n v="31.416666666744277"/>
    <x v="0"/>
    <m/>
    <d v="1899-12-30T13:30:00"/>
    <s v="NO"/>
    <s v="3/26"/>
    <s v="MRSU3703472"/>
    <s v="MSI"/>
    <n v="503.5"/>
    <n v="120"/>
    <n v="50"/>
    <n v="0"/>
    <n v="1"/>
    <x v="1"/>
    <s v="MSIWEEK"/>
    <n v="1178.5"/>
    <n v="20"/>
    <n v="555"/>
    <s v="13:00 - 00:15"/>
    <n v="1198.5"/>
    <n v="70"/>
    <n v="1"/>
    <s v="IBE MSO / INDITEX CT / NJU021 / JANUARY 2026 ESTIMATION"/>
  </r>
  <r>
    <s v="MAERSK SALALAH"/>
    <x v="0"/>
    <d v="2026-01-11T11:05:00"/>
    <d v="2026-01-11T02:00:00"/>
    <x v="3"/>
    <s v="MAEU262115821"/>
    <x v="0"/>
    <s v="Chittagong"/>
    <s v="MRSU7046627"/>
    <s v="LELYSTAD"/>
    <d v="2026-01-11T20:00:00"/>
    <x v="47"/>
    <x v="45"/>
    <d v="2026-01-11T19:00:00"/>
    <x v="0"/>
    <x v="1"/>
    <n v="0"/>
    <x v="2"/>
    <x v="0"/>
    <d v="2026-01-11T18:07:00"/>
    <d v="1899-12-30T08:55:00"/>
    <n v="8.9166666667442769"/>
    <x v="0"/>
    <d v="1899-12-30T05:00:00"/>
    <n v="4.9999999998835847"/>
    <s v="SI"/>
    <d v="1899-12-30T13:55:00"/>
    <n v="13.916666666627862"/>
    <d v="1899-12-30T00:00:00"/>
    <x v="0"/>
    <n v="0"/>
    <d v="1899-12-30T07:55:00"/>
    <n v="7.9166666666278616"/>
    <x v="0"/>
    <m/>
    <d v="1899-12-30T01:00:00"/>
    <s v="NIGHT"/>
    <s v="3/26"/>
    <s v="MRSU7046627"/>
    <s v="MSI"/>
    <n v="523.5"/>
    <n v="120"/>
    <n v="50"/>
    <n v="0"/>
    <n v="1"/>
    <x v="2"/>
    <s v="MSISUNDAY"/>
    <n v="718.5"/>
    <n v="20"/>
    <n v="75"/>
    <s v="20:00 - 23:20"/>
    <n v="738.5"/>
    <n v="70"/>
    <n v="1"/>
    <s v="IBE MSO / INDITEX CT / NJU021 / JANUARY 2026 ESTIMATION"/>
  </r>
  <r>
    <s v="MAERSK SALALAH"/>
    <x v="0"/>
    <d v="2026-01-11T11:05:00"/>
    <d v="2026-01-11T02:00:00"/>
    <x v="3"/>
    <s v="MAEU262115728"/>
    <x v="0"/>
    <s v="Chittagong"/>
    <s v="MRSU8759387"/>
    <s v="LELYSTAD"/>
    <d v="2026-01-11T20:00:00"/>
    <x v="48"/>
    <x v="45"/>
    <d v="2026-01-12T01:45:00"/>
    <x v="0"/>
    <x v="1"/>
    <n v="0"/>
    <x v="1"/>
    <x v="0"/>
    <d v="2026-01-12T01:03:00"/>
    <d v="1899-12-30T08:55:00"/>
    <n v="8.9166666667442769"/>
    <x v="0"/>
    <d v="1899-12-30T05:00:00"/>
    <n v="4.9999999998835847"/>
    <s v="SI"/>
    <d v="1899-12-30T13:55:00"/>
    <n v="13.916666666627862"/>
    <d v="1899-12-30T00:03:00"/>
    <x v="0"/>
    <n v="4.9999999988358468E-2"/>
    <d v="1899-12-30T14:40:00"/>
    <n v="14.666666666627862"/>
    <x v="0"/>
    <m/>
    <d v="1899-12-30T01:00:00"/>
    <s v="NIGHT"/>
    <s v="3/26"/>
    <s v="MRSU8759387"/>
    <s v="MSI"/>
    <n v="553.5"/>
    <n v="120"/>
    <n v="50"/>
    <n v="0"/>
    <n v="1"/>
    <x v="3"/>
    <s v="MSINIGHT"/>
    <n v="823.5"/>
    <n v="20"/>
    <n v="150"/>
    <s v="01:00 - 05:30"/>
    <n v="843.5"/>
    <n v="70"/>
    <n v="1"/>
    <s v="IBE MSO / INDITEX CT / NJU021 / JANUARY 2026 ESTIMATION"/>
  </r>
  <r>
    <s v="MAERSK SALALAH"/>
    <x v="0"/>
    <d v="2026-01-11T11:05:00"/>
    <d v="2026-01-11T02:00:00"/>
    <x v="3"/>
    <s v="MAEU262115821"/>
    <x v="0"/>
    <s v="Chittagong"/>
    <s v="TCKU6935440"/>
    <s v="LELYSTAD"/>
    <d v="2026-01-11T20:00:00"/>
    <x v="49"/>
    <x v="3"/>
    <d v="2026-01-12T08:50:00"/>
    <x v="0"/>
    <x v="1"/>
    <n v="0"/>
    <x v="1"/>
    <x v="0"/>
    <d v="2026-01-12T07:34:00"/>
    <d v="1899-12-30T08:55:00"/>
    <n v="8.9166666667442769"/>
    <x v="0"/>
    <d v="1899-12-30T12:00:00"/>
    <n v="12"/>
    <s v="SI"/>
    <d v="1899-12-30T20:55:00"/>
    <n v="20.916666666744277"/>
    <d v="1899-12-30T00:00:00"/>
    <x v="0"/>
    <n v="0"/>
    <d v="1899-12-30T21:45:00"/>
    <n v="21.75"/>
    <x v="0"/>
    <m/>
    <d v="1899-12-30T08:00:00"/>
    <s v="NO"/>
    <s v="3/26"/>
    <s v="TCKU6935440"/>
    <s v="MSI"/>
    <n v="503.5"/>
    <n v="120"/>
    <n v="50"/>
    <n v="0"/>
    <n v="1"/>
    <x v="1"/>
    <s v="MSIWEEK"/>
    <n v="938.5"/>
    <n v="20"/>
    <n v="315"/>
    <s v="08:00 - 15:15"/>
    <n v="958.5"/>
    <n v="70"/>
    <n v="1"/>
    <s v="IBE MSO / INDITEX CT / NJU021 / JANUARY 2026 ESTIMATION"/>
  </r>
  <r>
    <s v="AL NEFUD"/>
    <x v="1"/>
    <d v="2026-01-14T02:15:00"/>
    <d v="2026-01-13T18:00:00"/>
    <x v="3"/>
    <s v="HLCUSHA2511BLFE1"/>
    <x v="1"/>
    <s v="Shanghai"/>
    <s v="FANU1585560"/>
    <s v="SIMEI LELYSTAD"/>
    <d v="2026-01-14T19:00:00"/>
    <x v="50"/>
    <x v="46"/>
    <d v="2026-01-15T15:40:00"/>
    <x v="0"/>
    <x v="0"/>
    <n v="0"/>
    <x v="1"/>
    <x v="0"/>
    <d v="2026-01-15T15:30:00"/>
    <d v="1899-12-30T16:45:00"/>
    <n v="16.749999999941792"/>
    <x v="0"/>
    <d v="1899-12-30T20:30:00"/>
    <n v="20.500000000116415"/>
    <s v="SI"/>
    <d v="1899-12-31T13:15:00"/>
    <n v="37.250000000058208"/>
    <d v="1899-12-30T00:00:00"/>
    <x v="0"/>
    <n v="0"/>
    <d v="1899-12-31T13:25:00"/>
    <n v="37.416666666744277"/>
    <x v="0"/>
    <m/>
    <d v="1899-12-30T15:30:00"/>
    <s v="NO"/>
    <s v="3/26"/>
    <s v="FANU1585560"/>
    <s v="MSI"/>
    <n v="480"/>
    <e v="#N/A"/>
    <n v="50"/>
    <n v="0"/>
    <n v="4"/>
    <x v="1"/>
    <s v="MSIWEEK"/>
    <n v="480"/>
    <n v="20"/>
    <m/>
    <m/>
    <n v="500"/>
    <n v="70"/>
    <n v="1"/>
    <s v="IBE MSO / INDITEX CT / NJU021 / JANUARY 2026 ESTIMATION"/>
  </r>
  <r>
    <s v="AL NEFUD"/>
    <x v="1"/>
    <d v="2026-01-14T02:15:00"/>
    <d v="2026-01-13T18:00:00"/>
    <x v="3"/>
    <s v="MAEU261216813"/>
    <x v="0"/>
    <s v="Sihanoukville"/>
    <s v="MAEU9280928"/>
    <s v="XPO TALLER LELYSTAD"/>
    <d v="2026-01-14T19:00:00"/>
    <x v="51"/>
    <x v="47"/>
    <d v="2026-01-15T13:30:00"/>
    <x v="0"/>
    <x v="0"/>
    <n v="0"/>
    <x v="1"/>
    <x v="0"/>
    <d v="2026-01-15T13:30:00"/>
    <d v="1899-12-30T16:45:00"/>
    <n v="16.749999999941792"/>
    <x v="0"/>
    <d v="1899-12-30T18:30:00"/>
    <n v="18.500000000058208"/>
    <s v="SI"/>
    <d v="1899-12-31T11:15:00"/>
    <n v="35.25"/>
    <d v="1899-12-30T00:00:00"/>
    <x v="0"/>
    <n v="0"/>
    <d v="1899-12-31T11:15:00"/>
    <n v="35.25"/>
    <x v="0"/>
    <m/>
    <d v="1899-12-30T13:30:00"/>
    <s v="NO"/>
    <s v="3/26"/>
    <s v="MAEU9280928"/>
    <s v="MSI"/>
    <n v="480"/>
    <e v="#N/A"/>
    <n v="50"/>
    <n v="0"/>
    <n v="4"/>
    <x v="1"/>
    <s v="MSIWEEK"/>
    <n v="480"/>
    <n v="20"/>
    <m/>
    <m/>
    <n v="500"/>
    <n v="70"/>
    <n v="1"/>
    <s v="IBE MSO / INDITEX CT / NJU021 / JANUARY 2026 ESTIMATION"/>
  </r>
  <r>
    <s v="AL NEFUD"/>
    <x v="1"/>
    <d v="2026-01-14T02:15:00"/>
    <d v="2026-01-13T18:00:00"/>
    <x v="3"/>
    <s v="MAEU262518017"/>
    <x v="0"/>
    <s v="Ho Chi Minh City"/>
    <s v="MRKU6813125"/>
    <s v="LELYSTAD"/>
    <d v="2026-01-14T19:00:00"/>
    <x v="52"/>
    <x v="27"/>
    <d v="2026-01-14T18:30:00"/>
    <x v="0"/>
    <x v="0"/>
    <n v="0"/>
    <x v="1"/>
    <x v="0"/>
    <d v="2026-01-14T17:28:00"/>
    <d v="1899-12-30T16:45:00"/>
    <n v="16.749999999941792"/>
    <x v="0"/>
    <d v="1899-12-30T00:00:00"/>
    <n v="0"/>
    <s v="SI"/>
    <d v="1899-12-30T16:45:00"/>
    <n v="16.749999999941792"/>
    <d v="1899-12-30T00:00:00"/>
    <x v="0"/>
    <n v="0"/>
    <d v="1899-12-30T16:15:00"/>
    <n v="16.250000000058208"/>
    <x v="0"/>
    <m/>
    <d v="1899-12-30T19:00:00"/>
    <s v="NO"/>
    <s v="3/26"/>
    <s v="MRKU6813125"/>
    <s v="MSI"/>
    <n v="480"/>
    <e v="#N/A"/>
    <n v="50"/>
    <n v="0"/>
    <n v="3"/>
    <x v="1"/>
    <s v="MSIWEEK"/>
    <n v="480"/>
    <n v="20"/>
    <m/>
    <m/>
    <n v="500"/>
    <n v="70"/>
    <n v="1"/>
    <s v="IBE MSO / INDITEX CT / NJU021 / JANUARY 2026 ESTIMATION"/>
  </r>
  <r>
    <s v="AL NEFUD"/>
    <x v="1"/>
    <d v="2026-01-14T02:15:00"/>
    <d v="2026-01-13T18:00:00"/>
    <x v="3"/>
    <s v="MAEU258733058"/>
    <x v="0"/>
    <s v="Shanghai"/>
    <s v="MRSU7237834"/>
    <s v="SIMEI LELYSTAD"/>
    <d v="2026-01-14T17:00:00"/>
    <x v="53"/>
    <x v="48"/>
    <d v="2026-01-14T16:40:00"/>
    <x v="0"/>
    <x v="0"/>
    <n v="2"/>
    <x v="1"/>
    <x v="0"/>
    <d v="2026-01-14T16:28:00"/>
    <d v="1899-12-30T14:45:00"/>
    <n v="14.750000000058208"/>
    <x v="0"/>
    <d v="1899-12-30T00:00:00"/>
    <n v="0"/>
    <s v="SI"/>
    <d v="1899-12-30T14:45:00"/>
    <n v="14.750000000058208"/>
    <d v="1899-12-30T00:00:00"/>
    <x v="0"/>
    <n v="0"/>
    <d v="1899-12-30T14:25:00"/>
    <n v="14.416666666686069"/>
    <x v="0"/>
    <m/>
    <d v="1899-12-30T17:00:00"/>
    <s v="NO"/>
    <s v="3/26"/>
    <s v="MRSU7237834"/>
    <s v="MSI"/>
    <n v="480"/>
    <e v="#N/A"/>
    <n v="50"/>
    <n v="100"/>
    <n v="3"/>
    <x v="1"/>
    <s v="MSIWEEK"/>
    <n v="625"/>
    <n v="20"/>
    <n v="45"/>
    <s v="16:30 - 21:20"/>
    <n v="645"/>
    <n v="70"/>
    <n v="1"/>
    <s v="IBE MSO / INDITEX CT / NJU021 / JANUARY 2026 ESTIMATION"/>
  </r>
  <r>
    <s v="AL NEFUD"/>
    <x v="1"/>
    <d v="2026-01-14T02:15:00"/>
    <d v="2026-01-13T18:00:00"/>
    <x v="3"/>
    <s v="MAEU261216813"/>
    <x v="0"/>
    <s v="Sihanoukville"/>
    <s v="MRSU7900757"/>
    <s v="SIMEI LELYSTAD"/>
    <d v="2026-01-14T19:00:00"/>
    <x v="54"/>
    <x v="49"/>
    <d v="2026-01-15T06:15:00"/>
    <x v="0"/>
    <x v="0"/>
    <n v="1"/>
    <x v="1"/>
    <x v="0"/>
    <d v="2026-01-15T06:05:00"/>
    <d v="1899-12-30T16:45:00"/>
    <n v="16.749999999941792"/>
    <x v="0"/>
    <d v="1899-12-30T11:00:00"/>
    <n v="11.000000000058208"/>
    <s v="SI"/>
    <d v="1899-12-31T03:45:00"/>
    <n v="27.75"/>
    <d v="1899-12-30T00:05:00"/>
    <x v="0"/>
    <n v="8.3333333255723119E-2"/>
    <d v="1899-12-31T04:00:00"/>
    <n v="27.999999999941792"/>
    <x v="0"/>
    <m/>
    <d v="1899-12-30T06:00:00"/>
    <s v="NO"/>
    <s v="3/26"/>
    <s v="MRSU7900757"/>
    <s v="MSI"/>
    <n v="480"/>
    <e v="#N/A"/>
    <n v="50"/>
    <n v="50"/>
    <n v="4"/>
    <x v="1"/>
    <s v="MSIWEEK"/>
    <n v="530"/>
    <n v="20"/>
    <m/>
    <m/>
    <n v="550"/>
    <n v="70"/>
    <n v="1"/>
    <s v="IBE MSO / INDITEX CT / NJU021 / JANUARY 2026 ESTIMATION"/>
  </r>
  <r>
    <s v="AL NEFUD"/>
    <x v="1"/>
    <d v="2026-01-14T02:15:00"/>
    <d v="2026-01-13T18:00:00"/>
    <x v="3"/>
    <s v="MAEU261216813"/>
    <x v="0"/>
    <s v="Sihanoukville"/>
    <s v="MRSU8567506"/>
    <s v="SIMEI LELYSTAD"/>
    <d v="2026-01-14T19:00:00"/>
    <x v="55"/>
    <x v="50"/>
    <d v="2026-01-15T17:10:00"/>
    <x v="0"/>
    <x v="0"/>
    <n v="0"/>
    <x v="1"/>
    <x v="0"/>
    <d v="2026-01-15T16:50:00"/>
    <d v="1899-12-30T16:45:00"/>
    <n v="16.749999999941792"/>
    <x v="0"/>
    <d v="1899-12-30T22:30:00"/>
    <n v="22.5"/>
    <s v="SI"/>
    <d v="1899-12-31T15:15:00"/>
    <n v="39.249999999941792"/>
    <d v="1899-12-30T00:00:00"/>
    <x v="0"/>
    <n v="0"/>
    <d v="1899-12-31T14:55:00"/>
    <n v="38.916666666744277"/>
    <x v="0"/>
    <m/>
    <d v="1899-12-30T17:30:00"/>
    <s v="NO"/>
    <s v="3/26"/>
    <s v="MRSU8567506"/>
    <s v="MSI"/>
    <n v="480"/>
    <e v="#N/A"/>
    <n v="50"/>
    <n v="0"/>
    <n v="4"/>
    <x v="1"/>
    <s v="MSIWEEK"/>
    <n v="480"/>
    <n v="20"/>
    <m/>
    <m/>
    <n v="500"/>
    <n v="70"/>
    <n v="1"/>
    <s v="IBE MSO / INDITEX CT / NJU021 / JANUARY 2026 ESTIMATION"/>
  </r>
  <r>
    <s v="OAKLAND EXPRESS"/>
    <x v="0"/>
    <d v="2026-01-01T15:46:00"/>
    <d v="2026-01-01T12:00:00"/>
    <x v="4"/>
    <s v="MAEU261749559"/>
    <x v="0"/>
    <s v="Karachi-Muhammad Bin Qasim"/>
    <s v="MRKU5779509"/>
    <s v="LELYSTAD"/>
    <d v="2026-01-02T21:00:00"/>
    <x v="56"/>
    <x v="51"/>
    <d v="2026-01-02T22:20:00"/>
    <x v="0"/>
    <x v="0"/>
    <n v="0"/>
    <x v="0"/>
    <x v="0"/>
    <d v="2026-01-02T21:57:00"/>
    <d v="1899-12-31T05:14:00"/>
    <n v="29.233333333279006"/>
    <x v="0"/>
    <d v="1899-12-30T00:00:00"/>
    <n v="0"/>
    <s v="SI"/>
    <d v="1899-12-31T05:14:00"/>
    <n v="29.233333333279006"/>
    <d v="1899-12-30T00:57:00"/>
    <x v="1"/>
    <n v="0.94999999995343387"/>
    <d v="1899-12-31T06:34:00"/>
    <n v="30.566666666592937"/>
    <x v="0"/>
    <m/>
    <d v="1899-12-30T21:00:00"/>
    <s v="NIGHT"/>
    <s v="1/26"/>
    <s v="MRKU5779509"/>
    <s v="OM TRANSPORT"/>
    <n v="498.5"/>
    <e v="#N/A"/>
    <n v="50"/>
    <n v="0"/>
    <n v="5"/>
    <x v="3"/>
    <s v="OM TRANSPORTNIGHT"/>
    <n v="611"/>
    <n v="20"/>
    <n v="112.5"/>
    <s v="22:00-02:30"/>
    <n v="631"/>
    <n v="70"/>
    <n v="1"/>
    <s v="IBE MSO / INDITEX CT / NJU021 / JANUARY 2026 ESTIMATION"/>
  </r>
  <r>
    <s v="OAKLAND EXPRESS"/>
    <x v="0"/>
    <d v="2026-01-01T15:46:00"/>
    <d v="2026-01-01T12:00:00"/>
    <x v="4"/>
    <s v="MAEU261749711"/>
    <x v="0"/>
    <s v="Karachi-Muhammad Bin Qasim"/>
    <s v="FCIU4197243"/>
    <s v="LELYSTAD"/>
    <d v="2026-01-02T21:00:00"/>
    <x v="57"/>
    <x v="52"/>
    <d v="2026-01-05T01:25:00"/>
    <x v="0"/>
    <x v="0"/>
    <n v="0"/>
    <x v="2"/>
    <x v="0"/>
    <d v="2026-01-05T00:56:00"/>
    <d v="1899-12-31T05:14:00"/>
    <n v="29.233333333279006"/>
    <x v="0"/>
    <d v="1900-01-01T04:00:00"/>
    <n v="51.999999999941792"/>
    <s v="NO"/>
    <d v="1900-01-02T09:14:00"/>
    <n v="81.233333333220799"/>
    <d v="1899-12-30T00:00:00"/>
    <x v="0"/>
    <n v="0"/>
    <d v="1900-01-02T09:39:00"/>
    <n v="81.650000000023283"/>
    <x v="1"/>
    <s v="Container selected for SCAN"/>
    <d v="1899-12-30T01:00:00"/>
    <s v="NIGHT"/>
    <s v="2/26"/>
    <s v="FCIU4197243"/>
    <s v="OM TRANSPORT"/>
    <n v="498.5"/>
    <e v="#N/A"/>
    <n v="50"/>
    <n v="0"/>
    <n v="1"/>
    <x v="3"/>
    <s v="OM TRANSPORTNIGHT"/>
    <n v="498.5"/>
    <n v="20"/>
    <m/>
    <m/>
    <n v="518.5"/>
    <n v="70"/>
    <n v="1"/>
    <s v="IBE MSO / INDITEX CT / NJU021 / JANUARY 2026 ESTIMATION"/>
  </r>
  <r>
    <s v="MAERSK SEOUL"/>
    <x v="0"/>
    <d v="2026-01-04T22:00:00"/>
    <d v="2026-01-03T20:00:00"/>
    <x v="4"/>
    <s v="MAEU261738627"/>
    <x v="0"/>
    <s v="Chittagong"/>
    <s v="FFAU7213016"/>
    <s v="LELYSTAD"/>
    <d v="2026-01-05T08:00:00"/>
    <x v="58"/>
    <x v="9"/>
    <d v="2026-01-06T07:30:00"/>
    <x v="0"/>
    <x v="1"/>
    <n v="0"/>
    <x v="2"/>
    <x v="0"/>
    <d v="2026-01-06T06:39:00"/>
    <d v="1899-12-30T10:00:00"/>
    <n v="10.000000000116415"/>
    <x v="0"/>
    <d v="1899-12-30T00:00:00"/>
    <n v="0"/>
    <s v="SI"/>
    <d v="1899-12-30T10:00:00"/>
    <n v="10.000000000116415"/>
    <d v="1899-12-30T22:39:00"/>
    <x v="1"/>
    <n v="22.649999999965075"/>
    <d v="1899-12-31T09:30:00"/>
    <n v="33.500000000058208"/>
    <x v="0"/>
    <m/>
    <d v="1899-12-30T08:00:00"/>
    <s v="NO"/>
    <s v="2/26"/>
    <s v="FFAU7213016"/>
    <s v="OM TRANSPORT"/>
    <n v="498.5"/>
    <n v="110"/>
    <n v="50"/>
    <n v="0"/>
    <n v="1"/>
    <x v="1"/>
    <s v="OM TRANSPORTWEEK"/>
    <n v="653.5"/>
    <n v="20"/>
    <n v="45"/>
    <s v="08:00-11:00"/>
    <n v="673.5"/>
    <n v="70"/>
    <n v="1"/>
    <s v="IBE MSO / INDITEX CT / NJU021 / JANUARY 2026 ESTIMATION"/>
  </r>
  <r>
    <s v="MAERSK SEOUL"/>
    <x v="0"/>
    <d v="2026-01-04T22:00:00"/>
    <d v="2026-01-03T20:00:00"/>
    <x v="4"/>
    <s v="MAEU261713161"/>
    <x v="0"/>
    <s v="Chittagong"/>
    <s v="CAAU4532989"/>
    <s v="LELYSTAD"/>
    <d v="2026-01-05T08:00:00"/>
    <x v="59"/>
    <x v="34"/>
    <d v="2026-01-05T15:00:00"/>
    <x v="0"/>
    <x v="0"/>
    <n v="0"/>
    <x v="2"/>
    <x v="0"/>
    <d v="2026-01-05T14:00:00"/>
    <d v="1899-12-30T10:00:00"/>
    <n v="10.000000000116415"/>
    <x v="0"/>
    <d v="1899-12-30T06:00:00"/>
    <n v="6"/>
    <s v="SI"/>
    <d v="1899-12-30T16:00:00"/>
    <n v="16.000000000116415"/>
    <d v="1899-12-30T00:00:00"/>
    <x v="0"/>
    <n v="0"/>
    <d v="1899-12-30T17:00:00"/>
    <n v="17.000000000058208"/>
    <x v="0"/>
    <m/>
    <d v="1899-12-30T14:00:00"/>
    <s v="NO"/>
    <s v="2/26"/>
    <s v="CAAU4532989"/>
    <s v="OM TRANSPORT"/>
    <n v="498.5"/>
    <e v="#N/A"/>
    <n v="50"/>
    <n v="0"/>
    <n v="1"/>
    <x v="1"/>
    <s v="OM TRANSPORTWEEK"/>
    <n v="813.5"/>
    <n v="20"/>
    <n v="315"/>
    <s v="14:00-23:00"/>
    <n v="833.5"/>
    <n v="70"/>
    <n v="1"/>
    <s v="IBE MSO / INDITEX CT / NJU021 / JANUARY 2026 ESTIMATION"/>
  </r>
  <r>
    <s v="MAERSK SEOUL"/>
    <x v="0"/>
    <d v="2026-01-04T22:00:00"/>
    <d v="2026-01-03T20:00:00"/>
    <x v="4"/>
    <s v="MAEU261713161"/>
    <x v="0"/>
    <s v="Chittagong"/>
    <s v="GCXU5666040"/>
    <s v="SIMEI LELYSTAD"/>
    <d v="2026-01-05T08:00:00"/>
    <x v="60"/>
    <x v="53"/>
    <d v="2026-01-05T18:30:00"/>
    <x v="0"/>
    <x v="0"/>
    <n v="0"/>
    <x v="2"/>
    <x v="0"/>
    <d v="2026-01-05T18:20:00"/>
    <d v="1899-12-30T10:00:00"/>
    <n v="10.000000000116415"/>
    <x v="0"/>
    <d v="1899-12-30T10:00:00"/>
    <n v="9.9999999999417923"/>
    <s v="SI"/>
    <d v="1899-12-30T20:00:00"/>
    <n v="20.000000000058208"/>
    <d v="1899-12-30T00:20:00"/>
    <x v="0"/>
    <n v="0.33333333337213844"/>
    <d v="1899-12-30T20:30:00"/>
    <n v="20.500000000116415"/>
    <x v="0"/>
    <m/>
    <d v="1899-12-30T18:00:00"/>
    <s v="NO"/>
    <s v="2/26"/>
    <s v="GCXU5666040"/>
    <s v="OM TRANSPORT"/>
    <n v="498.5"/>
    <e v="#N/A"/>
    <n v="50"/>
    <n v="0"/>
    <n v="1"/>
    <x v="1"/>
    <s v="OM TRANSPORTWEEK"/>
    <n v="498.5"/>
    <n v="20"/>
    <m/>
    <m/>
    <n v="518.5"/>
    <n v="70"/>
    <n v="1"/>
    <s v="IBE MSO / INDITEX CT / NJU021 / JANUARY 2026 ESTIMATION"/>
  </r>
  <r>
    <s v="MAERSK SEOUL"/>
    <x v="0"/>
    <d v="2026-01-04T22:00:00"/>
    <d v="2026-01-03T20:00:00"/>
    <x v="4"/>
    <s v="MAEU261738627"/>
    <x v="0"/>
    <s v="Chittagong"/>
    <s v="CAAU4800150"/>
    <s v="LELYSTAD"/>
    <d v="2026-01-05T08:00:00"/>
    <x v="61"/>
    <x v="54"/>
    <d v="2026-01-05T20:45:00"/>
    <x v="0"/>
    <x v="1"/>
    <n v="0"/>
    <x v="2"/>
    <x v="0"/>
    <d v="2026-01-05T19:41:00"/>
    <d v="1899-12-30T10:00:00"/>
    <n v="10.000000000116415"/>
    <x v="0"/>
    <d v="1899-12-30T13:00:00"/>
    <n v="12.999999999941792"/>
    <s v="SI"/>
    <d v="1899-12-30T23:00:00"/>
    <n v="23.000000000058208"/>
    <d v="1899-12-30T00:00:00"/>
    <x v="0"/>
    <n v="0"/>
    <d v="1899-12-30T22:45:00"/>
    <n v="22.750000000116415"/>
    <x v="0"/>
    <m/>
    <d v="1899-12-30T21:00:00"/>
    <s v="NIGHT"/>
    <s v="2/26"/>
    <s v="CAAU4800150"/>
    <s v="OM TRANSPORT"/>
    <n v="498.5"/>
    <n v="110"/>
    <n v="50"/>
    <n v="0"/>
    <n v="1"/>
    <x v="3"/>
    <s v="OM TRANSPORTNIGHT"/>
    <n v="653.5"/>
    <n v="20"/>
    <n v="45"/>
    <s v="21:00-00:00"/>
    <n v="673.5"/>
    <n v="70"/>
    <n v="1"/>
    <s v="IBE MSO / INDITEX CT / NJU021 / JANUARY 2026 ESTIMATION"/>
  </r>
  <r>
    <s v="MAERSK SEOUL"/>
    <x v="0"/>
    <d v="2026-01-04T22:00:00"/>
    <d v="2026-01-03T20:00:00"/>
    <x v="4"/>
    <s v="MAEU261738627"/>
    <x v="0"/>
    <s v="Chittagong"/>
    <s v="CIPU5009538"/>
    <s v="LELYSTAD"/>
    <d v="2026-01-05T08:00:00"/>
    <x v="62"/>
    <x v="55"/>
    <d v="2026-01-06T10:15:00"/>
    <x v="0"/>
    <x v="1"/>
    <n v="0"/>
    <x v="2"/>
    <x v="0"/>
    <d v="2026-01-06T09:47:00"/>
    <d v="1899-12-30T10:00:00"/>
    <n v="10.000000000116415"/>
    <x v="0"/>
    <d v="1899-12-31T02:00:00"/>
    <n v="25.999999999883585"/>
    <s v="NO"/>
    <d v="1899-12-31T12:00:00"/>
    <n v="36"/>
    <d v="1899-12-30T00:00:00"/>
    <x v="0"/>
    <n v="0"/>
    <d v="1899-12-31T12:15:00"/>
    <n v="36.250000000116415"/>
    <x v="0"/>
    <m/>
    <d v="1899-12-30T10:00:00"/>
    <s v="NO"/>
    <s v="2/26"/>
    <s v="CIPU5009538"/>
    <s v="OM TRANSPORT"/>
    <n v="498.5"/>
    <n v="110"/>
    <n v="50"/>
    <n v="0"/>
    <n v="2"/>
    <x v="1"/>
    <s v="OM TRANSPORTWEEK"/>
    <n v="766"/>
    <n v="20"/>
    <n v="157.5"/>
    <s v="10:00-15:30"/>
    <n v="786"/>
    <n v="70"/>
    <n v="1"/>
    <s v="IBE MSO / INDITEX CT / NJU021 / JANUARY 2026 ESTIMATION"/>
  </r>
  <r>
    <s v="MAERSK SEOUL"/>
    <x v="0"/>
    <d v="2026-01-04T22:00:00"/>
    <d v="2026-01-03T20:00:00"/>
    <x v="4"/>
    <s v="MAEU261713161"/>
    <x v="0"/>
    <s v="Chittagong"/>
    <s v="TCKU7086558"/>
    <s v="SIMEI LELYSTAD"/>
    <d v="2026-01-05T08:00:00"/>
    <x v="63"/>
    <x v="56"/>
    <d v="2026-01-06T14:30:00"/>
    <x v="0"/>
    <x v="0"/>
    <n v="0"/>
    <x v="2"/>
    <x v="0"/>
    <d v="2026-01-06T14:20:00"/>
    <d v="1899-12-30T10:00:00"/>
    <n v="10.000000000116415"/>
    <x v="0"/>
    <d v="1899-12-31T06:30:00"/>
    <n v="30.499999999883585"/>
    <s v="NO"/>
    <d v="1899-12-31T16:30:00"/>
    <n v="40.5"/>
    <d v="1899-12-30T00:00:00"/>
    <x v="0"/>
    <n v="0"/>
    <d v="1899-12-31T16:30:00"/>
    <n v="40.5"/>
    <x v="0"/>
    <m/>
    <d v="1899-12-30T14:30:00"/>
    <s v="NO"/>
    <s v="2/26"/>
    <s v="TCKU7086558"/>
    <s v="OM TRANSPORT"/>
    <n v="498.5"/>
    <e v="#N/A"/>
    <n v="50"/>
    <n v="0"/>
    <n v="2"/>
    <x v="1"/>
    <s v="OM TRANSPORTWEEK"/>
    <n v="498.5"/>
    <n v="20"/>
    <m/>
    <m/>
    <n v="518.5"/>
    <n v="70"/>
    <n v="1"/>
    <s v="IBE MSO / INDITEX CT / NJU021 / JANUARY 2026 ESTIMATION"/>
  </r>
  <r>
    <s v="MAERSK SEOUL"/>
    <x v="0"/>
    <d v="2026-01-04T22:00:00"/>
    <d v="2026-01-03T20:00:00"/>
    <x v="4"/>
    <s v="MAEU261738627"/>
    <x v="0"/>
    <s v="Chittagong"/>
    <s v="MRSU4870880"/>
    <s v="LELYSTAD"/>
    <d v="2026-01-05T08:00:00"/>
    <x v="64"/>
    <x v="57"/>
    <d v="2026-01-06T17:50:00"/>
    <x v="0"/>
    <x v="1"/>
    <n v="0"/>
    <x v="2"/>
    <x v="0"/>
    <d v="2026-01-06T16:34:00"/>
    <d v="1899-12-30T10:00:00"/>
    <n v="10.000000000116415"/>
    <x v="0"/>
    <d v="1899-12-31T08:00:00"/>
    <n v="31.999999999883585"/>
    <s v="NO"/>
    <d v="1899-12-31T18:00:00"/>
    <n v="42"/>
    <d v="1899-12-30T00:34:00"/>
    <x v="0"/>
    <n v="0.56666666676755995"/>
    <d v="1899-12-31T19:50:00"/>
    <n v="43.833333333372138"/>
    <x v="0"/>
    <m/>
    <d v="1899-12-30T16:00:00"/>
    <s v="NO"/>
    <s v="2/26"/>
    <s v="MRSU4870880"/>
    <s v="OM TRANSPORT"/>
    <n v="498.5"/>
    <n v="110"/>
    <n v="50"/>
    <n v="0"/>
    <n v="2"/>
    <x v="1"/>
    <s v="OM TRANSPORTWEEK"/>
    <n v="766"/>
    <n v="20"/>
    <n v="157.5"/>
    <s v="16:30-22:00"/>
    <n v="786"/>
    <n v="70"/>
    <n v="1"/>
    <s v="IBE MSO / INDITEX CT / NJU021 / JANUARY 2026 ESTIMATION"/>
  </r>
  <r>
    <s v="MAERSK SEOUL"/>
    <x v="0"/>
    <d v="2026-01-04T22:00:00"/>
    <d v="2026-01-03T20:00:00"/>
    <x v="4"/>
    <s v="MAEU261738627"/>
    <x v="0"/>
    <s v="Chittagong"/>
    <s v="TCKU7619889"/>
    <s v="LELYSTAD"/>
    <d v="2026-01-05T08:00:00"/>
    <x v="65"/>
    <x v="58"/>
    <d v="2026-01-06T20:40:00"/>
    <x v="0"/>
    <x v="1"/>
    <n v="0"/>
    <x v="2"/>
    <x v="0"/>
    <d v="2026-01-06T20:00:00"/>
    <d v="1899-12-30T10:00:00"/>
    <n v="10.000000000116415"/>
    <x v="0"/>
    <d v="1899-12-31T11:00:00"/>
    <n v="34.999999999883585"/>
    <s v="NO"/>
    <d v="1899-12-31T21:00:00"/>
    <n v="45"/>
    <d v="1899-12-30T01:00:00"/>
    <x v="1"/>
    <n v="1.0000000001164153"/>
    <d v="1899-12-31T22:40:00"/>
    <n v="46.666666666686069"/>
    <x v="0"/>
    <m/>
    <d v="1899-12-30T19:00:00"/>
    <s v="NO"/>
    <s v="2/26"/>
    <s v="TCKU7619889"/>
    <s v="OM TRANSPORT"/>
    <n v="498.5"/>
    <n v="110"/>
    <n v="50"/>
    <n v="0"/>
    <n v="2"/>
    <x v="1"/>
    <s v="OM TRANSPORTWEEK"/>
    <n v="743.5"/>
    <n v="20"/>
    <n v="135"/>
    <s v="20:00-01:00"/>
    <n v="763.5"/>
    <n v="70"/>
    <n v="1"/>
    <s v="IBE MSO / INDITEX CT / NJU021 / JANUARY 2026 ESTIMATION"/>
  </r>
  <r>
    <s v="AL MURAYKH"/>
    <x v="1"/>
    <d v="2026-01-06T18:42:00"/>
    <d v="2026-01-06T14:00:00"/>
    <x v="4"/>
    <s v="MAEU261384919"/>
    <x v="0"/>
    <s v="Sihanoukville"/>
    <s v="FFAU5020743"/>
    <s v="SIMEI LELYSTAD"/>
    <d v="2026-01-08T00:00:00"/>
    <x v="66"/>
    <x v="59"/>
    <d v="2026-01-08T11:00:00"/>
    <x v="0"/>
    <x v="0"/>
    <n v="1"/>
    <x v="2"/>
    <x v="0"/>
    <d v="2026-01-08T10:28:00"/>
    <d v="1899-12-31T05:18:00"/>
    <n v="29.299999999988358"/>
    <x v="0"/>
    <d v="1899-12-30T11:00:00"/>
    <n v="11.000000000058208"/>
    <s v="SI"/>
    <d v="1899-12-31T16:18:00"/>
    <n v="40.300000000046566"/>
    <d v="1899-12-30T00:00:00"/>
    <x v="0"/>
    <n v="0"/>
    <d v="1899-12-31T16:18:00"/>
    <n v="40.300000000046566"/>
    <x v="0"/>
    <m/>
    <d v="1899-12-30T11:00:00"/>
    <s v="NO"/>
    <s v="2/26"/>
    <s v="FFAU5020743"/>
    <s v="OM TRANSPORT"/>
    <n v="475"/>
    <e v="#N/A"/>
    <n v="50"/>
    <n v="50"/>
    <n v="4"/>
    <x v="1"/>
    <s v="OM TRANSPORTWEEK"/>
    <n v="525"/>
    <n v="20"/>
    <m/>
    <m/>
    <n v="545"/>
    <n v="70"/>
    <n v="1"/>
    <s v="IBE MSO / INDITEX CT / NJU021 / JANUARY 2026 ESTIMATION"/>
  </r>
  <r>
    <s v="AL MURAYKH"/>
    <x v="1"/>
    <d v="2026-01-06T18:42:00"/>
    <d v="2026-01-06T14:00:00"/>
    <x v="4"/>
    <s v="MAEU261384919"/>
    <x v="0"/>
    <s v="Sihanoukville"/>
    <s v="MRSU4851983"/>
    <s v="XPO TALLER LELYSTAD"/>
    <d v="2026-01-08T00:00:00"/>
    <x v="67"/>
    <x v="14"/>
    <d v="2026-01-08T16:40:00"/>
    <x v="0"/>
    <x v="0"/>
    <n v="0"/>
    <x v="2"/>
    <x v="0"/>
    <d v="2026-01-08T16:40:00"/>
    <d v="1899-12-31T05:18:00"/>
    <n v="29.299999999988358"/>
    <x v="0"/>
    <d v="1899-12-30T17:00:00"/>
    <n v="17.000000000058208"/>
    <s v="SI"/>
    <d v="1899-12-31T22:18:00"/>
    <n v="46.300000000046566"/>
    <d v="1899-12-30T00:00:00"/>
    <x v="0"/>
    <n v="0"/>
    <d v="1899-12-31T21:58:00"/>
    <n v="45.966666666674428"/>
    <x v="0"/>
    <m/>
    <d v="1899-12-30T17:00:00"/>
    <s v="NO"/>
    <s v="2/26"/>
    <s v="MRSU4851983"/>
    <s v="OM TRANSPORT"/>
    <n v="475"/>
    <e v="#N/A"/>
    <n v="50"/>
    <n v="0"/>
    <n v="4"/>
    <x v="1"/>
    <s v="OM TRANSPORTWEEK"/>
    <n v="475"/>
    <n v="20"/>
    <m/>
    <m/>
    <n v="495"/>
    <n v="70"/>
    <n v="1"/>
    <s v="IBE MSO / INDITEX CT / NJU021 / JANUARY 2026 ESTIMATION"/>
  </r>
  <r>
    <s v="AL MURAYKH"/>
    <x v="1"/>
    <d v="2026-01-06T18:42:00"/>
    <d v="2026-01-06T14:00:00"/>
    <x v="4"/>
    <s v="MAEU259153952"/>
    <x v="0"/>
    <s v="Shanghai"/>
    <s v="MSKU4622250"/>
    <s v="SIMEI LELYSTAD"/>
    <d v="2026-01-08T00:00:00"/>
    <x v="68"/>
    <x v="60"/>
    <d v="2026-01-08T07:10:00"/>
    <x v="0"/>
    <x v="0"/>
    <n v="0"/>
    <x v="2"/>
    <x v="0"/>
    <d v="2026-01-08T06:27:00"/>
    <d v="1899-12-31T05:18:00"/>
    <n v="29.299999999988358"/>
    <x v="0"/>
    <d v="1899-12-30T17:30:00"/>
    <n v="17.499999999941792"/>
    <s v="SI"/>
    <d v="1899-12-31T22:48:00"/>
    <n v="46.799999999930151"/>
    <d v="1899-12-30T00:00:00"/>
    <x v="0"/>
    <n v="0"/>
    <d v="1899-12-31T12:28:00"/>
    <n v="36.46666666661622"/>
    <x v="0"/>
    <m/>
    <d v="1899-12-30T17:30:00"/>
    <s v="NO"/>
    <s v="2/26"/>
    <s v="MSKU4622250"/>
    <s v="OM TRANSPORT"/>
    <n v="475"/>
    <e v="#N/A"/>
    <n v="50"/>
    <n v="0"/>
    <n v="4"/>
    <x v="1"/>
    <s v="OM TRANSPORTWEEK"/>
    <n v="497.5"/>
    <n v="20"/>
    <n v="22.5"/>
    <s v="06:00-08:30"/>
    <n v="517.5"/>
    <n v="70"/>
    <n v="1"/>
    <s v="IBE MSO / INDITEX CT / NJU021 / JANUARY 2026 ESTIMATION"/>
  </r>
  <r>
    <s v="AL MURAYKH"/>
    <x v="1"/>
    <d v="2026-01-06T18:42:00"/>
    <d v="2026-01-06T14:00:00"/>
    <x v="4"/>
    <s v="MAEU259153952"/>
    <x v="0"/>
    <s v="Shanghai"/>
    <s v="MSKU4747659"/>
    <s v="XPO TALLER LELYSTAD"/>
    <d v="2026-01-08T00:00:00"/>
    <x v="69"/>
    <x v="61"/>
    <d v="2026-01-08T15:00:00"/>
    <x v="0"/>
    <x v="0"/>
    <n v="0"/>
    <x v="2"/>
    <x v="0"/>
    <d v="2026-01-08T15:00:00"/>
    <d v="1899-12-31T05:18:00"/>
    <n v="29.299999999988358"/>
    <x v="0"/>
    <d v="1899-12-30T15:00:00"/>
    <n v="15"/>
    <s v="SI"/>
    <d v="1899-12-31T20:18:00"/>
    <n v="44.299999999988358"/>
    <d v="1899-12-30T00:00:00"/>
    <x v="0"/>
    <n v="0"/>
    <d v="1899-12-31T20:18:00"/>
    <n v="44.299999999988358"/>
    <x v="0"/>
    <m/>
    <d v="1899-12-30T15:00:00"/>
    <s v="NO"/>
    <s v="2/26"/>
    <s v="MSKU4747659"/>
    <s v="OM TRANSPORT"/>
    <n v="475"/>
    <e v="#N/A"/>
    <n v="50"/>
    <n v="0"/>
    <n v="4"/>
    <x v="1"/>
    <s v="OM TRANSPORTWEEK"/>
    <n v="475"/>
    <n v="20"/>
    <m/>
    <m/>
    <n v="495"/>
    <n v="70"/>
    <n v="1"/>
    <s v="IBE MSO / INDITEX CT / NJU021 / JANUARY 2026 ESTIMATION"/>
  </r>
  <r>
    <s v="AL MURAYKH"/>
    <x v="1"/>
    <d v="2026-01-06T18:42:00"/>
    <d v="2026-01-06T14:00:00"/>
    <x v="4"/>
    <s v="MAEU259153952"/>
    <x v="0"/>
    <s v="Shanghai"/>
    <s v="MSKU4774470"/>
    <s v="SIMEI LELYSTAD"/>
    <d v="2026-01-08T00:00:00"/>
    <x v="70"/>
    <x v="36"/>
    <d v="2026-01-08T06:52:00"/>
    <x v="0"/>
    <x v="0"/>
    <n v="1"/>
    <x v="2"/>
    <x v="0"/>
    <d v="2026-01-08T06:37:00"/>
    <d v="1899-12-31T05:18:00"/>
    <n v="29.299999999988358"/>
    <x v="0"/>
    <d v="1899-12-30T07:00:00"/>
    <n v="6.9999999999417923"/>
    <s v="SI"/>
    <d v="1899-12-31T12:18:00"/>
    <n v="36.299999999930151"/>
    <d v="1899-12-30T00:00:00"/>
    <x v="0"/>
    <n v="0"/>
    <d v="1899-12-31T12:10:00"/>
    <n v="36.166666666686069"/>
    <x v="0"/>
    <m/>
    <d v="1899-12-30T07:00:00"/>
    <s v="NO"/>
    <s v="2/26"/>
    <s v="MSKU4774470"/>
    <s v="OM TRANSPORT"/>
    <n v="475"/>
    <e v="#N/A"/>
    <n v="50"/>
    <n v="50"/>
    <n v="4"/>
    <x v="1"/>
    <s v="OM TRANSPORTWEEK"/>
    <n v="570"/>
    <n v="20"/>
    <n v="45"/>
    <s v="07:30-10:30"/>
    <n v="590"/>
    <n v="70"/>
    <n v="1"/>
    <s v="IBE MSO / INDITEX CT / NJU021 / JANUARY 2026 ESTIMATION"/>
  </r>
  <r>
    <s v="AL MURAYKH"/>
    <x v="1"/>
    <d v="2026-01-06T18:42:00"/>
    <d v="2026-01-06T14:00:00"/>
    <x v="4"/>
    <s v="MAEU259153952"/>
    <x v="0"/>
    <s v="Shanghai"/>
    <s v="MSKU7796908"/>
    <s v="SIMEI LELYSTAD"/>
    <d v="2026-01-08T00:00:00"/>
    <x v="71"/>
    <x v="13"/>
    <d v="2026-01-08T08:25:00"/>
    <x v="0"/>
    <x v="0"/>
    <n v="1"/>
    <x v="2"/>
    <x v="0"/>
    <d v="2026-01-08T08:12:00"/>
    <d v="1899-12-31T05:18:00"/>
    <n v="29.299999999988358"/>
    <x v="0"/>
    <d v="1899-12-30T09:00:00"/>
    <n v="9"/>
    <s v="SI"/>
    <d v="1899-12-31T14:18:00"/>
    <n v="38.299999999988358"/>
    <d v="1899-12-30T00:00:00"/>
    <x v="0"/>
    <n v="0"/>
    <d v="1899-12-31T13:43:00"/>
    <n v="37.716666666674428"/>
    <x v="0"/>
    <m/>
    <d v="1899-12-30T09:00:00"/>
    <s v="NO"/>
    <s v="2/26"/>
    <s v="MSKU7796908"/>
    <s v="OM TRANSPORT"/>
    <n v="475"/>
    <e v="#N/A"/>
    <n v="50"/>
    <n v="50"/>
    <n v="4"/>
    <x v="1"/>
    <s v="OM TRANSPORTWEEK"/>
    <n v="525"/>
    <n v="20"/>
    <m/>
    <m/>
    <n v="545"/>
    <n v="70"/>
    <n v="1"/>
    <s v="IBE MSO / INDITEX CT / NJU021 / JANUARY 2026 ESTIMATION"/>
  </r>
  <r>
    <s v="AL MURAYKH"/>
    <x v="1"/>
    <d v="2026-01-06T18:42:00"/>
    <d v="2026-01-06T14:00:00"/>
    <x v="4"/>
    <s v="MAEU259153952"/>
    <x v="0"/>
    <s v="Shanghai"/>
    <s v="SUDU6686622"/>
    <s v="LELYSTAD"/>
    <d v="2026-01-08T00:00:00"/>
    <x v="72"/>
    <x v="62"/>
    <d v="2026-01-10T06:05:00"/>
    <x v="0"/>
    <x v="0"/>
    <n v="0"/>
    <x v="2"/>
    <x v="0"/>
    <d v="2026-01-10T05:44:00"/>
    <d v="1899-12-31T05:18:00"/>
    <n v="29.299999999988358"/>
    <x v="0"/>
    <d v="1900-01-01T06:00:00"/>
    <n v="54"/>
    <s v="NO"/>
    <d v="1900-01-02T11:18:00"/>
    <n v="83.299999999988358"/>
    <d v="1899-12-30T00:00:00"/>
    <x v="0"/>
    <n v="0"/>
    <d v="1900-01-02T11:23:00"/>
    <n v="83.383333333244082"/>
    <x v="1"/>
    <s v="snowfall and strong winds. Cnt not unloaded"/>
    <d v="1899-12-30T06:00:00"/>
    <s v="NO"/>
    <s v="2/26"/>
    <s v="SUDU6686622"/>
    <s v="OM TRANSPORT"/>
    <n v="550"/>
    <e v="#N/A"/>
    <n v="50"/>
    <n v="0"/>
    <n v="6"/>
    <x v="0"/>
    <s v="OM TRANSPORTSATURDAY"/>
    <n v="550"/>
    <n v="20"/>
    <m/>
    <m/>
    <n v="570"/>
    <n v="70"/>
    <n v="1"/>
    <s v="IBE MSO / INDITEX CT / NJU021 / JANUARY 2026 ESTIMATION"/>
  </r>
  <r>
    <s v="AL MURAYKH"/>
    <x v="1"/>
    <d v="2026-01-06T18:42:00"/>
    <d v="2026-01-06T14:00:00"/>
    <x v="4"/>
    <s v="MAEU261384919"/>
    <x v="0"/>
    <s v="Sihanoukville"/>
    <s v="TCKU6408599"/>
    <s v="SIMEI LELYSTAD"/>
    <d v="2026-01-08T00:00:00"/>
    <x v="73"/>
    <x v="63"/>
    <d v="2026-01-08T12:30:00"/>
    <x v="0"/>
    <x v="0"/>
    <n v="1"/>
    <x v="2"/>
    <x v="0"/>
    <d v="2026-01-08T11:58:00"/>
    <d v="1899-12-31T05:18:00"/>
    <n v="29.299999999988358"/>
    <x v="0"/>
    <d v="1899-12-30T12:00:00"/>
    <n v="12"/>
    <s v="SI"/>
    <d v="1899-12-31T17:18:00"/>
    <n v="41.299999999988358"/>
    <d v="1899-12-30T00:00:00"/>
    <x v="0"/>
    <n v="0"/>
    <d v="1899-12-31T17:48:00"/>
    <n v="41.800000000046566"/>
    <x v="0"/>
    <m/>
    <d v="1899-12-30T12:00:00"/>
    <s v="NO"/>
    <s v="2/26"/>
    <s v="TCKU6408599"/>
    <s v="OM TRANSPORT"/>
    <n v="475"/>
    <e v="#N/A"/>
    <n v="50"/>
    <n v="50"/>
    <n v="4"/>
    <x v="1"/>
    <s v="OM TRANSPORTWEEK"/>
    <n v="525"/>
    <n v="20"/>
    <m/>
    <m/>
    <n v="545"/>
    <n v="70"/>
    <n v="1"/>
    <s v="IBE MSO / INDITEX CT / NJU021 / JANUARY 2026 ESTIMATION"/>
  </r>
  <r>
    <s v="MAERSK SALALAH"/>
    <x v="0"/>
    <d v="2026-01-11T11:05:00"/>
    <d v="2026-01-11T02:00:00"/>
    <x v="4"/>
    <s v="MAEU262115869"/>
    <x v="0"/>
    <s v="Chittagong"/>
    <s v="CAAU8933444"/>
    <s v="LELYSTAD"/>
    <d v="2026-01-11T20:00:00"/>
    <x v="45"/>
    <x v="22"/>
    <d v="2026-01-12T07:00:00"/>
    <x v="0"/>
    <x v="1"/>
    <n v="0"/>
    <x v="1"/>
    <x v="0"/>
    <d v="2026-01-12T06:00:00"/>
    <d v="1899-12-30T08:55:00"/>
    <n v="8.9166666667442769"/>
    <x v="0"/>
    <d v="1899-12-30T10:00:00"/>
    <n v="9.9999999999417923"/>
    <s v="SI"/>
    <d v="1899-12-30T18:55:00"/>
    <n v="18.916666666686069"/>
    <d v="1899-12-30T00:00:00"/>
    <x v="0"/>
    <n v="0"/>
    <d v="1899-12-30T19:55:00"/>
    <n v="19.916666666627862"/>
    <x v="0"/>
    <m/>
    <d v="1899-12-30T06:00:00"/>
    <s v="NO"/>
    <s v="3/26"/>
    <s v="CAAU8933444"/>
    <s v="OM TRANSPORT"/>
    <n v="498.5"/>
    <n v="110"/>
    <n v="50"/>
    <n v="0"/>
    <n v="1"/>
    <x v="1"/>
    <s v="OM TRANSPORTWEEK"/>
    <n v="946"/>
    <n v="20"/>
    <n v="337.5"/>
    <s v="06:00-15:30"/>
    <n v="966"/>
    <n v="70"/>
    <n v="1"/>
    <s v="IBE MSO / INDITEX CT / NJU021 / JANUARY 2026 ESTIMATION"/>
  </r>
  <r>
    <s v="MAERSK SALALAH"/>
    <x v="0"/>
    <d v="2026-01-11T11:05:00"/>
    <d v="2026-01-11T02:00:00"/>
    <x v="4"/>
    <s v="MAEU261989817"/>
    <x v="0"/>
    <s v="Chittagong"/>
    <s v="HASU4901636"/>
    <s v="LELYSTAD"/>
    <d v="2026-01-11T20:00:00"/>
    <x v="74"/>
    <x v="64"/>
    <d v="2026-01-11T20:35:00"/>
    <x v="0"/>
    <x v="0"/>
    <n v="0"/>
    <x v="2"/>
    <x v="0"/>
    <d v="2026-01-11T20:00:00"/>
    <d v="1899-12-30T08:55:00"/>
    <n v="8.9166666667442769"/>
    <x v="0"/>
    <d v="1899-12-30T00:00:00"/>
    <n v="0"/>
    <s v="SI"/>
    <d v="1899-12-30T08:55:00"/>
    <n v="8.9166666667442769"/>
    <d v="1899-12-30T00:00:00"/>
    <x v="0"/>
    <n v="0"/>
    <d v="1899-12-30T09:30:00"/>
    <n v="9.5000000000582077"/>
    <x v="0"/>
    <m/>
    <d v="1899-12-30T20:00:00"/>
    <s v="NIGHT"/>
    <s v="2/26"/>
    <s v="HASU4901636"/>
    <s v="OM TRANSPORT"/>
    <n v="573.5"/>
    <e v="#N/A"/>
    <n v="50"/>
    <n v="0"/>
    <n v="7"/>
    <x v="2"/>
    <s v="OM TRANSPORTSUNDAY"/>
    <n v="618.5"/>
    <n v="20"/>
    <n v="45"/>
    <s v="20:00-23:00"/>
    <n v="638.5"/>
    <n v="70"/>
    <n v="1"/>
    <s v="IBE MSO / INDITEX CT / NJU021 / JANUARY 2026 ESTIMATION"/>
  </r>
  <r>
    <s v="MAERSK SALALAH"/>
    <x v="0"/>
    <d v="2026-01-11T11:05:00"/>
    <d v="2026-01-11T02:00:00"/>
    <x v="4"/>
    <s v="HLCUDA1251200889"/>
    <x v="1"/>
    <s v="Chittagong"/>
    <s v="HLXU8578424"/>
    <s v="LELYSTAD"/>
    <d v="2026-01-11T20:00:00"/>
    <x v="75"/>
    <x v="22"/>
    <d v="2026-01-12T06:30:00"/>
    <x v="0"/>
    <x v="0"/>
    <n v="0"/>
    <x v="1"/>
    <x v="0"/>
    <d v="2026-01-12T05:55:00"/>
    <d v="1899-12-30T08:55:00"/>
    <n v="8.9166666667442769"/>
    <x v="0"/>
    <d v="1899-12-30T10:00:00"/>
    <n v="9.9999999999417923"/>
    <s v="SI"/>
    <d v="1899-12-30T18:55:00"/>
    <n v="18.916666666686069"/>
    <d v="1899-12-30T00:00:00"/>
    <x v="0"/>
    <n v="0"/>
    <d v="1899-12-30T19:25:00"/>
    <n v="19.416666666744277"/>
    <x v="0"/>
    <m/>
    <d v="1899-12-30T06:00:00"/>
    <s v="NO"/>
    <s v="3/26"/>
    <s v="HLXU8578424"/>
    <s v="OM TRANSPORT"/>
    <n v="498.5"/>
    <e v="#N/A"/>
    <n v="50"/>
    <n v="0"/>
    <n v="1"/>
    <x v="1"/>
    <s v="OM TRANSPORTWEEK"/>
    <n v="543.5"/>
    <n v="20"/>
    <n v="45"/>
    <s v="06:00-09:00"/>
    <n v="563.5"/>
    <n v="70"/>
    <n v="1"/>
    <s v="IBE MSO / INDITEX CT / NJU021 / JANUARY 2026 ESTIMATION"/>
  </r>
  <r>
    <s v="MAERSK SALALAH"/>
    <x v="0"/>
    <d v="2026-01-11T11:05:00"/>
    <d v="2026-01-11T02:00:00"/>
    <x v="4"/>
    <s v="MAEU261989817"/>
    <x v="0"/>
    <s v="Chittagong"/>
    <s v="MIEU0024984"/>
    <s v="SIMEI LELYSTAD"/>
    <d v="2026-01-11T20:00:00"/>
    <x v="76"/>
    <x v="65"/>
    <d v="2026-01-12T08:55:00"/>
    <x v="0"/>
    <x v="0"/>
    <n v="0"/>
    <x v="1"/>
    <x v="0"/>
    <d v="2026-01-12T08:45:00"/>
    <d v="1899-12-30T08:55:00"/>
    <n v="8.9166666667442769"/>
    <x v="0"/>
    <d v="1899-12-30T13:00:00"/>
    <n v="12.999999999941792"/>
    <s v="SI"/>
    <d v="1899-12-30T21:55:00"/>
    <n v="21.916666666686069"/>
    <d v="1899-12-30T00:00:00"/>
    <x v="0"/>
    <n v="0"/>
    <d v="1899-12-30T21:50:00"/>
    <n v="21.833333333430346"/>
    <x v="0"/>
    <m/>
    <d v="1899-12-30T09:00:00"/>
    <s v="NO"/>
    <s v="3/26"/>
    <s v="MIEU0024984"/>
    <s v="OM TRANSPORT"/>
    <n v="498.5"/>
    <e v="#N/A"/>
    <n v="50"/>
    <n v="0"/>
    <n v="1"/>
    <x v="1"/>
    <s v="OM TRANSPORTWEEK"/>
    <n v="498.5"/>
    <n v="20"/>
    <m/>
    <m/>
    <n v="518.5"/>
    <n v="70"/>
    <n v="1"/>
    <s v="IBE MSO / INDITEX CT / NJU021 / JANUARY 2026 ESTIMATION"/>
  </r>
  <r>
    <s v="MAERSK SALALAH"/>
    <x v="0"/>
    <d v="2026-01-11T11:05:00"/>
    <d v="2026-01-11T02:00:00"/>
    <x v="4"/>
    <s v="MAEU262115728"/>
    <x v="0"/>
    <s v="Chittagong"/>
    <s v="MRSU3279600"/>
    <s v="LELYSTAD"/>
    <d v="2026-01-11T20:00:00"/>
    <x v="77"/>
    <x v="66"/>
    <d v="2026-01-11T21:40:00"/>
    <x v="0"/>
    <x v="1"/>
    <n v="0"/>
    <x v="2"/>
    <x v="0"/>
    <d v="2026-01-11T21:31:00"/>
    <d v="1899-12-30T08:55:00"/>
    <n v="8.9166666667442769"/>
    <x v="0"/>
    <d v="1899-12-30T02:00:00"/>
    <n v="1.9999999998835847"/>
    <s v="SI"/>
    <d v="1899-12-30T10:55:00"/>
    <n v="10.916666666627862"/>
    <d v="1899-12-30T00:00:00"/>
    <x v="0"/>
    <n v="0"/>
    <d v="1899-12-30T10:35:00"/>
    <n v="10.583333333430346"/>
    <x v="0"/>
    <m/>
    <d v="1899-12-30T22:00:00"/>
    <s v="NIGHT"/>
    <s v="2/26"/>
    <s v="MRSU3279600"/>
    <s v="OM TRANSPORT"/>
    <n v="573.5"/>
    <n v="110"/>
    <n v="50"/>
    <n v="0"/>
    <n v="7"/>
    <x v="2"/>
    <s v="OM TRANSPORTSUNDAY"/>
    <n v="751"/>
    <n v="20"/>
    <n v="67.5"/>
    <s v="22:00-01:30"/>
    <n v="771"/>
    <n v="70"/>
    <n v="1"/>
    <s v="IBE MSO / INDITEX CT / NJU021 / JANUARY 2026 ESTIMATION"/>
  </r>
  <r>
    <s v="MAERSK SALALAH"/>
    <x v="0"/>
    <d v="2026-01-11T11:05:00"/>
    <d v="2026-01-11T02:00:00"/>
    <x v="4"/>
    <s v="MAEU261989817"/>
    <x v="0"/>
    <s v="Chittagong"/>
    <s v="MRSU8498576"/>
    <s v="LELYSTAD"/>
    <d v="2026-01-11T20:00:00"/>
    <x v="78"/>
    <x v="67"/>
    <d v="2026-01-12T17:40:00"/>
    <x v="0"/>
    <x v="0"/>
    <n v="0"/>
    <x v="1"/>
    <x v="0"/>
    <d v="2026-01-12T11:22:00"/>
    <d v="1899-12-30T08:55:00"/>
    <n v="8.9166666667442769"/>
    <x v="0"/>
    <d v="1899-12-30T15:00:00"/>
    <n v="15"/>
    <s v="SI"/>
    <d v="1899-12-30T23:55:00"/>
    <n v="23.916666666744277"/>
    <d v="1899-12-30T00:22:00"/>
    <x v="0"/>
    <n v="0.36666666663950309"/>
    <d v="1899-12-31T06:35:00"/>
    <n v="30.583333333313931"/>
    <x v="0"/>
    <m/>
    <d v="1899-12-30T11:00:00"/>
    <s v="NO"/>
    <s v="3/26"/>
    <s v="MRSU8498576"/>
    <s v="OM TRANSPORT"/>
    <n v="498.5"/>
    <e v="#N/A"/>
    <n v="50"/>
    <n v="0"/>
    <n v="1"/>
    <x v="1"/>
    <s v="OM TRANSPORTWEEK"/>
    <n v="836"/>
    <n v="20"/>
    <n v="337.5"/>
    <s v="11:00-20:30"/>
    <n v="856"/>
    <n v="70"/>
    <n v="1"/>
    <s v="IBE MSO / INDITEX CT / NJU021 / JANUARY 2026 ESTIMATION"/>
  </r>
  <r>
    <s v="MAERSK SALALAH"/>
    <x v="0"/>
    <d v="2026-01-11T11:05:00"/>
    <d v="2026-01-11T02:00:00"/>
    <x v="4"/>
    <s v="MAEU261989817"/>
    <x v="0"/>
    <s v="Chittagong"/>
    <s v="MSKU1678560"/>
    <s v="LELYSTAD"/>
    <d v="2026-01-11T20:00:00"/>
    <x v="79"/>
    <x v="68"/>
    <d v="2026-01-12T20:40:00"/>
    <x v="0"/>
    <x v="0"/>
    <n v="0"/>
    <x v="1"/>
    <x v="0"/>
    <d v="2026-01-12T19:24:00"/>
    <d v="1899-12-30T08:55:00"/>
    <n v="8.9166666667442769"/>
    <x v="0"/>
    <d v="1899-12-31T00:00:00"/>
    <n v="24"/>
    <s v="SI"/>
    <d v="1899-12-31T08:55:00"/>
    <n v="32.916666666744277"/>
    <d v="1899-12-30T00:00:00"/>
    <x v="0"/>
    <n v="0"/>
    <d v="1899-12-31T09:35:00"/>
    <n v="33.583333333313931"/>
    <x v="0"/>
    <m/>
    <d v="1899-12-30T20:00:00"/>
    <s v="NIGHT"/>
    <s v="3/26"/>
    <s v="MSKU1678560"/>
    <s v="OM TRANSPORT"/>
    <n v="498.5"/>
    <e v="#N/A"/>
    <n v="50"/>
    <n v="0"/>
    <n v="1"/>
    <x v="3"/>
    <s v="OM TRANSPORTNIGHT"/>
    <n v="521"/>
    <n v="20"/>
    <n v="22.5"/>
    <s v="20:00-22:30"/>
    <n v="541"/>
    <n v="70"/>
    <n v="1"/>
    <s v="IBE MSO / INDITEX CT / NJU021 / JANUARY 2026 ESTIMATION"/>
  </r>
  <r>
    <s v="MAERSK SALALAH"/>
    <x v="0"/>
    <d v="2026-01-11T11:05:00"/>
    <d v="2026-01-11T02:00:00"/>
    <x v="4"/>
    <s v="MAEU261989817"/>
    <x v="0"/>
    <s v="Chittagong"/>
    <s v="TRHU4436624"/>
    <s v="SIMEI LELYSTAD"/>
    <d v="2026-01-11T20:00:00"/>
    <x v="80"/>
    <x v="24"/>
    <d v="2026-01-12T07:35:00"/>
    <x v="0"/>
    <x v="0"/>
    <n v="0"/>
    <x v="1"/>
    <x v="0"/>
    <d v="2026-01-12T07:25:00"/>
    <d v="1899-12-30T08:55:00"/>
    <n v="8.9166666667442769"/>
    <x v="0"/>
    <d v="1899-12-30T11:00:00"/>
    <n v="10.999999999883585"/>
    <s v="SI"/>
    <d v="1899-12-30T19:55:00"/>
    <n v="19.916666666627862"/>
    <d v="1899-12-30T00:25:00"/>
    <x v="0"/>
    <n v="0.41666666680248454"/>
    <d v="1899-12-30T20:30:00"/>
    <n v="20.499999999941792"/>
    <x v="0"/>
    <m/>
    <d v="1899-12-30T07:00:00"/>
    <s v="NO"/>
    <s v="3/26"/>
    <s v="TRHU4436624"/>
    <s v="OM TRANSPORT"/>
    <n v="498.5"/>
    <e v="#N/A"/>
    <n v="50"/>
    <n v="0"/>
    <n v="1"/>
    <x v="1"/>
    <s v="OM TRANSPORTWEEK"/>
    <n v="498.5"/>
    <n v="20"/>
    <m/>
    <m/>
    <n v="518.5"/>
    <n v="70"/>
    <n v="1"/>
    <s v="IBE MSO / INDITEX CT / NJU021 / JANUARY 2026 ESTIMATION"/>
  </r>
  <r>
    <s v="AL NEFUD"/>
    <x v="1"/>
    <d v="2026-01-14T02:15:00"/>
    <d v="2026-01-13T18:00:00"/>
    <x v="4"/>
    <s v="MAEU261216813"/>
    <x v="0"/>
    <s v="Sihanoukville"/>
    <s v="MAEU9186085"/>
    <s v="SIMEI LELYSTAD"/>
    <d v="2026-01-14T19:00:00"/>
    <x v="81"/>
    <x v="27"/>
    <d v="2026-01-14T19:00:00"/>
    <x v="0"/>
    <x v="0"/>
    <n v="2"/>
    <x v="1"/>
    <x v="0"/>
    <d v="2026-01-14T19:00:00"/>
    <d v="1899-12-30T16:45:00"/>
    <n v="16.749999999941792"/>
    <x v="0"/>
    <d v="1899-12-30T00:00:00"/>
    <n v="0"/>
    <s v="SI"/>
    <d v="1899-12-30T16:45:00"/>
    <n v="16.749999999941792"/>
    <d v="1899-12-30T00:00:00"/>
    <x v="0"/>
    <n v="0"/>
    <d v="1899-12-30T16:45:00"/>
    <n v="16.749999999941792"/>
    <x v="0"/>
    <m/>
    <d v="1899-12-30T19:00:00"/>
    <s v="NO"/>
    <s v="3/26"/>
    <s v="MAEU9186085"/>
    <s v="OM TRANSPORT"/>
    <n v="475"/>
    <e v="#N/A"/>
    <n v="50"/>
    <n v="100"/>
    <n v="3"/>
    <x v="1"/>
    <s v="OM TRANSPORTWEEK"/>
    <n v="620"/>
    <n v="20"/>
    <n v="45"/>
    <s v="19:00-22:00"/>
    <n v="640"/>
    <n v="70"/>
    <n v="1"/>
    <s v="IBE MSO / INDITEX CT / NJU021 / JANUARY 2026 ESTIMATION"/>
  </r>
  <r>
    <s v="AL NEFUD"/>
    <x v="1"/>
    <d v="2026-01-14T02:15:00"/>
    <d v="2026-01-13T18:00:00"/>
    <x v="4"/>
    <s v="MAEU259975288"/>
    <x v="0"/>
    <s v="Shanghai"/>
    <s v="MAEU9242717"/>
    <s v="SIMEI LELYSTAD"/>
    <d v="2026-01-14T19:00:00"/>
    <x v="82"/>
    <x v="49"/>
    <d v="2026-01-15T06:20:00"/>
    <x v="0"/>
    <x v="0"/>
    <n v="0"/>
    <x v="1"/>
    <x v="0"/>
    <d v="2026-01-15T06:10:00"/>
    <d v="1899-12-30T16:45:00"/>
    <n v="16.749999999941792"/>
    <x v="0"/>
    <d v="1899-12-30T11:00:00"/>
    <n v="11.000000000058208"/>
    <s v="SI"/>
    <d v="1899-12-31T03:45:00"/>
    <n v="27.75"/>
    <d v="1899-12-30T00:10:00"/>
    <x v="0"/>
    <n v="0.16666666668606922"/>
    <d v="1899-12-31T04:05:00"/>
    <n v="28.083333333372138"/>
    <x v="0"/>
    <m/>
    <d v="1899-12-30T06:00:00"/>
    <s v="NO"/>
    <s v="3/26"/>
    <s v="MAEU9242717"/>
    <s v="OM TRANSPORT"/>
    <n v="475"/>
    <e v="#N/A"/>
    <n v="50"/>
    <n v="0"/>
    <n v="4"/>
    <x v="1"/>
    <s v="OM TRANSPORTWEEK"/>
    <n v="475"/>
    <n v="20"/>
    <m/>
    <m/>
    <n v="495"/>
    <n v="70"/>
    <n v="1"/>
    <s v="IBE MSO / INDITEX CT / NJU021 / JANUARY 2026 ESTIMATION"/>
  </r>
  <r>
    <s v="AL NEFUD"/>
    <x v="1"/>
    <d v="2026-01-14T02:15:00"/>
    <d v="2026-01-13T18:00:00"/>
    <x v="4"/>
    <s v="MAEU262216337"/>
    <x v="0"/>
    <s v="Yantian"/>
    <s v="MRKU0866299"/>
    <s v="SIMEI LELYSTAD"/>
    <d v="2026-01-14T19:00:00"/>
    <x v="83"/>
    <x v="46"/>
    <d v="2026-01-15T15:26:00"/>
    <x v="0"/>
    <x v="0"/>
    <n v="0"/>
    <x v="1"/>
    <x v="0"/>
    <d v="2026-01-15T15:21:00"/>
    <d v="1899-12-30T16:45:00"/>
    <n v="16.749999999941792"/>
    <x v="0"/>
    <d v="1899-12-30T20:30:00"/>
    <n v="20.500000000116415"/>
    <s v="SI"/>
    <d v="1899-12-31T13:15:00"/>
    <n v="37.250000000058208"/>
    <d v="1899-12-30T00:00:00"/>
    <x v="0"/>
    <n v="0"/>
    <d v="1899-12-31T13:11:00"/>
    <n v="37.183333333348855"/>
    <x v="0"/>
    <m/>
    <d v="1899-12-30T15:30:00"/>
    <s v="NO"/>
    <s v="3/26"/>
    <s v="MRKU0866299"/>
    <s v="OM TRANSPORT"/>
    <n v="475"/>
    <e v="#N/A"/>
    <n v="50"/>
    <n v="0"/>
    <n v="4"/>
    <x v="1"/>
    <s v="OM TRANSPORTWEEK"/>
    <n v="475"/>
    <n v="20"/>
    <m/>
    <m/>
    <n v="495"/>
    <n v="70"/>
    <n v="1"/>
    <s v="IBE MSO / INDITEX CT / NJU021 / JANUARY 2026 ESTIMATION"/>
  </r>
  <r>
    <s v="AL NEFUD"/>
    <x v="1"/>
    <d v="2026-01-14T02:15:00"/>
    <d v="2026-01-13T18:00:00"/>
    <x v="4"/>
    <s v="MAEU261216813"/>
    <x v="0"/>
    <s v="Sihanoukville"/>
    <s v="MSKU1159461"/>
    <s v="SIMEI LELYSTAD"/>
    <d v="2026-01-14T19:00:00"/>
    <x v="84"/>
    <x v="7"/>
    <d v="2026-01-15T09:05:00"/>
    <x v="0"/>
    <x v="0"/>
    <n v="0"/>
    <x v="1"/>
    <x v="0"/>
    <d v="2026-01-15T08:55:00"/>
    <d v="1899-12-30T16:45:00"/>
    <n v="16.749999999941792"/>
    <x v="0"/>
    <d v="1899-12-30T14:30:00"/>
    <n v="14.500000000116415"/>
    <s v="SI"/>
    <d v="1899-12-31T07:15:00"/>
    <n v="31.250000000058208"/>
    <d v="1899-12-30T00:00:00"/>
    <x v="0"/>
    <n v="0"/>
    <d v="1899-12-31T06:50:00"/>
    <n v="30.833333333255723"/>
    <x v="0"/>
    <m/>
    <d v="1899-12-30T09:30:00"/>
    <s v="NO"/>
    <s v="3/26"/>
    <s v="MSKU1159461"/>
    <s v="OM TRANSPORT"/>
    <n v="475"/>
    <e v="#N/A"/>
    <n v="50"/>
    <n v="0"/>
    <n v="4"/>
    <x v="1"/>
    <s v="OM TRANSPORTWEEK"/>
    <n v="475"/>
    <n v="20"/>
    <m/>
    <m/>
    <n v="495"/>
    <n v="70"/>
    <n v="1"/>
    <s v="IBE MSO / INDITEX CT / NJU021 / JANUARY 2026 ESTIMATION"/>
  </r>
  <r>
    <s v="AL NEFUD"/>
    <x v="1"/>
    <d v="2026-01-14T02:15:00"/>
    <d v="2026-01-13T18:00:00"/>
    <x v="4"/>
    <s v="MAEU261216813"/>
    <x v="0"/>
    <s v="Sihanoukville"/>
    <s v="TCKU6898177"/>
    <s v="SIMEI LELYSTAD"/>
    <d v="2026-01-14T19:00:00"/>
    <x v="85"/>
    <x v="29"/>
    <d v="2026-01-15T07:15:00"/>
    <x v="0"/>
    <x v="0"/>
    <n v="0"/>
    <x v="1"/>
    <x v="0"/>
    <d v="2026-01-15T07:05:00"/>
    <d v="1899-12-30T16:45:00"/>
    <n v="16.749999999941792"/>
    <x v="0"/>
    <d v="1899-12-30T12:30:00"/>
    <n v="12.500000000058208"/>
    <s v="SI"/>
    <d v="1899-12-31T05:15:00"/>
    <n v="29.25"/>
    <d v="1899-12-30T00:00:00"/>
    <x v="0"/>
    <n v="0"/>
    <d v="1899-12-31T05:00:00"/>
    <n v="29.000000000058208"/>
    <x v="0"/>
    <m/>
    <d v="1899-12-30T07:30:00"/>
    <s v="NO"/>
    <s v="3/26"/>
    <s v="TCKU6898177"/>
    <s v="OM TRANSPORT"/>
    <n v="475"/>
    <e v="#N/A"/>
    <n v="50"/>
    <n v="0"/>
    <n v="4"/>
    <x v="1"/>
    <s v="OM TRANSPORTWEEK"/>
    <n v="475"/>
    <n v="20"/>
    <m/>
    <m/>
    <n v="495"/>
    <n v="70"/>
    <n v="1"/>
    <s v="IBE MSO / INDITEX CT / NJU021 / JANUARY 2026 ESTIMATION"/>
  </r>
  <r>
    <s v="AL NEFUD"/>
    <x v="1"/>
    <d v="2026-01-14T02:15:00"/>
    <d v="2026-01-13T18:00:00"/>
    <x v="4"/>
    <s v="MAEU261216813"/>
    <x v="0"/>
    <s v="Sihanoukville"/>
    <s v="TCKU7983118"/>
    <s v="SIMEI LELYSTAD"/>
    <d v="2026-01-14T19:00:00"/>
    <x v="86"/>
    <x v="30"/>
    <d v="2026-01-15T12:20:00"/>
    <x v="0"/>
    <x v="0"/>
    <n v="1"/>
    <x v="1"/>
    <x v="0"/>
    <d v="2026-01-15T12:10:00"/>
    <d v="1899-12-30T16:45:00"/>
    <n v="16.749999999941792"/>
    <x v="0"/>
    <d v="1899-12-30T17:30:00"/>
    <n v="17.500000000116415"/>
    <s v="SI"/>
    <d v="1899-12-31T10:15:00"/>
    <n v="34.250000000058208"/>
    <d v="1899-12-30T00:00:00"/>
    <x v="0"/>
    <n v="0"/>
    <d v="1899-12-31T10:05:00"/>
    <n v="34.083333333372138"/>
    <x v="0"/>
    <m/>
    <d v="1899-12-30T12:30:00"/>
    <s v="NO"/>
    <s v="3/26"/>
    <s v="TCKU7983118"/>
    <s v="OM TRANSPORT"/>
    <n v="475"/>
    <e v="#N/A"/>
    <n v="50"/>
    <n v="50"/>
    <n v="4"/>
    <x v="1"/>
    <s v="OM TRANSPORTWEEK"/>
    <n v="525"/>
    <n v="20"/>
    <m/>
    <m/>
    <n v="545"/>
    <n v="70"/>
    <n v="1"/>
    <s v="IBE MSO / INDITEX CT / NJU021 / JANUARY 2026 ESTIMATION"/>
  </r>
  <r>
    <s v="MARCHEN MAERSK"/>
    <x v="1"/>
    <d v="2025-12-29T11:41:00"/>
    <d v="2025-12-29T12:00:00"/>
    <x v="5"/>
    <s v="MAEU256081204"/>
    <x v="0"/>
    <s v="Shanghai"/>
    <s v="MSKU4784246"/>
    <s v="XPO TALLER LELYSTAD"/>
    <d v="2025-12-30T17:00:00"/>
    <x v="87"/>
    <x v="69"/>
    <d v="2026-01-02T07:45:00"/>
    <x v="0"/>
    <x v="0"/>
    <n v="0"/>
    <x v="0"/>
    <x v="0"/>
    <d v="2026-01-02T07:40:00"/>
    <d v="1899-12-31T05:19:00"/>
    <n v="29.316666666709352"/>
    <x v="0"/>
    <d v="1900-01-01T14:00:00"/>
    <n v="61.999999999883585"/>
    <s v="NO"/>
    <d v="1900-01-02T19:19:00"/>
    <n v="91.316666666592937"/>
    <d v="1899-12-30T00:40:00"/>
    <x v="1"/>
    <n v="0.66666666674427688"/>
    <d v="1900-01-02T20:04:00"/>
    <n v="92.066666666592937"/>
    <x v="1"/>
    <s v="Delivered when WHS requested it"/>
    <d v="1899-12-30T07:00:00"/>
    <s v="NO"/>
    <s v="1/26"/>
    <s v="MSKU4784246"/>
    <s v="OTL"/>
    <n v="530"/>
    <e v="#N/A"/>
    <n v="60"/>
    <n v="0"/>
    <n v="5"/>
    <x v="1"/>
    <s v="OTLWEEK"/>
    <n v="530"/>
    <n v="20"/>
    <m/>
    <m/>
    <n v="550"/>
    <n v="70"/>
    <n v="1"/>
    <s v="IBE MSO / INDITEX CT / NJU021 / JANUARY 2026 ESTIMATION"/>
  </r>
  <r>
    <s v="MAERSK SEOUL"/>
    <x v="0"/>
    <d v="2026-01-04T22:00:00"/>
    <d v="2026-01-03T20:00:00"/>
    <x v="5"/>
    <s v="MAEU261713161"/>
    <x v="0"/>
    <s v="Chittagong"/>
    <s v="MRSU5517414"/>
    <s v="LELYSTAD"/>
    <d v="2026-01-05T08:00:00"/>
    <x v="88"/>
    <x v="70"/>
    <d v="2026-01-05T17:00:00"/>
    <x v="0"/>
    <x v="0"/>
    <n v="0"/>
    <x v="2"/>
    <x v="0"/>
    <d v="2026-01-05T17:00:00"/>
    <d v="1899-12-30T10:00:00"/>
    <n v="10.000000000116415"/>
    <x v="0"/>
    <d v="1899-12-30T08:00:00"/>
    <n v="7.9999999998835847"/>
    <s v="SI"/>
    <d v="1899-12-30T18:00:00"/>
    <n v="18"/>
    <d v="1899-12-30T01:00:00"/>
    <x v="1"/>
    <n v="1.0000000001164153"/>
    <d v="1899-12-30T19:00:00"/>
    <n v="19.000000000116415"/>
    <x v="0"/>
    <m/>
    <d v="1899-12-30T16:00:00"/>
    <s v="NO"/>
    <s v="2/26"/>
    <s v="MRSU5517414"/>
    <s v="OTL"/>
    <n v="553.5"/>
    <e v="#N/A"/>
    <n v="60"/>
    <n v="0"/>
    <n v="1"/>
    <x v="1"/>
    <s v="OTLWEEK"/>
    <n v="763.5"/>
    <n v="20"/>
    <n v="210"/>
    <s v="16:45-22:15"/>
    <n v="783.5"/>
    <n v="70"/>
    <n v="1"/>
    <s v="IBE MSO / INDITEX CT / NJU021 / JANUARY 2026 ESTIMATION"/>
  </r>
  <r>
    <s v="MAERSK SEOUL"/>
    <x v="0"/>
    <d v="2026-01-04T22:00:00"/>
    <d v="2026-01-03T20:00:00"/>
    <x v="5"/>
    <s v="MAEU261713161"/>
    <x v="0"/>
    <s v="Chittagong"/>
    <s v="MRKU5674350"/>
    <s v="LELYSTAD"/>
    <d v="2026-01-05T08:00:00"/>
    <x v="89"/>
    <x v="71"/>
    <d v="2026-01-06T01:00:00"/>
    <x v="0"/>
    <x v="0"/>
    <n v="0"/>
    <x v="2"/>
    <x v="0"/>
    <d v="2026-01-06T01:00:00"/>
    <d v="1899-12-30T10:00:00"/>
    <n v="10.000000000116415"/>
    <x v="0"/>
    <d v="1899-12-30T16:00:00"/>
    <n v="15.999999999941792"/>
    <s v="SI"/>
    <d v="1899-12-31T02:00:00"/>
    <n v="26.000000000058208"/>
    <d v="1899-12-30T01:00:00"/>
    <x v="1"/>
    <n v="0.99999999994179234"/>
    <d v="1899-12-31T03:00:00"/>
    <n v="27"/>
    <x v="0"/>
    <m/>
    <d v="1899-12-30T00:00:00"/>
    <s v="NIGHT"/>
    <s v="2/26"/>
    <s v="MRKU5674350"/>
    <s v="OTL"/>
    <n v="553.5"/>
    <e v="#N/A"/>
    <n v="60"/>
    <n v="0"/>
    <n v="2"/>
    <x v="3"/>
    <s v="OTLNIGHT"/>
    <n v="553.5"/>
    <n v="20"/>
    <m/>
    <m/>
    <n v="573.5"/>
    <n v="70"/>
    <n v="1"/>
    <s v="IBE MSO / INDITEX CT / NJU021 / JANUARY 2026 ESTIMATION"/>
  </r>
  <r>
    <s v="MAERSK SEOUL"/>
    <x v="0"/>
    <d v="2026-01-04T22:00:00"/>
    <d v="2026-01-03T20:00:00"/>
    <x v="5"/>
    <s v="MAEU261713161"/>
    <x v="0"/>
    <s v="Chittagong"/>
    <s v="SUDU8785373"/>
    <s v="SIMEI LELYSTAD"/>
    <d v="2026-01-05T08:00:00"/>
    <x v="90"/>
    <x v="72"/>
    <d v="2026-01-06T12:40:00"/>
    <x v="0"/>
    <x v="0"/>
    <n v="0"/>
    <x v="2"/>
    <x v="0"/>
    <d v="2026-01-06T11:15:00"/>
    <d v="1899-12-30T10:00:00"/>
    <n v="10.000000000116415"/>
    <x v="0"/>
    <d v="1899-12-31T03:00:00"/>
    <n v="27"/>
    <s v="NO"/>
    <d v="1899-12-31T13:00:00"/>
    <n v="37.000000000116415"/>
    <d v="1899-12-30T00:15:00"/>
    <x v="0"/>
    <n v="0.24999999994179234"/>
    <d v="1899-12-31T14:40:00"/>
    <n v="38.666666666802485"/>
    <x v="0"/>
    <m/>
    <d v="1899-12-30T11:00:00"/>
    <s v="NO"/>
    <s v="2/26"/>
    <s v="SUDU8785373"/>
    <s v="OTL"/>
    <n v="553.5"/>
    <e v="#N/A"/>
    <n v="60"/>
    <n v="0"/>
    <n v="2"/>
    <x v="1"/>
    <s v="OTLWEEK"/>
    <n v="553.5"/>
    <n v="20"/>
    <m/>
    <m/>
    <n v="573.5"/>
    <n v="70"/>
    <n v="1"/>
    <s v="IBE MSO / INDITEX CT / NJU021 / JANUARY 2026 ESTIMATION"/>
  </r>
  <r>
    <s v="MAERSK SEOUL"/>
    <x v="0"/>
    <d v="2026-01-04T22:00:00"/>
    <d v="2026-01-03T20:00:00"/>
    <x v="5"/>
    <s v="MAEU261713161"/>
    <x v="0"/>
    <s v="Chittagong"/>
    <s v="TCLU3479976"/>
    <s v="SIMEI LELYSTAD"/>
    <d v="2026-01-05T08:00:00"/>
    <x v="91"/>
    <x v="57"/>
    <d v="2026-01-06T16:25:00"/>
    <x v="0"/>
    <x v="0"/>
    <n v="1"/>
    <x v="2"/>
    <x v="0"/>
    <d v="2026-01-06T16:15:00"/>
    <d v="1899-12-30T10:00:00"/>
    <n v="10.000000000116415"/>
    <x v="0"/>
    <d v="1899-12-31T08:00:00"/>
    <n v="31.999999999883585"/>
    <s v="NO"/>
    <d v="1899-12-31T18:00:00"/>
    <n v="42"/>
    <d v="1899-12-30T00:15:00"/>
    <x v="0"/>
    <n v="0.25000000011641532"/>
    <d v="1899-12-31T18:25:00"/>
    <n v="42.416666666802485"/>
    <x v="0"/>
    <m/>
    <d v="1899-12-30T16:00:00"/>
    <s v="NO"/>
    <s v="2/26"/>
    <s v="TCLU3479976"/>
    <s v="OTL"/>
    <n v="553.5"/>
    <e v="#N/A"/>
    <n v="60"/>
    <n v="60"/>
    <n v="2"/>
    <x v="1"/>
    <s v="OTLWEEK"/>
    <n v="613.5"/>
    <n v="20"/>
    <m/>
    <m/>
    <n v="633.5"/>
    <n v="70"/>
    <n v="1"/>
    <s v="IBE MSO / INDITEX CT / NJU021 / JANUARY 2026 ESTIMATION"/>
  </r>
  <r>
    <s v="MAERSK SEOUL"/>
    <x v="0"/>
    <d v="2026-01-04T22:00:00"/>
    <d v="2026-01-03T20:00:00"/>
    <x v="5"/>
    <s v="MAEU262378355"/>
    <x v="0"/>
    <s v="Chittagong"/>
    <s v="HASU4818331"/>
    <s v="LELYSTAD"/>
    <d v="2026-01-05T08:00:00"/>
    <x v="92"/>
    <x v="57"/>
    <d v="2026-01-06T17:30:00"/>
    <x v="0"/>
    <x v="0"/>
    <n v="0"/>
    <x v="2"/>
    <x v="0"/>
    <d v="2026-01-06T16:30:00"/>
    <d v="1899-12-30T10:00:00"/>
    <n v="10.000000000116415"/>
    <x v="0"/>
    <d v="1899-12-31T08:00:00"/>
    <n v="31.999999999883585"/>
    <s v="NO"/>
    <d v="1899-12-31T18:00:00"/>
    <n v="42"/>
    <d v="1899-12-30T00:30:00"/>
    <x v="0"/>
    <n v="0.50000000005820766"/>
    <d v="1899-12-31T19:30:00"/>
    <n v="43.5"/>
    <x v="0"/>
    <m/>
    <d v="1899-12-30T16:00:00"/>
    <s v="NO"/>
    <s v="2/26"/>
    <s v="HASU4818331"/>
    <s v="OTL"/>
    <n v="553.5"/>
    <e v="#N/A"/>
    <n v="60"/>
    <n v="0"/>
    <n v="2"/>
    <x v="1"/>
    <s v="OTLWEEK"/>
    <n v="553.5"/>
    <n v="20"/>
    <m/>
    <m/>
    <n v="573.5"/>
    <n v="70"/>
    <n v="1"/>
    <s v="IBE MSO / INDITEX CT / NJU021 / JANUARY 2026 ESTIMATION"/>
  </r>
  <r>
    <s v="AL NEFUD"/>
    <x v="1"/>
    <d v="2026-01-14T02:15:00"/>
    <d v="2026-01-13T18:00:00"/>
    <x v="5"/>
    <s v="MAEU261216813"/>
    <x v="0"/>
    <s v="Sihanoukville"/>
    <s v="HASU4596764"/>
    <s v="SIMEI LELYSTAD"/>
    <d v="2026-01-14T19:00:00"/>
    <x v="93"/>
    <x v="31"/>
    <d v="2026-01-15T12:10:00"/>
    <x v="0"/>
    <x v="0"/>
    <n v="0"/>
    <x v="1"/>
    <x v="0"/>
    <d v="2026-01-15T12:00:00"/>
    <d v="1899-12-30T16:45:00"/>
    <n v="16.749999999941792"/>
    <x v="0"/>
    <d v="1899-12-30T16:00:00"/>
    <n v="16.000000000116415"/>
    <s v="SI"/>
    <d v="1899-12-31T08:45:00"/>
    <n v="32.750000000058208"/>
    <d v="1899-12-30T01:00:00"/>
    <x v="1"/>
    <n v="0.99999999994179234"/>
    <d v="1899-12-31T09:55:00"/>
    <n v="33.916666666686069"/>
    <x v="0"/>
    <m/>
    <d v="1899-12-30T11:00:00"/>
    <s v="NO"/>
    <s v="3/26"/>
    <s v="HASU4596764"/>
    <s v="OTL"/>
    <n v="530"/>
    <e v="#N/A"/>
    <n v="60"/>
    <n v="0"/>
    <n v="4"/>
    <x v="1"/>
    <s v="OTLWEEK"/>
    <n v="530"/>
    <n v="20"/>
    <m/>
    <m/>
    <n v="550"/>
    <n v="70"/>
    <n v="1"/>
    <s v="IBE MSO / INDITEX CT / NJU021 / JANUARY 2026 ESTIMATION"/>
  </r>
  <r>
    <s v="AL NEFUD"/>
    <x v="1"/>
    <d v="2026-01-14T02:15:00"/>
    <d v="2026-01-13T18:00:00"/>
    <x v="5"/>
    <s v="MAEU261216813"/>
    <x v="0"/>
    <s v="Sihanoukville"/>
    <s v="MRKU5158590"/>
    <s v="SIMEI LELYSTAD"/>
    <d v="2026-01-14T19:00:00"/>
    <x v="7"/>
    <x v="31"/>
    <d v="2026-01-15T11:10:00"/>
    <x v="0"/>
    <x v="0"/>
    <n v="0"/>
    <x v="1"/>
    <x v="0"/>
    <d v="2026-01-15T11:00:00"/>
    <d v="1899-12-30T16:45:00"/>
    <n v="16.749999999941792"/>
    <x v="0"/>
    <d v="1899-12-30T16:00:00"/>
    <n v="16.000000000116415"/>
    <s v="SI"/>
    <d v="1899-12-31T08:45:00"/>
    <n v="32.750000000058208"/>
    <d v="1899-12-30T00:00:00"/>
    <x v="0"/>
    <n v="0"/>
    <d v="1899-12-31T08:55:00"/>
    <n v="32.916666666744277"/>
    <x v="0"/>
    <m/>
    <d v="1899-12-30T11:00:00"/>
    <s v="NO"/>
    <s v="3/26"/>
    <s v="MRKU5158590"/>
    <s v="OTL"/>
    <n v="530"/>
    <e v="#N/A"/>
    <n v="60"/>
    <n v="0"/>
    <n v="4"/>
    <x v="1"/>
    <s v="OTLWEEK"/>
    <n v="575"/>
    <n v="20"/>
    <n v="45"/>
    <s v="11:00-13:45"/>
    <n v="595"/>
    <n v="70"/>
    <n v="1"/>
    <s v="IBE MSO / INDITEX CT / NJU021 / JANUARY 2026 ESTIMATION"/>
  </r>
  <r>
    <s v="AL NEFUD"/>
    <x v="1"/>
    <d v="2026-01-14T02:15:00"/>
    <d v="2026-01-13T18:00:00"/>
    <x v="5"/>
    <s v="MAEU258733058"/>
    <x v="0"/>
    <s v="Shanghai"/>
    <s v="MSKU4694559"/>
    <s v="SIMEI LELYSTAD"/>
    <d v="2026-01-14T19:00:00"/>
    <x v="94"/>
    <x v="73"/>
    <d v="2026-01-14T20:17:00"/>
    <x v="0"/>
    <x v="0"/>
    <n v="2"/>
    <x v="1"/>
    <x v="0"/>
    <d v="2026-01-14T20:17:00"/>
    <d v="1899-12-30T16:45:00"/>
    <n v="16.749999999941792"/>
    <x v="0"/>
    <d v="1899-12-30T01:30:00"/>
    <n v="1.5"/>
    <s v="SI"/>
    <d v="1899-12-30T18:15:00"/>
    <n v="18.249999999941792"/>
    <d v="1899-12-30T00:00:00"/>
    <x v="0"/>
    <n v="0"/>
    <d v="1899-12-30T18:02:00"/>
    <n v="18.033333333267365"/>
    <x v="0"/>
    <m/>
    <d v="1899-12-30T20:30:00"/>
    <s v="NIGHT"/>
    <s v="3/26"/>
    <s v="MSKU4694559"/>
    <s v="OTL"/>
    <n v="530"/>
    <e v="#N/A"/>
    <n v="60"/>
    <n v="120"/>
    <n v="3"/>
    <x v="3"/>
    <s v="OTLNIGHT"/>
    <n v="650"/>
    <n v="20"/>
    <m/>
    <m/>
    <n v="670"/>
    <n v="70"/>
    <n v="1"/>
    <s v="IBE MSO / INDITEX CT / NJU021 / JANUARY 2026 ESTIMATION"/>
  </r>
  <r>
    <s v="AL NEFUD"/>
    <x v="1"/>
    <d v="2026-01-14T02:15:00"/>
    <d v="2026-01-13T18:00:00"/>
    <x v="5"/>
    <s v="MAEU258733058"/>
    <x v="0"/>
    <s v="Shanghai"/>
    <s v="SUDU6888691"/>
    <s v="SIMEI LELYSTAD"/>
    <d v="2026-01-14T19:00:00"/>
    <x v="95"/>
    <x v="73"/>
    <d v="2026-01-14T20:20:00"/>
    <x v="0"/>
    <x v="0"/>
    <n v="1"/>
    <x v="1"/>
    <x v="0"/>
    <d v="2026-01-14T20:20:00"/>
    <d v="1899-12-30T16:45:00"/>
    <n v="16.749999999941792"/>
    <x v="0"/>
    <d v="1899-12-30T01:30:00"/>
    <n v="1.5"/>
    <s v="SI"/>
    <d v="1899-12-30T18:15:00"/>
    <n v="18.249999999941792"/>
    <d v="1899-12-30T00:00:00"/>
    <x v="0"/>
    <n v="0"/>
    <d v="1899-12-30T18:05:00"/>
    <n v="18.083333333255723"/>
    <x v="0"/>
    <m/>
    <d v="1899-12-30T20:30:00"/>
    <s v="NIGHT"/>
    <s v="3/26"/>
    <s v="SUDU6888691"/>
    <s v="OTL"/>
    <n v="530"/>
    <e v="#N/A"/>
    <n v="60"/>
    <n v="60"/>
    <n v="3"/>
    <x v="3"/>
    <s v="OTLNIGHT"/>
    <n v="590"/>
    <n v="20"/>
    <m/>
    <m/>
    <n v="610"/>
    <n v="70"/>
    <n v="1"/>
    <s v="IBE MSO / INDITEX CT / NJU021 / JANUARY 2026 ESTIMATION"/>
  </r>
  <r>
    <s v="TAYMA EXPRESS"/>
    <x v="0"/>
    <d v="2026-01-15T12:54:00"/>
    <d v="2026-01-15T09:00:00"/>
    <x v="4"/>
    <s v="MAEU262320502"/>
    <x v="0"/>
    <s v="Karachi-Muhammad Bin Qasim"/>
    <s v="TGBU9365427"/>
    <s v="LELYSTAD"/>
    <d v="2026-01-17T08:00:00"/>
    <x v="96"/>
    <x v="74"/>
    <d v="2026-01-17T09:05:00"/>
    <x v="0"/>
    <x v="0"/>
    <n v="0"/>
    <x v="1"/>
    <x v="0"/>
    <d v="2026-01-17T07:25:00"/>
    <d v="1899-12-31T19:06:00"/>
    <n v="43.100000000093132"/>
    <x v="0"/>
    <d v="1899-12-30T00:00:00"/>
    <n v="0"/>
    <s v="SI"/>
    <d v="1899-12-31T19:06:00"/>
    <n v="43.100000000093132"/>
    <d v="1899-12-30T00:00:00"/>
    <x v="0"/>
    <n v="0"/>
    <d v="1899-12-31T20:11:00"/>
    <n v="44.183333333290648"/>
    <x v="0"/>
    <m/>
    <d v="1899-12-30T08:00:00"/>
    <s v="NO"/>
    <s v="3/26"/>
    <s v="TGBU9365427"/>
    <s v="OM TRANSPORT"/>
    <n v="573.5"/>
    <e v="#N/A"/>
    <n v="50"/>
    <n v="0"/>
    <n v="6"/>
    <x v="0"/>
    <s v="OM TRANSPORTSATURDAY"/>
    <n v="708.5"/>
    <n v="20"/>
    <n v="135"/>
    <s v="08:00-13:00"/>
    <n v="728.5"/>
    <n v="70"/>
    <n v="1"/>
    <s v="IBE MSO / INDITEX CT / NJU021 / JANUARY 2026 ESTIMATION"/>
  </r>
  <r>
    <s v="TAYMA EXPRESS"/>
    <x v="0"/>
    <d v="2026-01-15T12:54:00"/>
    <d v="2026-01-15T09:00:00"/>
    <x v="3"/>
    <s v="MAEU262320574"/>
    <x v="0"/>
    <s v="Karachi-Muhammad Bin Qasim"/>
    <s v="MRKU8925124"/>
    <s v="SIMEI LELYSTAD"/>
    <d v="2026-01-17T08:00:00"/>
    <x v="97"/>
    <x v="75"/>
    <d v="2026-01-18T08:15:00"/>
    <x v="0"/>
    <x v="0"/>
    <n v="1"/>
    <x v="1"/>
    <x v="0"/>
    <d v="2026-01-18T08:29:00"/>
    <d v="1899-12-31T19:06:00"/>
    <n v="43.100000000093132"/>
    <x v="0"/>
    <d v="1899-12-31T00:00:00"/>
    <n v="24"/>
    <s v="SI"/>
    <d v="1900-01-01T19:06:00"/>
    <n v="67.100000000093132"/>
    <d v="1899-12-30T00:29:00"/>
    <x v="0"/>
    <n v="0.48333333333721384"/>
    <d v="1900-01-01T19:21:00"/>
    <n v="67.350000000034925"/>
    <x v="1"/>
    <m/>
    <d v="1899-12-30T08:00:00"/>
    <s v="NO"/>
    <s v="3/26"/>
    <s v="MRKU8925124"/>
    <s v="MSI"/>
    <n v="523.5"/>
    <e v="#N/A"/>
    <n v="50"/>
    <n v="50"/>
    <n v="7"/>
    <x v="2"/>
    <s v="MSISUNDAY"/>
    <n v="573.5"/>
    <n v="20"/>
    <m/>
    <m/>
    <n v="593.5"/>
    <n v="70"/>
    <n v="1"/>
    <s v="IBE MSO / INDITEX CT / NJU021 / JANUARY 2026 ESTIMATION"/>
  </r>
  <r>
    <s v="TAYMA EXPRESS"/>
    <x v="0"/>
    <d v="2026-01-15T12:54:00"/>
    <d v="2026-01-15T09:00:00"/>
    <x v="3"/>
    <s v="MAEU262320502"/>
    <x v="0"/>
    <s v="Karachi-Muhammad Bin Qasim"/>
    <s v="TCNU7982034"/>
    <s v="SIMEI LELYSTAD"/>
    <d v="2026-01-17T08:00:00"/>
    <x v="98"/>
    <x v="75"/>
    <d v="2026-01-18T08:15:00"/>
    <x v="0"/>
    <x v="0"/>
    <n v="2"/>
    <x v="1"/>
    <x v="0"/>
    <d v="2026-01-18T09:27:00"/>
    <d v="1899-12-31T19:06:00"/>
    <n v="43.100000000093132"/>
    <x v="0"/>
    <d v="1899-12-31T00:00:00"/>
    <n v="24"/>
    <s v="SI"/>
    <d v="1900-01-01T19:06:00"/>
    <n v="67.100000000093132"/>
    <d v="1899-12-30T01:27:00"/>
    <x v="1"/>
    <n v="1.4500000000116415"/>
    <d v="1900-01-01T19:21:00"/>
    <n v="67.350000000034925"/>
    <x v="1"/>
    <m/>
    <d v="1899-12-30T08:00:00"/>
    <s v="NO"/>
    <s v="3/26"/>
    <s v="TCNU7982034"/>
    <s v="MSI"/>
    <n v="523.5"/>
    <e v="#N/A"/>
    <n v="50"/>
    <n v="100"/>
    <n v="7"/>
    <x v="2"/>
    <s v="MSISUNDAY"/>
    <n v="623.5"/>
    <n v="20"/>
    <m/>
    <m/>
    <n v="643.5"/>
    <n v="70"/>
    <n v="1"/>
    <s v="IBE MSO / INDITEX CT / NJU021 / JANUARY 2026 ESTIMATION"/>
  </r>
  <r>
    <s v="TAYMA EXPRESS"/>
    <x v="0"/>
    <d v="2026-01-15T12:54:00"/>
    <d v="2026-01-15T09:00:00"/>
    <x v="4"/>
    <s v="MAEU262320502"/>
    <x v="0"/>
    <s v="Karachi-Muhammad Bin Qasim"/>
    <s v="CAAU5412165"/>
    <s v="SIMEI LELYSTAD"/>
    <d v="2026-01-17T08:00:00"/>
    <x v="99"/>
    <x v="76"/>
    <d v="2026-01-18T10:18:00"/>
    <x v="0"/>
    <x v="0"/>
    <n v="1"/>
    <x v="1"/>
    <x v="0"/>
    <d v="2026-01-18T10:11:00"/>
    <d v="1899-12-31T19:06:00"/>
    <n v="43.100000000093132"/>
    <x v="0"/>
    <d v="1899-12-31T02:00:00"/>
    <n v="25.999999999883585"/>
    <s v="NO"/>
    <d v="1900-01-01T21:06:00"/>
    <n v="69.099999999976717"/>
    <d v="1899-12-30T00:11:00"/>
    <x v="0"/>
    <n v="0.18333333340706304"/>
    <d v="1900-01-01T21:24:00"/>
    <n v="69.400000000081491"/>
    <x v="1"/>
    <m/>
    <d v="1899-12-30T10:00:00"/>
    <s v="NO"/>
    <s v="3/26"/>
    <s v="CAAU5412165"/>
    <s v="OM TRANSPORT"/>
    <n v="573.5"/>
    <e v="#N/A"/>
    <n v="50"/>
    <n v="50"/>
    <n v="7"/>
    <x v="2"/>
    <s v="OM TRANSPORTSUNDAY"/>
    <n v="713.5"/>
    <n v="20"/>
    <n v="90"/>
    <s v="10:00-14:00"/>
    <n v="733.5"/>
    <n v="70"/>
    <n v="1"/>
    <s v="IBE MSO / INDITEX CT / NJU021 / JANUARY 2026 ESTIMATION"/>
  </r>
  <r>
    <s v="MILAN MAERSK"/>
    <x v="1"/>
    <d v="2026-01-20T23:29:00"/>
    <d v="2026-01-20T23:30:00"/>
    <x v="4"/>
    <s v="MAEU261728011"/>
    <x v="0"/>
    <s v="Sihanoukville"/>
    <s v="MAEU9199117"/>
    <s v="SIMEI LELYSTAD"/>
    <d v="2026-01-22T06:00:00"/>
    <x v="100"/>
    <x v="77"/>
    <d v="2026-01-22T06:20:00"/>
    <x v="0"/>
    <x v="0"/>
    <n v="0"/>
    <x v="3"/>
    <x v="0"/>
    <d v="2026-01-22T06:12:00"/>
    <d v="1899-12-31T06:31:00"/>
    <n v="30.516666666604578"/>
    <x v="0"/>
    <d v="1899-12-30T00:00:00"/>
    <n v="0"/>
    <s v="SI"/>
    <d v="1899-12-31T06:31:00"/>
    <n v="30.516666666604578"/>
    <d v="1899-12-30T00:12:00"/>
    <x v="0"/>
    <n v="0.19999999995343387"/>
    <d v="1899-12-31T06:51:00"/>
    <n v="30.849999999976717"/>
    <x v="0"/>
    <m/>
    <d v="1899-12-30T06:00:00"/>
    <s v="NO"/>
    <s v="4/26"/>
    <s v="MAEU9199117"/>
    <s v="OM TRANSPORT"/>
    <n v="475"/>
    <e v="#N/A"/>
    <n v="50"/>
    <n v="0"/>
    <n v="4"/>
    <x v="1"/>
    <s v="OM TRANSPORTWEEK"/>
    <n v="475"/>
    <n v="20"/>
    <m/>
    <m/>
    <n v="495"/>
    <n v="70"/>
    <n v="1"/>
    <s v="IBE MSO / INDITEX CT / NJU021 / JANUARY 2026 ESTIMATION"/>
  </r>
  <r>
    <s v="MILAN MAERSK"/>
    <x v="1"/>
    <d v="2026-01-20T23:29:00"/>
    <d v="2026-01-20T23:30:00"/>
    <x v="2"/>
    <s v="MAEU261728011"/>
    <x v="0"/>
    <s v="Sihanoukville"/>
    <s v="UETU8173128"/>
    <s v="SIMEI LELYSTAD"/>
    <d v="2026-01-22T06:00:00"/>
    <x v="101"/>
    <x v="77"/>
    <d v="2026-01-22T06:20:00"/>
    <x v="0"/>
    <x v="0"/>
    <n v="2"/>
    <x v="3"/>
    <x v="0"/>
    <d v="2026-01-22T09:04:00"/>
    <d v="1899-12-31T06:31:00"/>
    <n v="30.516666666604578"/>
    <x v="0"/>
    <d v="1899-12-30T00:00:00"/>
    <n v="0"/>
    <s v="SI"/>
    <d v="1899-12-31T06:31:00"/>
    <n v="30.516666666604578"/>
    <d v="1899-12-30T03:04:00"/>
    <x v="1"/>
    <n v="3.0666666667093523"/>
    <d v="1899-12-31T06:51:00"/>
    <n v="30.849999999976717"/>
    <x v="0"/>
    <m/>
    <d v="1899-12-30T06:00:00"/>
    <s v="NO"/>
    <s v="4/26"/>
    <s v="UETU8173128"/>
    <s v="LOGIX"/>
    <n v="550"/>
    <e v="#N/A"/>
    <n v="50"/>
    <n v="100"/>
    <n v="4"/>
    <x v="1"/>
    <s v="LOGIXWEEK"/>
    <n v="650"/>
    <n v="20"/>
    <m/>
    <m/>
    <n v="670"/>
    <n v="70"/>
    <n v="1"/>
    <s v="IBE MSO / INDITEX CT / NJU021 / JANUARY 2026 ESTIMATION"/>
  </r>
  <r>
    <s v="MILAN MAERSK"/>
    <x v="1"/>
    <d v="2026-01-20T23:29:00"/>
    <d v="2026-01-20T23:30:00"/>
    <x v="4"/>
    <s v="MAEU262656281"/>
    <x v="0"/>
    <s v="Yantian"/>
    <s v="MRKU6993639"/>
    <s v="SIMEI LELYSTAD"/>
    <d v="2026-01-22T06:00:00"/>
    <x v="102"/>
    <x v="78"/>
    <d v="2026-01-22T06:45:00"/>
    <x v="0"/>
    <x v="0"/>
    <n v="0"/>
    <x v="3"/>
    <x v="0"/>
    <d v="2026-01-22T06:34:00"/>
    <d v="1899-12-31T06:31:00"/>
    <n v="30.516666666604578"/>
    <x v="0"/>
    <d v="1899-12-30T00:30:00"/>
    <n v="0.50000000005820766"/>
    <s v="SI"/>
    <d v="1899-12-31T07:01:00"/>
    <n v="31.016666666662786"/>
    <d v="1899-12-30T00:04:00"/>
    <x v="0"/>
    <n v="6.6666666534729302E-2"/>
    <d v="1899-12-31T07:16:00"/>
    <n v="31.266666666604578"/>
    <x v="0"/>
    <m/>
    <d v="1899-12-30T06:30:00"/>
    <s v="NO"/>
    <s v="4/26"/>
    <s v="MRKU6993639"/>
    <s v="OM TRANSPORT"/>
    <n v="475"/>
    <e v="#N/A"/>
    <n v="50"/>
    <n v="0"/>
    <n v="4"/>
    <x v="1"/>
    <s v="OM TRANSPORTWEEK"/>
    <n v="475"/>
    <n v="20"/>
    <m/>
    <m/>
    <n v="495"/>
    <n v="70"/>
    <n v="1"/>
    <s v="IBE MSO / INDITEX CT / NJU021 / JANUARY 2026 ESTIMATION"/>
  </r>
  <r>
    <s v="MILAN MAERSK"/>
    <x v="1"/>
    <d v="2026-01-20T23:29:00"/>
    <d v="2026-01-20T23:30:00"/>
    <x v="2"/>
    <s v="MAEU259153967"/>
    <x v="0"/>
    <s v="Shanghai"/>
    <s v="MRSU6620643"/>
    <s v="SIMEI LELYSTAD"/>
    <d v="2026-01-22T06:00:00"/>
    <x v="103"/>
    <x v="79"/>
    <d v="2026-01-22T08:05:00"/>
    <x v="0"/>
    <x v="0"/>
    <n v="0"/>
    <x v="3"/>
    <x v="0"/>
    <d v="2026-01-22T07:19:00"/>
    <d v="1899-12-31T06:31:00"/>
    <n v="30.516666666604578"/>
    <x v="0"/>
    <d v="1899-12-30T01:30:00"/>
    <n v="1.5"/>
    <s v="SI"/>
    <d v="1899-12-31T08:01:00"/>
    <n v="32.016666666604578"/>
    <d v="1899-12-30T00:00:00"/>
    <x v="0"/>
    <n v="0"/>
    <d v="1899-12-31T08:36:00"/>
    <n v="32.599999999918509"/>
    <x v="0"/>
    <m/>
    <d v="1899-12-30T07:30:00"/>
    <s v="NO"/>
    <s v="4/26"/>
    <s v="MRSU6620643"/>
    <s v="LOGIX"/>
    <n v="550"/>
    <e v="#N/A"/>
    <n v="50"/>
    <n v="0"/>
    <n v="4"/>
    <x v="1"/>
    <s v="LOGIXWEEK"/>
    <n v="550"/>
    <n v="20"/>
    <m/>
    <m/>
    <n v="570"/>
    <n v="70"/>
    <n v="1"/>
    <s v="IBE MSO / INDITEX CT / NJU021 / JANUARY 2026 ESTIMATION"/>
  </r>
  <r>
    <s v="MILAN MAERSK"/>
    <x v="1"/>
    <d v="2026-01-20T23:29:00"/>
    <d v="2026-01-20T23:30:00"/>
    <x v="3"/>
    <s v="MAEU262656281"/>
    <x v="0"/>
    <s v="Yantian"/>
    <s v="MRSU9212080"/>
    <s v="SIMEI LELYSTAD"/>
    <d v="2026-01-22T06:00:00"/>
    <x v="103"/>
    <x v="79"/>
    <d v="2026-01-22T07:30:00"/>
    <x v="0"/>
    <x v="0"/>
    <n v="0"/>
    <x v="3"/>
    <x v="0"/>
    <d v="2026-01-22T07:19:00"/>
    <d v="1899-12-31T06:31:00"/>
    <n v="30.516666666604578"/>
    <x v="0"/>
    <d v="1899-12-30T01:30:00"/>
    <n v="1.5"/>
    <s v="SI"/>
    <d v="1899-12-31T08:01:00"/>
    <n v="32.016666666604578"/>
    <d v="1899-12-30T00:00:00"/>
    <x v="0"/>
    <n v="0"/>
    <d v="1899-12-31T08:01:00"/>
    <n v="32.016666666604578"/>
    <x v="0"/>
    <m/>
    <d v="1899-12-30T07:30:00"/>
    <s v="NO"/>
    <s v="4/26"/>
    <s v="MRSU9212080"/>
    <s v="MSI"/>
    <n v="480"/>
    <e v="#N/A"/>
    <n v="50"/>
    <n v="0"/>
    <n v="4"/>
    <x v="1"/>
    <s v="MSIWEEK"/>
    <n v="480"/>
    <n v="20"/>
    <m/>
    <m/>
    <n v="500"/>
    <n v="70"/>
    <n v="1"/>
    <s v="IBE MSO / INDITEX CT / NJU021 / JANUARY 2026 ESTIMATION"/>
  </r>
  <r>
    <s v="MILAN MAERSK"/>
    <x v="1"/>
    <d v="2026-01-20T23:29:00"/>
    <d v="2026-01-20T23:30:00"/>
    <x v="3"/>
    <s v="MAEU261389891"/>
    <x v="0"/>
    <s v="Haiphong"/>
    <s v="MSKU5718260"/>
    <s v="LELYSTAD"/>
    <d v="2026-01-22T06:00:00"/>
    <x v="103"/>
    <x v="79"/>
    <d v="2026-01-22T07:45:00"/>
    <x v="0"/>
    <x v="0"/>
    <n v="0"/>
    <x v="3"/>
    <x v="0"/>
    <d v="2026-01-22T07:19:00"/>
    <d v="1899-12-31T06:31:00"/>
    <n v="30.516666666604578"/>
    <x v="0"/>
    <d v="1899-12-30T01:30:00"/>
    <n v="1.5"/>
    <s v="SI"/>
    <d v="1899-12-31T08:01:00"/>
    <n v="32.016666666604578"/>
    <d v="1899-12-30T00:00:00"/>
    <x v="0"/>
    <n v="0"/>
    <d v="1899-12-31T08:16:00"/>
    <n v="32.266666666546371"/>
    <x v="0"/>
    <m/>
    <d v="1899-12-30T07:30:00"/>
    <s v="NO"/>
    <s v="4/26"/>
    <s v="MSKU5718260"/>
    <s v="MSI"/>
    <n v="480"/>
    <e v="#N/A"/>
    <n v="50"/>
    <n v="0"/>
    <n v="4"/>
    <x v="1"/>
    <s v="MSIWEEK"/>
    <n v="480"/>
    <n v="20"/>
    <m/>
    <m/>
    <n v="500"/>
    <n v="70"/>
    <n v="1"/>
    <s v="IBE MSO / INDITEX CT / NJU021 / JANUARY 2026 ESTIMATION"/>
  </r>
  <r>
    <s v="MILAN MAERSK"/>
    <x v="1"/>
    <d v="2026-01-20T23:29:00"/>
    <d v="2026-01-20T23:30:00"/>
    <x v="1"/>
    <s v="MAEU259153967"/>
    <x v="0"/>
    <s v="Shanghai"/>
    <s v="MSKU4792350"/>
    <s v="XPO TALLER LELYSTAD"/>
    <d v="2026-01-22T06:00:00"/>
    <x v="104"/>
    <x v="80"/>
    <d v="2026-01-22T08:55:00"/>
    <x v="0"/>
    <x v="0"/>
    <n v="1"/>
    <x v="3"/>
    <x v="0"/>
    <d v="2026-01-22T08:35:00"/>
    <d v="1899-12-31T06:31:00"/>
    <n v="30.516666666604578"/>
    <x v="0"/>
    <d v="1899-12-30T02:30:00"/>
    <n v="2.4999999999417923"/>
    <s v="SI"/>
    <d v="1899-12-31T09:01:00"/>
    <n v="33.016666666546371"/>
    <d v="1899-12-30T00:05:00"/>
    <x v="0"/>
    <n v="8.3333333430346102E-2"/>
    <d v="1899-12-31T09:26:00"/>
    <n v="33.433333333348855"/>
    <x v="0"/>
    <m/>
    <d v="1899-12-30T08:30:00"/>
    <s v="NO"/>
    <s v="4/26"/>
    <s v="MSKU4792350"/>
    <s v="CTK TRANSPORT"/>
    <n v="550"/>
    <e v="#N/A"/>
    <n v="50"/>
    <n v="50"/>
    <n v="4"/>
    <x v="1"/>
    <s v="CTK TRANSPORTWEEK"/>
    <n v="687.5"/>
    <n v="20"/>
    <n v="87.5"/>
    <s v="09:00-13:45"/>
    <n v="707.5"/>
    <n v="70"/>
    <n v="1"/>
    <s v="IBE MSO / INDITEX CT / NJU021 / JANUARY 2026 ESTIMATION"/>
  </r>
  <r>
    <s v="MILAN MAERSK"/>
    <x v="1"/>
    <d v="2026-01-20T23:29:00"/>
    <d v="2026-01-20T23:30:00"/>
    <x v="4"/>
    <s v="MAEU261728011"/>
    <x v="0"/>
    <s v="Sihanoukville"/>
    <s v="MAEU9221231"/>
    <s v="SIMEI LELYSTAD"/>
    <d v="2026-01-22T06:00:00"/>
    <x v="105"/>
    <x v="81"/>
    <d v="2026-01-22T09:30:00"/>
    <x v="0"/>
    <x v="0"/>
    <n v="0"/>
    <x v="3"/>
    <x v="0"/>
    <d v="2026-01-22T09:00:00"/>
    <d v="1899-12-31T06:31:00"/>
    <n v="30.516666666604578"/>
    <x v="0"/>
    <d v="1899-12-30T03:30:00"/>
    <n v="3.5000000000582077"/>
    <s v="SI"/>
    <d v="1899-12-31T10:01:00"/>
    <n v="34.016666666662786"/>
    <d v="1899-12-30T00:00:00"/>
    <x v="0"/>
    <n v="0"/>
    <d v="1899-12-31T10:01:00"/>
    <n v="34.016666666662786"/>
    <x v="0"/>
    <m/>
    <d v="1899-12-30T09:30:00"/>
    <s v="NO"/>
    <s v="4/26"/>
    <s v="MAEU9221231"/>
    <s v="OM TRANSPORT"/>
    <n v="475"/>
    <e v="#N/A"/>
    <n v="50"/>
    <n v="0"/>
    <n v="4"/>
    <x v="1"/>
    <s v="OM TRANSPORTWEEK"/>
    <n v="475"/>
    <n v="20"/>
    <m/>
    <m/>
    <n v="495"/>
    <n v="70"/>
    <n v="1"/>
    <s v="IBE MSO / INDITEX CT / NJU021 / JANUARY 2026 ESTIMATION"/>
  </r>
  <r>
    <s v="MILAN MAERSK"/>
    <x v="1"/>
    <d v="2026-01-20T23:29:00"/>
    <d v="2026-01-20T23:30:00"/>
    <x v="2"/>
    <s v="MAEU261728011"/>
    <x v="0"/>
    <s v="Sihanoukville"/>
    <s v="MRSU6705967"/>
    <s v="SIMEI LELYSTAD"/>
    <d v="2026-01-22T06:00:00"/>
    <x v="106"/>
    <x v="81"/>
    <d v="2026-01-22T11:10:00"/>
    <x v="0"/>
    <x v="0"/>
    <n v="0"/>
    <x v="3"/>
    <x v="0"/>
    <d v="2026-01-22T10:46:00"/>
    <d v="1899-12-31T06:31:00"/>
    <n v="30.516666666604578"/>
    <x v="0"/>
    <d v="1899-12-30T03:30:00"/>
    <n v="3.5000000000582077"/>
    <s v="SI"/>
    <d v="1899-12-31T10:01:00"/>
    <n v="34.016666666662786"/>
    <d v="1899-12-30T01:16:00"/>
    <x v="1"/>
    <n v="1.2666666666045785"/>
    <d v="1899-12-31T11:41:00"/>
    <n v="35.683333333348855"/>
    <x v="0"/>
    <m/>
    <d v="1899-12-30T09:30:00"/>
    <s v="NO"/>
    <s v="4/26"/>
    <s v="MRSU6705967"/>
    <s v="LOGIX"/>
    <n v="550"/>
    <e v="#N/A"/>
    <n v="50"/>
    <n v="0"/>
    <n v="4"/>
    <x v="1"/>
    <s v="LOGIXWEEK"/>
    <n v="550"/>
    <n v="20"/>
    <m/>
    <m/>
    <n v="570"/>
    <n v="70"/>
    <n v="1"/>
    <s v="IBE MSO / INDITEX CT / NJU021 / JANUARY 2026 ESTIMATION"/>
  </r>
  <r>
    <s v="MILAN MAERSK"/>
    <x v="1"/>
    <d v="2026-01-20T23:29:00"/>
    <d v="2026-01-20T23:30:00"/>
    <x v="4"/>
    <s v="MAEU261728011"/>
    <x v="0"/>
    <s v="Sihanoukville"/>
    <s v="MRKU2244062"/>
    <s v="SIMEI LELYSTAD"/>
    <d v="2026-01-22T06:00:00"/>
    <x v="107"/>
    <x v="82"/>
    <d v="2026-01-22T12:15:00"/>
    <x v="0"/>
    <x v="0"/>
    <n v="0"/>
    <x v="3"/>
    <x v="0"/>
    <d v="2026-01-22T11:02:00"/>
    <d v="1899-12-31T06:31:00"/>
    <n v="30.516666666604578"/>
    <x v="0"/>
    <d v="1899-12-30T05:00:00"/>
    <n v="5.0000000000582077"/>
    <s v="SI"/>
    <d v="1899-12-31T11:31:00"/>
    <n v="35.516666666662786"/>
    <d v="1899-12-30T00:02:00"/>
    <x v="0"/>
    <n v="3.3333333267364651E-2"/>
    <d v="1899-12-31T12:46:00"/>
    <n v="36.766666666546371"/>
    <x v="0"/>
    <m/>
    <d v="1899-12-30T11:00:00"/>
    <s v="NO"/>
    <s v="4/26"/>
    <s v="MRKU2244062"/>
    <s v="OM TRANSPORT"/>
    <n v="475"/>
    <e v="#N/A"/>
    <n v="50"/>
    <n v="0"/>
    <n v="4"/>
    <x v="1"/>
    <s v="OM TRANSPORTWEEK"/>
    <n v="475"/>
    <n v="20"/>
    <m/>
    <m/>
    <n v="495"/>
    <n v="70"/>
    <n v="1"/>
    <s v="IBE MSO / INDITEX CT / NJU021 / JANUARY 2026 ESTIMATION"/>
  </r>
  <r>
    <s v="MILAN MAERSK"/>
    <x v="1"/>
    <d v="2026-01-20T23:29:00"/>
    <d v="2026-01-20T23:30:00"/>
    <x v="3"/>
    <s v="MAEU261728011"/>
    <x v="0"/>
    <s v="Sihanoukville"/>
    <s v="TCNU4472079"/>
    <s v="SIMEI LELYSTAD"/>
    <d v="2026-01-22T06:00:00"/>
    <x v="105"/>
    <x v="82"/>
    <d v="2026-01-22T10:40:00"/>
    <x v="0"/>
    <x v="0"/>
    <n v="0"/>
    <x v="3"/>
    <x v="0"/>
    <d v="2026-01-22T09:00:00"/>
    <d v="1899-12-31T06:31:00"/>
    <n v="30.516666666604578"/>
    <x v="0"/>
    <d v="1899-12-30T05:00:00"/>
    <n v="5.0000000000582077"/>
    <s v="SI"/>
    <d v="1899-12-31T11:31:00"/>
    <n v="35.516666666662786"/>
    <d v="1899-12-30T00:00:00"/>
    <x v="0"/>
    <n v="0"/>
    <d v="1899-12-31T11:11:00"/>
    <n v="35.183333333290648"/>
    <x v="0"/>
    <m/>
    <d v="1899-12-30T11:00:00"/>
    <s v="NO"/>
    <s v="4/26"/>
    <s v="TCNU4472079"/>
    <s v="MSI"/>
    <n v="480"/>
    <e v="#N/A"/>
    <n v="50"/>
    <n v="0"/>
    <n v="4"/>
    <x v="1"/>
    <s v="MSIWEEK"/>
    <n v="480"/>
    <n v="20"/>
    <m/>
    <m/>
    <n v="500"/>
    <n v="70"/>
    <n v="1"/>
    <s v="IBE MSO / INDITEX CT / NJU021 / JANUARY 2026 ESTIMATION"/>
  </r>
  <r>
    <s v="MILAN MAERSK"/>
    <x v="1"/>
    <d v="2026-01-20T23:29:00"/>
    <d v="2026-01-20T23:30:00"/>
    <x v="3"/>
    <s v="MAEU259153967"/>
    <x v="0"/>
    <s v="Shanghai"/>
    <s v="MSKU4731185"/>
    <s v="SIMEI LELYSTAD"/>
    <d v="2026-01-22T06:00:00"/>
    <x v="108"/>
    <x v="83"/>
    <d v="2026-01-22T12:40:00"/>
    <x v="0"/>
    <x v="0"/>
    <n v="2"/>
    <x v="3"/>
    <x v="0"/>
    <d v="2026-01-22T11:15:00"/>
    <d v="1899-12-31T06:31:00"/>
    <n v="30.516666666604578"/>
    <x v="0"/>
    <d v="1899-12-30T06:30:00"/>
    <n v="6.5000000000582077"/>
    <s v="SI"/>
    <d v="1899-12-31T13:01:00"/>
    <n v="37.016666666662786"/>
    <d v="1899-12-30T00:00:00"/>
    <x v="0"/>
    <n v="0"/>
    <d v="1899-12-31T13:11:00"/>
    <n v="37.183333333348855"/>
    <x v="0"/>
    <m/>
    <d v="1899-12-30T12:30:00"/>
    <s v="NO"/>
    <s v="4/26"/>
    <s v="MSKU4731185"/>
    <s v="MSI"/>
    <n v="480"/>
    <e v="#N/A"/>
    <n v="50"/>
    <n v="100"/>
    <n v="4"/>
    <x v="1"/>
    <s v="MSIWEEK"/>
    <n v="580"/>
    <n v="20"/>
    <m/>
    <m/>
    <n v="600"/>
    <n v="70"/>
    <n v="1"/>
    <s v="IBE MSO / INDITEX CT / NJU021 / JANUARY 2026 ESTIMATION"/>
  </r>
  <r>
    <s v="MILAN MAERSK"/>
    <x v="1"/>
    <d v="2026-01-20T23:29:00"/>
    <d v="2026-01-20T23:30:00"/>
    <x v="5"/>
    <s v="MAEU261728011"/>
    <x v="0"/>
    <s v="Sihanoukville"/>
    <s v="TCNU4075580"/>
    <s v="SIMEI LELYSTAD"/>
    <d v="2026-01-22T06:00:00"/>
    <x v="109"/>
    <x v="83"/>
    <d v="2026-01-22T13:30:00"/>
    <x v="0"/>
    <x v="0"/>
    <n v="0"/>
    <x v="3"/>
    <x v="0"/>
    <d v="2026-01-22T12:13:00"/>
    <d v="1899-12-31T06:31:00"/>
    <n v="30.516666666604578"/>
    <x v="0"/>
    <d v="1899-12-30T06:30:00"/>
    <n v="6.5000000000582077"/>
    <s v="SI"/>
    <d v="1899-12-31T13:01:00"/>
    <n v="37.016666666662786"/>
    <d v="1899-12-30T00:00:00"/>
    <x v="0"/>
    <n v="0"/>
    <d v="1899-12-31T14:01:00"/>
    <n v="38.016666666604578"/>
    <x v="0"/>
    <m/>
    <d v="1899-12-30T12:30:00"/>
    <s v="NO"/>
    <s v="4/26"/>
    <s v="TCNU4075580"/>
    <s v="OTL"/>
    <n v="530"/>
    <e v="#N/A"/>
    <n v="60"/>
    <n v="0"/>
    <n v="4"/>
    <x v="1"/>
    <s v="OTLWEEK"/>
    <n v="530"/>
    <n v="20"/>
    <m/>
    <m/>
    <n v="550"/>
    <n v="70"/>
    <n v="1"/>
    <s v="IBE MSO / INDITEX CT / NJU021 / JANUARY 2026 ESTIMATION"/>
  </r>
  <r>
    <s v="MILAN MAERSK"/>
    <x v="1"/>
    <d v="2026-01-20T23:29:00"/>
    <d v="2026-01-20T23:30:00"/>
    <x v="3"/>
    <s v="MAEU262002497"/>
    <x v="0"/>
    <s v="Haiphong"/>
    <s v="MRKU0209822"/>
    <s v="LELYSTAD"/>
    <d v="2026-01-22T06:00:00"/>
    <x v="110"/>
    <x v="84"/>
    <d v="2026-01-22T14:15:00"/>
    <x v="0"/>
    <x v="0"/>
    <n v="0"/>
    <x v="3"/>
    <x v="0"/>
    <d v="2026-01-22T14:00:00"/>
    <d v="1899-12-31T06:31:00"/>
    <n v="30.516666666604578"/>
    <x v="0"/>
    <d v="1899-12-30T08:00:00"/>
    <n v="8.0000000000582077"/>
    <s v="SI"/>
    <d v="1899-12-31T14:31:00"/>
    <n v="38.516666666662786"/>
    <d v="1899-12-30T00:00:00"/>
    <x v="0"/>
    <n v="0"/>
    <d v="1899-12-31T14:46:00"/>
    <n v="38.766666666604578"/>
    <x v="0"/>
    <m/>
    <d v="1899-12-30T14:00:00"/>
    <s v="NO"/>
    <s v="4/26"/>
    <s v="MRKU0209822"/>
    <s v="MSI"/>
    <n v="480"/>
    <e v="#N/A"/>
    <n v="50"/>
    <n v="0"/>
    <n v="4"/>
    <x v="1"/>
    <s v="MSIWEEK"/>
    <n v="600"/>
    <n v="20"/>
    <n v="120"/>
    <s v="14:00-18:00"/>
    <n v="620"/>
    <n v="70"/>
    <n v="1"/>
    <s v="IBE MSO / INDITEX CT / NJU021 / JANUARY 2026 ESTIMATION"/>
  </r>
  <r>
    <s v="MILAN MAERSK"/>
    <x v="1"/>
    <d v="2026-01-20T23:29:00"/>
    <d v="2026-01-20T23:30:00"/>
    <x v="4"/>
    <s v="MAEU259153967"/>
    <x v="0"/>
    <s v="Shanghai"/>
    <s v="MRKU7879338"/>
    <s v="SIMEI LELYSTAD"/>
    <d v="2026-01-22T06:00:00"/>
    <x v="111"/>
    <x v="84"/>
    <d v="2026-01-22T14:15:00"/>
    <x v="0"/>
    <x v="0"/>
    <n v="0"/>
    <x v="3"/>
    <x v="0"/>
    <d v="2026-01-22T14:05:00"/>
    <d v="1899-12-31T06:31:00"/>
    <n v="30.516666666604578"/>
    <x v="0"/>
    <d v="1899-12-30T08:00:00"/>
    <n v="8.0000000000582077"/>
    <s v="SI"/>
    <d v="1899-12-31T14:31:00"/>
    <n v="38.516666666662786"/>
    <d v="1899-12-30T00:05:00"/>
    <x v="0"/>
    <n v="8.3333333255723119E-2"/>
    <d v="1899-12-31T14:46:00"/>
    <n v="38.766666666604578"/>
    <x v="0"/>
    <m/>
    <d v="1899-12-30T14:00:00"/>
    <s v="NO"/>
    <s v="4/26"/>
    <s v="MRKU7879338"/>
    <s v="OM TRANSPORT"/>
    <n v="475"/>
    <e v="#N/A"/>
    <n v="50"/>
    <n v="0"/>
    <n v="4"/>
    <x v="1"/>
    <s v="OM TRANSPORTWEEK"/>
    <n v="475"/>
    <n v="20"/>
    <m/>
    <m/>
    <n v="495"/>
    <n v="70"/>
    <n v="1"/>
    <s v="IBE MSO / INDITEX CT / NJU021 / JANUARY 2026 ESTIMATION"/>
  </r>
  <r>
    <s v="MILAN MAERSK"/>
    <x v="1"/>
    <d v="2026-01-20T23:29:00"/>
    <d v="2026-01-20T23:30:00"/>
    <x v="1"/>
    <s v="MAEU262348240"/>
    <x v="0"/>
    <s v="Haiphong"/>
    <s v="SUDU7732790"/>
    <s v="SIMEI LELYSTAD"/>
    <d v="2026-01-22T06:00:00"/>
    <x v="112"/>
    <x v="85"/>
    <d v="2026-01-22T14:55:00"/>
    <x v="0"/>
    <x v="0"/>
    <n v="0"/>
    <x v="3"/>
    <x v="0"/>
    <d v="2026-01-22T14:50:00"/>
    <d v="1899-12-31T06:31:00"/>
    <n v="30.516666666604578"/>
    <x v="0"/>
    <d v="1899-12-30T10:00:00"/>
    <n v="9.9999999999417923"/>
    <s v="SI"/>
    <d v="1899-12-31T16:31:00"/>
    <n v="40.516666666546371"/>
    <d v="1899-12-30T00:00:00"/>
    <x v="0"/>
    <n v="0"/>
    <d v="1899-12-31T15:26:00"/>
    <n v="39.433333333348855"/>
    <x v="0"/>
    <m/>
    <d v="1899-12-30T16:00:00"/>
    <s v="NO"/>
    <s v="4/26"/>
    <s v="SUDU7732790"/>
    <s v="CTK TRANSPORT"/>
    <n v="550"/>
    <e v="#N/A"/>
    <n v="50"/>
    <n v="0"/>
    <n v="4"/>
    <x v="1"/>
    <s v="CTK TRANSPORTWEEK"/>
    <n v="550"/>
    <n v="20"/>
    <m/>
    <m/>
    <n v="570"/>
    <n v="70"/>
    <n v="1"/>
    <s v="IBE MSO / INDITEX CT / NJU021 / JANUARY 2026 ESTIMATION"/>
  </r>
  <r>
    <s v="MILAN MAERSK"/>
    <x v="1"/>
    <d v="2026-01-20T23:29:00"/>
    <d v="2026-01-20T23:30:00"/>
    <x v="4"/>
    <s v="MAEU262348240"/>
    <x v="0"/>
    <s v="Haiphong"/>
    <s v="MRKU4530764"/>
    <s v="SIMEI LELYSTAD"/>
    <d v="2026-01-22T06:00:00"/>
    <x v="113"/>
    <x v="86"/>
    <d v="2026-01-22T18:18:00"/>
    <x v="0"/>
    <x v="0"/>
    <n v="0"/>
    <x v="3"/>
    <x v="0"/>
    <d v="2026-01-22T18:12:00"/>
    <d v="1899-12-31T06:31:00"/>
    <n v="30.516666666604578"/>
    <x v="0"/>
    <d v="1899-12-30T12:00:00"/>
    <n v="12"/>
    <s v="SI"/>
    <d v="1899-12-31T18:31:00"/>
    <n v="42.516666666604578"/>
    <d v="1899-12-30T00:12:00"/>
    <x v="0"/>
    <n v="0.19999999995343387"/>
    <d v="1899-12-31T18:49:00"/>
    <n v="42.816666666534729"/>
    <x v="0"/>
    <m/>
    <d v="1899-12-30T18:00:00"/>
    <s v="NO"/>
    <s v="4/26"/>
    <s v="MRKU4530764"/>
    <s v="OM TRANSPORT"/>
    <n v="475"/>
    <e v="#N/A"/>
    <n v="50"/>
    <n v="0"/>
    <n v="4"/>
    <x v="1"/>
    <s v="OM TRANSPORTWEEK"/>
    <n v="475"/>
    <n v="20"/>
    <m/>
    <m/>
    <n v="495"/>
    <n v="70"/>
    <n v="1"/>
    <s v="IBE MSO / INDITEX CT / NJU021 / JANUARY 2026 ESTIMATION"/>
  </r>
  <r>
    <s v="MILAN MAERSK"/>
    <x v="1"/>
    <d v="2026-01-20T23:29:00"/>
    <d v="2026-01-20T23:30:00"/>
    <x v="3"/>
    <s v="HLCUSHA251217714"/>
    <x v="1"/>
    <s v="Shanghai"/>
    <s v="HLBU2810860"/>
    <s v="SIMEI LELYSTAD"/>
    <d v="2026-01-22T06:00:00"/>
    <x v="114"/>
    <x v="87"/>
    <d v="2026-01-22T20:25:00"/>
    <x v="0"/>
    <x v="0"/>
    <n v="0"/>
    <x v="3"/>
    <x v="0"/>
    <d v="2026-01-22T20:19:00"/>
    <d v="1899-12-31T06:31:00"/>
    <n v="30.516666666604578"/>
    <x v="0"/>
    <d v="1899-12-30T14:00:00"/>
    <n v="14.000000000058208"/>
    <s v="SI"/>
    <d v="1899-12-31T20:31:00"/>
    <n v="44.516666666662786"/>
    <d v="1899-12-30T00:19:00"/>
    <x v="0"/>
    <n v="0.31666666665114462"/>
    <d v="1899-12-31T20:56:00"/>
    <n v="44.933333333290648"/>
    <x v="0"/>
    <m/>
    <d v="1899-12-30T20:00:00"/>
    <s v="NIGHT"/>
    <s v="4/26"/>
    <s v="HLBU2810860"/>
    <s v="MSI"/>
    <n v="530"/>
    <e v="#N/A"/>
    <n v="50"/>
    <n v="0"/>
    <n v="4"/>
    <x v="3"/>
    <s v="MSINIGHT"/>
    <n v="530"/>
    <n v="20"/>
    <m/>
    <m/>
    <n v="550"/>
    <n v="70"/>
    <n v="1"/>
    <s v="IBE MSO / INDITEX CT / NJU021 / JANUARY 2026 ESTIMATION"/>
  </r>
  <r>
    <s v="LOS ANGELES EXPRESS"/>
    <x v="0"/>
    <d v="2026-01-22T15:14:00"/>
    <d v="2026-01-22T02:00:00"/>
    <x v="2"/>
    <s v="MAEU262432911"/>
    <x v="0"/>
    <s v="Mumbai (ex Bombay)"/>
    <s v="TTNU1228436"/>
    <s v="SIMEI LELYSTAD"/>
    <d v="2026-01-23T13:30:00"/>
    <x v="115"/>
    <x v="88"/>
    <d v="2026-01-23T13:50:00"/>
    <x v="0"/>
    <x v="0"/>
    <n v="1"/>
    <x v="3"/>
    <x v="0"/>
    <d v="2026-01-23T13:30:00"/>
    <d v="1899-12-30T22:16:00"/>
    <n v="22.266666666604578"/>
    <x v="0"/>
    <d v="1899-12-30T00:00:00"/>
    <n v="0"/>
    <s v="SI"/>
    <d v="1899-12-30T22:16:00"/>
    <n v="22.266666666604578"/>
    <d v="1899-12-30T00:00:00"/>
    <x v="0"/>
    <n v="0"/>
    <d v="1899-12-30T22:36:00"/>
    <n v="22.599999999976717"/>
    <x v="0"/>
    <m/>
    <d v="1899-12-30T13:30:00"/>
    <s v="NO"/>
    <s v="4/26"/>
    <s v="TTNU1228436"/>
    <s v="LOGIX"/>
    <n v="573.5"/>
    <e v="#N/A"/>
    <n v="50"/>
    <n v="50"/>
    <n v="5"/>
    <x v="1"/>
    <s v="LOGIXWEEK"/>
    <n v="623.5"/>
    <n v="20"/>
    <m/>
    <m/>
    <n v="643.5"/>
    <n v="70"/>
    <n v="1"/>
    <s v="IBE MSO / INDITEX CT / NJU021 / JANUARY 2026 ESTIMATION"/>
  </r>
  <r>
    <s v="MAERSK SAN CLEMENTE"/>
    <x v="0"/>
    <d v="2026-01-23T23:57:00"/>
    <d v="2026-01-24T06:00:00"/>
    <x v="4"/>
    <s v="MAEU262778025"/>
    <x v="0"/>
    <s v="Chittagong"/>
    <s v="MRKU9462370"/>
    <s v="LELYSTAD"/>
    <d v="2026-01-25T06:00:00"/>
    <x v="116"/>
    <x v="89"/>
    <d v="2026-01-25T06:30:00"/>
    <x v="0"/>
    <x v="0"/>
    <n v="0"/>
    <x v="3"/>
    <x v="0"/>
    <d v="2026-01-25T06:07:00"/>
    <d v="1899-12-31T06:03:00"/>
    <n v="30.049999999988358"/>
    <x v="0"/>
    <d v="1899-12-30T00:00:00"/>
    <n v="0"/>
    <s v="SI"/>
    <d v="1899-12-31T06:03:00"/>
    <n v="30.049999999988358"/>
    <d v="1899-12-30T00:07:00"/>
    <x v="0"/>
    <n v="0.11666666669771075"/>
    <d v="1899-12-31T06:33:00"/>
    <n v="30.550000000046566"/>
    <x v="0"/>
    <m/>
    <d v="1899-12-30T06:00:00"/>
    <s v="NO"/>
    <s v="4/26"/>
    <s v="MRKU9462370"/>
    <s v="OM TRANSPORT"/>
    <n v="573.5"/>
    <e v="#N/A"/>
    <n v="50"/>
    <n v="0"/>
    <n v="7"/>
    <x v="2"/>
    <s v="OM TRANSPORTSUNDAY"/>
    <n v="573.5"/>
    <n v="20"/>
    <m/>
    <m/>
    <n v="593.5"/>
    <n v="70"/>
    <n v="1"/>
    <s v="IBE MSO / INDITEX CT / NJU021 / JANUARY 2026 ESTIMATION"/>
  </r>
  <r>
    <s v="MAERSK SAN CLEMENTE"/>
    <x v="0"/>
    <d v="2026-01-23T23:57:00"/>
    <d v="2026-01-24T06:00:00"/>
    <x v="3"/>
    <s v="MAEU262566009"/>
    <x v="0"/>
    <s v="Chittagong"/>
    <s v="UETU6704740"/>
    <s v="LELYSTAD"/>
    <d v="2026-01-25T06:00:00"/>
    <x v="117"/>
    <x v="89"/>
    <d v="2026-01-25T07:10:00"/>
    <x v="0"/>
    <x v="1"/>
    <n v="0"/>
    <x v="3"/>
    <x v="0"/>
    <d v="2026-01-25T05:06:00"/>
    <d v="1899-12-31T06:03:00"/>
    <n v="30.049999999988358"/>
    <x v="0"/>
    <d v="1899-12-30T00:00:00"/>
    <n v="0"/>
    <s v="SI"/>
    <d v="1899-12-31T06:03:00"/>
    <n v="30.049999999988358"/>
    <d v="1899-12-30T00:00:00"/>
    <x v="0"/>
    <n v="0"/>
    <d v="1899-12-31T07:13:00"/>
    <n v="31.21666666661622"/>
    <x v="0"/>
    <m/>
    <d v="1899-12-30T06:00:00"/>
    <s v="NO"/>
    <s v="4/26"/>
    <s v="UETU6704740"/>
    <s v="MSI"/>
    <n v="523.5"/>
    <n v="120"/>
    <n v="50"/>
    <n v="0"/>
    <n v="7"/>
    <x v="2"/>
    <s v="MSISUNDAY"/>
    <n v="643.5"/>
    <n v="20"/>
    <m/>
    <m/>
    <n v="663.5"/>
    <n v="70"/>
    <n v="1"/>
    <s v="IBE MSO / INDITEX CT / NJU021 / JANUARY 2026 ESTIMATION"/>
  </r>
  <r>
    <s v="MAERSK SAN CLEMENTE"/>
    <x v="0"/>
    <d v="2026-01-23T23:57:00"/>
    <d v="2026-01-24T06:00:00"/>
    <x v="4"/>
    <s v="HLCUDA1251212350"/>
    <x v="1"/>
    <s v="Chittagong"/>
    <s v="HAMU3628130"/>
    <s v="XPO TALLER LELYSTAD"/>
    <d v="2026-01-25T06:00:00"/>
    <x v="118"/>
    <x v="90"/>
    <d v="2026-01-25T08:20:00"/>
    <x v="0"/>
    <x v="0"/>
    <n v="0"/>
    <x v="3"/>
    <x v="0"/>
    <d v="2026-01-25T07:40:00"/>
    <d v="1899-12-31T06:03:00"/>
    <n v="30.049999999988358"/>
    <x v="0"/>
    <d v="1899-12-30T01:00:00"/>
    <n v="0.99999999994179234"/>
    <s v="SI"/>
    <d v="1899-12-31T07:03:00"/>
    <n v="31.049999999930151"/>
    <d v="1899-12-30T00:40:00"/>
    <x v="1"/>
    <n v="0.66666666674427688"/>
    <d v="1899-12-31T08:23:00"/>
    <n v="32.383333333244082"/>
    <x v="0"/>
    <m/>
    <d v="1899-12-30T07:00:00"/>
    <s v="NO"/>
    <s v="4/26"/>
    <s v="HAMU3628130"/>
    <s v="OM TRANSPORT"/>
    <n v="573.5"/>
    <e v="#N/A"/>
    <n v="50"/>
    <n v="0"/>
    <n v="7"/>
    <x v="2"/>
    <s v="OM TRANSPORTSUNDAY"/>
    <n v="573.5"/>
    <n v="20"/>
    <m/>
    <m/>
    <n v="593.5"/>
    <n v="70"/>
    <n v="1"/>
    <s v="IBE MSO / INDITEX CT / NJU021 / JANUARY 2026 ESTIMATION"/>
  </r>
  <r>
    <s v="MAERSK SAN CLEMENTE"/>
    <x v="0"/>
    <d v="2026-01-23T23:57:00"/>
    <d v="2026-01-24T06:00:00"/>
    <x v="2"/>
    <s v="MAEU262778214"/>
    <x v="0"/>
    <s v="Chittagong"/>
    <s v="MRKU7607263"/>
    <s v="LELYSTAD"/>
    <d v="2026-01-25T06:00:00"/>
    <x v="119"/>
    <x v="91"/>
    <d v="2026-01-25T08:10:00"/>
    <x v="0"/>
    <x v="0"/>
    <n v="0"/>
    <x v="3"/>
    <x v="0"/>
    <d v="2026-01-25T07:54:00"/>
    <d v="1899-12-31T06:03:00"/>
    <n v="30.049999999988358"/>
    <x v="0"/>
    <d v="1899-12-30T02:00:00"/>
    <n v="2.0000000000582077"/>
    <s v="SI"/>
    <d v="1899-12-31T08:03:00"/>
    <n v="32.050000000046566"/>
    <d v="1899-12-30T00:00:00"/>
    <x v="0"/>
    <n v="0"/>
    <d v="1899-12-31T08:13:00"/>
    <n v="32.216666666732635"/>
    <x v="0"/>
    <m/>
    <d v="1899-12-30T08:00:00"/>
    <s v="NO"/>
    <s v="4/26"/>
    <s v="MRKU7607263"/>
    <s v="LOGIX"/>
    <n v="573.5"/>
    <e v="#N/A"/>
    <n v="50"/>
    <n v="0"/>
    <n v="7"/>
    <x v="2"/>
    <s v="LOGIXSUNDAY"/>
    <n v="573.5"/>
    <n v="20"/>
    <m/>
    <m/>
    <n v="593.5"/>
    <n v="70"/>
    <n v="1"/>
    <s v="IBE MSO / INDITEX CT / NJU021 / JANUARY 2026 ESTIMATION"/>
  </r>
  <r>
    <s v="MAERSK SAN CLEMENTE"/>
    <x v="0"/>
    <d v="2026-01-23T23:57:00"/>
    <d v="2026-01-24T06:00:00"/>
    <x v="3"/>
    <s v="MAEU262778025"/>
    <x v="0"/>
    <s v="Chittagong"/>
    <s v="MRSU3224470"/>
    <s v="SIMEI LELYSTAD"/>
    <d v="2026-01-25T06:00:00"/>
    <x v="120"/>
    <x v="91"/>
    <d v="2026-01-25T08:15:00"/>
    <x v="0"/>
    <x v="0"/>
    <n v="1"/>
    <x v="3"/>
    <x v="0"/>
    <d v="2026-01-25T08:05:00"/>
    <d v="1899-12-31T06:03:00"/>
    <n v="30.049999999988358"/>
    <x v="0"/>
    <d v="1899-12-30T02:00:00"/>
    <n v="2.0000000000582077"/>
    <s v="SI"/>
    <d v="1899-12-31T08:03:00"/>
    <n v="32.050000000046566"/>
    <d v="1899-12-30T00:05:00"/>
    <x v="0"/>
    <n v="8.3333333255723119E-2"/>
    <d v="1899-12-31T08:18:00"/>
    <n v="32.299999999988358"/>
    <x v="0"/>
    <m/>
    <d v="1899-12-30T08:00:00"/>
    <s v="NO"/>
    <s v="4/26"/>
    <s v="MRSU3224470"/>
    <s v="MSI"/>
    <n v="523.5"/>
    <e v="#N/A"/>
    <n v="50"/>
    <n v="50"/>
    <n v="7"/>
    <x v="2"/>
    <s v="MSISUNDAY"/>
    <n v="573.5"/>
    <n v="20"/>
    <m/>
    <m/>
    <n v="593.5"/>
    <n v="70"/>
    <n v="1"/>
    <s v="IBE MSO / INDITEX CT / NJU021 / JANUARY 2026 ESTIMATION"/>
  </r>
  <r>
    <s v="MAERSK SAN CLEMENTE"/>
    <x v="0"/>
    <d v="2026-01-23T23:57:00"/>
    <d v="2026-01-24T06:00:00"/>
    <x v="4"/>
    <s v="MAEU262778025"/>
    <x v="0"/>
    <s v="Chittagong"/>
    <s v="MRSU6856290"/>
    <s v="SIMEI LELYSTAD"/>
    <d v="2026-01-25T06:00:00"/>
    <x v="121"/>
    <x v="91"/>
    <d v="2026-01-25T08:15:00"/>
    <x v="0"/>
    <x v="0"/>
    <n v="0"/>
    <x v="3"/>
    <x v="0"/>
    <d v="2026-01-25T08:00:00"/>
    <d v="1899-12-31T06:03:00"/>
    <n v="30.049999999988358"/>
    <x v="0"/>
    <d v="1899-12-30T02:00:00"/>
    <n v="2.0000000000582077"/>
    <s v="SI"/>
    <d v="1899-12-31T08:03:00"/>
    <n v="32.050000000046566"/>
    <d v="1899-12-30T00:00:00"/>
    <x v="0"/>
    <n v="0"/>
    <d v="1899-12-31T08:18:00"/>
    <n v="32.299999999988358"/>
    <x v="0"/>
    <m/>
    <d v="1899-12-30T08:00:00"/>
    <s v="NO"/>
    <s v="4/26"/>
    <s v="MRSU6856290"/>
    <s v="OM TRANSPORT"/>
    <n v="573.5"/>
    <e v="#N/A"/>
    <n v="50"/>
    <n v="0"/>
    <n v="7"/>
    <x v="2"/>
    <s v="OM TRANSPORTSUNDAY"/>
    <n v="573.5"/>
    <n v="20"/>
    <m/>
    <m/>
    <n v="593.5"/>
    <n v="70"/>
    <n v="1"/>
    <s v="IBE MSO / INDITEX CT / NJU021 / JANUARY 2026 ESTIMATION"/>
  </r>
  <r>
    <s v="MAERSK SAN CLEMENTE"/>
    <x v="0"/>
    <d v="2026-01-23T23:57:00"/>
    <d v="2026-01-24T06:00:00"/>
    <x v="3"/>
    <s v="MAEU262566016"/>
    <x v="0"/>
    <s v="Chittagong"/>
    <s v="GCXU5772020"/>
    <s v="LELYSTAD"/>
    <d v="2026-01-25T06:00:00"/>
    <x v="122"/>
    <x v="92"/>
    <d v="2026-01-25T09:15:00"/>
    <x v="0"/>
    <x v="1"/>
    <n v="0"/>
    <x v="3"/>
    <x v="0"/>
    <d v="2026-01-25T08:32:00"/>
    <d v="1899-12-31T06:03:00"/>
    <n v="30.049999999988358"/>
    <x v="0"/>
    <d v="1899-12-30T03:00:00"/>
    <n v="3"/>
    <s v="SI"/>
    <d v="1899-12-31T09:03:00"/>
    <n v="33.049999999988358"/>
    <d v="1899-12-30T00:00:00"/>
    <x v="0"/>
    <n v="0"/>
    <d v="1899-12-31T09:18:00"/>
    <n v="33.299999999930151"/>
    <x v="0"/>
    <m/>
    <d v="1899-12-30T09:00:00"/>
    <s v="NO"/>
    <s v="4/26"/>
    <s v="GCXU5772020"/>
    <s v="MSI"/>
    <n v="523.5"/>
    <n v="120"/>
    <n v="50"/>
    <n v="0"/>
    <n v="7"/>
    <x v="2"/>
    <s v="MSISUNDAY"/>
    <n v="763.5"/>
    <n v="20"/>
    <n v="120"/>
    <s v="09:00-13:00"/>
    <n v="783.5"/>
    <n v="70"/>
    <n v="1"/>
    <s v="IBE MSO / INDITEX CT / NJU021 / JANUARY 2026 ESTIMATION"/>
  </r>
  <r>
    <s v="MAERSK SAN CLEMENTE"/>
    <x v="0"/>
    <d v="2026-01-23T23:57:00"/>
    <d v="2026-01-24T06:00:00"/>
    <x v="2"/>
    <s v="MAEU262778025"/>
    <x v="0"/>
    <s v="Chittagong"/>
    <s v="MRSU5190846"/>
    <s v="SIMEI LELYSTAD"/>
    <d v="2026-01-25T06:00:00"/>
    <x v="123"/>
    <x v="93"/>
    <d v="2026-01-25T09:45:00"/>
    <x v="0"/>
    <x v="0"/>
    <n v="0"/>
    <x v="3"/>
    <x v="0"/>
    <d v="2026-01-25T09:36:00"/>
    <d v="1899-12-31T06:03:00"/>
    <n v="30.049999999988358"/>
    <x v="0"/>
    <d v="1899-12-30T03:30:00"/>
    <n v="3.5000000000582077"/>
    <s v="SI"/>
    <d v="1899-12-31T09:33:00"/>
    <n v="33.550000000046566"/>
    <d v="1899-12-30T00:06:00"/>
    <x v="0"/>
    <n v="9.9999999976716936E-2"/>
    <d v="1899-12-31T09:48:00"/>
    <n v="33.799999999988358"/>
    <x v="0"/>
    <m/>
    <d v="1899-12-30T09:30:00"/>
    <s v="NO"/>
    <s v="4/26"/>
    <s v="MRSU5190846"/>
    <s v="LOGIX"/>
    <n v="573.5"/>
    <e v="#N/A"/>
    <n v="50"/>
    <n v="0"/>
    <n v="7"/>
    <x v="2"/>
    <s v="LOGIXSUNDAY"/>
    <n v="573.5"/>
    <n v="20"/>
    <m/>
    <m/>
    <n v="593.5"/>
    <n v="70"/>
    <n v="1"/>
    <s v="IBE MSO / INDITEX CT / NJU021 / JANUARY 2026 ESTIMATION"/>
  </r>
  <r>
    <s v="MAERSK SAN CLEMENTE"/>
    <x v="0"/>
    <d v="2026-01-23T23:57:00"/>
    <d v="2026-01-24T06:00:00"/>
    <x v="3"/>
    <s v="MAEU262778214"/>
    <x v="0"/>
    <s v="Chittagong"/>
    <s v="UETU5614739"/>
    <s v="SIMEI LELYSTAD"/>
    <d v="2026-01-25T06:00:00"/>
    <x v="124"/>
    <x v="93"/>
    <d v="2026-01-25T09:15:00"/>
    <x v="0"/>
    <x v="0"/>
    <n v="1"/>
    <x v="3"/>
    <x v="0"/>
    <d v="2026-01-25T08:53:00"/>
    <d v="1899-12-31T06:03:00"/>
    <n v="30.049999999988358"/>
    <x v="0"/>
    <d v="1899-12-30T03:30:00"/>
    <n v="3.5000000000582077"/>
    <s v="SI"/>
    <d v="1899-12-31T09:33:00"/>
    <n v="33.550000000046566"/>
    <d v="1899-12-30T00:00:00"/>
    <x v="0"/>
    <n v="0"/>
    <d v="1899-12-31T09:18:00"/>
    <n v="33.299999999930151"/>
    <x v="0"/>
    <m/>
    <d v="1899-12-30T09:30:00"/>
    <s v="NO"/>
    <s v="4/26"/>
    <s v="UETU5614739"/>
    <s v="MSI"/>
    <n v="523.5"/>
    <e v="#N/A"/>
    <n v="50"/>
    <n v="50"/>
    <n v="7"/>
    <x v="2"/>
    <s v="MSISUNDAY"/>
    <n v="573.5"/>
    <n v="20"/>
    <m/>
    <m/>
    <n v="593.5"/>
    <n v="70"/>
    <n v="1"/>
    <s v="IBE MSO / INDITEX CT / NJU021 / JANUARY 2026 ESTIMATION"/>
  </r>
  <r>
    <s v="MAERSK SAN CLEMENTE"/>
    <x v="0"/>
    <d v="2026-01-23T23:57:00"/>
    <d v="2026-01-24T06:00:00"/>
    <x v="4"/>
    <s v="MAEU262566022"/>
    <x v="0"/>
    <s v="Chittagong"/>
    <s v="MRSU6984687"/>
    <s v="LELYSTAD"/>
    <d v="2026-01-25T06:00:00"/>
    <x v="125"/>
    <x v="94"/>
    <d v="2026-01-25T10:45:00"/>
    <x v="0"/>
    <x v="1"/>
    <n v="0"/>
    <x v="3"/>
    <x v="0"/>
    <d v="2026-01-25T09:57:00"/>
    <d v="1899-12-31T06:03:00"/>
    <n v="30.049999999988358"/>
    <x v="0"/>
    <d v="1899-12-30T04:00:00"/>
    <n v="3.9999999999417923"/>
    <s v="SI"/>
    <d v="1899-12-31T10:03:00"/>
    <n v="34.049999999930151"/>
    <d v="1899-12-30T00:00:00"/>
    <x v="0"/>
    <n v="0"/>
    <d v="1899-12-31T10:48:00"/>
    <n v="34.799999999930151"/>
    <x v="0"/>
    <m/>
    <d v="1899-12-30T10:00:00"/>
    <s v="NO"/>
    <s v="4/26"/>
    <s v="MRSU6984687"/>
    <s v="OM TRANSPORT"/>
    <n v="573.5"/>
    <n v="110"/>
    <n v="50"/>
    <n v="0"/>
    <n v="7"/>
    <x v="2"/>
    <s v="OM TRANSPORTSUNDAY"/>
    <n v="807.25"/>
    <n v="20"/>
    <n v="123.75"/>
    <s v="10:00-14:45"/>
    <n v="827.25"/>
    <n v="70"/>
    <n v="1"/>
    <s v="IBE MSO / INDITEX CT / NJU021 / JANUARY 2026 ESTIMATION"/>
  </r>
  <r>
    <s v="MAERSK SAN CLEMENTE"/>
    <x v="0"/>
    <d v="2026-01-23T23:57:00"/>
    <d v="2026-01-24T06:00:00"/>
    <x v="4"/>
    <s v="MAEU262778025"/>
    <x v="0"/>
    <s v="Chittagong"/>
    <s v="CAAU6561543"/>
    <s v="SIMEI LELYSTAD"/>
    <d v="2026-01-25T06:00:00"/>
    <x v="126"/>
    <x v="95"/>
    <d v="2026-01-25T10:49:00"/>
    <x v="0"/>
    <x v="0"/>
    <n v="0"/>
    <x v="3"/>
    <x v="0"/>
    <d v="2026-01-25T10:12:00"/>
    <d v="1899-12-31T06:03:00"/>
    <n v="30.049999999988358"/>
    <x v="0"/>
    <d v="1899-12-30T05:30:00"/>
    <n v="5.5000000001164153"/>
    <s v="SI"/>
    <d v="1899-12-31T11:33:00"/>
    <n v="35.550000000104774"/>
    <d v="1899-12-30T00:00:00"/>
    <x v="0"/>
    <n v="0"/>
    <d v="1899-12-31T10:52:00"/>
    <n v="34.866666666639503"/>
    <x v="0"/>
    <m/>
    <d v="1899-12-30T11:30:00"/>
    <s v="NO"/>
    <s v="4/26"/>
    <s v="CAAU6561543"/>
    <s v="OM TRANSPORT"/>
    <n v="573.5"/>
    <e v="#N/A"/>
    <n v="50"/>
    <n v="0"/>
    <n v="7"/>
    <x v="2"/>
    <s v="OM TRANSPORTSUNDAY"/>
    <n v="573.5"/>
    <n v="20"/>
    <m/>
    <m/>
    <n v="593.5"/>
    <n v="70"/>
    <n v="1"/>
    <s v="IBE MSO / INDITEX CT / NJU021 / JANUARY 2026 ESTIMATION"/>
  </r>
  <r>
    <s v="MAERSK SAN CLEMENTE"/>
    <x v="0"/>
    <d v="2026-01-23T23:57:00"/>
    <d v="2026-01-24T06:00:00"/>
    <x v="3"/>
    <s v="MAEU262566016"/>
    <x v="0"/>
    <s v="Chittagong"/>
    <s v="MRSU3406807"/>
    <s v="LELYSTAD"/>
    <d v="2026-01-25T06:00:00"/>
    <x v="127"/>
    <x v="96"/>
    <d v="2026-01-25T12:50:00"/>
    <x v="0"/>
    <x v="1"/>
    <n v="0"/>
    <x v="3"/>
    <x v="0"/>
    <d v="2026-01-25T12:08:00"/>
    <d v="1899-12-31T06:03:00"/>
    <n v="30.049999999988358"/>
    <x v="0"/>
    <d v="1899-12-30T06:00:00"/>
    <n v="6"/>
    <s v="SI"/>
    <d v="1899-12-31T12:03:00"/>
    <n v="36.049999999988358"/>
    <d v="1899-12-30T00:08:00"/>
    <x v="0"/>
    <n v="0.13333333341870457"/>
    <d v="1899-12-31T12:53:00"/>
    <n v="36.883333333244082"/>
    <x v="0"/>
    <m/>
    <d v="1899-12-30T12:00:00"/>
    <s v="NO"/>
    <s v="4/26"/>
    <s v="MRSU3406807"/>
    <s v="MSI"/>
    <n v="523.5"/>
    <n v="120"/>
    <n v="50"/>
    <n v="0"/>
    <n v="7"/>
    <x v="2"/>
    <s v="MSISUNDAY"/>
    <n v="763.5"/>
    <n v="20"/>
    <n v="120"/>
    <s v="12:00-16:00"/>
    <n v="783.5"/>
    <n v="70"/>
    <n v="1"/>
    <s v="IBE MSO / INDITEX CT / NJU021 / JANUARY 2026 ESTIMATION"/>
  </r>
  <r>
    <s v="MAERSK SAN CLEMENTE"/>
    <x v="0"/>
    <d v="2026-01-23T23:57:00"/>
    <d v="2026-01-24T06:00:00"/>
    <x v="2"/>
    <s v="HLCUDA1251212350"/>
    <x v="1"/>
    <s v="Chittagong"/>
    <s v="HAMU1219826"/>
    <s v="XPO TALLER LELYSTAD"/>
    <d v="2026-01-25T06:00:00"/>
    <x v="128"/>
    <x v="97"/>
    <d v="2026-01-25T13:00:00"/>
    <x v="0"/>
    <x v="0"/>
    <n v="1"/>
    <x v="3"/>
    <x v="0"/>
    <d v="2026-01-25T13:00:00"/>
    <d v="1899-12-31T06:03:00"/>
    <n v="30.049999999988358"/>
    <x v="0"/>
    <d v="1899-12-30T06:30:00"/>
    <n v="6.5000000000582077"/>
    <s v="SI"/>
    <d v="1899-12-31T12:33:00"/>
    <n v="36.550000000046566"/>
    <d v="1899-12-30T00:30:00"/>
    <x v="0"/>
    <n v="0.49999999988358468"/>
    <d v="1899-12-31T13:03:00"/>
    <n v="37.049999999930151"/>
    <x v="0"/>
    <m/>
    <d v="1899-12-30T12:30:00"/>
    <s v="NO"/>
    <s v="4/26"/>
    <s v="HAMU1219826"/>
    <s v="LOGIX"/>
    <n v="573.5"/>
    <e v="#N/A"/>
    <n v="50"/>
    <n v="50"/>
    <n v="7"/>
    <x v="2"/>
    <s v="LOGIXSUNDAY"/>
    <n v="623.5"/>
    <n v="20"/>
    <m/>
    <m/>
    <n v="643.5"/>
    <n v="70"/>
    <n v="1"/>
    <s v="IBE MSO / INDITEX CT / NJU021 / JANUARY 2026 ESTIMATION"/>
  </r>
  <r>
    <s v="MAERSK SAN CLEMENTE"/>
    <x v="0"/>
    <d v="2026-01-23T23:57:00"/>
    <d v="2026-01-24T06:00:00"/>
    <x v="4"/>
    <s v="MAEU262566016"/>
    <x v="0"/>
    <s v="Chittagong"/>
    <s v="GAOU7142800"/>
    <s v="LELYSTAD"/>
    <d v="2026-01-25T06:00:00"/>
    <x v="129"/>
    <x v="98"/>
    <d v="2026-01-25T14:35:00"/>
    <x v="0"/>
    <x v="1"/>
    <n v="0"/>
    <x v="3"/>
    <x v="0"/>
    <d v="2026-01-25T13:18:00"/>
    <d v="1899-12-31T06:03:00"/>
    <n v="30.049999999988358"/>
    <x v="0"/>
    <d v="1899-12-30T08:00:00"/>
    <n v="8.0000000000582077"/>
    <s v="SI"/>
    <d v="1899-12-31T14:03:00"/>
    <n v="38.050000000046566"/>
    <d v="1899-12-30T00:00:00"/>
    <x v="0"/>
    <n v="0"/>
    <d v="1899-12-31T14:38:00"/>
    <n v="38.633333333360497"/>
    <x v="0"/>
    <m/>
    <d v="1899-12-30T14:00:00"/>
    <s v="NO"/>
    <s v="4/26"/>
    <s v="GAOU7142800"/>
    <s v="OM TRANSPORT"/>
    <n v="573.5"/>
    <n v="110"/>
    <n v="50"/>
    <n v="0"/>
    <n v="7"/>
    <x v="2"/>
    <s v="OM TRANSPORTSUNDAY"/>
    <n v="807.25"/>
    <n v="20"/>
    <n v="123.75"/>
    <s v="14:00-18:45"/>
    <n v="827.25"/>
    <n v="70"/>
    <n v="1"/>
    <s v="IBE MSO / INDITEX CT / NJU021 / JANUARY 2026 ESTIMATION"/>
  </r>
  <r>
    <s v="MAERSK SAN CLEMENTE"/>
    <x v="0"/>
    <d v="2026-01-23T23:57:00"/>
    <d v="2026-01-24T06:00:00"/>
    <x v="1"/>
    <s v="MAEU262778025"/>
    <x v="0"/>
    <s v="Chittagong"/>
    <s v="MRKU4705590"/>
    <s v="SIMEI LELYSTAD"/>
    <d v="2026-01-25T06:00:00"/>
    <x v="130"/>
    <x v="99"/>
    <d v="2026-01-25T15:00:00"/>
    <x v="0"/>
    <x v="0"/>
    <n v="0"/>
    <x v="3"/>
    <x v="0"/>
    <d v="2026-01-25T14:48:00"/>
    <d v="1899-12-31T06:03:00"/>
    <n v="30.049999999988358"/>
    <x v="0"/>
    <d v="1899-12-30T08:30:00"/>
    <n v="8.4999999999417923"/>
    <s v="SI"/>
    <d v="1899-12-31T14:33:00"/>
    <n v="38.549999999930151"/>
    <d v="1899-12-30T00:18:00"/>
    <x v="0"/>
    <n v="0.30000000010477379"/>
    <d v="1899-12-31T15:03:00"/>
    <n v="39.049999999988358"/>
    <x v="0"/>
    <m/>
    <d v="1899-12-30T14:30:00"/>
    <s v="NO"/>
    <s v="4/26"/>
    <s v="MRKU4705590"/>
    <s v="CTK TRANSPORT"/>
    <n v="648.5"/>
    <e v="#N/A"/>
    <n v="50"/>
    <n v="0"/>
    <n v="7"/>
    <x v="2"/>
    <s v="CTK TRANSPORTSUNDAY"/>
    <n v="648.5"/>
    <n v="20"/>
    <m/>
    <m/>
    <n v="668.5"/>
    <n v="70"/>
    <n v="1"/>
    <s v="IBE MSO / INDITEX CT / NJU021 / JANUARY 2026 ESTIMATION"/>
  </r>
  <r>
    <s v="MAERSK SAN CLEMENTE"/>
    <x v="0"/>
    <d v="2026-01-23T23:57:00"/>
    <d v="2026-01-24T06:00:00"/>
    <x v="3"/>
    <s v="MAEU262566009"/>
    <x v="0"/>
    <s v="Chittagong"/>
    <s v="CAAU8138947"/>
    <s v="LELYSTAD"/>
    <d v="2026-01-25T06:00:00"/>
    <x v="131"/>
    <x v="100"/>
    <d v="2026-01-25T16:35:00"/>
    <x v="0"/>
    <x v="1"/>
    <n v="0"/>
    <x v="3"/>
    <x v="0"/>
    <d v="2026-01-25T15:51:00"/>
    <d v="1899-12-31T06:03:00"/>
    <n v="30.049999999988358"/>
    <x v="0"/>
    <d v="1899-12-30T10:00:00"/>
    <n v="9.9999999999417923"/>
    <s v="SI"/>
    <d v="1899-12-31T16:03:00"/>
    <n v="40.049999999930151"/>
    <d v="1899-12-30T00:00:00"/>
    <x v="0"/>
    <n v="0"/>
    <d v="1899-12-31T16:38:00"/>
    <n v="40.633333333244082"/>
    <x v="0"/>
    <m/>
    <d v="1899-12-30T16:00:00"/>
    <s v="NO"/>
    <s v="4/26"/>
    <s v="CAAU8138947"/>
    <s v="MSI"/>
    <n v="523.5"/>
    <n v="120"/>
    <n v="50"/>
    <n v="0"/>
    <n v="7"/>
    <x v="2"/>
    <s v="MSISUNDAY"/>
    <n v="688.5"/>
    <n v="20"/>
    <n v="45"/>
    <s v="16:00-20:45"/>
    <n v="708.5"/>
    <n v="70"/>
    <n v="1"/>
    <s v="IBE MSO / INDITEX CT / NJU021 / JANUARY 2026 ESTIMATION"/>
  </r>
  <r>
    <s v="MAERSK SAN CLEMENTE"/>
    <x v="0"/>
    <d v="2026-01-23T23:57:00"/>
    <d v="2026-01-24T06:00:00"/>
    <x v="2"/>
    <s v="MAEU262778025"/>
    <x v="0"/>
    <s v="Chittagong"/>
    <s v="MIEU3010201"/>
    <s v="LELYSTAD"/>
    <d v="2026-01-25T06:00:00"/>
    <x v="132"/>
    <x v="100"/>
    <d v="2026-01-25T13:41:00"/>
    <x v="0"/>
    <x v="0"/>
    <n v="0"/>
    <x v="3"/>
    <x v="0"/>
    <d v="2026-01-25T13:23:00"/>
    <d v="1899-12-31T06:03:00"/>
    <n v="30.049999999988358"/>
    <x v="0"/>
    <d v="1899-12-30T10:00:00"/>
    <n v="9.9999999999417923"/>
    <s v="SI"/>
    <d v="1899-12-31T16:03:00"/>
    <n v="40.049999999930151"/>
    <d v="1899-12-30T00:00:00"/>
    <x v="0"/>
    <n v="0"/>
    <d v="1899-12-31T13:44:00"/>
    <n v="37.733333333395422"/>
    <x v="0"/>
    <m/>
    <d v="1899-12-30T16:00:00"/>
    <s v="NO"/>
    <s v="4/26"/>
    <s v="MIEU3010201"/>
    <s v="LOGIX"/>
    <n v="573.5"/>
    <e v="#N/A"/>
    <n v="50"/>
    <n v="0"/>
    <n v="7"/>
    <x v="2"/>
    <s v="LOGIXSUNDAY"/>
    <n v="573.5"/>
    <n v="20"/>
    <m/>
    <m/>
    <n v="593.5"/>
    <n v="70"/>
    <n v="1"/>
    <s v="IBE MSO / INDITEX CT / NJU021 / JANUARY 2026 ESTIMATION"/>
  </r>
  <r>
    <s v="MAERSK SAN CLEMENTE"/>
    <x v="0"/>
    <d v="2026-01-23T23:57:00"/>
    <d v="2026-01-24T06:00:00"/>
    <x v="1"/>
    <s v="HLCUDA1251212350"/>
    <x v="1"/>
    <s v="Chittagong"/>
    <s v="HAMU2345557"/>
    <s v="LELYSTAD"/>
    <d v="2026-01-25T06:00:00"/>
    <x v="133"/>
    <x v="101"/>
    <d v="2026-01-25T09:25:00"/>
    <x v="0"/>
    <x v="0"/>
    <n v="0"/>
    <x v="3"/>
    <x v="0"/>
    <d v="2026-01-25T09:00:00"/>
    <d v="1899-12-31T06:03:00"/>
    <n v="30.049999999988358"/>
    <x v="0"/>
    <d v="1899-12-30T12:00:00"/>
    <n v="12"/>
    <s v="SI"/>
    <d v="1899-12-31T18:03:00"/>
    <n v="42.049999999988358"/>
    <d v="1899-12-30T00:00:00"/>
    <x v="0"/>
    <n v="0"/>
    <d v="1899-12-31T09:28:00"/>
    <n v="33.46666666661622"/>
    <x v="0"/>
    <m/>
    <d v="1899-12-30T18:00:00"/>
    <s v="NO"/>
    <s v="4/26"/>
    <s v="HAMU2345557"/>
    <s v="CTK TRANSPORT"/>
    <n v="648.5"/>
    <e v="#N/A"/>
    <n v="50"/>
    <n v="0"/>
    <n v="7"/>
    <x v="2"/>
    <s v="CTK TRANSPORTSUNDAY"/>
    <n v="648.5"/>
    <n v="20"/>
    <m/>
    <m/>
    <n v="668.5"/>
    <n v="70"/>
    <n v="1"/>
    <s v="IBE MSO / INDITEX CT / NJU021 / JANUARY 2026 ESTIMATION"/>
  </r>
  <r>
    <s v="MAERSK SAN CLEMENTE"/>
    <x v="0"/>
    <d v="2026-01-23T23:57:00"/>
    <d v="2026-01-24T06:00:00"/>
    <x v="4"/>
    <s v="MAEU262566009"/>
    <x v="0"/>
    <s v="Chittagong"/>
    <s v="GAOU7183326"/>
    <s v="LELYSTAD"/>
    <d v="2026-01-25T06:00:00"/>
    <x v="134"/>
    <x v="102"/>
    <d v="2026-01-25T19:40:00"/>
    <x v="0"/>
    <x v="1"/>
    <n v="0"/>
    <x v="3"/>
    <x v="0"/>
    <d v="2026-01-25T18:16:00"/>
    <d v="1899-12-31T06:03:00"/>
    <n v="30.049999999988358"/>
    <x v="0"/>
    <d v="1899-12-30T13:00:00"/>
    <n v="12.999999999941792"/>
    <s v="SI"/>
    <d v="1899-12-31T19:03:00"/>
    <n v="43.049999999930151"/>
    <d v="1899-12-30T00:00:00"/>
    <x v="0"/>
    <n v="0"/>
    <d v="1899-12-31T19:43:00"/>
    <n v="43.716666666674428"/>
    <x v="0"/>
    <m/>
    <d v="1899-12-30T19:00:00"/>
    <s v="NO"/>
    <s v="4/26"/>
    <s v="GAOU7183326"/>
    <s v="OM TRANSPORT"/>
    <n v="573.5"/>
    <n v="110"/>
    <n v="50"/>
    <n v="0"/>
    <n v="7"/>
    <x v="2"/>
    <s v="OM TRANSPORTSUNDAY"/>
    <n v="863.5"/>
    <n v="20"/>
    <n v="180"/>
    <s v="19:00-01:00"/>
    <n v="883.5"/>
    <n v="70"/>
    <n v="1"/>
    <s v="IBE MSO / INDITEX CT / NJU021 / JANUARY 2026 ESTIMATION"/>
  </r>
  <r>
    <s v="MAERSK SAN CLEMENTE"/>
    <x v="0"/>
    <d v="2026-01-23T23:57:00"/>
    <d v="2026-01-24T06:00:00"/>
    <x v="3"/>
    <s v="MAEU262566016"/>
    <x v="0"/>
    <s v="Chittagong"/>
    <s v="GCXU6257956"/>
    <s v="LELYSTAD"/>
    <d v="2026-01-25T06:00:00"/>
    <x v="135"/>
    <x v="103"/>
    <d v="2026-01-25T22:00:00"/>
    <x v="0"/>
    <x v="1"/>
    <n v="0"/>
    <x v="3"/>
    <x v="0"/>
    <d v="2026-01-25T21:05:00"/>
    <d v="1899-12-31T06:03:00"/>
    <n v="30.049999999988358"/>
    <x v="0"/>
    <d v="1899-12-30T15:00:00"/>
    <n v="15"/>
    <s v="SI"/>
    <d v="1899-12-31T21:03:00"/>
    <n v="45.049999999988358"/>
    <d v="1899-12-30T00:05:00"/>
    <x v="0"/>
    <n v="8.3333333255723119E-2"/>
    <d v="1899-12-31T22:03:00"/>
    <n v="46.049999999930151"/>
    <x v="0"/>
    <m/>
    <d v="1899-12-30T21:00:00"/>
    <s v="NIGHT"/>
    <s v="4/26"/>
    <s v="GCXU6257956"/>
    <s v="MSI"/>
    <n v="523.5"/>
    <n v="120"/>
    <n v="50"/>
    <n v="0"/>
    <n v="7"/>
    <x v="2"/>
    <s v="MSISUNDAY"/>
    <n v="1123.5"/>
    <n v="20"/>
    <n v="480"/>
    <s v="21:00-07:00"/>
    <n v="1143.5"/>
    <n v="70"/>
    <n v="1"/>
    <s v="IBE MSO / INDITEX CT / NJU021 / JANUARY 2026 ESTIMATION"/>
  </r>
  <r>
    <s v="MAERSK SAN CLEMENTE"/>
    <x v="0"/>
    <d v="2026-01-23T23:57:00"/>
    <d v="2026-01-24T06:00:00"/>
    <x v="3"/>
    <s v="HLCUDA1251212350"/>
    <x v="1"/>
    <s v="Chittagong"/>
    <s v="UACU5396951"/>
    <s v="LELYSTAD"/>
    <d v="2026-01-25T06:00:00"/>
    <x v="136"/>
    <x v="101"/>
    <d v="2026-01-25T18:13:00"/>
    <x v="0"/>
    <x v="0"/>
    <n v="0"/>
    <x v="3"/>
    <x v="0"/>
    <d v="2026-01-25T17:42:00"/>
    <d v="1899-12-31T06:03:00"/>
    <n v="30.049999999988358"/>
    <x v="0"/>
    <d v="1899-12-30T12:00:00"/>
    <n v="12"/>
    <s v="SI"/>
    <d v="1899-12-31T18:03:00"/>
    <n v="42.049999999988358"/>
    <d v="1899-12-30T00:00:00"/>
    <x v="0"/>
    <n v="0"/>
    <d v="1899-12-31T18:16:00"/>
    <n v="42.266666666662786"/>
    <x v="0"/>
    <m/>
    <d v="1899-12-30T18:00:00"/>
    <s v="NO"/>
    <s v="4/26"/>
    <s v="UACU5396951"/>
    <s v="MSI"/>
    <n v="523.5"/>
    <e v="#N/A"/>
    <n v="50"/>
    <n v="0"/>
    <n v="7"/>
    <x v="2"/>
    <s v="MSISUNDAY"/>
    <n v="523.5"/>
    <n v="20"/>
    <m/>
    <m/>
    <n v="543.5"/>
    <n v="70"/>
    <n v="1"/>
    <s v="IBE MSO / INDITEX CT / NJU021 / JANUARY 2026 ESTIMATION"/>
  </r>
  <r>
    <s v="MAERSK SAN CLEMENTE"/>
    <x v="0"/>
    <d v="2026-01-23T23:57:00"/>
    <d v="2026-01-24T06:00:00"/>
    <x v="4"/>
    <s v="MAEU262778025"/>
    <x v="0"/>
    <s v="Chittagong"/>
    <s v="TRHU4298280"/>
    <s v="LELYSTAD"/>
    <d v="2026-01-25T06:00:00"/>
    <x v="137"/>
    <x v="104"/>
    <d v="2026-01-25T22:35:00"/>
    <x v="0"/>
    <x v="0"/>
    <n v="0"/>
    <x v="3"/>
    <x v="0"/>
    <d v="2026-01-25T22:09:00"/>
    <d v="1899-12-31T06:03:00"/>
    <n v="30.049999999988358"/>
    <x v="0"/>
    <d v="1899-12-30T17:00:00"/>
    <n v="17.000000000058208"/>
    <s v="SI"/>
    <d v="1899-12-31T23:03:00"/>
    <n v="47.050000000046566"/>
    <d v="1899-12-30T00:00:00"/>
    <x v="0"/>
    <n v="0"/>
    <d v="1899-12-31T22:38:00"/>
    <n v="46.633333333244082"/>
    <x v="0"/>
    <m/>
    <d v="1899-12-30T23:00:00"/>
    <s v="NIGHT"/>
    <s v="4/26"/>
    <s v="TRHU4298280"/>
    <s v="OM TRANSPORT"/>
    <n v="573.5"/>
    <e v="#N/A"/>
    <n v="50"/>
    <n v="0"/>
    <n v="7"/>
    <x v="2"/>
    <s v="OM TRANSPORTSUNDAY"/>
    <n v="596"/>
    <n v="20"/>
    <n v="22.5"/>
    <s v="23:00-01:30"/>
    <n v="616"/>
    <n v="70"/>
    <n v="1"/>
    <s v="IBE MSO / INDITEX CT / NJU021 / JANUARY 2026 ESTIMATION"/>
  </r>
  <r>
    <s v="MAERSK SAN CLEMENTE"/>
    <x v="0"/>
    <d v="2026-01-23T23:57:00"/>
    <d v="2026-01-24T06:00:00"/>
    <x v="1"/>
    <s v="MAEU262778025"/>
    <x v="0"/>
    <s v="Chittagong"/>
    <s v="MSKU1386017"/>
    <s v="LELYSTAD"/>
    <d v="2026-01-25T06:00:00"/>
    <x v="138"/>
    <x v="102"/>
    <d v="2026-01-25T18:15:00"/>
    <x v="0"/>
    <x v="0"/>
    <n v="0"/>
    <x v="3"/>
    <x v="0"/>
    <d v="2026-01-25T17:53:00"/>
    <d v="1899-12-31T06:03:00"/>
    <n v="30.049999999988358"/>
    <x v="0"/>
    <d v="1899-12-30T13:00:00"/>
    <n v="12.999999999941792"/>
    <s v="SI"/>
    <d v="1899-12-31T19:03:00"/>
    <n v="43.049999999930151"/>
    <d v="1899-12-30T00:00:00"/>
    <x v="0"/>
    <n v="0"/>
    <d v="1899-12-31T18:18:00"/>
    <n v="42.299999999930151"/>
    <x v="0"/>
    <m/>
    <d v="1899-12-30T19:00:00"/>
    <s v="NO"/>
    <s v="4/26"/>
    <s v="MSKU1386017"/>
    <s v="CTK TRANSPORT"/>
    <n v="648.5"/>
    <e v="#N/A"/>
    <n v="50"/>
    <n v="0"/>
    <n v="7"/>
    <x v="2"/>
    <s v="CTK TRANSPORTSUNDAY"/>
    <n v="648.5"/>
    <n v="20"/>
    <m/>
    <m/>
    <n v="668.5"/>
    <n v="70"/>
    <n v="1"/>
    <s v="IBE MSO / INDITEX CT / NJU021 / JANUARY 2026 ESTIMATION"/>
  </r>
  <r>
    <s v="MAERSK SAN CLEMENTE"/>
    <x v="0"/>
    <d v="2026-01-23T23:57:00"/>
    <d v="2026-01-24T06:00:00"/>
    <x v="1"/>
    <s v="MAEU262778214"/>
    <x v="0"/>
    <s v="Chittagong"/>
    <s v="SUDU6973617"/>
    <s v="LELYSTAD"/>
    <d v="2026-01-25T06:00:00"/>
    <x v="139"/>
    <x v="105"/>
    <d v="2026-01-26T08:00:00"/>
    <x v="0"/>
    <x v="0"/>
    <n v="0"/>
    <x v="4"/>
    <x v="0"/>
    <d v="2026-01-26T08:10:00"/>
    <d v="1899-12-31T06:03:00"/>
    <n v="30.049999999988358"/>
    <x v="0"/>
    <d v="1899-12-31T02:00:00"/>
    <n v="26.000000000058208"/>
    <s v="NO"/>
    <d v="1900-01-01T08:03:00"/>
    <n v="56.050000000046566"/>
    <d v="1899-12-30T00:10:00"/>
    <x v="0"/>
    <n v="0.16666666668606922"/>
    <d v="1900-01-01T08:03:00"/>
    <n v="56.050000000046566"/>
    <x v="1"/>
    <m/>
    <d v="1899-12-30T08:00:00"/>
    <s v="NO"/>
    <s v="5/26"/>
    <s v="SUDU6973617"/>
    <s v="CTK TRANSPORT"/>
    <n v="573.5"/>
    <e v="#N/A"/>
    <n v="50"/>
    <n v="0"/>
    <n v="1"/>
    <x v="1"/>
    <s v="CTK TRANSPORTWEEK"/>
    <n v="711"/>
    <n v="20"/>
    <n v="137.5"/>
    <s v="08:00-12:45"/>
    <n v="731"/>
    <n v="70"/>
    <n v="1"/>
    <s v="IBE MSO / INDITEX CT / NJU021 / JANUARY 2026 ESTIMATION"/>
  </r>
  <r>
    <s v="MAERSK SAN CLEMENTE"/>
    <x v="0"/>
    <d v="2026-01-23T23:57:00"/>
    <d v="2026-01-24T06:00:00"/>
    <x v="2"/>
    <s v="MAEU262778025"/>
    <x v="0"/>
    <s v="Chittagong"/>
    <s v="MRSU5598592"/>
    <s v="LELYSTAD"/>
    <d v="2026-01-25T06:00:00"/>
    <x v="140"/>
    <x v="106"/>
    <d v="2026-01-26T11:45:00"/>
    <x v="0"/>
    <x v="0"/>
    <n v="0"/>
    <x v="4"/>
    <x v="0"/>
    <d v="2026-01-26T11:08:00"/>
    <d v="1899-12-31T06:03:00"/>
    <n v="30.049999999988358"/>
    <x v="0"/>
    <d v="1899-12-31T05:00:00"/>
    <n v="29.000000000058208"/>
    <s v="NO"/>
    <d v="1900-01-01T11:03:00"/>
    <n v="59.050000000046566"/>
    <d v="1899-12-30T00:08:00"/>
    <x v="0"/>
    <n v="0.13333333324408159"/>
    <d v="1900-01-01T11:48:00"/>
    <n v="59.800000000046566"/>
    <x v="1"/>
    <m/>
    <d v="1899-12-30T11:00:00"/>
    <s v="NO"/>
    <s v="5/26"/>
    <s v="MRSU5598592"/>
    <s v="LOGIX"/>
    <n v="573.5"/>
    <e v="#N/A"/>
    <n v="50"/>
    <n v="0"/>
    <n v="1"/>
    <x v="1"/>
    <s v="LOGIXWEEK"/>
    <n v="573.5"/>
    <n v="20"/>
    <m/>
    <m/>
    <n v="593.5"/>
    <n v="70"/>
    <n v="1"/>
    <s v="IBE MSO / INDITEX CT / NJU021 / JANUARY 2026 ESTIMATION"/>
  </r>
  <r>
    <s v="HANOI EXPRESS"/>
    <x v="1"/>
    <d v="2026-01-27T22:43:00"/>
    <d v="2026-01-27T23:00:00"/>
    <x v="3"/>
    <s v="MAEU262110064"/>
    <x v="0"/>
    <s v="Sihanoukville"/>
    <s v="CAIU5858524"/>
    <s v="SIMEI LELYSTAD"/>
    <d v="2026-01-29T06:00:00"/>
    <x v="141"/>
    <x v="107"/>
    <d v="2026-01-29T09:10:00"/>
    <x v="0"/>
    <x v="0"/>
    <n v="1"/>
    <x v="4"/>
    <x v="0"/>
    <d v="2026-01-29T09:00:00"/>
    <d v="1899-12-31T07:17:00"/>
    <n v="31.283333333325572"/>
    <x v="0"/>
    <d v="1899-12-30T02:00:00"/>
    <n v="2.0000000000582077"/>
    <s v="SI"/>
    <d v="1899-12-31T09:17:00"/>
    <n v="33.28333333338378"/>
    <d v="1899-12-30T01:00:00"/>
    <x v="1"/>
    <n v="0.99999999994179234"/>
    <d v="1899-12-31T10:27:00"/>
    <n v="34.450000000011642"/>
    <x v="0"/>
    <m/>
    <d v="1899-12-30T08:00:00"/>
    <s v="NO"/>
    <s v="5/26"/>
    <s v="CAIU5858524"/>
    <s v="MSI"/>
    <n v="480"/>
    <e v="#N/A"/>
    <n v="50"/>
    <n v="50"/>
    <n v="4"/>
    <x v="1"/>
    <s v="MSIWEEK"/>
    <n v="635"/>
    <n v="20"/>
    <n v="105"/>
    <s v="08:45.13:00"/>
    <n v="655"/>
    <n v="70"/>
    <n v="1"/>
    <s v="IBE MSO / INDITEX CT / NJU021 / JANUARY 2026 ESTIMATION"/>
  </r>
  <r>
    <s v="HANOI EXPRESS"/>
    <x v="1"/>
    <d v="2026-01-27T22:43:00"/>
    <d v="2026-01-27T23:00:00"/>
    <x v="5"/>
    <s v="HLCUSHA251217831"/>
    <x v="1"/>
    <s v="Shanghai"/>
    <s v="HAMU3112185"/>
    <s v="SIMEI LELYSTAD"/>
    <d v="2026-01-29T06:00:00"/>
    <x v="142"/>
    <x v="108"/>
    <d v="2026-01-30T06:10:00"/>
    <x v="0"/>
    <x v="0"/>
    <n v="1"/>
    <x v="4"/>
    <x v="0"/>
    <d v="2026-01-30T06:00:00"/>
    <d v="1899-12-31T07:17:00"/>
    <n v="31.283333333325572"/>
    <x v="0"/>
    <d v="1899-12-31T00:00:00"/>
    <n v="24"/>
    <s v="SI"/>
    <d v="1900-01-01T07:17:00"/>
    <n v="55.283333333325572"/>
    <d v="1899-12-30T00:00:00"/>
    <x v="0"/>
    <n v="0"/>
    <d v="1900-01-01T07:27:00"/>
    <n v="55.450000000011642"/>
    <x v="1"/>
    <m/>
    <d v="1899-12-30T06:00:00"/>
    <s v="NO"/>
    <s v="5/26"/>
    <s v="HAMU3112185"/>
    <s v="OTL"/>
    <n v="530"/>
    <e v="#N/A"/>
    <n v="60"/>
    <n v="60"/>
    <n v="5"/>
    <x v="1"/>
    <s v="OTLWEEK"/>
    <n v="665"/>
    <n v="20"/>
    <n v="75"/>
    <s v="06:00-09:15"/>
    <n v="685"/>
    <n v="70"/>
    <n v="1"/>
    <s v="IBE MSO / INDITEX CT / NJU021 / JANUARY 2026 ESTIMATION"/>
  </r>
  <r>
    <s v="HANOI EXPRESS"/>
    <x v="1"/>
    <d v="2026-01-27T22:43:00"/>
    <d v="2026-01-27T23:00:00"/>
    <x v="4"/>
    <s v="MAEU261169073"/>
    <x v="0"/>
    <s v="Shanghai"/>
    <s v="MAEU9175455"/>
    <s v="SIMEI LELYSTAD"/>
    <d v="2026-01-29T06:00:00"/>
    <x v="143"/>
    <x v="109"/>
    <d v="2026-01-29T06:10:00"/>
    <x v="0"/>
    <x v="0"/>
    <n v="2"/>
    <x v="4"/>
    <x v="0"/>
    <d v="2026-01-29T06:00:00"/>
    <d v="1899-12-31T07:17:00"/>
    <n v="31.283333333325572"/>
    <x v="0"/>
    <d v="1899-12-30T00:00:00"/>
    <n v="0"/>
    <s v="SI"/>
    <d v="1899-12-31T07:17:00"/>
    <n v="31.283333333325572"/>
    <d v="1899-12-30T00:00:00"/>
    <x v="0"/>
    <n v="0"/>
    <d v="1899-12-31T07:27:00"/>
    <n v="31.450000000011642"/>
    <x v="0"/>
    <m/>
    <d v="1899-12-30T06:00:00"/>
    <s v="NO"/>
    <s v="5/26"/>
    <s v="MAEU9175455"/>
    <s v="OM TRANSPORT"/>
    <n v="475"/>
    <e v="#N/A"/>
    <n v="50"/>
    <n v="100"/>
    <n v="4"/>
    <x v="1"/>
    <s v="OM TRANSPORTWEEK"/>
    <n v="597.5"/>
    <n v="20"/>
    <n v="22.5"/>
    <s v="06:00-08:35"/>
    <n v="617.5"/>
    <n v="70"/>
    <n v="1"/>
    <s v="IBE MSO / INDITEX CT / NJU021 / JANUARY 2026 ESTIMATION"/>
  </r>
  <r>
    <s v="HANOI EXPRESS"/>
    <x v="1"/>
    <d v="2026-01-27T22:43:00"/>
    <d v="2026-01-27T23:00:00"/>
    <x v="3"/>
    <s v="MAEU262110064"/>
    <x v="0"/>
    <s v="Sihanoukville"/>
    <s v="MAEU9242430"/>
    <s v="SIMEI LELYSTAD"/>
    <d v="2026-01-29T06:00:00"/>
    <x v="144"/>
    <x v="110"/>
    <d v="2026-01-29T10:25:00"/>
    <x v="0"/>
    <x v="0"/>
    <n v="0"/>
    <x v="4"/>
    <x v="0"/>
    <d v="2026-01-29T10:15:00"/>
    <d v="1899-12-31T07:17:00"/>
    <n v="31.283333333325572"/>
    <x v="0"/>
    <d v="1899-12-30T05:00:00"/>
    <n v="5.0000000000582077"/>
    <s v="SI"/>
    <d v="1899-12-31T12:17:00"/>
    <n v="36.28333333338378"/>
    <d v="1899-12-30T00:00:00"/>
    <x v="0"/>
    <n v="0"/>
    <d v="1899-12-31T11:42:00"/>
    <n v="35.700000000069849"/>
    <x v="0"/>
    <m/>
    <d v="1899-12-30T11:00:00"/>
    <s v="NO"/>
    <s v="5/26"/>
    <s v="MAEU9242430"/>
    <s v="MSI"/>
    <n v="480"/>
    <e v="#N/A"/>
    <n v="50"/>
    <n v="0"/>
    <n v="4"/>
    <x v="1"/>
    <s v="MSIWEEK"/>
    <n v="480"/>
    <n v="20"/>
    <m/>
    <m/>
    <n v="500"/>
    <n v="70"/>
    <n v="1"/>
    <s v="IBE MSO / INDITEX CT / NJU021 / JANUARY 2026 ESTIMATION"/>
  </r>
  <r>
    <s v="HANOI EXPRESS"/>
    <x v="1"/>
    <d v="2026-01-27T22:43:00"/>
    <d v="2026-01-27T23:00:00"/>
    <x v="3"/>
    <s v="MAEU262110064"/>
    <x v="0"/>
    <s v="Sihanoukville"/>
    <s v="MAEU9264059"/>
    <s v="SIMEI LELYSTAD"/>
    <d v="2026-01-29T06:00:00"/>
    <x v="145"/>
    <x v="111"/>
    <d v="2026-01-29T15:35:00"/>
    <x v="0"/>
    <x v="0"/>
    <n v="1"/>
    <x v="4"/>
    <x v="0"/>
    <d v="2026-01-29T15:25:00"/>
    <d v="1899-12-31T07:17:00"/>
    <n v="31.283333333325572"/>
    <x v="0"/>
    <d v="1899-12-30T10:00:00"/>
    <n v="9.9999999999417923"/>
    <s v="SI"/>
    <d v="1899-12-31T17:17:00"/>
    <n v="41.283333333267365"/>
    <d v="1899-12-30T00:00:00"/>
    <x v="0"/>
    <n v="0"/>
    <d v="1899-12-31T16:52:00"/>
    <n v="40.866666666639503"/>
    <x v="0"/>
    <m/>
    <d v="1899-12-30T16:00:00"/>
    <s v="NO"/>
    <s v="5/26"/>
    <s v="MAEU9264059"/>
    <s v="MSI"/>
    <n v="480"/>
    <e v="#N/A"/>
    <n v="50"/>
    <n v="50"/>
    <n v="4"/>
    <x v="1"/>
    <s v="MSIWEEK"/>
    <n v="530"/>
    <n v="20"/>
    <m/>
    <m/>
    <n v="550"/>
    <n v="70"/>
    <n v="1"/>
    <s v="IBE MSO / INDITEX CT / NJU021 / JANUARY 2026 ESTIMATION"/>
  </r>
  <r>
    <s v="HANOI EXPRESS"/>
    <x v="1"/>
    <d v="2026-01-27T22:43:00"/>
    <d v="2026-01-27T23:00:00"/>
    <x v="1"/>
    <s v="MAEU261169073"/>
    <x v="0"/>
    <s v="Shanghai"/>
    <s v="MRKU0134507"/>
    <s v="XPO TALLER LELYSTAD"/>
    <d v="2026-01-29T06:00:00"/>
    <x v="146"/>
    <x v="112"/>
    <d v="2026-01-29T22:00:00"/>
    <x v="0"/>
    <x v="0"/>
    <n v="1"/>
    <x v="4"/>
    <x v="0"/>
    <d v="2026-01-29T21:00:00"/>
    <d v="1899-12-31T07:17:00"/>
    <n v="31.283333333325572"/>
    <x v="0"/>
    <d v="1899-12-30T15:00:00"/>
    <n v="15"/>
    <s v="SI"/>
    <d v="1899-12-31T22:17:00"/>
    <n v="46.283333333325572"/>
    <d v="1899-12-30T00:00:00"/>
    <x v="0"/>
    <n v="0"/>
    <d v="1899-12-31T23:17:00"/>
    <n v="47.283333333267365"/>
    <x v="0"/>
    <m/>
    <d v="1899-12-30T21:00:00"/>
    <s v="NIGHT"/>
    <s v="5/26"/>
    <s v="MRKU0134507"/>
    <s v="CTK TRANSPORT"/>
    <n v="600"/>
    <e v="#N/A"/>
    <n v="50"/>
    <n v="50"/>
    <n v="4"/>
    <x v="3"/>
    <s v="CTK TRANSPORTNIGHT"/>
    <n v="650"/>
    <n v="20"/>
    <m/>
    <m/>
    <n v="670"/>
    <n v="70"/>
    <n v="1"/>
    <s v="IBE MSO / INDITEX CT / NJU021 / JANUARY 2026 ESTIMATION"/>
  </r>
  <r>
    <s v="HANOI EXPRESS"/>
    <x v="1"/>
    <d v="2026-01-27T22:43:00"/>
    <d v="2026-01-27T23:00:00"/>
    <x v="3"/>
    <s v="MAEU262924384"/>
    <x v="0"/>
    <s v="Yantian"/>
    <s v="MRKU0943775"/>
    <s v="SIMEI LELYSTAD"/>
    <d v="2026-01-29T06:00:00"/>
    <x v="147"/>
    <x v="111"/>
    <d v="2026-01-29T16:30:00"/>
    <x v="0"/>
    <x v="0"/>
    <n v="0"/>
    <x v="4"/>
    <x v="0"/>
    <d v="2026-01-29T16:20:00"/>
    <d v="1899-12-31T07:17:00"/>
    <n v="31.283333333325572"/>
    <x v="0"/>
    <d v="1899-12-30T10:00:00"/>
    <n v="9.9999999999417923"/>
    <s v="SI"/>
    <d v="1899-12-31T17:17:00"/>
    <n v="41.283333333267365"/>
    <d v="1899-12-30T00:20:00"/>
    <x v="0"/>
    <n v="0.33333333337213844"/>
    <d v="1899-12-31T17:47:00"/>
    <n v="41.783333333325572"/>
    <x v="0"/>
    <m/>
    <d v="1899-12-30T16:00:00"/>
    <s v="NO"/>
    <s v="5/26"/>
    <s v="MRKU0943775"/>
    <s v="MSI"/>
    <n v="480"/>
    <e v="#N/A"/>
    <n v="50"/>
    <n v="0"/>
    <n v="4"/>
    <x v="1"/>
    <s v="MSIWEEK"/>
    <n v="480"/>
    <n v="20"/>
    <m/>
    <m/>
    <n v="500"/>
    <n v="70"/>
    <n v="1"/>
    <s v="IBE MSO / INDITEX CT / NJU021 / JANUARY 2026 ESTIMATION"/>
  </r>
  <r>
    <s v="HANOI EXPRESS"/>
    <x v="1"/>
    <d v="2026-01-27T22:43:00"/>
    <d v="2026-01-27T23:00:00"/>
    <x v="2"/>
    <s v="MAEU262346251"/>
    <x v="0"/>
    <s v="Haiphong"/>
    <s v="MRSU0084728"/>
    <s v="LELYSTAD"/>
    <d v="2026-01-29T06:00:00"/>
    <x v="148"/>
    <x v="113"/>
    <d v="2026-01-29T19:35:00"/>
    <x v="0"/>
    <x v="0"/>
    <n v="0"/>
    <x v="4"/>
    <x v="0"/>
    <d v="2026-01-29T18:45:00"/>
    <d v="1899-12-31T07:17:00"/>
    <n v="31.283333333325572"/>
    <x v="0"/>
    <d v="1899-12-30T12:45:00"/>
    <n v="12.75"/>
    <s v="SI"/>
    <d v="1899-12-31T20:02:00"/>
    <n v="44.033333333325572"/>
    <d v="1899-12-30T00:00:00"/>
    <x v="0"/>
    <n v="0"/>
    <d v="1899-12-31T20:52:00"/>
    <n v="44.866666666581295"/>
    <x v="0"/>
    <m/>
    <d v="1899-12-30T18:45:00"/>
    <s v="NO"/>
    <s v="5/26"/>
    <s v="MRSU0084728"/>
    <s v="LOGIX"/>
    <n v="550"/>
    <e v="#N/A"/>
    <n v="50"/>
    <n v="0"/>
    <n v="4"/>
    <x v="1"/>
    <s v="LOGIXWEEK"/>
    <n v="550"/>
    <n v="20"/>
    <m/>
    <m/>
    <n v="570"/>
    <n v="70"/>
    <n v="1"/>
    <s v="IBE MSO / INDITEX CT / NJU021 / JANUARY 2026 ESTIMATION"/>
  </r>
  <r>
    <s v="HANOI EXPRESS"/>
    <x v="1"/>
    <d v="2026-01-27T22:43:00"/>
    <d v="2026-01-27T23:00:00"/>
    <x v="2"/>
    <s v="MAEU262110064"/>
    <x v="0"/>
    <s v="Sihanoukville"/>
    <s v="MRSU4771445"/>
    <s v="SIMEI LELYSTAD"/>
    <d v="2026-01-29T06:00:00"/>
    <x v="149"/>
    <x v="114"/>
    <d v="2026-01-30T09:55:00"/>
    <x v="0"/>
    <x v="0"/>
    <n v="0"/>
    <x v="4"/>
    <x v="0"/>
    <d v="2026-01-30T09:45:00"/>
    <d v="1899-12-31T07:17:00"/>
    <n v="31.283333333325572"/>
    <x v="0"/>
    <d v="1899-12-31T03:30:00"/>
    <n v="27.500000000058208"/>
    <s v="NO"/>
    <d v="1900-01-01T10:47:00"/>
    <n v="58.78333333338378"/>
    <d v="1899-12-30T00:15:00"/>
    <x v="0"/>
    <n v="0.24999999994179234"/>
    <d v="1900-01-01T11:12:00"/>
    <n v="59.200000000011642"/>
    <x v="1"/>
    <m/>
    <d v="1899-12-30T09:30:00"/>
    <s v="NO"/>
    <s v="5/26"/>
    <s v="MRSU4771445"/>
    <s v="LOGIX"/>
    <n v="550"/>
    <e v="#N/A"/>
    <n v="50"/>
    <n v="0"/>
    <n v="5"/>
    <x v="1"/>
    <s v="LOGIXWEEK"/>
    <n v="550"/>
    <n v="20"/>
    <m/>
    <m/>
    <n v="570"/>
    <n v="70"/>
    <n v="1"/>
    <s v="IBE MSO / INDITEX CT / NJU021 / JANUARY 2026 ESTIMATION"/>
  </r>
  <r>
    <s v="HANOI EXPRESS"/>
    <x v="1"/>
    <d v="2026-01-27T22:43:00"/>
    <d v="2026-01-27T23:00:00"/>
    <x v="4"/>
    <s v="MAEU262110064"/>
    <x v="0"/>
    <s v="Sihanoukville"/>
    <s v="MRSU5296139"/>
    <s v="SIMEI LELYSTAD"/>
    <d v="2026-01-29T06:00:00"/>
    <x v="150"/>
    <x v="115"/>
    <d v="2026-01-30T07:51:00"/>
    <x v="0"/>
    <x v="0"/>
    <n v="0"/>
    <x v="4"/>
    <x v="0"/>
    <d v="2026-01-30T07:05:00"/>
    <d v="1899-12-31T07:17:00"/>
    <n v="31.283333333325572"/>
    <x v="0"/>
    <d v="1899-12-31T01:30:00"/>
    <n v="25.5"/>
    <s v="NO"/>
    <d v="1900-01-01T08:47:00"/>
    <n v="56.783333333325572"/>
    <d v="1899-12-30T00:00:00"/>
    <x v="0"/>
    <n v="0"/>
    <d v="1900-01-01T09:08:00"/>
    <n v="57.133333333244082"/>
    <x v="1"/>
    <m/>
    <d v="1899-12-30T07:30:00"/>
    <s v="NO"/>
    <s v="5/26"/>
    <s v="MRSU5296139"/>
    <s v="OM TRANSPORT"/>
    <n v="475"/>
    <e v="#N/A"/>
    <n v="50"/>
    <n v="0"/>
    <n v="5"/>
    <x v="1"/>
    <s v="OM TRANSPORTWEEK"/>
    <n v="475"/>
    <n v="20"/>
    <m/>
    <m/>
    <n v="495"/>
    <n v="70"/>
    <n v="1"/>
    <s v="IBE MSO / INDITEX CT / NJU021 / JANUARY 2026 ESTIMATION"/>
  </r>
  <r>
    <s v="HANOI EXPRESS"/>
    <x v="1"/>
    <d v="2026-01-27T22:43:00"/>
    <d v="2026-01-27T23:00:00"/>
    <x v="1"/>
    <s v="MAEU262110064"/>
    <x v="0"/>
    <s v="Sihanoukville"/>
    <s v="MRSU6712890"/>
    <s v="SIMEI LELYSTAD"/>
    <d v="2026-01-29T06:00:00"/>
    <x v="151"/>
    <x v="116"/>
    <d v="2026-01-30T08:15:00"/>
    <x v="0"/>
    <x v="0"/>
    <n v="0"/>
    <x v="4"/>
    <x v="0"/>
    <d v="2026-01-30T08:05:00"/>
    <d v="1899-12-31T07:17:00"/>
    <n v="31.283333333325572"/>
    <x v="0"/>
    <d v="1899-12-30T15:30:00"/>
    <n v="15.500000000058208"/>
    <s v="SI"/>
    <d v="1899-12-31T22:47:00"/>
    <n v="46.78333333338378"/>
    <d v="1899-12-30T10:35:00"/>
    <x v="1"/>
    <n v="10.583333333255723"/>
    <d v="1900-01-01T09:32:00"/>
    <n v="57.533333333325572"/>
    <x v="1"/>
    <m/>
    <d v="1899-12-30T21:30:00"/>
    <s v="NIGHT"/>
    <s v="5/26"/>
    <s v="MRSU6712890"/>
    <s v="CTK TRANSPORT"/>
    <n v="600"/>
    <e v="#N/A"/>
    <n v="50"/>
    <n v="0"/>
    <n v="4"/>
    <x v="3"/>
    <s v="CTK TRANSPORTNIGHT"/>
    <n v="600"/>
    <n v="20"/>
    <m/>
    <m/>
    <n v="620"/>
    <n v="70"/>
    <n v="1"/>
    <s v="IBE MSO / INDITEX CT / NJU021 / JANUARY 2026 ESTIMATION"/>
  </r>
  <r>
    <s v="HANOI EXPRESS"/>
    <x v="1"/>
    <d v="2026-01-27T22:43:00"/>
    <d v="2026-01-27T23:00:00"/>
    <x v="1"/>
    <s v="MAEU262110064"/>
    <x v="0"/>
    <s v="Sihanoukville"/>
    <s v="MRSU8222778"/>
    <s v="SIMEI LELYSTAD"/>
    <d v="2026-01-29T06:00:00"/>
    <x v="152"/>
    <x v="117"/>
    <d v="2026-01-29T12:10:00"/>
    <x v="0"/>
    <x v="0"/>
    <n v="2"/>
    <x v="4"/>
    <x v="0"/>
    <d v="2026-01-29T12:10:00"/>
    <d v="1899-12-31T07:17:00"/>
    <n v="31.283333333325572"/>
    <x v="0"/>
    <d v="1899-12-30T06:30:00"/>
    <n v="6.5000000000582077"/>
    <s v="SI"/>
    <d v="1899-12-31T13:47:00"/>
    <n v="37.78333333338378"/>
    <d v="1899-12-30T00:00:00"/>
    <x v="0"/>
    <n v="0"/>
    <d v="1899-12-31T13:27:00"/>
    <n v="37.450000000011642"/>
    <x v="0"/>
    <m/>
    <d v="1899-12-30T12:30:00"/>
    <s v="NO"/>
    <s v="5/26"/>
    <s v="MRSU8222778"/>
    <s v="CTK TRANSPORT"/>
    <n v="550"/>
    <e v="#N/A"/>
    <n v="50"/>
    <n v="100"/>
    <n v="4"/>
    <x v="1"/>
    <s v="CTK TRANSPORTWEEK"/>
    <n v="650"/>
    <n v="20"/>
    <m/>
    <m/>
    <n v="670"/>
    <n v="70"/>
    <n v="1"/>
    <s v="IBE MSO / INDITEX CT / NJU021 / JANUARY 2026 ESTIMATION"/>
  </r>
  <r>
    <s v="HANOI EXPRESS"/>
    <x v="1"/>
    <d v="2026-01-27T22:43:00"/>
    <d v="2026-01-27T23:00:00"/>
    <x v="4"/>
    <s v="MAEU262924384"/>
    <x v="0"/>
    <s v="Yantian"/>
    <s v="MRSU9215069"/>
    <s v="SIMEI LELYSTAD"/>
    <d v="2026-01-29T06:00:00"/>
    <x v="142"/>
    <x v="108"/>
    <d v="2026-01-30T06:10:00"/>
    <x v="0"/>
    <x v="0"/>
    <n v="0"/>
    <x v="4"/>
    <x v="0"/>
    <d v="2026-01-30T06:00:00"/>
    <d v="1899-12-31T07:17:00"/>
    <n v="31.283333333325572"/>
    <x v="0"/>
    <d v="1899-12-31T00:00:00"/>
    <n v="24"/>
    <s v="SI"/>
    <d v="1900-01-01T07:17:00"/>
    <n v="55.283333333325572"/>
    <d v="1899-12-30T00:00:00"/>
    <x v="0"/>
    <n v="0"/>
    <d v="1900-01-01T07:27:00"/>
    <n v="55.450000000011642"/>
    <x v="1"/>
    <m/>
    <d v="1899-12-30T06:00:00"/>
    <s v="NO"/>
    <s v="5/26"/>
    <s v="MRSU9215069"/>
    <s v="OM TRANSPORT"/>
    <n v="475"/>
    <e v="#N/A"/>
    <n v="50"/>
    <n v="0"/>
    <n v="5"/>
    <x v="1"/>
    <s v="OM TRANSPORTWEEK"/>
    <n v="475"/>
    <n v="20"/>
    <m/>
    <m/>
    <n v="495"/>
    <n v="70"/>
    <n v="1"/>
    <s v="IBE MSO / INDITEX CT / NJU021 / JANUARY 2026 ESTIMATION"/>
  </r>
  <r>
    <s v="HANOI EXPRESS"/>
    <x v="1"/>
    <d v="2026-01-27T22:43:00"/>
    <d v="2026-01-27T23:00:00"/>
    <x v="2"/>
    <s v="MAEU262110064"/>
    <x v="0"/>
    <s v="Sihanoukville"/>
    <s v="MSKU4659820"/>
    <s v="SIMEI LELYSTAD"/>
    <d v="2026-01-29T06:00:00"/>
    <x v="153"/>
    <x v="110"/>
    <d v="2026-01-29T11:35:00"/>
    <x v="0"/>
    <x v="0"/>
    <n v="0"/>
    <x v="4"/>
    <x v="0"/>
    <d v="2026-01-29T11:25:00"/>
    <d v="1899-12-31T07:17:00"/>
    <n v="31.283333333325572"/>
    <x v="0"/>
    <d v="1899-12-30T05:00:00"/>
    <n v="5.0000000000582077"/>
    <s v="SI"/>
    <d v="1899-12-31T12:17:00"/>
    <n v="36.28333333338378"/>
    <d v="1899-12-30T00:25:00"/>
    <x v="0"/>
    <n v="0.41666666662786156"/>
    <d v="1899-12-31T12:52:00"/>
    <n v="36.866666666697711"/>
    <x v="0"/>
    <m/>
    <d v="1899-12-30T11:00:00"/>
    <s v="NO"/>
    <s v="5/26"/>
    <s v="MSKU4659820"/>
    <s v="LOGIX"/>
    <n v="550"/>
    <e v="#N/A"/>
    <n v="50"/>
    <n v="0"/>
    <n v="4"/>
    <x v="1"/>
    <s v="LOGIXWEEK"/>
    <n v="550"/>
    <n v="20"/>
    <m/>
    <m/>
    <n v="570"/>
    <n v="70"/>
    <n v="1"/>
    <s v="IBE MSO / INDITEX CT / NJU021 / JANUARY 2026 ESTIMATION"/>
  </r>
  <r>
    <s v="HANOI EXPRESS"/>
    <x v="1"/>
    <d v="2026-01-27T22:43:00"/>
    <d v="2026-01-27T23:00:00"/>
    <x v="4"/>
    <s v="MAEU261169090"/>
    <x v="0"/>
    <s v="Shanghai"/>
    <s v="MSKU4721274"/>
    <s v="SIMEI LELYSTAD"/>
    <d v="2026-01-29T06:00:00"/>
    <x v="141"/>
    <x v="118"/>
    <d v="2026-01-29T09:10:00"/>
    <x v="0"/>
    <x v="0"/>
    <n v="0"/>
    <x v="4"/>
    <x v="0"/>
    <d v="2026-01-29T09:00:00"/>
    <d v="1899-12-31T07:17:00"/>
    <n v="31.283333333325572"/>
    <x v="0"/>
    <d v="1899-12-30T03:30:00"/>
    <n v="3.5000000000582077"/>
    <s v="SI"/>
    <d v="1899-12-31T10:47:00"/>
    <n v="34.78333333338378"/>
    <d v="1899-12-30T00:00:00"/>
    <x v="0"/>
    <n v="0"/>
    <d v="1899-12-31T10:27:00"/>
    <n v="34.450000000011642"/>
    <x v="0"/>
    <m/>
    <d v="1899-12-30T09:30:00"/>
    <s v="NO"/>
    <s v="5/26"/>
    <s v="MSKU4721274"/>
    <s v="OM TRANSPORT"/>
    <n v="475"/>
    <e v="#N/A"/>
    <n v="50"/>
    <n v="0"/>
    <n v="4"/>
    <x v="1"/>
    <s v="OM TRANSPORTWEEK"/>
    <n v="475"/>
    <n v="20"/>
    <m/>
    <m/>
    <n v="495"/>
    <n v="70"/>
    <n v="1"/>
    <s v="IBE MSO / INDITEX CT / NJU021 / JANUARY 2026 ESTIMATION"/>
  </r>
  <r>
    <s v="HANOI EXPRESS"/>
    <x v="1"/>
    <d v="2026-01-27T22:43:00"/>
    <d v="2026-01-27T23:00:00"/>
    <x v="2"/>
    <s v="MAEU261169073"/>
    <x v="0"/>
    <s v="Shanghai"/>
    <s v="MSKU7397678"/>
    <s v="SIMEI LELYSTAD"/>
    <d v="2026-01-29T06:00:00"/>
    <x v="154"/>
    <x v="119"/>
    <d v="2026-01-29T12:35:00"/>
    <x v="0"/>
    <x v="0"/>
    <n v="1"/>
    <x v="4"/>
    <x v="0"/>
    <d v="2026-01-29T12:18:00"/>
    <d v="1899-12-31T07:17:00"/>
    <n v="31.283333333325572"/>
    <x v="0"/>
    <d v="1899-12-30T06:15:00"/>
    <n v="6.2499999999417923"/>
    <s v="SI"/>
    <d v="1899-12-31T13:32:00"/>
    <n v="37.533333333267365"/>
    <d v="1899-12-30T00:03:00"/>
    <x v="0"/>
    <n v="4.9999999988358468E-2"/>
    <d v="1899-12-31T13:52:00"/>
    <n v="37.866666666639503"/>
    <x v="0"/>
    <m/>
    <d v="1899-12-30T12:15:00"/>
    <s v="NO"/>
    <s v="5/26"/>
    <s v="MSKU7397678"/>
    <s v="LOGIX"/>
    <n v="550"/>
    <e v="#N/A"/>
    <n v="50"/>
    <n v="50"/>
    <n v="4"/>
    <x v="1"/>
    <s v="LOGIXWEEK"/>
    <n v="600"/>
    <n v="20"/>
    <m/>
    <m/>
    <n v="620"/>
    <n v="70"/>
    <n v="1"/>
    <s v="IBE MSO / INDITEX CT / NJU021 / JANUARY 2026 ESTIMATION"/>
  </r>
  <r>
    <s v="MAERSK TANJONG"/>
    <x v="0"/>
    <d v="2026-01-30T13:16:00"/>
    <d v="2026-01-30T01:00:00"/>
    <x v="1"/>
    <s v="MAEU262178079"/>
    <x v="0"/>
    <s v="Chittagong"/>
    <s v="BEAU6267753"/>
    <s v="LELYSTAD"/>
    <d v="2026-01-31T18:00:00"/>
    <x v="155"/>
    <x v="120"/>
    <d v="2026-02-01T09:55:00"/>
    <x v="0"/>
    <x v="0"/>
    <n v="0"/>
    <x v="4"/>
    <x v="1"/>
    <d v="2026-02-01T08:59:00"/>
    <d v="1899-12-31T04:44:00"/>
    <n v="28.733333333395422"/>
    <x v="0"/>
    <d v="1899-12-30T20:00:00"/>
    <n v="20.000000000058208"/>
    <s v="SI"/>
    <d v="1900-01-01T00:44:00"/>
    <n v="48.733333333453629"/>
    <d v="1899-12-30T00:00:00"/>
    <x v="0"/>
    <n v="0"/>
    <d v="1899-12-31T20:39:00"/>
    <n v="44.650000000081491"/>
    <x v="0"/>
    <m/>
    <d v="1899-12-30T14:00:00"/>
    <s v="NO"/>
    <s v="5/26"/>
    <s v="BEAU6267753"/>
    <s v="CTK TRANSPORT"/>
    <n v="648.5"/>
    <e v="#N/A"/>
    <n v="50"/>
    <n v="0"/>
    <n v="7"/>
    <x v="2"/>
    <s v="CTK TRANSPORTSUNDAY"/>
    <n v="648.5"/>
    <n v="20"/>
    <m/>
    <m/>
    <n v="668.5"/>
    <n v="70"/>
    <n v="1"/>
    <m/>
  </r>
  <r>
    <s v="MAERSK TANJONG"/>
    <x v="0"/>
    <d v="2026-01-30T13:16:00"/>
    <d v="2026-01-30T01:00:00"/>
    <x v="3"/>
    <s v="MAEU262604131"/>
    <x v="0"/>
    <s v="Chittagong"/>
    <s v="CAAU7933603"/>
    <s v="LELYSTAD"/>
    <d v="2026-01-31T18:00:00"/>
    <x v="156"/>
    <x v="121"/>
    <d v="2026-02-01T08:15:00"/>
    <x v="0"/>
    <x v="1"/>
    <n v="0"/>
    <x v="4"/>
    <x v="1"/>
    <d v="2026-02-01T07:36:00"/>
    <d v="1899-12-31T04:44:00"/>
    <n v="28.733333333395422"/>
    <x v="0"/>
    <d v="1899-12-30T07:00:00"/>
    <n v="6.9999999999417923"/>
    <s v="SI"/>
    <d v="1899-12-31T11:44:00"/>
    <n v="35.733333333337214"/>
    <d v="1899-12-30T06:36:00"/>
    <x v="1"/>
    <n v="6.6000000000349246"/>
    <d v="1899-12-31T18:59:00"/>
    <n v="42.983333333395422"/>
    <x v="0"/>
    <m/>
    <d v="1899-12-30T01:00:00"/>
    <s v="NIGHT"/>
    <s v="5/26"/>
    <s v="CAAU7933603"/>
    <s v="MSI"/>
    <n v="523.5"/>
    <n v="120"/>
    <n v="50"/>
    <n v="0"/>
    <n v="7"/>
    <x v="2"/>
    <s v="MSISUNDAY"/>
    <n v="1123.5"/>
    <n v="20"/>
    <n v="480"/>
    <s v="01:00 - 11:00"/>
    <n v="1143.5"/>
    <n v="70"/>
    <n v="1"/>
    <m/>
  </r>
  <r>
    <s v="MAERSK TANJONG"/>
    <x v="0"/>
    <d v="2026-01-30T13:16:00"/>
    <d v="2026-01-30T01:00:00"/>
    <x v="3"/>
    <s v="MAEU262604131"/>
    <x v="0"/>
    <s v="Chittagong"/>
    <s v="CAAU9308122"/>
    <s v="LELYSTAD"/>
    <d v="2026-01-31T18:00:00"/>
    <x v="157"/>
    <x v="122"/>
    <d v="2026-02-01T01:45:00"/>
    <x v="0"/>
    <x v="1"/>
    <n v="0"/>
    <x v="4"/>
    <x v="0"/>
    <d v="2026-01-31T18:19:00"/>
    <d v="1899-12-31T04:44:00"/>
    <n v="28.733333333395422"/>
    <x v="0"/>
    <d v="1899-12-30T00:00:00"/>
    <n v="0"/>
    <s v="SI"/>
    <d v="1899-12-31T04:44:00"/>
    <n v="28.733333333395422"/>
    <d v="1899-12-30T00:19:00"/>
    <x v="0"/>
    <n v="0.31666666665114462"/>
    <d v="1899-12-31T12:29:00"/>
    <n v="36.483333333337214"/>
    <x v="0"/>
    <m/>
    <d v="1899-12-30T18:00:00"/>
    <s v="NO"/>
    <s v="5/26"/>
    <s v="CAAU9308122"/>
    <s v="MSI"/>
    <n v="523.5"/>
    <n v="120"/>
    <n v="50"/>
    <n v="0"/>
    <n v="6"/>
    <x v="0"/>
    <s v="MSISATURDAY"/>
    <n v="1183.5"/>
    <n v="20"/>
    <n v="540"/>
    <s v="18:00-05:00"/>
    <n v="1203.5"/>
    <n v="70"/>
    <n v="1"/>
    <s v="IBE MSO / INDITEX CT / NJU021 / JANUARY 2026 ESTIMATION"/>
  </r>
  <r>
    <s v="MAERSK TANJONG"/>
    <x v="0"/>
    <d v="2026-01-30T13:16:00"/>
    <d v="2026-01-30T01:00:00"/>
    <x v="4"/>
    <s v="HLCUDA1251205988"/>
    <x v="1"/>
    <s v="Chittagong"/>
    <s v="CAIU7944093"/>
    <s v="SIMEI LELYSTAD"/>
    <d v="2026-01-31T18:00:00"/>
    <x v="158"/>
    <x v="123"/>
    <d v="2026-02-01T09:45:00"/>
    <x v="0"/>
    <x v="0"/>
    <n v="1"/>
    <x v="4"/>
    <x v="1"/>
    <d v="2026-02-01T09:45:00"/>
    <d v="1899-12-31T04:44:00"/>
    <n v="28.733333333395422"/>
    <x v="0"/>
    <d v="1899-12-30T16:00:00"/>
    <n v="15.999999999941792"/>
    <s v="SI"/>
    <d v="1899-12-31T20:44:00"/>
    <n v="44.733333333337214"/>
    <d v="1899-12-30T00:00:00"/>
    <x v="0"/>
    <n v="0"/>
    <d v="1899-12-31T20:29:00"/>
    <n v="44.483333333395422"/>
    <x v="0"/>
    <m/>
    <d v="1899-12-30T10:00:00"/>
    <s v="NO"/>
    <s v="5/26"/>
    <s v="CAIU7944093"/>
    <s v="OM TRANSPORT"/>
    <n v="573.5"/>
    <e v="#N/A"/>
    <n v="50"/>
    <n v="50"/>
    <n v="7"/>
    <x v="2"/>
    <s v="OM TRANSPORTSUNDAY"/>
    <n v="668.5"/>
    <n v="20"/>
    <n v="45"/>
    <s v="10:00 - 13:00"/>
    <n v="688.5"/>
    <n v="70"/>
    <n v="1"/>
    <m/>
  </r>
  <r>
    <s v="MAERSK TANJONG"/>
    <x v="0"/>
    <d v="2026-01-30T13:16:00"/>
    <d v="2026-01-30T01:00:00"/>
    <x v="4"/>
    <s v="MAEU262172979"/>
    <x v="0"/>
    <s v="Chittagong"/>
    <s v="GAOU7387823"/>
    <s v="LELYSTAD"/>
    <d v="2026-01-31T18:00:00"/>
    <x v="159"/>
    <x v="124"/>
    <d v="2026-02-01T07:55:00"/>
    <x v="0"/>
    <x v="1"/>
    <n v="0"/>
    <x v="4"/>
    <x v="1"/>
    <d v="2026-02-01T07:16:00"/>
    <d v="1899-12-31T04:44:00"/>
    <n v="28.733333333395422"/>
    <x v="0"/>
    <d v="1899-12-30T14:00:00"/>
    <n v="14.000000000058208"/>
    <s v="SI"/>
    <d v="1899-12-31T18:44:00"/>
    <n v="42.733333333453629"/>
    <d v="1899-12-30T00:00:00"/>
    <x v="0"/>
    <n v="0"/>
    <d v="1899-12-31T18:39:00"/>
    <n v="42.650000000023283"/>
    <x v="0"/>
    <m/>
    <d v="1899-12-30T08:00:00"/>
    <s v="NO"/>
    <s v="5/26"/>
    <s v="GAOU7387823"/>
    <s v="OM TRANSPORT"/>
    <n v="573.5"/>
    <n v="110"/>
    <n v="50"/>
    <n v="0"/>
    <n v="7"/>
    <x v="2"/>
    <s v="OM TRANSPORTSUNDAY"/>
    <n v="784.75"/>
    <n v="20"/>
    <n v="101.25"/>
    <s v="08:00 - 12:15"/>
    <n v="804.75"/>
    <n v="70"/>
    <n v="1"/>
    <m/>
  </r>
  <r>
    <s v="MAERSK TANJONG"/>
    <x v="0"/>
    <d v="2026-01-30T13:16:00"/>
    <d v="2026-01-30T01:00:00"/>
    <x v="2"/>
    <s v="HLCUDA1251205988"/>
    <x v="1"/>
    <s v="Chittagong"/>
    <s v="HAMU4063090"/>
    <s v="XPO TALLER LELYSTAD"/>
    <d v="2026-01-31T18:00:00"/>
    <x v="160"/>
    <x v="125"/>
    <d v="2026-02-01T07:40:00"/>
    <x v="0"/>
    <x v="0"/>
    <n v="0"/>
    <x v="4"/>
    <x v="1"/>
    <d v="2026-02-01T06:35:00"/>
    <d v="1899-12-31T04:44:00"/>
    <n v="28.733333333395422"/>
    <x v="0"/>
    <d v="1899-12-30T13:00:00"/>
    <n v="12.999999999941792"/>
    <s v="SI"/>
    <d v="1899-12-31T17:44:00"/>
    <n v="41.733333333337214"/>
    <d v="1899-12-30T00:00:00"/>
    <x v="0"/>
    <n v="0"/>
    <d v="1899-12-31T18:24:00"/>
    <n v="42.400000000081491"/>
    <x v="0"/>
    <m/>
    <d v="1899-12-30T07:00:00"/>
    <s v="NO"/>
    <s v="5/26"/>
    <s v="HAMU4063090"/>
    <s v="LOGIX"/>
    <n v="573.5"/>
    <e v="#N/A"/>
    <n v="50"/>
    <n v="0"/>
    <n v="7"/>
    <x v="2"/>
    <s v="LOGIXSUNDAY"/>
    <n v="573.5"/>
    <n v="20"/>
    <m/>
    <m/>
    <n v="593.5"/>
    <n v="70"/>
    <n v="1"/>
    <s v="LOGIX NOS LO HA FACTURADO EN SEGUNDA QUINCENA DE ENERO, EN LUGAR DE FEBRERO"/>
  </r>
  <r>
    <s v="MAERSK TANJONG"/>
    <x v="0"/>
    <d v="2026-01-30T13:16:00"/>
    <d v="2026-01-30T01:00:00"/>
    <x v="3"/>
    <s v="HLCUDA1251205988"/>
    <x v="1"/>
    <s v="Chittagong"/>
    <s v="HLBU1771218"/>
    <s v="LELYSTAD"/>
    <d v="2026-01-31T18:00:00"/>
    <x v="161"/>
    <x v="126"/>
    <d v="2026-02-01T05:00:00"/>
    <x v="0"/>
    <x v="0"/>
    <n v="0"/>
    <x v="4"/>
    <x v="1"/>
    <d v="2026-02-01T04:03:00"/>
    <d v="1899-12-31T04:44:00"/>
    <n v="28.733333333395422"/>
    <x v="0"/>
    <d v="1899-12-30T10:00:00"/>
    <n v="9.9999999999417923"/>
    <s v="SI"/>
    <d v="1899-12-31T14:44:00"/>
    <n v="38.733333333337214"/>
    <d v="1899-12-30T00:03:00"/>
    <x v="0"/>
    <n v="4.9999999988358468E-2"/>
    <d v="1899-12-31T15:44:00"/>
    <n v="39.733333333453629"/>
    <x v="0"/>
    <m/>
    <d v="1899-12-30T04:00:00"/>
    <s v="NIGHT"/>
    <s v="5/26"/>
    <s v="HLBU1771218"/>
    <s v="MSI"/>
    <n v="523.5"/>
    <e v="#N/A"/>
    <n v="50"/>
    <n v="0"/>
    <n v="7"/>
    <x v="2"/>
    <s v="MSISUNDAY"/>
    <n v="523.5"/>
    <n v="20"/>
    <m/>
    <m/>
    <n v="543.5"/>
    <n v="70"/>
    <n v="1"/>
    <m/>
  </r>
  <r>
    <s v="MAERSK TANJONG"/>
    <x v="0"/>
    <d v="2026-01-30T13:16:00"/>
    <d v="2026-01-30T01:00:00"/>
    <x v="1"/>
    <s v="MAEU262178402"/>
    <x v="0"/>
    <s v="Chittagong"/>
    <s v="MRKU0683410"/>
    <s v="LELYSTAD"/>
    <d v="2026-01-31T18:00:00"/>
    <x v="162"/>
    <x v="125"/>
    <d v="2026-02-01T07:50:00"/>
    <x v="0"/>
    <x v="0"/>
    <n v="0"/>
    <x v="4"/>
    <x v="1"/>
    <d v="2026-02-01T07:18:00"/>
    <d v="1899-12-31T04:44:00"/>
    <n v="28.733333333395422"/>
    <x v="0"/>
    <d v="1899-12-30T13:00:00"/>
    <n v="12.999999999941792"/>
    <s v="SI"/>
    <d v="1899-12-31T17:44:00"/>
    <n v="41.733333333337214"/>
    <d v="1899-12-30T00:18:00"/>
    <x v="0"/>
    <n v="0.30000000010477379"/>
    <d v="1899-12-31T18:34:00"/>
    <n v="42.56666666676756"/>
    <x v="0"/>
    <m/>
    <d v="1899-12-30T07:00:00"/>
    <s v="NO"/>
    <s v="5/26"/>
    <s v="MRKU0683410"/>
    <s v="CTK TRANSPORT"/>
    <n v="648.5"/>
    <e v="#N/A"/>
    <n v="50"/>
    <n v="0"/>
    <n v="7"/>
    <x v="2"/>
    <s v="CTK TRANSPORTSUNDAY"/>
    <n v="648.5"/>
    <n v="20"/>
    <m/>
    <m/>
    <n v="668.5"/>
    <n v="70"/>
    <n v="1"/>
    <m/>
  </r>
  <r>
    <s v="MAERSK TANJONG"/>
    <x v="0"/>
    <d v="2026-01-30T13:16:00"/>
    <d v="2026-01-30T01:00:00"/>
    <x v="2"/>
    <s v="MAEU262178079"/>
    <x v="0"/>
    <s v="Chittagong"/>
    <s v="MRKU2416330"/>
    <s v="SIMEI LELYSTAD"/>
    <d v="2026-01-31T18:00:00"/>
    <x v="163"/>
    <x v="124"/>
    <d v="2026-02-01T10:35:00"/>
    <x v="0"/>
    <x v="0"/>
    <n v="2"/>
    <x v="4"/>
    <x v="1"/>
    <d v="2026-02-01T09:35:00"/>
    <d v="1899-12-31T04:44:00"/>
    <n v="28.733333333395422"/>
    <x v="0"/>
    <d v="1899-12-30T14:00:00"/>
    <n v="14.000000000058208"/>
    <s v="SI"/>
    <d v="1899-12-31T18:44:00"/>
    <n v="42.733333333453629"/>
    <d v="1899-12-30T01:35:00"/>
    <x v="1"/>
    <n v="1.5833333332557231"/>
    <d v="1899-12-31T21:19:00"/>
    <n v="45.316666666651145"/>
    <x v="0"/>
    <m/>
    <d v="1899-12-30T08:00:00"/>
    <s v="NO"/>
    <s v="5/26"/>
    <s v="MRKU2416330"/>
    <s v="LOGIX"/>
    <n v="573.5"/>
    <e v="#N/A"/>
    <n v="50"/>
    <n v="100"/>
    <n v="7"/>
    <x v="2"/>
    <s v="LOGIXSUNDAY"/>
    <n v="673.5"/>
    <n v="20"/>
    <m/>
    <m/>
    <n v="693.5"/>
    <n v="70"/>
    <n v="1"/>
    <m/>
  </r>
  <r>
    <s v="MAERSK TANJONG"/>
    <x v="0"/>
    <d v="2026-01-30T13:16:00"/>
    <d v="2026-01-30T01:00:00"/>
    <x v="3"/>
    <s v="MAEU262178176"/>
    <x v="0"/>
    <s v="Chittagong"/>
    <s v="MRKU6230489"/>
    <s v="SIMEI LELYSTAD"/>
    <d v="2026-01-31T18:00:00"/>
    <x v="164"/>
    <x v="120"/>
    <d v="2026-02-01T13:45:00"/>
    <x v="0"/>
    <x v="0"/>
    <n v="0"/>
    <x v="4"/>
    <x v="1"/>
    <d v="2026-02-01T13:35:00"/>
    <d v="1899-12-31T04:44:00"/>
    <n v="28.733333333395422"/>
    <x v="0"/>
    <d v="1899-12-30T20:00:00"/>
    <n v="20.000000000058208"/>
    <s v="SI"/>
    <d v="1900-01-01T00:44:00"/>
    <n v="48.733333333453629"/>
    <d v="1899-12-30T00:00:00"/>
    <x v="0"/>
    <n v="0"/>
    <d v="1900-01-01T00:29:00"/>
    <n v="48.483333333337214"/>
    <x v="1"/>
    <m/>
    <d v="1899-12-30T14:00:00"/>
    <s v="NO"/>
    <s v="5/26"/>
    <s v="MRKU6230489"/>
    <s v="MSI"/>
    <n v="523.5"/>
    <e v="#N/A"/>
    <n v="50"/>
    <n v="0"/>
    <n v="7"/>
    <x v="2"/>
    <s v="MSISUNDAY"/>
    <n v="523.5"/>
    <n v="20"/>
    <m/>
    <m/>
    <n v="543.5"/>
    <n v="70"/>
    <n v="1"/>
    <m/>
  </r>
  <r>
    <s v="MAERSK TANJONG"/>
    <x v="0"/>
    <d v="2026-01-30T13:16:00"/>
    <d v="2026-01-30T01:00:00"/>
    <x v="2"/>
    <s v="MAEU262178402"/>
    <x v="0"/>
    <s v="Chittagong"/>
    <s v="MRKU6337693"/>
    <s v="LELYSTAD"/>
    <d v="2026-01-31T18:00:00"/>
    <x v="165"/>
    <x v="127"/>
    <d v="2026-02-01T13:30:00"/>
    <x v="0"/>
    <x v="0"/>
    <n v="0"/>
    <x v="4"/>
    <x v="1"/>
    <d v="2026-02-01T13:09:00"/>
    <d v="1899-12-31T04:44:00"/>
    <n v="28.733333333395422"/>
    <x v="0"/>
    <d v="1899-12-30T22:00:00"/>
    <n v="21.999999999941792"/>
    <s v="SI"/>
    <d v="1900-01-01T02:44:00"/>
    <n v="50.733333333337214"/>
    <d v="1899-12-30T00:00:00"/>
    <x v="0"/>
    <n v="0"/>
    <d v="1900-01-01T00:14:00"/>
    <n v="48.233333333395422"/>
    <x v="1"/>
    <m/>
    <d v="1899-12-30T16:00:00"/>
    <s v="NO"/>
    <s v="5/26"/>
    <s v="MRKU6337693"/>
    <s v="LOGIX"/>
    <n v="573.5"/>
    <e v="#N/A"/>
    <n v="50"/>
    <n v="0"/>
    <n v="7"/>
    <x v="2"/>
    <s v="LOGIXSUNDAY"/>
    <n v="573.5"/>
    <n v="20"/>
    <m/>
    <m/>
    <n v="593.5"/>
    <n v="70"/>
    <n v="1"/>
    <m/>
  </r>
  <r>
    <s v="MAERSK TANJONG"/>
    <x v="0"/>
    <d v="2026-01-30T13:16:00"/>
    <d v="2026-01-30T01:00:00"/>
    <x v="3"/>
    <s v="MAEU262178176"/>
    <x v="0"/>
    <s v="Chittagong"/>
    <s v="MRSU4505424"/>
    <s v="SIMEI LELYSTAD"/>
    <d v="2026-01-31T18:00:00"/>
    <x v="158"/>
    <x v="123"/>
    <d v="2026-02-01T09:55:00"/>
    <x v="0"/>
    <x v="0"/>
    <n v="0"/>
    <x v="4"/>
    <x v="1"/>
    <d v="2026-02-01T09:45:00"/>
    <d v="1899-12-31T04:44:00"/>
    <n v="28.733333333395422"/>
    <x v="0"/>
    <d v="1899-12-30T16:00:00"/>
    <n v="15.999999999941792"/>
    <s v="SI"/>
    <d v="1899-12-31T20:44:00"/>
    <n v="44.733333333337214"/>
    <d v="1899-12-30T00:00:00"/>
    <x v="0"/>
    <n v="0"/>
    <d v="1899-12-31T20:39:00"/>
    <n v="44.650000000081491"/>
    <x v="0"/>
    <m/>
    <d v="1899-12-30T10:00:00"/>
    <s v="NO"/>
    <s v="5/26"/>
    <s v="MRSU4505424"/>
    <s v="MSI"/>
    <n v="523.5"/>
    <e v="#N/A"/>
    <n v="50"/>
    <n v="0"/>
    <n v="7"/>
    <x v="2"/>
    <s v="MSISUNDAY"/>
    <n v="523.5"/>
    <n v="20"/>
    <m/>
    <m/>
    <n v="543.5"/>
    <n v="70"/>
    <n v="1"/>
    <m/>
  </r>
  <r>
    <s v="MAERSK TANJONG"/>
    <x v="0"/>
    <d v="2026-01-30T13:16:00"/>
    <d v="2026-01-30T01:00:00"/>
    <x v="1"/>
    <s v="MAEU262178079"/>
    <x v="0"/>
    <s v="Chittagong"/>
    <s v="MRSU5316256"/>
    <s v="LELYSTAD"/>
    <d v="2026-01-31T18:00:00"/>
    <x v="166"/>
    <x v="128"/>
    <d v="2026-02-01T17:30:00"/>
    <x v="0"/>
    <x v="0"/>
    <n v="0"/>
    <x v="4"/>
    <x v="1"/>
    <d v="2026-02-01T17:30:00"/>
    <d v="1899-12-31T04:44:00"/>
    <n v="28.733333333395422"/>
    <x v="0"/>
    <d v="1899-12-31T00:00:00"/>
    <n v="24"/>
    <s v="SI"/>
    <d v="1900-01-01T04:44:00"/>
    <n v="52.733333333395422"/>
    <d v="1899-12-30T00:00:00"/>
    <x v="0"/>
    <n v="0"/>
    <d v="1900-01-01T04:14:00"/>
    <n v="52.233333333337214"/>
    <x v="1"/>
    <m/>
    <d v="1899-12-30T18:00:00"/>
    <s v="NO"/>
    <s v="5/26"/>
    <s v="MRSU5316256"/>
    <s v="CTK TRANSPORT"/>
    <n v="648.5"/>
    <e v="#N/A"/>
    <n v="50"/>
    <n v="0"/>
    <n v="7"/>
    <x v="2"/>
    <s v="CTK TRANSPORTSUNDAY"/>
    <n v="648.5"/>
    <n v="20"/>
    <m/>
    <m/>
    <n v="668.5"/>
    <n v="70"/>
    <n v="1"/>
    <m/>
  </r>
  <r>
    <s v="MAERSK TANJONG"/>
    <x v="0"/>
    <d v="2026-01-30T13:16:00"/>
    <d v="2026-01-30T01:00:00"/>
    <x v="4"/>
    <s v="MAEU262604131"/>
    <x v="0"/>
    <s v="Chittagong"/>
    <s v="MRSU5993724"/>
    <s v="LELYSTAD"/>
    <d v="2026-01-31T18:00:00"/>
    <x v="167"/>
    <x v="129"/>
    <d v="2026-02-01T07:15:00"/>
    <x v="0"/>
    <x v="1"/>
    <n v="0"/>
    <x v="4"/>
    <x v="1"/>
    <d v="2026-02-01T06:03:00"/>
    <d v="1899-12-31T04:44:00"/>
    <n v="28.733333333395422"/>
    <x v="0"/>
    <d v="1899-12-30T12:00:00"/>
    <n v="12"/>
    <s v="SI"/>
    <d v="1899-12-31T16:44:00"/>
    <n v="40.733333333395422"/>
    <d v="1899-12-30T00:03:00"/>
    <x v="0"/>
    <n v="4.9999999988358468E-2"/>
    <d v="1899-12-31T17:59:00"/>
    <n v="41.983333333453629"/>
    <x v="0"/>
    <m/>
    <d v="1899-12-30T06:00:00"/>
    <s v="NO"/>
    <s v="5/26"/>
    <s v="MRSU5993724"/>
    <s v="OM TRANSPORT"/>
    <n v="573.5"/>
    <n v="110"/>
    <n v="50"/>
    <n v="0"/>
    <n v="7"/>
    <x v="2"/>
    <s v="OM TRANSPORTSUNDAY"/>
    <n v="796"/>
    <n v="20"/>
    <n v="112.5"/>
    <s v="06:00 - 10:30"/>
    <n v="816"/>
    <n v="70"/>
    <n v="1"/>
    <m/>
  </r>
  <r>
    <s v="MAERSK TANJONG"/>
    <x v="0"/>
    <d v="2026-01-30T13:16:00"/>
    <d v="2026-01-30T01:00:00"/>
    <x v="3"/>
    <s v="MAEU262172979"/>
    <x v="0"/>
    <s v="Chittagong"/>
    <s v="MRSU7847159"/>
    <s v="LELYSTAD"/>
    <d v="2026-01-31T18:00:00"/>
    <x v="168"/>
    <x v="130"/>
    <d v="2026-02-01T10:13:00"/>
    <x v="0"/>
    <x v="1"/>
    <n v="0"/>
    <x v="4"/>
    <x v="1"/>
    <d v="2026-02-01T09:11:00"/>
    <d v="1899-12-31T04:44:00"/>
    <n v="28.733333333395422"/>
    <x v="0"/>
    <d v="1899-12-30T17:00:00"/>
    <n v="17.000000000058208"/>
    <s v="SI"/>
    <d v="1899-12-31T21:44:00"/>
    <n v="45.733333333453629"/>
    <d v="1899-12-30T00:00:00"/>
    <x v="0"/>
    <n v="0"/>
    <d v="1899-12-31T20:57:00"/>
    <n v="44.950000000011642"/>
    <x v="0"/>
    <m/>
    <d v="1899-12-30T11:00:00"/>
    <s v="NO"/>
    <s v="5/26"/>
    <s v="MRSU7847159"/>
    <s v="MSI"/>
    <n v="523.5"/>
    <n v="120"/>
    <n v="50"/>
    <n v="0"/>
    <n v="7"/>
    <x v="2"/>
    <s v="MSISUNDAY"/>
    <n v="748.5"/>
    <n v="20"/>
    <n v="105"/>
    <s v="11:00 - 14:45"/>
    <n v="768.5"/>
    <n v="70"/>
    <n v="1"/>
    <m/>
  </r>
  <r>
    <s v="MAERSK TANJONG"/>
    <x v="0"/>
    <d v="2026-01-30T13:16:00"/>
    <d v="2026-01-30T01:00:00"/>
    <x v="1"/>
    <s v="MAEU262178176"/>
    <x v="0"/>
    <s v="Chittagong"/>
    <s v="MRSU8769575"/>
    <s v="SIMEI LELYSTAD"/>
    <d v="2026-01-31T18:00:00"/>
    <x v="169"/>
    <x v="124"/>
    <d v="2026-02-01T08:40:00"/>
    <x v="0"/>
    <x v="0"/>
    <n v="0"/>
    <x v="4"/>
    <x v="1"/>
    <d v="2026-02-01T08:30:00"/>
    <d v="1899-12-31T04:44:00"/>
    <n v="28.733333333395422"/>
    <x v="0"/>
    <d v="1899-12-30T14:00:00"/>
    <n v="14.000000000058208"/>
    <s v="SI"/>
    <d v="1899-12-31T18:44:00"/>
    <n v="42.733333333453629"/>
    <d v="1899-12-30T00:30:00"/>
    <x v="0"/>
    <n v="0.49999999988358468"/>
    <d v="1899-12-31T19:24:00"/>
    <n v="43.400000000023283"/>
    <x v="0"/>
    <m/>
    <d v="1899-12-30T08:00:00"/>
    <s v="NO"/>
    <s v="5/26"/>
    <s v="MRSU8769575"/>
    <s v="CTK TRANSPORT"/>
    <n v="648.5"/>
    <e v="#N/A"/>
    <n v="50"/>
    <n v="0"/>
    <n v="7"/>
    <x v="2"/>
    <s v="CTK TRANSPORTSUNDAY"/>
    <n v="648.5"/>
    <n v="20"/>
    <m/>
    <m/>
    <n v="668.5"/>
    <n v="70"/>
    <n v="1"/>
    <m/>
  </r>
  <r>
    <s v="MAERSK TANJONG"/>
    <x v="0"/>
    <d v="2026-01-30T13:16:00"/>
    <d v="2026-01-30T01:00:00"/>
    <x v="4"/>
    <s v="MAEU262178176"/>
    <x v="0"/>
    <s v="Chittagong"/>
    <s v="SUDU6760817"/>
    <s v="LELYSTAD"/>
    <d v="2026-01-31T18:00:00"/>
    <x v="170"/>
    <x v="124"/>
    <d v="2026-02-01T07:50:00"/>
    <x v="0"/>
    <x v="0"/>
    <n v="0"/>
    <x v="4"/>
    <x v="1"/>
    <d v="2026-02-01T07:15:00"/>
    <d v="1899-12-31T04:44:00"/>
    <n v="28.733333333395422"/>
    <x v="0"/>
    <d v="1899-12-30T14:00:00"/>
    <n v="14.000000000058208"/>
    <s v="SI"/>
    <d v="1899-12-31T18:44:00"/>
    <n v="42.733333333453629"/>
    <d v="1899-12-30T00:00:00"/>
    <x v="0"/>
    <n v="0"/>
    <d v="1899-12-31T18:34:00"/>
    <n v="42.56666666676756"/>
    <x v="0"/>
    <m/>
    <d v="1899-12-30T08:00:00"/>
    <s v="NO"/>
    <s v="5/26"/>
    <s v="SUDU6760817"/>
    <s v="OM TRANSPORT"/>
    <n v="573.5"/>
    <e v="#N/A"/>
    <n v="50"/>
    <n v="0"/>
    <n v="7"/>
    <x v="2"/>
    <s v="OM TRANSPORTSUNDAY"/>
    <n v="596"/>
    <n v="20"/>
    <n v="22.5"/>
    <s v="08:30 - 11:00"/>
    <n v="616"/>
    <n v="70"/>
    <n v="1"/>
    <m/>
  </r>
  <r>
    <s v="MAERSK TANJONG"/>
    <x v="0"/>
    <d v="2026-01-30T13:16:00"/>
    <d v="2026-01-30T01:00:00"/>
    <x v="4"/>
    <s v="MAEU262178176"/>
    <x v="0"/>
    <s v="Chittagong"/>
    <s v="SUDU6771508"/>
    <s v="LELYSTAD"/>
    <d v="2026-01-31T18:00:00"/>
    <x v="171"/>
    <x v="121"/>
    <d v="2026-02-01T02:30:00"/>
    <x v="0"/>
    <x v="0"/>
    <n v="0"/>
    <x v="4"/>
    <x v="1"/>
    <d v="2026-02-01T01:00:00"/>
    <d v="1899-12-31T04:44:00"/>
    <n v="28.733333333395422"/>
    <x v="0"/>
    <d v="1899-12-30T07:00:00"/>
    <n v="6.9999999999417923"/>
    <s v="SI"/>
    <d v="1899-12-31T11:44:00"/>
    <n v="35.733333333337214"/>
    <d v="1899-12-30T00:00:00"/>
    <x v="0"/>
    <n v="0"/>
    <d v="1899-12-31T13:14:00"/>
    <n v="37.233333333337214"/>
    <x v="0"/>
    <m/>
    <d v="1899-12-30T01:00:00"/>
    <s v="NIGHT"/>
    <s v="5/26"/>
    <s v="SUDU6771508"/>
    <s v="OM TRANSPORT"/>
    <n v="573.5"/>
    <e v="#N/A"/>
    <n v="50"/>
    <n v="0"/>
    <n v="7"/>
    <x v="2"/>
    <s v="OM TRANSPORTSUNDAY"/>
    <n v="663.5"/>
    <n v="20"/>
    <n v="90"/>
    <s v="01:00 - 05:00"/>
    <n v="683.5"/>
    <n v="70"/>
    <n v="1"/>
    <m/>
  </r>
  <r>
    <s v="MAERSK TANJONG"/>
    <x v="0"/>
    <d v="2026-01-30T13:16:00"/>
    <d v="2026-01-30T01:00:00"/>
    <x v="4"/>
    <s v="MAEU262178176"/>
    <x v="0"/>
    <s v="Chittagong"/>
    <s v="TCKU3594885"/>
    <s v="XPO TALLER LELYSTAD"/>
    <d v="2026-01-31T18:00:00"/>
    <x v="172"/>
    <x v="130"/>
    <d v="2026-02-01T12:10:00"/>
    <x v="0"/>
    <x v="0"/>
    <n v="0"/>
    <x v="4"/>
    <x v="1"/>
    <d v="2026-02-01T11:00:00"/>
    <d v="1899-12-31T04:44:00"/>
    <n v="28.733333333395422"/>
    <x v="0"/>
    <d v="1899-12-30T17:00:00"/>
    <n v="17.000000000058208"/>
    <s v="SI"/>
    <d v="1899-12-31T21:44:00"/>
    <n v="45.733333333453629"/>
    <d v="1899-12-30T00:00:00"/>
    <x v="0"/>
    <n v="0"/>
    <d v="1899-12-31T22:54:00"/>
    <n v="46.900000000081491"/>
    <x v="0"/>
    <m/>
    <d v="1899-12-30T11:00:00"/>
    <s v="NO"/>
    <s v="5/26"/>
    <s v="TCKU3594885"/>
    <s v="OM TRANSPORT"/>
    <n v="573.5"/>
    <e v="#N/A"/>
    <n v="50"/>
    <n v="0"/>
    <n v="7"/>
    <x v="2"/>
    <s v="OM TRANSPORTSUNDAY"/>
    <n v="573.5"/>
    <n v="20"/>
    <m/>
    <m/>
    <n v="593.5"/>
    <n v="70"/>
    <n v="1"/>
    <m/>
  </r>
  <r>
    <s v="MAERSK TANJONG"/>
    <x v="0"/>
    <d v="2026-01-30T13:16:00"/>
    <d v="2026-01-30T01:00:00"/>
    <x v="2"/>
    <s v="MAEU262178176"/>
    <x v="0"/>
    <s v="Chittagong"/>
    <s v="TCKU7520242"/>
    <s v="LELYSTAD"/>
    <d v="2026-01-31T18:00:00"/>
    <x v="173"/>
    <x v="122"/>
    <d v="2026-01-31T17:00:00"/>
    <x v="0"/>
    <x v="0"/>
    <n v="0"/>
    <x v="4"/>
    <x v="0"/>
    <d v="2026-01-31T16:41:00"/>
    <d v="1899-12-31T04:44:00"/>
    <n v="28.733333333395422"/>
    <x v="0"/>
    <d v="1899-12-30T00:00:00"/>
    <n v="0"/>
    <s v="SI"/>
    <d v="1899-12-31T04:44:00"/>
    <n v="28.733333333395422"/>
    <d v="1899-12-30T00:00:00"/>
    <x v="0"/>
    <n v="0"/>
    <d v="1899-12-31T03:44:00"/>
    <n v="27.733333333453629"/>
    <x v="0"/>
    <m/>
    <d v="1899-12-30T18:00:00"/>
    <s v="NO"/>
    <s v="5/26"/>
    <s v="TCKU7520242"/>
    <s v="LOGIX"/>
    <n v="573.5"/>
    <e v="#N/A"/>
    <n v="50"/>
    <n v="0"/>
    <n v="6"/>
    <x v="0"/>
    <s v="LOGIXSATURDAY"/>
    <n v="573.5"/>
    <n v="20"/>
    <m/>
    <m/>
    <n v="593.5"/>
    <n v="70"/>
    <n v="1"/>
    <s v="IBE MSO / INDITEX CT / NJU021 / JANUARY 2026 ESTIMATION"/>
  </r>
  <r>
    <s v="MAERSK TANJONG"/>
    <x v="0"/>
    <d v="2026-01-30T13:16:00"/>
    <d v="2026-01-30T01:00:00"/>
    <x v="3"/>
    <s v="MAEU262178402"/>
    <x v="0"/>
    <s v="Chittagong"/>
    <s v="TCNU3114281"/>
    <s v="SIMEI LELYSTAD"/>
    <d v="2026-01-31T18:00:00"/>
    <x v="174"/>
    <x v="131"/>
    <d v="2026-02-01T12:00:00"/>
    <x v="0"/>
    <x v="0"/>
    <n v="0"/>
    <x v="4"/>
    <x v="1"/>
    <d v="2026-02-01T11:50:00"/>
    <d v="1899-12-31T04:44:00"/>
    <n v="28.733333333395422"/>
    <x v="0"/>
    <d v="1899-12-30T18:00:00"/>
    <n v="18"/>
    <s v="SI"/>
    <d v="1899-12-31T22:44:00"/>
    <n v="46.733333333395422"/>
    <d v="1899-12-30T00:00:00"/>
    <x v="0"/>
    <n v="0"/>
    <d v="1899-12-31T22:44:00"/>
    <n v="46.733333333395422"/>
    <x v="0"/>
    <m/>
    <d v="1899-12-30T12:00:00"/>
    <s v="NO"/>
    <s v="5/26"/>
    <s v="TCNU3114281"/>
    <s v="MSI"/>
    <n v="523.5"/>
    <e v="#N/A"/>
    <n v="50"/>
    <n v="0"/>
    <n v="7"/>
    <x v="2"/>
    <s v="MSISUNDAY"/>
    <n v="523.5"/>
    <n v="20"/>
    <m/>
    <m/>
    <n v="543.5"/>
    <n v="70"/>
    <n v="1"/>
    <m/>
  </r>
  <r>
    <s v="MAERSK TANJONG"/>
    <x v="0"/>
    <d v="2026-01-30T13:16:00"/>
    <d v="2026-01-30T01:00:00"/>
    <x v="4"/>
    <s v="MAEU262178402"/>
    <x v="0"/>
    <s v="Chittagong"/>
    <s v="TCNU7988599"/>
    <s v="SIMEI LELYSTAD"/>
    <d v="2026-01-31T18:00:00"/>
    <x v="175"/>
    <x v="131"/>
    <d v="2026-02-01T11:35:00"/>
    <x v="0"/>
    <x v="0"/>
    <n v="1"/>
    <x v="4"/>
    <x v="1"/>
    <d v="2026-02-01T11:35:00"/>
    <d v="1899-12-31T04:44:00"/>
    <n v="28.733333333395422"/>
    <x v="0"/>
    <d v="1899-12-30T18:00:00"/>
    <n v="18"/>
    <s v="SI"/>
    <d v="1899-12-31T22:44:00"/>
    <n v="46.733333333395422"/>
    <d v="1899-12-30T00:00:00"/>
    <x v="0"/>
    <n v="0"/>
    <d v="1899-12-31T22:19:00"/>
    <n v="46.31666666676756"/>
    <x v="0"/>
    <m/>
    <d v="1899-12-30T12:00:00"/>
    <s v="NO"/>
    <s v="5/26"/>
    <s v="TCNU7988599"/>
    <s v="OM TRANSPORT"/>
    <n v="573.5"/>
    <e v="#N/A"/>
    <n v="50"/>
    <n v="50"/>
    <n v="7"/>
    <x v="2"/>
    <s v="OM TRANSPORTSUNDAY"/>
    <n v="679.75"/>
    <n v="20"/>
    <n v="56.25"/>
    <s v="11:00 - 14:15"/>
    <n v="699.75"/>
    <n v="70"/>
    <n v="1"/>
    <m/>
  </r>
  <r>
    <s v="VANCOUVER EXPRESS"/>
    <x v="0"/>
    <d v="2026-02-03T02:20:00"/>
    <d v="2026-02-02T20:00:00"/>
    <x v="3"/>
    <s v="MAEU263500972"/>
    <x v="0"/>
    <s v="Karachi-Muhammad Bin Qasim"/>
    <s v="MRKU5559382"/>
    <s v="LELYSTAD"/>
    <d v="2026-02-03T23:00:00"/>
    <x v="176"/>
    <x v="132"/>
    <d v="2026-02-04T07:45:00"/>
    <x v="0"/>
    <x v="0"/>
    <n v="0"/>
    <x v="5"/>
    <x v="1"/>
    <d v="2026-02-04T03:43:00"/>
    <d v="1899-12-30T20:40:00"/>
    <n v="20.666666666802485"/>
    <x v="0"/>
    <d v="1899-12-30T05:00:00"/>
    <n v="4.9999999998835847"/>
    <s v="SI"/>
    <d v="1899-12-31T01:40:00"/>
    <n v="25.666666666686069"/>
    <d v="1899-12-30T00:00:00"/>
    <x v="0"/>
    <n v="0"/>
    <d v="1899-12-31T05:25:00"/>
    <n v="29.416666666686069"/>
    <x v="0"/>
    <m/>
    <d v="1899-12-30T04:00:00"/>
    <s v="NIGHT"/>
    <s v="6/26"/>
    <s v="MRKU5559382"/>
    <s v="MSI"/>
    <n v="553.5"/>
    <e v="#N/A"/>
    <n v="50"/>
    <n v="0"/>
    <n v="3"/>
    <x v="3"/>
    <s v="MSINIGHT"/>
    <n v="928.5"/>
    <n v="20"/>
    <n v="375"/>
    <s v="04:00 - 12:15"/>
    <n v="948.5"/>
    <n v="70"/>
    <n v="1"/>
    <m/>
  </r>
  <r>
    <s v="VANCOUVER EXPRESS"/>
    <x v="0"/>
    <d v="2026-02-03T02:20:00"/>
    <d v="2026-02-02T20:00:00"/>
    <x v="2"/>
    <s v="MAEU262608342"/>
    <x v="0"/>
    <s v="Karachi-Muhammad Bin Qasim"/>
    <s v="FFAU5508511"/>
    <s v="SIMEI LELYSTAD"/>
    <d v="2026-02-03T23:00:00"/>
    <x v="177"/>
    <x v="133"/>
    <d v="2026-02-04T06:10:00"/>
    <x v="0"/>
    <x v="0"/>
    <n v="1"/>
    <x v="5"/>
    <x v="1"/>
    <d v="2026-02-04T06:00:00"/>
    <d v="1899-12-30T20:40:00"/>
    <n v="20.666666666802485"/>
    <x v="0"/>
    <d v="1899-12-30T07:00:00"/>
    <n v="6.9999999999417923"/>
    <s v="SI"/>
    <d v="1899-12-31T03:40:00"/>
    <n v="27.666666666744277"/>
    <d v="1899-12-30T00:00:00"/>
    <x v="0"/>
    <n v="0"/>
    <d v="1899-12-31T03:50:00"/>
    <n v="27.833333333430346"/>
    <x v="0"/>
    <m/>
    <d v="1899-12-30T06:00:00"/>
    <s v="NO"/>
    <s v="6/26"/>
    <s v="FFAU5508511"/>
    <s v="LOGIX"/>
    <n v="573.5"/>
    <e v="#N/A"/>
    <n v="50"/>
    <n v="50"/>
    <n v="3"/>
    <x v="1"/>
    <s v="LOGIXWEEK"/>
    <n v="623.5"/>
    <n v="20"/>
    <m/>
    <m/>
    <n v="643.5"/>
    <n v="70"/>
    <n v="1"/>
    <m/>
  </r>
  <r>
    <s v="VANCOUVER EXPRESS"/>
    <x v="0"/>
    <d v="2026-02-03T02:20:00"/>
    <d v="2026-02-02T20:00:00"/>
    <x v="3"/>
    <s v="MAEU262608342"/>
    <x v="0"/>
    <s v="Karachi-Muhammad Bin Qasim"/>
    <s v="TCNU4994896"/>
    <s v="SIMEI LELYSTAD"/>
    <d v="2026-02-03T23:00:00"/>
    <x v="178"/>
    <x v="133"/>
    <d v="2026-02-04T06:20:00"/>
    <x v="0"/>
    <x v="0"/>
    <n v="1"/>
    <x v="5"/>
    <x v="1"/>
    <d v="2026-02-04T06:10:00"/>
    <d v="1899-12-30T20:40:00"/>
    <n v="20.666666666802485"/>
    <x v="0"/>
    <d v="1899-12-30T07:00:00"/>
    <n v="6.9999999999417923"/>
    <s v="SI"/>
    <d v="1899-12-31T03:40:00"/>
    <n v="27.666666666744277"/>
    <d v="1899-12-30T00:10:00"/>
    <x v="0"/>
    <n v="0.16666666668606922"/>
    <d v="1899-12-31T04:00:00"/>
    <n v="28.000000000116415"/>
    <x v="0"/>
    <m/>
    <d v="1899-12-30T06:00:00"/>
    <s v="NO"/>
    <s v="6/26"/>
    <s v="TCNU4994896"/>
    <s v="MSI"/>
    <n v="503.5"/>
    <e v="#N/A"/>
    <n v="50"/>
    <n v="50"/>
    <n v="3"/>
    <x v="1"/>
    <s v="MSIWEEK"/>
    <n v="628.5"/>
    <n v="20"/>
    <n v="75"/>
    <s v="06:00 - 10:15"/>
    <n v="648.5"/>
    <n v="70"/>
    <n v="1"/>
    <m/>
  </r>
  <r>
    <s v="VANCOUVER EXPRESS"/>
    <x v="0"/>
    <d v="2026-02-03T02:20:00"/>
    <d v="2026-02-02T20:00:00"/>
    <x v="2"/>
    <s v="MAEU262720853"/>
    <x v="0"/>
    <s v="Mumbai (ex Bombay)"/>
    <s v="GAOU7089243"/>
    <s v="SIMEI LELYSTAD"/>
    <d v="2026-02-03T23:00:00"/>
    <x v="179"/>
    <x v="134"/>
    <d v="2026-02-04T07:15:00"/>
    <x v="0"/>
    <x v="0"/>
    <n v="2"/>
    <x v="5"/>
    <x v="1"/>
    <d v="2026-02-04T07:03:00"/>
    <d v="1899-12-30T20:40:00"/>
    <n v="20.666666666802485"/>
    <x v="0"/>
    <d v="1899-12-30T08:00:00"/>
    <n v="7.9999999998835847"/>
    <s v="SI"/>
    <d v="1899-12-31T04:40:00"/>
    <n v="28.666666666686069"/>
    <d v="1899-12-30T00:03:00"/>
    <x v="0"/>
    <n v="4.9999999988358468E-2"/>
    <d v="1899-12-31T04:55:00"/>
    <n v="28.916666666802485"/>
    <x v="0"/>
    <m/>
    <d v="1899-12-30T07:00:00"/>
    <s v="NO"/>
    <s v="6/26"/>
    <s v="GAOU7089243"/>
    <s v="LOGIX"/>
    <n v="573.5"/>
    <e v="#N/A"/>
    <n v="50"/>
    <n v="100"/>
    <n v="3"/>
    <x v="1"/>
    <s v="LOGIXWEEK"/>
    <n v="673.5"/>
    <n v="20"/>
    <m/>
    <m/>
    <n v="693.5"/>
    <n v="70"/>
    <n v="1"/>
    <m/>
  </r>
  <r>
    <s v="VANCOUVER EXPRESS"/>
    <x v="0"/>
    <d v="2026-02-03T02:20:00"/>
    <d v="2026-02-02T20:00:00"/>
    <x v="3"/>
    <s v="MAEU262716845"/>
    <x v="0"/>
    <s v="Jawaharlal Nehru (Nhava Sheva)"/>
    <s v="MRSU6986885"/>
    <s v="LELYSTAD"/>
    <d v="2026-02-03T23:00:00"/>
    <x v="180"/>
    <x v="135"/>
    <d v="2026-02-04T08:20:00"/>
    <x v="0"/>
    <x v="0"/>
    <n v="0"/>
    <x v="5"/>
    <x v="1"/>
    <d v="2026-02-04T07:17:00"/>
    <d v="1899-12-30T20:40:00"/>
    <n v="20.666666666802485"/>
    <x v="0"/>
    <d v="1899-12-30T09:00:00"/>
    <n v="9"/>
    <s v="SI"/>
    <d v="1899-12-31T05:40:00"/>
    <n v="29.666666666802485"/>
    <d v="1899-12-30T00:00:00"/>
    <x v="0"/>
    <n v="0"/>
    <d v="1899-12-31T06:00:00"/>
    <n v="30"/>
    <x v="0"/>
    <m/>
    <d v="1899-12-30T08:00:00"/>
    <s v="NO"/>
    <s v="6/26"/>
    <s v="MRSU6986885"/>
    <s v="MSI"/>
    <n v="503.5"/>
    <e v="#N/A"/>
    <n v="50"/>
    <n v="0"/>
    <n v="3"/>
    <x v="1"/>
    <s v="MSIWEEK"/>
    <n v="578.5"/>
    <n v="20"/>
    <n v="75"/>
    <s v="08:00 - 11:15"/>
    <n v="598.5"/>
    <n v="70"/>
    <n v="1"/>
    <m/>
  </r>
  <r>
    <s v="VANCOUVER EXPRESS"/>
    <x v="0"/>
    <d v="2026-02-03T02:20:00"/>
    <d v="2026-02-02T20:00:00"/>
    <x v="4"/>
    <s v="MAEU262939907"/>
    <x v="0"/>
    <s v="Karachi-Muhammad Bin Qasim"/>
    <s v="UETU6823477"/>
    <s v="SIMEI LELYSTAD"/>
    <d v="2026-02-03T23:00:00"/>
    <x v="181"/>
    <x v="135"/>
    <d v="2026-02-04T06:50:00"/>
    <x v="0"/>
    <x v="0"/>
    <n v="1"/>
    <x v="5"/>
    <x v="1"/>
    <d v="2026-02-04T06:50:00"/>
    <d v="1899-12-30T20:40:00"/>
    <n v="20.666666666802485"/>
    <x v="0"/>
    <d v="1899-12-30T09:00:00"/>
    <n v="9"/>
    <s v="SI"/>
    <d v="1899-12-31T05:40:00"/>
    <n v="29.666666666802485"/>
    <d v="1899-12-30T00:00:00"/>
    <x v="0"/>
    <n v="0"/>
    <d v="1899-12-31T04:30:00"/>
    <n v="28.5"/>
    <x v="0"/>
    <m/>
    <d v="1899-12-30T08:00:00"/>
    <s v="NO"/>
    <s v="6/26"/>
    <s v="UETU6823477"/>
    <s v="OM TRANSPORT"/>
    <n v="498.5"/>
    <e v="#N/A"/>
    <n v="50"/>
    <n v="50"/>
    <n v="3"/>
    <x v="1"/>
    <s v="OM TRANSPORTWEEK"/>
    <n v="548.5"/>
    <n v="20"/>
    <m/>
    <m/>
    <n v="568.5"/>
    <n v="70"/>
    <n v="1"/>
    <m/>
  </r>
  <r>
    <s v="VANCOUVER EXPRESS"/>
    <x v="0"/>
    <d v="2026-02-03T02:20:00"/>
    <d v="2026-02-02T20:00:00"/>
    <x v="4"/>
    <s v="MAEU262971293"/>
    <x v="0"/>
    <s v="Karachi-Muhammad Bin Qasim"/>
    <s v="MRKU4015342"/>
    <s v="SIMEI LELYSTAD"/>
    <d v="2026-02-03T23:00:00"/>
    <x v="182"/>
    <x v="136"/>
    <d v="2026-02-04T08:40:00"/>
    <x v="0"/>
    <x v="0"/>
    <n v="1"/>
    <x v="5"/>
    <x v="1"/>
    <d v="2026-02-04T08:40:00"/>
    <d v="1899-12-30T20:40:00"/>
    <n v="20.666666666802485"/>
    <x v="0"/>
    <d v="1899-12-30T10:00:00"/>
    <n v="9.9999999999417923"/>
    <s v="SI"/>
    <d v="1899-12-31T06:40:00"/>
    <n v="30.666666666744277"/>
    <d v="1899-12-30T00:00:00"/>
    <x v="0"/>
    <n v="0"/>
    <d v="1899-12-31T06:20:00"/>
    <n v="30.333333333372138"/>
    <x v="0"/>
    <m/>
    <d v="1899-12-30T09:00:00"/>
    <s v="NO"/>
    <s v="6/26"/>
    <s v="MRKU4015342"/>
    <s v="OM TRANSPORT"/>
    <n v="498.5"/>
    <e v="#N/A"/>
    <n v="50"/>
    <n v="50"/>
    <n v="3"/>
    <x v="1"/>
    <s v="OM TRANSPORTWEEK"/>
    <n v="593.5"/>
    <n v="20"/>
    <n v="45"/>
    <s v="09:00 - 12:00"/>
    <n v="613.5"/>
    <n v="70"/>
    <n v="1"/>
    <m/>
  </r>
  <r>
    <s v="VANCOUVER EXPRESS"/>
    <x v="0"/>
    <d v="2026-02-03T02:20:00"/>
    <d v="2026-02-02T20:00:00"/>
    <x v="5"/>
    <s v="MAEU262939907"/>
    <x v="0"/>
    <s v="Karachi-Muhammad Bin Qasim"/>
    <s v="MSKU1490504"/>
    <s v="LELYSTAD"/>
    <d v="2026-02-03T23:00:00"/>
    <x v="183"/>
    <x v="137"/>
    <d v="2026-02-04T11:30:00"/>
    <x v="0"/>
    <x v="0"/>
    <n v="0"/>
    <x v="5"/>
    <x v="1"/>
    <d v="2026-02-04T11:00:00"/>
    <d v="1899-12-30T20:40:00"/>
    <n v="20.666666666802485"/>
    <x v="0"/>
    <d v="1899-12-30T12:00:00"/>
    <n v="12"/>
    <s v="SI"/>
    <d v="1899-12-31T08:40:00"/>
    <n v="32.666666666802485"/>
    <d v="1899-12-30T00:00:00"/>
    <x v="0"/>
    <n v="0"/>
    <d v="1899-12-31T09:10:00"/>
    <n v="33.166666666686069"/>
    <x v="0"/>
    <m/>
    <d v="1899-12-30T11:00:00"/>
    <s v="NO"/>
    <s v="6/26"/>
    <s v="MSKU1490504"/>
    <s v="OTL"/>
    <n v="553.5"/>
    <e v="#N/A"/>
    <n v="60"/>
    <n v="0"/>
    <n v="3"/>
    <x v="1"/>
    <s v="OTLWEEK"/>
    <n v="763.5"/>
    <n v="20"/>
    <n v="210"/>
    <s v="11:00 - 16:30"/>
    <n v="783.5"/>
    <n v="70"/>
    <n v="1"/>
    <m/>
  </r>
  <r>
    <s v="VANCOUVER EXPRESS"/>
    <x v="0"/>
    <d v="2026-02-03T02:20:00"/>
    <d v="2026-02-02T20:00:00"/>
    <x v="1"/>
    <s v="MAEU262608342"/>
    <x v="0"/>
    <s v="Karachi-Muhammad Bin Qasim"/>
    <s v="MRSU3216350"/>
    <s v="LELYSTAD"/>
    <d v="2026-02-03T23:00:00"/>
    <x v="184"/>
    <x v="138"/>
    <d v="2026-02-04T12:45:00"/>
    <x v="0"/>
    <x v="0"/>
    <n v="0"/>
    <x v="5"/>
    <x v="1"/>
    <d v="2026-02-04T11:53:00"/>
    <d v="1899-12-30T20:40:00"/>
    <n v="20.666666666802485"/>
    <x v="0"/>
    <d v="1899-12-30T14:00:00"/>
    <n v="13.999999999883585"/>
    <s v="SI"/>
    <d v="1899-12-31T10:40:00"/>
    <n v="34.666666666686069"/>
    <d v="1899-12-30T00:00:00"/>
    <x v="0"/>
    <n v="0"/>
    <d v="1899-12-31T10:25:00"/>
    <n v="34.416666666744277"/>
    <x v="0"/>
    <m/>
    <d v="1899-12-30T13:00:00"/>
    <s v="NO"/>
    <s v="6/26"/>
    <s v="MRSU3216350"/>
    <s v="CTK TRANSPORT"/>
    <n v="573.5"/>
    <e v="#N/A"/>
    <n v="50"/>
    <n v="0"/>
    <n v="3"/>
    <x v="1"/>
    <s v="CTK TRANSPORTWEEK"/>
    <n v="673.5"/>
    <n v="20"/>
    <n v="100"/>
    <s v="13:00-17:05"/>
    <n v="693.5"/>
    <n v="70"/>
    <n v="1"/>
    <m/>
  </r>
  <r>
    <s v="VANCOUVER EXPRESS"/>
    <x v="0"/>
    <d v="2026-02-03T02:20:00"/>
    <d v="2026-02-02T20:00:00"/>
    <x v="5"/>
    <s v="MAEU263189518"/>
    <x v="0"/>
    <s v="Karachi-Muhammad Bin Qasim"/>
    <s v="MRKU3517310"/>
    <s v="LELYSTAD"/>
    <d v="2026-02-03T23:00:00"/>
    <x v="185"/>
    <x v="139"/>
    <d v="2026-02-04T13:45:00"/>
    <x v="0"/>
    <x v="0"/>
    <n v="0"/>
    <x v="5"/>
    <x v="1"/>
    <d v="2026-02-04T13:45:00"/>
    <d v="1899-12-30T20:40:00"/>
    <n v="20.666666666802485"/>
    <x v="0"/>
    <d v="1899-12-30T15:00:00"/>
    <n v="15"/>
    <s v="SI"/>
    <d v="1899-12-31T11:40:00"/>
    <n v="35.666666666802485"/>
    <d v="1899-12-30T00:00:00"/>
    <x v="0"/>
    <n v="0"/>
    <d v="1899-12-31T11:25:00"/>
    <n v="35.416666666686069"/>
    <x v="0"/>
    <m/>
    <d v="1899-12-30T14:00:00"/>
    <s v="NO"/>
    <s v="6/26"/>
    <s v="MRKU3517310"/>
    <s v="OTL"/>
    <n v="553.5"/>
    <e v="#N/A"/>
    <n v="60"/>
    <n v="0"/>
    <n v="3"/>
    <x v="1"/>
    <s v="OTLWEEK"/>
    <n v="583.5"/>
    <n v="20"/>
    <n v="30"/>
    <s v="14:00 - 16:30"/>
    <n v="603.5"/>
    <n v="70"/>
    <n v="1"/>
    <m/>
  </r>
  <r>
    <s v="VANCOUVER EXPRESS"/>
    <x v="0"/>
    <d v="2026-02-03T02:20:00"/>
    <d v="2026-02-02T20:00:00"/>
    <x v="3"/>
    <s v="MAEU262608342"/>
    <x v="0"/>
    <s v="Karachi-Muhammad Bin Qasim"/>
    <s v="MRSU4750186"/>
    <s v="LELYSTAD"/>
    <d v="2026-02-03T23:00:00"/>
    <x v="186"/>
    <x v="140"/>
    <d v="2026-02-04T15:30:00"/>
    <x v="0"/>
    <x v="0"/>
    <n v="0"/>
    <x v="5"/>
    <x v="1"/>
    <d v="2026-02-04T14:01:00"/>
    <d v="1899-12-30T20:40:00"/>
    <n v="20.666666666802485"/>
    <x v="0"/>
    <d v="1899-12-30T16:00:00"/>
    <n v="15.999999999941792"/>
    <s v="SI"/>
    <d v="1899-12-31T12:40:00"/>
    <n v="36.666666666744277"/>
    <d v="1899-12-30T00:00:00"/>
    <x v="0"/>
    <n v="0"/>
    <d v="1899-12-31T13:10:00"/>
    <n v="37.166666666802485"/>
    <x v="0"/>
    <m/>
    <d v="1899-12-30T15:00:00"/>
    <s v="NO"/>
    <s v="6/26"/>
    <s v="MRSU4750186"/>
    <s v="MSI"/>
    <n v="503.5"/>
    <e v="#N/A"/>
    <n v="50"/>
    <n v="0"/>
    <n v="3"/>
    <x v="1"/>
    <s v="MSIWEEK"/>
    <n v="623.5"/>
    <n v="20"/>
    <n v="120"/>
    <s v="15:00 - 19:00"/>
    <n v="643.5"/>
    <n v="70"/>
    <n v="1"/>
    <m/>
  </r>
  <r>
    <s v="VANCOUVER EXPRESS"/>
    <x v="0"/>
    <d v="2026-02-03T02:20:00"/>
    <d v="2026-02-02T20:00:00"/>
    <x v="2"/>
    <s v="MAEU262939907"/>
    <x v="0"/>
    <s v="Karachi-Muhammad Bin Qasim"/>
    <s v="TIIU5216450"/>
    <s v="LELYSTAD"/>
    <d v="2026-02-03T23:00:00"/>
    <x v="187"/>
    <x v="141"/>
    <d v="2026-02-04T17:05:00"/>
    <x v="0"/>
    <x v="0"/>
    <n v="0"/>
    <x v="5"/>
    <x v="1"/>
    <d v="2026-02-04T16:53:00"/>
    <d v="1899-12-30T20:40:00"/>
    <n v="20.666666666802485"/>
    <x v="0"/>
    <d v="1899-12-30T18:00:00"/>
    <n v="18"/>
    <s v="SI"/>
    <d v="1899-12-31T14:40:00"/>
    <n v="38.666666666802485"/>
    <d v="1899-12-30T00:00:00"/>
    <x v="0"/>
    <n v="0"/>
    <d v="1899-12-31T14:45:00"/>
    <n v="38.750000000058208"/>
    <x v="0"/>
    <m/>
    <d v="1899-12-30T17:00:00"/>
    <s v="NO"/>
    <s v="6/26"/>
    <s v="TIIU5216450"/>
    <s v="LOGIX"/>
    <n v="573.5"/>
    <e v="#N/A"/>
    <n v="50"/>
    <n v="0"/>
    <n v="3"/>
    <x v="1"/>
    <s v="LOGIXWEEK"/>
    <n v="573.5"/>
    <n v="20"/>
    <m/>
    <m/>
    <n v="593.5"/>
    <n v="70"/>
    <n v="1"/>
    <m/>
  </r>
  <r>
    <s v="VANCOUVER EXPRESS"/>
    <x v="0"/>
    <d v="2026-02-03T02:20:00"/>
    <d v="2026-02-02T20:00:00"/>
    <x v="4"/>
    <s v="MAEU262971293"/>
    <x v="0"/>
    <s v="Karachi-Muhammad Bin Qasim"/>
    <s v="MRSU7766484"/>
    <s v="LELYSTAD"/>
    <d v="2026-02-03T23:00:00"/>
    <x v="188"/>
    <x v="142"/>
    <d v="2026-02-04T19:30:00"/>
    <x v="0"/>
    <x v="0"/>
    <n v="0"/>
    <x v="5"/>
    <x v="1"/>
    <d v="2026-02-04T19:28:00"/>
    <d v="1899-12-30T20:40:00"/>
    <n v="20.666666666802485"/>
    <x v="0"/>
    <d v="1899-12-30T20:00:00"/>
    <n v="19.999999999883585"/>
    <s v="SI"/>
    <d v="1899-12-31T16:40:00"/>
    <n v="40.666666666686069"/>
    <d v="1899-12-30T00:28:00"/>
    <x v="0"/>
    <n v="0.46666666679084301"/>
    <d v="1899-12-31T17:10:00"/>
    <n v="41.166666666744277"/>
    <x v="0"/>
    <m/>
    <d v="1899-12-30T19:00:00"/>
    <s v="NO"/>
    <s v="6/26"/>
    <s v="MRSU7766484"/>
    <s v="OM TRANSPORT"/>
    <n v="498.5"/>
    <e v="#N/A"/>
    <n v="50"/>
    <n v="0"/>
    <n v="3"/>
    <x v="1"/>
    <s v="OM TRANSPORTWEEK"/>
    <n v="566"/>
    <n v="20"/>
    <n v="67.5"/>
    <s v="19:00 - 22:30"/>
    <n v="586"/>
    <n v="70"/>
    <n v="1"/>
    <m/>
  </r>
  <r>
    <s v="VANCOUVER EXPRESS"/>
    <x v="0"/>
    <d v="2026-02-03T02:20:00"/>
    <d v="2026-02-02T20:00:00"/>
    <x v="4"/>
    <s v="MAEU262971293"/>
    <x v="0"/>
    <s v="Karachi-Muhammad Bin Qasim"/>
    <s v="MSKU9926533"/>
    <s v="LELYSTAD"/>
    <d v="2026-02-03T23:00:00"/>
    <x v="189"/>
    <x v="143"/>
    <d v="2026-02-04T20:00:00"/>
    <x v="0"/>
    <x v="0"/>
    <n v="0"/>
    <x v="5"/>
    <x v="1"/>
    <d v="2026-02-04T20:00:00"/>
    <d v="1899-12-30T20:40:00"/>
    <n v="20.666666666802485"/>
    <x v="0"/>
    <d v="1899-12-30T21:00:00"/>
    <n v="21"/>
    <s v="SI"/>
    <d v="1899-12-31T17:40:00"/>
    <n v="41.666666666802485"/>
    <d v="1899-12-30T00:00:00"/>
    <x v="0"/>
    <n v="0"/>
    <d v="1899-12-31T17:40:00"/>
    <n v="41.666666666802485"/>
    <x v="0"/>
    <m/>
    <d v="1899-12-30T20:00:00"/>
    <s v="NIGHT"/>
    <s v="6/26"/>
    <s v="MSKU9926533"/>
    <s v="OM TRANSPORT"/>
    <n v="498.5"/>
    <e v="#N/A"/>
    <n v="50"/>
    <n v="0"/>
    <n v="3"/>
    <x v="3"/>
    <s v="OM TRANSPORTNIGHT"/>
    <n v="566"/>
    <n v="20"/>
    <n v="67.5"/>
    <s v="20:00 - 23:30"/>
    <n v="586"/>
    <n v="70"/>
    <n v="1"/>
    <m/>
  </r>
  <r>
    <s v="MUMBAI MAERSK"/>
    <x v="1"/>
    <d v="2026-02-03T19:43:00"/>
    <d v="2026-02-03T19:00:00"/>
    <x v="4"/>
    <s v="MAEU262350704"/>
    <x v="0"/>
    <s v="Sihanoukville"/>
    <s v="MRSU7991546"/>
    <s v="LELYSTAD"/>
    <d v="2026-02-05T06:00:00"/>
    <x v="190"/>
    <x v="144"/>
    <d v="2026-02-05T06:55:00"/>
    <x v="0"/>
    <x v="0"/>
    <n v="0"/>
    <x v="5"/>
    <x v="1"/>
    <d v="2026-02-05T05:26:00"/>
    <d v="1899-12-31T10:17:00"/>
    <n v="34.283333333325572"/>
    <x v="0"/>
    <d v="1899-12-30T00:00:00"/>
    <n v="0"/>
    <s v="SI"/>
    <d v="1899-12-31T10:17:00"/>
    <n v="34.283333333325572"/>
    <d v="1899-12-30T00:00:00"/>
    <x v="0"/>
    <n v="0"/>
    <d v="1899-12-31T11:12:00"/>
    <n v="35.200000000011642"/>
    <x v="0"/>
    <m/>
    <d v="1899-12-30T06:00:00"/>
    <s v="NO"/>
    <s v="6/26"/>
    <s v="MRSU7991546"/>
    <s v="OM TRANSPORT"/>
    <n v="475"/>
    <e v="#N/A"/>
    <n v="50"/>
    <n v="0"/>
    <n v="4"/>
    <x v="1"/>
    <s v="OM TRANSPORTWEEK"/>
    <n v="497.5"/>
    <n v="20"/>
    <n v="22.5"/>
    <s v="06:00 - 08:30"/>
    <n v="517.5"/>
    <n v="70"/>
    <n v="1"/>
    <m/>
  </r>
  <r>
    <s v="MUMBAI MAERSK"/>
    <x v="1"/>
    <d v="2026-02-03T19:43:00"/>
    <d v="2026-02-03T19:00:00"/>
    <x v="4"/>
    <s v="MAEU262010592"/>
    <x v="0"/>
    <s v="Shanghai"/>
    <s v="MRKU5127624"/>
    <s v="LELYSTAD"/>
    <d v="2026-02-05T07:00:00"/>
    <x v="191"/>
    <x v="145"/>
    <d v="2026-02-05T08:00:00"/>
    <x v="0"/>
    <x v="1"/>
    <n v="0"/>
    <x v="5"/>
    <x v="1"/>
    <d v="2026-02-05T07:00:00"/>
    <d v="1899-12-31T11:17:00"/>
    <n v="35.283333333267365"/>
    <x v="0"/>
    <d v="1899-12-30T00:00:00"/>
    <n v="0"/>
    <s v="SI"/>
    <d v="1899-12-31T11:17:00"/>
    <n v="35.283333333267365"/>
    <d v="1899-12-30T00:00:00"/>
    <x v="0"/>
    <n v="0"/>
    <d v="1899-12-31T12:17:00"/>
    <n v="36.28333333338378"/>
    <x v="0"/>
    <m/>
    <d v="1899-12-30T07:00:00"/>
    <s v="NO"/>
    <s v="6/26"/>
    <s v="MRKU5127624"/>
    <s v="OM TRANSPORT"/>
    <n v="475"/>
    <n v="110"/>
    <n v="50"/>
    <n v="0"/>
    <n v="4"/>
    <x v="1"/>
    <s v="OM TRANSPORTWEEK"/>
    <n v="663.75"/>
    <n v="20"/>
    <n v="78.75"/>
    <s v="07:00 - 10:45"/>
    <n v="683.75"/>
    <n v="70"/>
    <n v="1"/>
    <m/>
  </r>
  <r>
    <s v="MUMBAI MAERSK"/>
    <x v="1"/>
    <d v="2026-02-03T19:43:00"/>
    <d v="2026-02-03T19:00:00"/>
    <x v="4"/>
    <s v="MAEU262010592"/>
    <x v="0"/>
    <s v="Shanghai"/>
    <s v="FFAU1935618"/>
    <s v="LELYSTAD"/>
    <d v="2026-02-05T14:00:00"/>
    <x v="192"/>
    <x v="146"/>
    <d v="2026-02-05T14:20:00"/>
    <x v="0"/>
    <x v="1"/>
    <n v="0"/>
    <x v="5"/>
    <x v="1"/>
    <d v="2026-02-05T13:56:00"/>
    <d v="1899-12-31T18:17:00"/>
    <n v="42.28333333338378"/>
    <x v="0"/>
    <d v="1899-12-30T00:00:00"/>
    <n v="0"/>
    <s v="SI"/>
    <d v="1899-12-31T18:17:00"/>
    <n v="42.28333333338378"/>
    <d v="1899-12-30T00:00:00"/>
    <x v="0"/>
    <n v="0"/>
    <d v="1899-12-31T18:37:00"/>
    <n v="42.616666666581295"/>
    <x v="0"/>
    <m/>
    <d v="1899-12-30T14:00:00"/>
    <s v="NO"/>
    <s v="6/26"/>
    <s v="FFAU1935618"/>
    <s v="OM TRANSPORT"/>
    <n v="475"/>
    <n v="110"/>
    <n v="50"/>
    <n v="0"/>
    <n v="4"/>
    <x v="1"/>
    <s v="OM TRANSPORTWEEK"/>
    <n v="697.5"/>
    <n v="20"/>
    <n v="112.5"/>
    <s v="14:00 - 18:00"/>
    <n v="717.5"/>
    <n v="70"/>
    <n v="1"/>
    <m/>
  </r>
  <r>
    <s v="MUMBAI MAERSK"/>
    <x v="1"/>
    <d v="2026-02-03T19:43:00"/>
    <d v="2026-02-03T19:00:00"/>
    <x v="3"/>
    <s v="MAEU262350704"/>
    <x v="0"/>
    <s v="Sihanoukville"/>
    <s v="MRKU4017920"/>
    <s v="SIMEI LELYSTAD"/>
    <d v="2026-02-05T17:00:00"/>
    <x v="193"/>
    <x v="147"/>
    <d v="2026-02-05T18:30:00"/>
    <x v="0"/>
    <x v="0"/>
    <n v="0"/>
    <x v="5"/>
    <x v="1"/>
    <d v="2026-02-05T18:25:00"/>
    <d v="1899-12-31T21:17:00"/>
    <n v="45.28333333338378"/>
    <x v="0"/>
    <d v="1899-12-30T00:00:00"/>
    <n v="0"/>
    <s v="SI"/>
    <d v="1899-12-31T21:17:00"/>
    <n v="45.28333333338378"/>
    <d v="1899-12-30T01:25:00"/>
    <x v="1"/>
    <n v="1.4166666665696539"/>
    <d v="1899-12-31T22:47:00"/>
    <n v="46.78333333338378"/>
    <x v="0"/>
    <m/>
    <d v="1899-12-30T17:00:00"/>
    <s v="NO"/>
    <s v="6/26"/>
    <s v="MRKU4017920"/>
    <s v="MSI"/>
    <n v="480"/>
    <e v="#N/A"/>
    <n v="50"/>
    <n v="0"/>
    <n v="4"/>
    <x v="1"/>
    <s v="MSIWEEK"/>
    <n v="480"/>
    <n v="20"/>
    <m/>
    <m/>
    <n v="500"/>
    <n v="70"/>
    <n v="1"/>
    <m/>
  </r>
  <r>
    <s v="MUMBAI MAERSK"/>
    <x v="1"/>
    <d v="2026-02-03T19:43:00"/>
    <d v="2026-02-03T19:00:00"/>
    <x v="5"/>
    <s v="MAEU263153185"/>
    <x v="0"/>
    <s v="Yantian"/>
    <s v="MRSU9265603"/>
    <s v="SIMEI LELYSTAD"/>
    <d v="2026-02-05T17:00:00"/>
    <x v="194"/>
    <x v="147"/>
    <d v="2026-02-05T20:08:00"/>
    <x v="0"/>
    <x v="0"/>
    <n v="0"/>
    <x v="5"/>
    <x v="1"/>
    <d v="2026-02-05T20:03:00"/>
    <d v="1899-12-31T21:17:00"/>
    <n v="45.28333333338378"/>
    <x v="0"/>
    <d v="1899-12-30T00:00:00"/>
    <n v="0"/>
    <s v="SI"/>
    <d v="1899-12-31T21:17:00"/>
    <n v="45.28333333338378"/>
    <d v="1899-12-30T03:03:00"/>
    <x v="1"/>
    <n v="3.0499999999883585"/>
    <d v="1900-01-01T00:25:00"/>
    <n v="48.416666666627862"/>
    <x v="1"/>
    <m/>
    <d v="1899-12-30T17:00:00"/>
    <s v="NO"/>
    <s v="6/26"/>
    <s v="MRSU9265603"/>
    <s v="OTL"/>
    <n v="530"/>
    <e v="#N/A"/>
    <n v="60"/>
    <n v="0"/>
    <n v="4"/>
    <x v="1"/>
    <s v="OTLWEEK"/>
    <n v="530"/>
    <n v="20"/>
    <m/>
    <m/>
    <n v="550"/>
    <n v="70"/>
    <n v="1"/>
    <m/>
  </r>
  <r>
    <s v="MUMBAI MAERSK"/>
    <x v="1"/>
    <d v="2026-02-03T19:43:00"/>
    <d v="2026-02-03T19:00:00"/>
    <x v="2"/>
    <s v="MAEU262350704"/>
    <x v="0"/>
    <s v="Sihanoukville"/>
    <s v="MRSU4725373"/>
    <s v="SIMEI LELYSTAD"/>
    <d v="2026-02-05T17:00:00"/>
    <x v="195"/>
    <x v="148"/>
    <d v="2026-02-05T18:20:00"/>
    <x v="0"/>
    <x v="0"/>
    <n v="0"/>
    <x v="5"/>
    <x v="1"/>
    <d v="2026-02-05T18:15:00"/>
    <d v="1899-12-31T21:17:00"/>
    <n v="45.28333333338378"/>
    <x v="0"/>
    <d v="1899-12-30T01:00:00"/>
    <n v="0.99999999994179234"/>
    <s v="SI"/>
    <d v="1899-12-31T22:17:00"/>
    <n v="46.283333333325572"/>
    <d v="1899-12-30T00:15:00"/>
    <x v="0"/>
    <n v="0.24999999994179234"/>
    <d v="1899-12-31T22:37:00"/>
    <n v="46.616666666697711"/>
    <x v="0"/>
    <m/>
    <d v="1899-12-30T18:00:00"/>
    <s v="NO"/>
    <s v="6/26"/>
    <s v="MRSU4725373"/>
    <s v="LOGIX"/>
    <n v="550"/>
    <e v="#N/A"/>
    <n v="50"/>
    <n v="0"/>
    <n v="4"/>
    <x v="1"/>
    <s v="LOGIXWEEK"/>
    <n v="550"/>
    <n v="20"/>
    <m/>
    <m/>
    <n v="570"/>
    <n v="70"/>
    <n v="1"/>
    <m/>
  </r>
  <r>
    <s v="MUMBAI MAERSK"/>
    <x v="1"/>
    <d v="2026-02-03T19:43:00"/>
    <d v="2026-02-03T19:00:00"/>
    <x v="2"/>
    <s v="MAEU262350704"/>
    <x v="0"/>
    <s v="Sihanoukville"/>
    <s v="TRHU5142990"/>
    <s v="SIMEI LELYSTAD"/>
    <d v="2026-02-05T17:00:00"/>
    <x v="196"/>
    <x v="149"/>
    <d v="2026-02-05T20:18:00"/>
    <x v="0"/>
    <x v="0"/>
    <n v="0"/>
    <x v="5"/>
    <x v="1"/>
    <d v="2026-02-05T20:12:00"/>
    <d v="1899-12-31T21:17:00"/>
    <n v="45.28333333338378"/>
    <x v="0"/>
    <d v="1899-12-30T02:00:00"/>
    <n v="1.9999999998835847"/>
    <s v="SI"/>
    <d v="1899-12-31T23:17:00"/>
    <n v="47.283333333267365"/>
    <d v="1899-12-30T01:12:00"/>
    <x v="1"/>
    <n v="1.2000000000698492"/>
    <d v="1900-01-01T00:35:00"/>
    <n v="48.583333333313931"/>
    <x v="1"/>
    <m/>
    <d v="1899-12-30T19:00:00"/>
    <s v="NO"/>
    <s v="6/26"/>
    <s v="TRHU5142990"/>
    <s v="LOGIX"/>
    <n v="550"/>
    <e v="#N/A"/>
    <n v="50"/>
    <n v="0"/>
    <n v="4"/>
    <x v="1"/>
    <s v="LOGIXWEEK"/>
    <n v="550"/>
    <n v="20"/>
    <m/>
    <m/>
    <n v="570"/>
    <n v="70"/>
    <n v="1"/>
    <m/>
  </r>
  <r>
    <s v="MUMBAI MAERSK"/>
    <x v="1"/>
    <d v="2026-02-03T19:43:00"/>
    <d v="2026-02-03T19:00:00"/>
    <x v="2"/>
    <s v="MAEU262842229"/>
    <x v="0"/>
    <s v="Haiphong"/>
    <s v="MRKU2725582"/>
    <s v="LELYSTAD"/>
    <d v="2026-02-05T17:00:00"/>
    <x v="197"/>
    <x v="150"/>
    <d v="2026-02-05T18:05:00"/>
    <x v="0"/>
    <x v="0"/>
    <n v="0"/>
    <x v="5"/>
    <x v="1"/>
    <d v="2026-02-05T17:36:00"/>
    <d v="1899-12-31T21:17:00"/>
    <n v="45.28333333338378"/>
    <x v="0"/>
    <d v="1899-12-30T04:00:00"/>
    <n v="3.9999999999417923"/>
    <s v="SI"/>
    <d v="1900-01-01T01:17:00"/>
    <n v="49.283333333325572"/>
    <d v="1899-12-30T00:00:00"/>
    <x v="0"/>
    <n v="0"/>
    <d v="1899-12-31T22:22:00"/>
    <n v="46.366666666581295"/>
    <x v="0"/>
    <m/>
    <d v="1899-12-30T21:00:00"/>
    <s v="NIGHT"/>
    <s v="6/26"/>
    <s v="MRKU2725582"/>
    <s v="LOGIX"/>
    <n v="550"/>
    <e v="#N/A"/>
    <n v="50"/>
    <n v="0"/>
    <n v="4"/>
    <x v="3"/>
    <s v="LOGIXNIGHT"/>
    <n v="550"/>
    <n v="20"/>
    <m/>
    <m/>
    <n v="570"/>
    <n v="70"/>
    <n v="1"/>
    <m/>
  </r>
  <r>
    <s v="MUMBAI MAERSK"/>
    <x v="1"/>
    <d v="2026-02-03T19:43:00"/>
    <d v="2026-02-03T19:00:00"/>
    <x v="5"/>
    <s v="MAEU263153185"/>
    <x v="0"/>
    <s v="Yantian"/>
    <s v="MRSU0630639"/>
    <s v="SIMEI LELYSTAD"/>
    <d v="2026-02-05T17:00:00"/>
    <x v="198"/>
    <x v="150"/>
    <d v="2026-02-05T21:18:00"/>
    <x v="0"/>
    <x v="0"/>
    <n v="0"/>
    <x v="5"/>
    <x v="1"/>
    <d v="2026-02-05T21:13:00"/>
    <d v="1899-12-31T21:17:00"/>
    <n v="45.28333333338378"/>
    <x v="0"/>
    <d v="1899-12-30T04:00:00"/>
    <n v="3.9999999999417923"/>
    <s v="SI"/>
    <d v="1900-01-01T01:17:00"/>
    <n v="49.283333333325572"/>
    <d v="1899-12-30T00:13:00"/>
    <x v="0"/>
    <n v="0.21666666667442769"/>
    <d v="1900-01-01T01:35:00"/>
    <n v="49.583333333255723"/>
    <x v="1"/>
    <m/>
    <d v="1899-12-30T21:00:00"/>
    <s v="NIGHT"/>
    <s v="6/26"/>
    <s v="MRSU0630639"/>
    <s v="OTL"/>
    <n v="530"/>
    <e v="#N/A"/>
    <n v="60"/>
    <n v="0"/>
    <n v="4"/>
    <x v="3"/>
    <s v="OTLNIGHT"/>
    <n v="530"/>
    <n v="20"/>
    <m/>
    <m/>
    <n v="550"/>
    <n v="70"/>
    <n v="1"/>
    <m/>
  </r>
  <r>
    <s v="MUMBAI MAERSK"/>
    <x v="1"/>
    <d v="2026-02-03T19:43:00"/>
    <d v="2026-02-03T19:00:00"/>
    <x v="4"/>
    <s v="MAEU262010592"/>
    <x v="0"/>
    <s v="Shanghai"/>
    <s v="MRSU7525996"/>
    <s v="LELYSTAD"/>
    <d v="2026-02-05T17:00:00"/>
    <x v="199"/>
    <x v="151"/>
    <d v="2026-02-05T22:05:00"/>
    <x v="0"/>
    <x v="1"/>
    <n v="0"/>
    <x v="5"/>
    <x v="1"/>
    <d v="2026-02-05T20:11:00"/>
    <d v="1899-12-31T21:17:00"/>
    <n v="45.28333333338378"/>
    <x v="0"/>
    <d v="1899-12-30T07:00:00"/>
    <n v="6.9999999999417923"/>
    <s v="SI"/>
    <d v="1900-01-01T04:17:00"/>
    <n v="52.283333333325572"/>
    <d v="1899-12-30T00:00:00"/>
    <x v="0"/>
    <n v="0"/>
    <d v="1900-01-01T02:22:00"/>
    <n v="50.366666666697711"/>
    <x v="1"/>
    <m/>
    <d v="1899-12-30T00:00:00"/>
    <s v="NIGHT"/>
    <s v="6/26"/>
    <s v="MRSU7525996"/>
    <s v="OM TRANSPORT"/>
    <n v="475"/>
    <n v="110"/>
    <n v="50"/>
    <n v="0"/>
    <n v="5"/>
    <x v="3"/>
    <s v="OM TRANSPORTNIGHT"/>
    <n v="675"/>
    <n v="20"/>
    <n v="90"/>
    <s v="00:00 - 04:00"/>
    <n v="695"/>
    <n v="70"/>
    <n v="1"/>
    <m/>
  </r>
  <r>
    <s v="MUMBAI MAERSK"/>
    <x v="1"/>
    <d v="2026-02-03T19:43:00"/>
    <d v="2026-02-03T19:00:00"/>
    <x v="3"/>
    <s v="MAEU262350704"/>
    <x v="0"/>
    <s v="Sihanoukville"/>
    <s v="TLLU6842785"/>
    <s v="SIMEI LELYSTAD"/>
    <d v="2026-02-05T17:00:00"/>
    <x v="200"/>
    <x v="152"/>
    <d v="2026-02-06T06:10:00"/>
    <x v="0"/>
    <x v="0"/>
    <n v="1"/>
    <x v="5"/>
    <x v="1"/>
    <d v="2026-02-06T05:39:00"/>
    <d v="1899-12-31T21:17:00"/>
    <n v="45.28333333338378"/>
    <x v="0"/>
    <d v="1899-12-30T13:00:00"/>
    <n v="12.999999999941792"/>
    <s v="SI"/>
    <d v="1900-01-01T10:17:00"/>
    <n v="58.283333333325572"/>
    <d v="1899-12-30T00:00:00"/>
    <x v="0"/>
    <n v="0"/>
    <d v="1900-01-01T10:27:00"/>
    <n v="58.450000000011642"/>
    <x v="1"/>
    <m/>
    <d v="1899-12-30T06:00:00"/>
    <s v="NO"/>
    <s v="6/26"/>
    <s v="TLLU6842785"/>
    <s v="MSI"/>
    <n v="480"/>
    <e v="#N/A"/>
    <n v="50"/>
    <n v="50"/>
    <n v="5"/>
    <x v="1"/>
    <s v="MSIWEEK"/>
    <n v="530"/>
    <n v="20"/>
    <m/>
    <m/>
    <n v="550"/>
    <n v="70"/>
    <n v="1"/>
    <m/>
  </r>
  <r>
    <s v="MUMBAI MAERSK"/>
    <x v="1"/>
    <d v="2026-02-03T19:43:00"/>
    <d v="2026-02-03T19:00:00"/>
    <x v="3"/>
    <s v="MAEU259975283"/>
    <x v="0"/>
    <s v="Shanghai"/>
    <s v="MSKU4811974"/>
    <s v="LELYSTAD"/>
    <d v="2026-02-05T17:00:00"/>
    <x v="201"/>
    <x v="153"/>
    <d v="2026-02-06T08:36:00"/>
    <x v="0"/>
    <x v="0"/>
    <n v="1"/>
    <x v="5"/>
    <x v="1"/>
    <d v="2026-02-06T07:00:00"/>
    <d v="1899-12-31T21:17:00"/>
    <n v="45.28333333338378"/>
    <x v="0"/>
    <d v="1899-12-30T14:00:00"/>
    <n v="13.999999999883585"/>
    <s v="SI"/>
    <d v="1900-01-01T11:17:00"/>
    <n v="59.283333333267365"/>
    <d v="1899-12-30T00:00:00"/>
    <x v="0"/>
    <n v="0"/>
    <d v="1900-01-01T12:53:00"/>
    <n v="60.883333333244082"/>
    <x v="1"/>
    <m/>
    <d v="1899-12-30T07:00:00"/>
    <s v="NO"/>
    <s v="6/26"/>
    <s v="MSKU4811974"/>
    <s v="MSI"/>
    <n v="480"/>
    <e v="#N/A"/>
    <n v="50"/>
    <n v="50"/>
    <n v="5"/>
    <x v="1"/>
    <s v="MSIWEEK"/>
    <n v="530"/>
    <n v="20"/>
    <m/>
    <m/>
    <n v="550"/>
    <n v="70"/>
    <n v="1"/>
    <m/>
  </r>
  <r>
    <s v="MUMBAI MAERSK"/>
    <x v="1"/>
    <d v="2026-02-03T19:43:00"/>
    <d v="2026-02-03T19:00:00"/>
    <x v="2"/>
    <s v="MAEU262350704"/>
    <x v="0"/>
    <s v="Sihanoukville"/>
    <s v="CAAU6682355"/>
    <s v="SIMEI LELYSTAD"/>
    <d v="2026-02-05T17:00:00"/>
    <x v="202"/>
    <x v="154"/>
    <d v="2026-02-06T08:20:00"/>
    <x v="0"/>
    <x v="0"/>
    <n v="1"/>
    <x v="5"/>
    <x v="1"/>
    <d v="2026-02-06T07:59:00"/>
    <d v="1899-12-31T21:17:00"/>
    <n v="45.28333333338378"/>
    <x v="0"/>
    <d v="1899-12-30T15:00:00"/>
    <n v="15"/>
    <s v="SI"/>
    <d v="1900-01-01T12:17:00"/>
    <n v="60.28333333338378"/>
    <d v="1899-12-30T00:00:00"/>
    <x v="0"/>
    <n v="0"/>
    <d v="1900-01-01T12:37:00"/>
    <n v="60.616666666581295"/>
    <x v="1"/>
    <m/>
    <d v="1899-12-30T08:00:00"/>
    <s v="NO"/>
    <s v="6/26"/>
    <s v="CAAU6682355"/>
    <s v="LOGIX"/>
    <n v="550"/>
    <e v="#N/A"/>
    <n v="50"/>
    <n v="50"/>
    <n v="5"/>
    <x v="1"/>
    <s v="LOGIXWEEK"/>
    <n v="600"/>
    <n v="20"/>
    <m/>
    <m/>
    <n v="620"/>
    <n v="70"/>
    <n v="1"/>
    <m/>
  </r>
  <r>
    <s v="MUMBAI MAERSK"/>
    <x v="1"/>
    <d v="2026-02-03T19:43:00"/>
    <d v="2026-02-03T19:00:00"/>
    <x v="5"/>
    <s v="MAEU262350704"/>
    <x v="0"/>
    <s v="Sihanoukville"/>
    <s v="CAAU7300328"/>
    <s v="SIMEI LELYSTAD"/>
    <d v="2026-02-05T17:00:00"/>
    <x v="203"/>
    <x v="154"/>
    <d v="2026-02-06T08:05:00"/>
    <x v="0"/>
    <x v="0"/>
    <n v="0"/>
    <x v="5"/>
    <x v="1"/>
    <d v="2026-02-06T07:55:00"/>
    <d v="1899-12-31T21:17:00"/>
    <n v="45.28333333338378"/>
    <x v="0"/>
    <d v="1899-12-30T15:00:00"/>
    <n v="15"/>
    <s v="SI"/>
    <d v="1900-01-01T12:17:00"/>
    <n v="60.28333333338378"/>
    <d v="1899-12-30T00:00:00"/>
    <x v="0"/>
    <n v="0"/>
    <d v="1900-01-01T12:22:00"/>
    <n v="60.366666666639503"/>
    <x v="1"/>
    <m/>
    <d v="1899-12-30T08:00:00"/>
    <s v="NO"/>
    <s v="6/26"/>
    <s v="CAAU7300328"/>
    <s v="OTL"/>
    <n v="530"/>
    <e v="#N/A"/>
    <n v="60"/>
    <n v="0"/>
    <n v="5"/>
    <x v="1"/>
    <s v="OTLWEEK"/>
    <n v="530"/>
    <n v="20"/>
    <m/>
    <m/>
    <n v="550"/>
    <n v="70"/>
    <n v="1"/>
    <m/>
  </r>
  <r>
    <s v="MUMBAI MAERSK"/>
    <x v="1"/>
    <d v="2026-02-03T19:43:00"/>
    <d v="2026-02-03T19:00:00"/>
    <x v="3"/>
    <s v="MAEU262350704"/>
    <x v="0"/>
    <s v="Sihanoukville"/>
    <s v="MRSU7749830"/>
    <s v="XPO TALLER LELYSTAD"/>
    <d v="2026-02-05T17:00:00"/>
    <x v="204"/>
    <x v="155"/>
    <d v="2026-02-06T11:55:00"/>
    <x v="0"/>
    <x v="0"/>
    <n v="1"/>
    <x v="5"/>
    <x v="1"/>
    <d v="2026-02-06T08:49:00"/>
    <d v="1899-12-31T21:17:00"/>
    <n v="45.28333333338378"/>
    <x v="0"/>
    <d v="1899-12-30T17:00:00"/>
    <n v="16.999999999883585"/>
    <s v="SI"/>
    <d v="1900-01-01T14:17:00"/>
    <n v="62.283333333267365"/>
    <d v="1899-12-30T00:00:00"/>
    <x v="0"/>
    <n v="0"/>
    <d v="1900-01-01T16:12:00"/>
    <n v="64.200000000069849"/>
    <x v="1"/>
    <m/>
    <d v="1899-12-30T10:00:00"/>
    <s v="NO"/>
    <s v="6/26"/>
    <s v="MRSU7749830"/>
    <s v="MSI"/>
    <n v="480"/>
    <e v="#N/A"/>
    <n v="50"/>
    <n v="50"/>
    <n v="5"/>
    <x v="1"/>
    <s v="MSIWEEK"/>
    <n v="530"/>
    <n v="20"/>
    <m/>
    <m/>
    <n v="550"/>
    <n v="70"/>
    <n v="1"/>
    <m/>
  </r>
  <r>
    <s v="MUMBAI MAERSK"/>
    <x v="1"/>
    <d v="2026-02-03T19:43:00"/>
    <d v="2026-02-03T19:00:00"/>
    <x v="3"/>
    <s v="MAEU259975283"/>
    <x v="0"/>
    <s v="Shanghai"/>
    <s v="TCKU7008149"/>
    <s v="SIMEI LELYSTAD"/>
    <d v="2026-02-05T17:00:00"/>
    <x v="205"/>
    <x v="155"/>
    <d v="2026-02-06T10:15:00"/>
    <x v="0"/>
    <x v="0"/>
    <n v="1"/>
    <x v="5"/>
    <x v="1"/>
    <d v="2026-02-06T08:29:00"/>
    <d v="1899-12-31T21:17:00"/>
    <n v="45.28333333338378"/>
    <x v="0"/>
    <d v="1899-12-30T17:00:00"/>
    <n v="16.999999999883585"/>
    <s v="SI"/>
    <d v="1900-01-01T14:17:00"/>
    <n v="62.283333333267365"/>
    <d v="1899-12-30T00:00:00"/>
    <x v="0"/>
    <n v="0"/>
    <d v="1900-01-01T14:32:00"/>
    <n v="62.53333333338378"/>
    <x v="1"/>
    <m/>
    <d v="1899-12-30T10:00:00"/>
    <s v="NO"/>
    <s v="6/26"/>
    <s v="TCKU7008149"/>
    <s v="MSI"/>
    <n v="480"/>
    <e v="#N/A"/>
    <n v="50"/>
    <n v="50"/>
    <n v="5"/>
    <x v="1"/>
    <s v="MSIWEEK"/>
    <n v="530"/>
    <n v="20"/>
    <m/>
    <m/>
    <n v="550"/>
    <n v="70"/>
    <n v="1"/>
    <m/>
  </r>
  <r>
    <s v="MUMBAI MAERSK"/>
    <x v="1"/>
    <d v="2026-02-03T19:43:00"/>
    <d v="2026-02-03T19:00:00"/>
    <x v="2"/>
    <s v="MAEU259975283"/>
    <x v="0"/>
    <s v="Shanghai"/>
    <s v="HASU4845574"/>
    <s v="SIMEI LELYSTAD"/>
    <d v="2026-02-05T17:00:00"/>
    <x v="206"/>
    <x v="156"/>
    <d v="2026-02-06T12:45:00"/>
    <x v="0"/>
    <x v="0"/>
    <n v="1"/>
    <x v="5"/>
    <x v="1"/>
    <d v="2026-02-06T12:00:00"/>
    <d v="1899-12-31T21:17:00"/>
    <n v="45.28333333338378"/>
    <x v="0"/>
    <d v="1899-12-30T19:00:00"/>
    <n v="18.999999999941792"/>
    <s v="SI"/>
    <d v="1900-01-01T16:17:00"/>
    <n v="64.283333333325572"/>
    <d v="1899-12-30T00:00:00"/>
    <x v="0"/>
    <n v="0"/>
    <d v="1900-01-01T17:02:00"/>
    <n v="65.033333333325572"/>
    <x v="1"/>
    <m/>
    <d v="1899-12-30T12:00:00"/>
    <s v="NO"/>
    <s v="6/26"/>
    <s v="HASU4845574"/>
    <s v="LOGIX"/>
    <n v="550"/>
    <e v="#N/A"/>
    <n v="50"/>
    <n v="50"/>
    <n v="5"/>
    <x v="1"/>
    <s v="LOGIXWEEK"/>
    <n v="600"/>
    <n v="20"/>
    <m/>
    <m/>
    <n v="620"/>
    <n v="70"/>
    <n v="1"/>
    <m/>
  </r>
  <r>
    <s v="MUMBAI MAERSK"/>
    <x v="1"/>
    <d v="2026-02-03T19:43:00"/>
    <d v="2026-02-03T19:00:00"/>
    <x v="2"/>
    <s v="MAEU262309187"/>
    <x v="0"/>
    <s v="Ho Chi Minh City"/>
    <s v="CAAU5229684"/>
    <s v="SIMEI LELYSTAD"/>
    <d v="2026-02-05T17:00:00"/>
    <x v="207"/>
    <x v="157"/>
    <d v="2026-02-06T14:20:00"/>
    <x v="0"/>
    <x v="0"/>
    <n v="0"/>
    <x v="5"/>
    <x v="1"/>
    <d v="2026-02-06T14:14:00"/>
    <d v="1899-12-31T21:17:00"/>
    <n v="45.28333333338378"/>
    <x v="0"/>
    <d v="1899-12-30T21:00:00"/>
    <n v="21"/>
    <s v="SI"/>
    <d v="1900-01-01T18:17:00"/>
    <n v="66.28333333338378"/>
    <d v="1899-12-30T00:14:00"/>
    <x v="0"/>
    <n v="0.23333333322079852"/>
    <d v="1900-01-01T18:37:00"/>
    <n v="66.616666666581295"/>
    <x v="1"/>
    <m/>
    <d v="1899-12-30T14:00:00"/>
    <s v="NO"/>
    <s v="6/26"/>
    <s v="CAAU5229684"/>
    <s v="LOGIX"/>
    <n v="550"/>
    <e v="#N/A"/>
    <n v="50"/>
    <n v="0"/>
    <n v="5"/>
    <x v="1"/>
    <s v="LOGIXWEEK"/>
    <n v="550"/>
    <n v="20"/>
    <m/>
    <m/>
    <n v="570"/>
    <n v="70"/>
    <n v="1"/>
    <m/>
  </r>
  <r>
    <s v="MUMBAI MAERSK"/>
    <x v="1"/>
    <d v="2026-02-03T19:43:00"/>
    <d v="2026-02-03T19:00:00"/>
    <x v="4"/>
    <s v="MAEU258733070"/>
    <x v="0"/>
    <s v="Shanghai"/>
    <s v="MSKU4777627"/>
    <s v="SIMEI LELYSTAD"/>
    <d v="2026-02-05T17:00:00"/>
    <x v="208"/>
    <x v="158"/>
    <d v="2026-02-06T14:48:00"/>
    <x v="0"/>
    <x v="0"/>
    <n v="0"/>
    <x v="5"/>
    <x v="1"/>
    <d v="2026-02-06T14:42:00"/>
    <d v="1899-12-31T21:17:00"/>
    <n v="45.28333333338378"/>
    <x v="0"/>
    <d v="1899-12-30T21:30:00"/>
    <n v="21.499999999883585"/>
    <s v="SI"/>
    <d v="1900-01-01T18:47:00"/>
    <n v="66.783333333267365"/>
    <d v="1899-12-30T00:12:00"/>
    <x v="0"/>
    <n v="0.20000000012805685"/>
    <d v="1900-01-01T19:05:00"/>
    <n v="67.083333333372138"/>
    <x v="1"/>
    <m/>
    <d v="1899-12-30T14:30:00"/>
    <s v="NO"/>
    <s v="6/26"/>
    <s v="MSKU4777627"/>
    <s v="OM TRANSPORT"/>
    <n v="475"/>
    <e v="#N/A"/>
    <n v="50"/>
    <n v="0"/>
    <n v="5"/>
    <x v="1"/>
    <s v="OM TRANSPORTWEEK"/>
    <n v="475"/>
    <n v="20"/>
    <m/>
    <m/>
    <n v="495"/>
    <n v="70"/>
    <n v="1"/>
    <m/>
  </r>
  <r>
    <s v="MUMBAI MAERSK"/>
    <x v="1"/>
    <d v="2026-02-03T19:43:00"/>
    <d v="2026-02-03T19:00:00"/>
    <x v="5"/>
    <s v="MAEU262350704"/>
    <x v="0"/>
    <s v="Sihanoukville"/>
    <s v="MRSU4891219"/>
    <s v="SIMEI LELYSTAD"/>
    <d v="2026-02-05T17:00:00"/>
    <x v="209"/>
    <x v="159"/>
    <d v="2026-02-06T18:35:00"/>
    <x v="0"/>
    <x v="0"/>
    <n v="1"/>
    <x v="5"/>
    <x v="1"/>
    <d v="2026-02-06T18:26:00"/>
    <d v="1899-12-31T21:17:00"/>
    <n v="45.28333333338378"/>
    <x v="0"/>
    <d v="1899-12-30T23:00:00"/>
    <n v="22.999999999883585"/>
    <s v="SI"/>
    <d v="1900-01-01T20:17:00"/>
    <n v="68.283333333267365"/>
    <d v="1899-12-30T02:26:00"/>
    <x v="1"/>
    <n v="2.433333333407063"/>
    <d v="1900-01-01T22:52:00"/>
    <n v="70.866666666639503"/>
    <x v="1"/>
    <m/>
    <d v="1899-12-30T16:00:00"/>
    <s v="NO"/>
    <s v="6/26"/>
    <s v="MRSU4891219"/>
    <s v="OTL"/>
    <n v="530"/>
    <e v="#N/A"/>
    <n v="60"/>
    <n v="60"/>
    <n v="5"/>
    <x v="1"/>
    <s v="OTLWEEK"/>
    <n v="590"/>
    <n v="20"/>
    <m/>
    <m/>
    <n v="610"/>
    <n v="70"/>
    <n v="1"/>
    <m/>
  </r>
  <r>
    <s v="CAP SAN SOUNIO"/>
    <x v="0"/>
    <d v="2026-02-06T08:41:00"/>
    <d v="2026-02-06T07:00:00"/>
    <x v="3"/>
    <s v="MAEU262761708"/>
    <x v="0"/>
    <s v="Chittagong"/>
    <s v="CAAU9153170"/>
    <s v="LELYSTAD"/>
    <d v="2026-02-07T18:00:00"/>
    <x v="210"/>
    <x v="160"/>
    <d v="2026-02-07T20:50:00"/>
    <x v="0"/>
    <x v="1"/>
    <n v="0"/>
    <x v="5"/>
    <x v="1"/>
    <d v="2026-02-07T18:58:00"/>
    <d v="1899-12-31T09:19:00"/>
    <n v="33.316666666651145"/>
    <x v="0"/>
    <d v="1899-12-30T01:00:00"/>
    <n v="0.99999999994179234"/>
    <s v="SI"/>
    <d v="1899-12-31T10:19:00"/>
    <n v="34.316666666592937"/>
    <d v="1899-12-30T00:00:00"/>
    <x v="0"/>
    <n v="0"/>
    <d v="1899-12-31T12:09:00"/>
    <n v="36.149999999965075"/>
    <x v="0"/>
    <m/>
    <d v="1899-12-30T19:00:00"/>
    <s v="NO"/>
    <s v="6/26"/>
    <s v="CAAU9153170"/>
    <s v="MSI"/>
    <n v="523.5"/>
    <n v="120"/>
    <n v="50"/>
    <n v="0"/>
    <n v="6"/>
    <x v="0"/>
    <s v="MSISATURDAY"/>
    <n v="778.5"/>
    <n v="20"/>
    <n v="135"/>
    <s v="19:00 - 23:15"/>
    <n v="798.5"/>
    <n v="70"/>
    <n v="1"/>
    <m/>
  </r>
  <r>
    <s v="CAP SAN SOUNIO"/>
    <x v="0"/>
    <d v="2026-02-06T08:41:00"/>
    <d v="2026-02-06T07:00:00"/>
    <x v="3"/>
    <s v="MAEU262761708"/>
    <x v="0"/>
    <s v="Chittagong"/>
    <s v="MRSU3111160"/>
    <s v="LELYSTAD"/>
    <d v="2026-02-07T18:00:00"/>
    <x v="211"/>
    <x v="160"/>
    <d v="2026-02-07T20:55:00"/>
    <x v="0"/>
    <x v="1"/>
    <n v="0"/>
    <x v="5"/>
    <x v="1"/>
    <d v="2026-02-07T19:12:00"/>
    <d v="1899-12-31T09:19:00"/>
    <n v="33.316666666651145"/>
    <x v="0"/>
    <d v="1899-12-30T01:00:00"/>
    <n v="0.99999999994179234"/>
    <s v="SI"/>
    <d v="1899-12-31T10:19:00"/>
    <n v="34.316666666592937"/>
    <d v="1899-12-30T00:12:00"/>
    <x v="0"/>
    <n v="0.20000000012805685"/>
    <d v="1899-12-31T12:14:00"/>
    <n v="36.233333333395422"/>
    <x v="0"/>
    <m/>
    <d v="1899-12-30T19:00:00"/>
    <s v="NO"/>
    <s v="6/26"/>
    <s v="MRSU3111160"/>
    <s v="MSI"/>
    <n v="523.5"/>
    <n v="120"/>
    <n v="50"/>
    <n v="0"/>
    <n v="6"/>
    <x v="0"/>
    <s v="MSISATURDAY"/>
    <n v="778.5"/>
    <n v="20"/>
    <n v="135"/>
    <s v="19:00 - 23:15"/>
    <n v="798.5"/>
    <n v="70"/>
    <n v="1"/>
    <m/>
  </r>
  <r>
    <s v="CAP SAN SOUNIO"/>
    <x v="0"/>
    <d v="2026-02-06T08:41:00"/>
    <d v="2026-02-06T07:00:00"/>
    <x v="4"/>
    <s v="MAEU262837722"/>
    <x v="0"/>
    <s v="Chittagong"/>
    <s v="TLLU7667476"/>
    <s v="LELYSTAD"/>
    <d v="2026-02-07T18:00:00"/>
    <x v="212"/>
    <x v="160"/>
    <d v="2026-02-07T18:20:00"/>
    <x v="0"/>
    <x v="0"/>
    <n v="0"/>
    <x v="5"/>
    <x v="1"/>
    <d v="2026-02-07T18:20:00"/>
    <d v="1899-12-31T09:19:00"/>
    <n v="33.316666666651145"/>
    <x v="0"/>
    <d v="1899-12-30T01:00:00"/>
    <n v="0.99999999994179234"/>
    <s v="SI"/>
    <d v="1899-12-31T10:19:00"/>
    <n v="34.316666666592937"/>
    <d v="1899-12-30T00:00:00"/>
    <x v="0"/>
    <n v="0"/>
    <d v="1899-12-31T09:39:00"/>
    <n v="33.650000000023283"/>
    <x v="0"/>
    <m/>
    <d v="1899-12-30T19:00:00"/>
    <s v="NO"/>
    <s v="6/26"/>
    <s v="TLLU7667476"/>
    <s v="OM TRANSPORT"/>
    <n v="573.5"/>
    <e v="#N/A"/>
    <n v="50"/>
    <n v="0"/>
    <n v="6"/>
    <x v="0"/>
    <s v="OM TRANSPORTSATURDAY"/>
    <n v="573.5"/>
    <n v="20"/>
    <m/>
    <m/>
    <n v="593.5"/>
    <n v="70"/>
    <n v="1"/>
    <m/>
  </r>
  <r>
    <s v="CAP SAN SOUNIO"/>
    <x v="0"/>
    <d v="2026-02-06T08:41:00"/>
    <d v="2026-02-06T07:00:00"/>
    <x v="2"/>
    <s v="HLCUDA1251221851"/>
    <x v="1"/>
    <s v="Chittagong"/>
    <s v="FSCU7181255"/>
    <s v="LELYSTAD"/>
    <d v="2026-02-07T18:00:00"/>
    <x v="213"/>
    <x v="161"/>
    <d v="2026-02-07T20:30:00"/>
    <x v="0"/>
    <x v="0"/>
    <n v="0"/>
    <x v="5"/>
    <x v="1"/>
    <d v="2026-02-07T19:49:00"/>
    <d v="1899-12-31T09:19:00"/>
    <n v="33.316666666651145"/>
    <x v="0"/>
    <d v="1899-12-30T02:00:00"/>
    <n v="2.0000000000582077"/>
    <s v="SI"/>
    <d v="1899-12-31T11:19:00"/>
    <n v="35.316666666709352"/>
    <d v="1899-12-30T00:00:00"/>
    <x v="0"/>
    <n v="0"/>
    <d v="1899-12-31T11:49:00"/>
    <n v="35.816666666592937"/>
    <x v="0"/>
    <m/>
    <d v="1899-12-30T20:00:00"/>
    <s v="NIGHT"/>
    <s v="6/26"/>
    <s v="FSCU7181255"/>
    <s v="LOGIX"/>
    <n v="573.5"/>
    <e v="#N/A"/>
    <n v="50"/>
    <n v="0"/>
    <n v="6"/>
    <x v="0"/>
    <s v="LOGIXSATURDAY"/>
    <n v="573.5"/>
    <n v="20"/>
    <m/>
    <m/>
    <n v="593.5"/>
    <n v="70"/>
    <n v="1"/>
    <m/>
  </r>
  <r>
    <s v="CAP SAN SOUNIO"/>
    <x v="0"/>
    <d v="2026-02-06T08:41:00"/>
    <d v="2026-02-06T07:00:00"/>
    <x v="4"/>
    <s v="MAEU262761708"/>
    <x v="0"/>
    <s v="Chittagong"/>
    <s v="MRSU5670320"/>
    <s v="LELYSTAD"/>
    <d v="2026-02-07T18:00:00"/>
    <x v="214"/>
    <x v="161"/>
    <d v="2026-02-07T20:50:00"/>
    <x v="0"/>
    <x v="1"/>
    <n v="0"/>
    <x v="5"/>
    <x v="1"/>
    <d v="2026-02-07T18:53:00"/>
    <d v="1899-12-31T09:19:00"/>
    <n v="33.316666666651145"/>
    <x v="0"/>
    <d v="1899-12-30T02:00:00"/>
    <n v="2.0000000000582077"/>
    <s v="SI"/>
    <d v="1899-12-31T11:19:00"/>
    <n v="35.316666666709352"/>
    <d v="1899-12-30T00:00:00"/>
    <x v="0"/>
    <n v="0"/>
    <d v="1899-12-31T12:09:00"/>
    <n v="36.149999999965075"/>
    <x v="0"/>
    <m/>
    <d v="1899-12-30T20:00:00"/>
    <s v="NIGHT"/>
    <s v="6/26"/>
    <s v="MRSU5670320"/>
    <s v="OM TRANSPORT"/>
    <n v="573.5"/>
    <n v="110"/>
    <n v="50"/>
    <n v="0"/>
    <n v="6"/>
    <x v="0"/>
    <s v="OM TRANSPORTSATURDAY"/>
    <n v="751"/>
    <n v="20"/>
    <n v="67.5"/>
    <s v="20:00 - 23:30"/>
    <n v="771"/>
    <n v="70"/>
    <n v="1"/>
    <m/>
  </r>
  <r>
    <s v="CAP SAN SOUNIO"/>
    <x v="0"/>
    <d v="2026-02-06T08:41:00"/>
    <d v="2026-02-06T07:00:00"/>
    <x v="2"/>
    <s v="MAEUA62837722"/>
    <x v="0"/>
    <s v="Chittagong"/>
    <s v="MRSU3913524"/>
    <s v="SIMEI LELYSTAD"/>
    <d v="2026-02-07T18:00:00"/>
    <x v="215"/>
    <x v="162"/>
    <d v="2026-02-08T09:10:00"/>
    <x v="0"/>
    <x v="0"/>
    <n v="0"/>
    <x v="5"/>
    <x v="1"/>
    <d v="2026-02-08T09:04:00"/>
    <d v="1899-12-31T09:19:00"/>
    <n v="33.316666666651145"/>
    <x v="0"/>
    <d v="1899-12-30T14:00:00"/>
    <n v="14.000000000058208"/>
    <s v="SI"/>
    <d v="1899-12-31T23:19:00"/>
    <n v="47.316666666709352"/>
    <d v="1899-12-30T01:04:00"/>
    <x v="1"/>
    <n v="1.0666666666511446"/>
    <d v="1900-01-01T00:29:00"/>
    <n v="48.483333333337214"/>
    <x v="1"/>
    <m/>
    <d v="1899-12-30T08:00:00"/>
    <s v="NO"/>
    <s v="6/26"/>
    <s v="MRSU3913524"/>
    <s v="LOGIX"/>
    <n v="573.5"/>
    <e v="#N/A"/>
    <n v="50"/>
    <n v="0"/>
    <n v="7"/>
    <x v="2"/>
    <s v="LOGIXSUNDAY"/>
    <n v="573.5"/>
    <n v="20"/>
    <m/>
    <m/>
    <n v="593.5"/>
    <n v="70"/>
    <n v="1"/>
    <m/>
  </r>
  <r>
    <s v="CAP SAN SOUNIO"/>
    <x v="0"/>
    <d v="2026-02-06T08:41:00"/>
    <d v="2026-02-06T07:00:00"/>
    <x v="3"/>
    <s v="MAEUA62837722"/>
    <x v="0"/>
    <s v="Chittagong"/>
    <s v="MRSU5837151"/>
    <s v="SIMEI LELYSTAD"/>
    <d v="2026-02-07T18:00:00"/>
    <x v="216"/>
    <x v="162"/>
    <d v="2026-02-08T09:10:00"/>
    <x v="0"/>
    <x v="0"/>
    <n v="0"/>
    <x v="5"/>
    <x v="1"/>
    <d v="2026-02-08T07:53:00"/>
    <d v="1899-12-31T09:19:00"/>
    <n v="33.316666666651145"/>
    <x v="0"/>
    <d v="1899-12-30T14:00:00"/>
    <n v="14.000000000058208"/>
    <s v="SI"/>
    <d v="1899-12-31T23:19:00"/>
    <n v="47.316666666709352"/>
    <d v="1899-12-30T00:00:00"/>
    <x v="0"/>
    <n v="0"/>
    <d v="1900-01-01T00:29:00"/>
    <n v="48.483333333337214"/>
    <x v="1"/>
    <m/>
    <d v="1899-12-30T08:00:00"/>
    <s v="NO"/>
    <s v="6/26"/>
    <s v="MRSU5837151"/>
    <s v="MSI"/>
    <n v="523.5"/>
    <e v="#N/A"/>
    <n v="50"/>
    <n v="0"/>
    <n v="7"/>
    <x v="2"/>
    <s v="MSISUNDAY"/>
    <n v="523.5"/>
    <n v="20"/>
    <m/>
    <m/>
    <n v="543.5"/>
    <n v="70"/>
    <n v="1"/>
    <m/>
  </r>
  <r>
    <s v="CAP SAN SOUNIO"/>
    <x v="0"/>
    <d v="2026-02-06T08:41:00"/>
    <d v="2026-02-06T07:00:00"/>
    <x v="3"/>
    <s v="HLCUDA1251221851"/>
    <x v="1"/>
    <s v="Chittagong"/>
    <s v="HAMU1150268"/>
    <s v="SIMEI LELYSTAD"/>
    <d v="2026-02-07T18:00:00"/>
    <x v="217"/>
    <x v="163"/>
    <d v="2026-02-08T14:50:00"/>
    <x v="0"/>
    <x v="0"/>
    <n v="1"/>
    <x v="5"/>
    <x v="1"/>
    <d v="2026-02-08T10:07:00"/>
    <d v="1899-12-31T09:19:00"/>
    <n v="33.316666666651145"/>
    <x v="0"/>
    <d v="1899-12-30T16:00:00"/>
    <n v="15.999999999941792"/>
    <s v="SI"/>
    <d v="1900-01-01T01:19:00"/>
    <n v="49.316666666592937"/>
    <d v="1899-12-30T00:07:00"/>
    <x v="0"/>
    <n v="0.11666666669771075"/>
    <d v="1900-01-01T06:09:00"/>
    <n v="54.149999999965075"/>
    <x v="1"/>
    <m/>
    <d v="1899-12-30T10:00:00"/>
    <s v="NO"/>
    <s v="6/26"/>
    <s v="HAMU1150268"/>
    <s v="MSI"/>
    <n v="523.5"/>
    <e v="#N/A"/>
    <n v="50"/>
    <n v="50"/>
    <n v="7"/>
    <x v="2"/>
    <s v="MSISUNDAY"/>
    <n v="663.5"/>
    <n v="20"/>
    <n v="90"/>
    <s v="10:00 - 14:30"/>
    <n v="683.5"/>
    <n v="70"/>
    <n v="1"/>
    <m/>
  </r>
  <r>
    <s v="CAP SAN SOUNIO"/>
    <x v="0"/>
    <d v="2026-02-06T08:41:00"/>
    <d v="2026-02-06T07:00:00"/>
    <x v="2"/>
    <s v="MAEUA62837722"/>
    <x v="0"/>
    <s v="Chittagong"/>
    <s v="MSKU1144754"/>
    <s v="SIMEI LELYSTAD"/>
    <d v="2026-02-07T18:00:00"/>
    <x v="218"/>
    <x v="163"/>
    <d v="2026-02-08T12:05:00"/>
    <x v="0"/>
    <x v="0"/>
    <n v="0"/>
    <x v="5"/>
    <x v="1"/>
    <d v="2026-02-08T11:55:00"/>
    <d v="1899-12-31T09:19:00"/>
    <n v="33.316666666651145"/>
    <x v="0"/>
    <d v="1899-12-30T16:00:00"/>
    <n v="15.999999999941792"/>
    <s v="SI"/>
    <d v="1900-01-01T01:19:00"/>
    <n v="49.316666666592937"/>
    <d v="1899-12-30T01:55:00"/>
    <x v="1"/>
    <n v="1.9166666668024845"/>
    <d v="1900-01-01T03:24:00"/>
    <n v="51.399999999906868"/>
    <x v="1"/>
    <m/>
    <d v="1899-12-30T10:00:00"/>
    <s v="NO"/>
    <s v="6/26"/>
    <s v="MSKU1144754"/>
    <s v="LOGIX"/>
    <n v="573.5"/>
    <e v="#N/A"/>
    <n v="50"/>
    <n v="0"/>
    <n v="7"/>
    <x v="2"/>
    <s v="LOGIXSUNDAY"/>
    <n v="573.5"/>
    <n v="20"/>
    <m/>
    <m/>
    <n v="593.5"/>
    <n v="70"/>
    <n v="1"/>
    <m/>
  </r>
  <r>
    <s v="CAP SAN SOUNIO"/>
    <x v="0"/>
    <d v="2026-02-06T08:41:00"/>
    <d v="2026-02-06T07:00:00"/>
    <x v="1"/>
    <s v="MAEU262837757"/>
    <x v="0"/>
    <s v="Chittagong"/>
    <s v="TLLU5962087"/>
    <s v="SIMEI LELYSTAD"/>
    <d v="2026-02-07T18:00:00"/>
    <x v="219"/>
    <x v="164"/>
    <d v="2026-02-08T11:00:00"/>
    <x v="0"/>
    <x v="0"/>
    <n v="1"/>
    <x v="5"/>
    <x v="1"/>
    <d v="2026-02-08T10:53:00"/>
    <d v="1899-12-31T09:19:00"/>
    <n v="33.316666666651145"/>
    <x v="0"/>
    <d v="1899-12-30T18:00:00"/>
    <n v="18"/>
    <s v="SI"/>
    <d v="1900-01-01T03:19:00"/>
    <n v="51.316666666651145"/>
    <d v="1899-12-30T00:00:00"/>
    <x v="0"/>
    <n v="0"/>
    <d v="1900-01-01T02:19:00"/>
    <n v="50.316666666709352"/>
    <x v="1"/>
    <m/>
    <d v="1899-12-30T12:00:00"/>
    <s v="NO"/>
    <s v="6/26"/>
    <s v="TLLU5962087"/>
    <s v="CTK TRANSPORT"/>
    <n v="648.5"/>
    <e v="#N/A"/>
    <n v="50"/>
    <n v="50"/>
    <n v="7"/>
    <x v="2"/>
    <s v="CTK TRANSPORTSUNDAY"/>
    <n v="698.5"/>
    <n v="20"/>
    <m/>
    <m/>
    <n v="718.5"/>
    <n v="70"/>
    <n v="1"/>
    <m/>
  </r>
  <r>
    <s v="CAP SAN SOUNIO"/>
    <x v="0"/>
    <d v="2026-02-06T08:41:00"/>
    <d v="2026-02-06T07:00:00"/>
    <x v="3"/>
    <s v="MAEU262837757"/>
    <x v="0"/>
    <s v="Chittagong"/>
    <s v="UETU5482442"/>
    <s v="SIMEI LELYSTAD"/>
    <d v="2026-02-07T18:00:00"/>
    <x v="220"/>
    <x v="164"/>
    <d v="2026-02-08T12:15:00"/>
    <x v="0"/>
    <x v="0"/>
    <n v="1"/>
    <x v="5"/>
    <x v="1"/>
    <d v="2026-02-08T12:09:00"/>
    <d v="1899-12-31T09:19:00"/>
    <n v="33.316666666651145"/>
    <x v="0"/>
    <d v="1899-12-30T18:00:00"/>
    <n v="18"/>
    <s v="SI"/>
    <d v="1900-01-01T03:19:00"/>
    <n v="51.316666666651145"/>
    <d v="1899-12-30T00:09:00"/>
    <x v="0"/>
    <n v="0.1499999999650754"/>
    <d v="1900-01-01T03:34:00"/>
    <n v="51.566666666592937"/>
    <x v="1"/>
    <m/>
    <d v="1899-12-30T12:00:00"/>
    <s v="NO"/>
    <s v="6/26"/>
    <s v="UETU5482442"/>
    <s v="MSI"/>
    <n v="523.5"/>
    <e v="#N/A"/>
    <n v="50"/>
    <n v="50"/>
    <n v="7"/>
    <x v="2"/>
    <s v="MSISUNDAY"/>
    <n v="678.5"/>
    <n v="20"/>
    <n v="105"/>
    <s v="12:00 - 16:45"/>
    <n v="698.5"/>
    <n v="70"/>
    <n v="1"/>
    <m/>
  </r>
  <r>
    <s v="CAP SAN SOUNIO"/>
    <x v="0"/>
    <d v="2026-02-06T08:41:00"/>
    <d v="2026-02-06T07:00:00"/>
    <x v="1"/>
    <s v="HLCUDA1251221851"/>
    <x v="1"/>
    <s v="Chittagong"/>
    <s v="BEAU4550954"/>
    <s v="SIMEI LELYSTAD"/>
    <d v="2026-02-07T18:00:00"/>
    <x v="221"/>
    <x v="165"/>
    <d v="2026-02-08T11:25:00"/>
    <x v="0"/>
    <x v="0"/>
    <n v="0"/>
    <x v="5"/>
    <x v="1"/>
    <d v="2026-02-08T11:20:00"/>
    <d v="1899-12-31T09:19:00"/>
    <n v="33.316666666651145"/>
    <x v="0"/>
    <d v="1899-12-30T20:00:00"/>
    <n v="20.000000000058208"/>
    <s v="SI"/>
    <d v="1900-01-01T05:19:00"/>
    <n v="53.316666666709352"/>
    <d v="1899-12-30T00:00:00"/>
    <x v="0"/>
    <n v="0"/>
    <d v="1900-01-01T02:44:00"/>
    <n v="50.733333333337214"/>
    <x v="1"/>
    <m/>
    <d v="1899-12-30T14:00:00"/>
    <s v="NO"/>
    <s v="6/26"/>
    <s v="BEAU4550954"/>
    <s v="CTK TRANSPORT"/>
    <n v="648.5"/>
    <e v="#N/A"/>
    <n v="50"/>
    <n v="0"/>
    <n v="7"/>
    <x v="2"/>
    <s v="CTK TRANSPORTSUNDAY"/>
    <n v="648.5"/>
    <n v="20"/>
    <m/>
    <m/>
    <n v="668.5"/>
    <n v="70"/>
    <n v="1"/>
    <m/>
  </r>
  <r>
    <s v="CAP SAN SOUNIO"/>
    <x v="0"/>
    <d v="2026-02-06T08:41:00"/>
    <d v="2026-02-06T07:00:00"/>
    <x v="4"/>
    <s v="MAEU262837757"/>
    <x v="0"/>
    <s v="Chittagong"/>
    <s v="TCNU1485494"/>
    <s v="SIMEI LELYSTAD"/>
    <d v="2026-02-07T18:00:00"/>
    <x v="222"/>
    <x v="165"/>
    <d v="2026-02-08T13:45:00"/>
    <x v="0"/>
    <x v="0"/>
    <n v="0"/>
    <x v="5"/>
    <x v="1"/>
    <d v="2026-02-08T13:35:00"/>
    <d v="1899-12-31T09:19:00"/>
    <n v="33.316666666651145"/>
    <x v="0"/>
    <d v="1899-12-30T20:00:00"/>
    <n v="20.000000000058208"/>
    <s v="SI"/>
    <d v="1900-01-01T05:19:00"/>
    <n v="53.316666666709352"/>
    <d v="1899-12-30T00:00:00"/>
    <x v="0"/>
    <n v="0"/>
    <d v="1900-01-01T05:04:00"/>
    <n v="53.066666666592937"/>
    <x v="1"/>
    <m/>
    <d v="1899-12-30T14:00:00"/>
    <s v="NO"/>
    <s v="6/26"/>
    <s v="TCNU1485494"/>
    <s v="OM TRANSPORT"/>
    <n v="573.5"/>
    <e v="#N/A"/>
    <n v="50"/>
    <n v="0"/>
    <n v="7"/>
    <x v="2"/>
    <s v="OM TRANSPORTSUNDAY"/>
    <n v="573.5"/>
    <n v="20"/>
    <m/>
    <m/>
    <n v="593.5"/>
    <n v="70"/>
    <n v="1"/>
    <m/>
  </r>
  <r>
    <s v="CAP SAN SOUNIO"/>
    <x v="0"/>
    <d v="2026-02-06T08:41:00"/>
    <d v="2026-02-06T07:00:00"/>
    <x v="2"/>
    <s v="MAEU262837722"/>
    <x v="0"/>
    <s v="Chittagong"/>
    <s v="FFAU5618653"/>
    <s v="LELYSTAD"/>
    <d v="2026-02-07T18:00:00"/>
    <x v="223"/>
    <x v="166"/>
    <d v="2026-02-08T13:20:00"/>
    <x v="0"/>
    <x v="0"/>
    <n v="0"/>
    <x v="5"/>
    <x v="1"/>
    <d v="2026-02-08T12:10:00"/>
    <d v="1899-12-31T09:19:00"/>
    <n v="33.316666666651145"/>
    <x v="0"/>
    <d v="1899-12-30T21:00:00"/>
    <n v="21"/>
    <s v="SI"/>
    <d v="1900-01-01T06:19:00"/>
    <n v="54.316666666651145"/>
    <d v="1899-12-30T00:00:00"/>
    <x v="0"/>
    <n v="0"/>
    <d v="1900-01-01T04:39:00"/>
    <n v="52.649999999965075"/>
    <x v="1"/>
    <m/>
    <d v="1899-12-30T15:00:00"/>
    <s v="NO"/>
    <s v="6/26"/>
    <s v="FFAU5618653"/>
    <s v="LOGIX"/>
    <n v="573.5"/>
    <e v="#N/A"/>
    <n v="50"/>
    <n v="0"/>
    <n v="7"/>
    <x v="2"/>
    <s v="LOGIXSUNDAY"/>
    <n v="573.5"/>
    <n v="20"/>
    <m/>
    <m/>
    <n v="593.5"/>
    <n v="70"/>
    <n v="1"/>
    <m/>
  </r>
  <r>
    <s v="CAP SAN SOUNIO"/>
    <x v="0"/>
    <d v="2026-02-06T08:41:00"/>
    <d v="2026-02-06T07:00:00"/>
    <x v="2"/>
    <s v="MAEU262837722"/>
    <x v="0"/>
    <s v="Chittagong"/>
    <s v="CAAU5264411"/>
    <s v="LELYSTAD"/>
    <d v="2026-02-07T18:00:00"/>
    <x v="224"/>
    <x v="167"/>
    <d v="2026-02-08T15:00:00"/>
    <x v="0"/>
    <x v="0"/>
    <n v="0"/>
    <x v="5"/>
    <x v="1"/>
    <d v="2026-02-08T14:46:00"/>
    <d v="1899-12-31T09:19:00"/>
    <n v="33.316666666651145"/>
    <x v="0"/>
    <d v="1899-12-30T23:00:00"/>
    <n v="23.000000000058208"/>
    <s v="SI"/>
    <d v="1900-01-01T08:19:00"/>
    <n v="56.316666666709352"/>
    <d v="1899-12-30T00:00:00"/>
    <x v="0"/>
    <n v="0"/>
    <d v="1900-01-01T06:19:00"/>
    <n v="54.316666666651145"/>
    <x v="1"/>
    <m/>
    <d v="1899-12-30T17:00:00"/>
    <s v="NO"/>
    <s v="6/26"/>
    <s v="CAAU5264411"/>
    <s v="LOGIX"/>
    <n v="573.5"/>
    <e v="#N/A"/>
    <n v="50"/>
    <n v="0"/>
    <n v="7"/>
    <x v="2"/>
    <s v="LOGIXSUNDAY"/>
    <n v="573.5"/>
    <n v="20"/>
    <m/>
    <m/>
    <n v="593.5"/>
    <n v="70"/>
    <n v="1"/>
    <m/>
  </r>
  <r>
    <s v="CAP SAN SOUNIO"/>
    <x v="0"/>
    <d v="2026-02-06T08:41:00"/>
    <d v="2026-02-06T07:00:00"/>
    <x v="3"/>
    <s v="HLCUDA1251221851"/>
    <x v="1"/>
    <s v="Chittagong"/>
    <s v="FANU5020813"/>
    <s v="LELYSTAD"/>
    <d v="2026-02-07T18:00:00"/>
    <x v="225"/>
    <x v="168"/>
    <d v="2026-02-08T19:50:00"/>
    <x v="0"/>
    <x v="0"/>
    <n v="0"/>
    <x v="5"/>
    <x v="1"/>
    <d v="2026-02-08T19:01:00"/>
    <d v="1899-12-31T09:19:00"/>
    <n v="33.316666666651145"/>
    <x v="0"/>
    <d v="1899-12-31T01:00:00"/>
    <n v="24.999999999941792"/>
    <s v="NO"/>
    <d v="1900-01-01T10:19:00"/>
    <n v="58.316666666592937"/>
    <d v="1899-12-30T00:01:00"/>
    <x v="0"/>
    <n v="1.6666666720993817E-2"/>
    <d v="1900-01-01T11:09:00"/>
    <n v="59.150000000023283"/>
    <x v="1"/>
    <m/>
    <d v="1899-12-30T19:00:00"/>
    <s v="NO"/>
    <s v="6/26"/>
    <s v="FANU5020813"/>
    <s v="MSI"/>
    <n v="523.5"/>
    <e v="#N/A"/>
    <n v="50"/>
    <n v="0"/>
    <n v="7"/>
    <x v="2"/>
    <s v="MSISUNDAY"/>
    <n v="523.5"/>
    <n v="20"/>
    <m/>
    <m/>
    <n v="543.5"/>
    <n v="70"/>
    <n v="1"/>
    <m/>
  </r>
  <r>
    <s v="CAP SAN SOUNIO"/>
    <x v="0"/>
    <d v="2026-02-06T08:41:00"/>
    <d v="2026-02-06T07:00:00"/>
    <x v="4"/>
    <s v="HLCUDA1251221851"/>
    <x v="1"/>
    <s v="Chittagong"/>
    <s v="FANU1113733"/>
    <s v="LELYSTAD"/>
    <d v="2026-02-07T18:00:00"/>
    <x v="226"/>
    <x v="169"/>
    <d v="2026-02-08T20:04:00"/>
    <x v="0"/>
    <x v="0"/>
    <n v="0"/>
    <x v="5"/>
    <x v="1"/>
    <d v="2026-02-08T19:42:00"/>
    <d v="1899-12-31T09:19:00"/>
    <n v="33.316666666651145"/>
    <x v="0"/>
    <d v="1899-12-31T03:00:00"/>
    <n v="27"/>
    <s v="NO"/>
    <d v="1900-01-01T12:19:00"/>
    <n v="60.316666666651145"/>
    <d v="1899-12-30T00:00:00"/>
    <x v="0"/>
    <n v="0"/>
    <d v="1900-01-01T11:23:00"/>
    <n v="59.383333333244082"/>
    <x v="1"/>
    <m/>
    <d v="1899-12-30T21:00:00"/>
    <s v="NIGHT"/>
    <s v="6/26"/>
    <s v="FANU1113733"/>
    <s v="OM TRANSPORT"/>
    <n v="573.5"/>
    <e v="#N/A"/>
    <n v="50"/>
    <n v="0"/>
    <n v="7"/>
    <x v="2"/>
    <s v="OM TRANSPORTSUNDAY"/>
    <n v="573.5"/>
    <n v="20"/>
    <m/>
    <m/>
    <n v="593.5"/>
    <n v="70"/>
    <n v="1"/>
    <m/>
  </r>
  <r>
    <s v="CAP SAN SOUNIO"/>
    <x v="0"/>
    <d v="2026-02-06T08:41:00"/>
    <d v="2026-02-06T07:00:00"/>
    <x v="4"/>
    <s v="MAEU262837757"/>
    <x v="0"/>
    <s v="Chittagong"/>
    <s v="MRSU7102340"/>
    <s v="LELYSTAD"/>
    <d v="2026-02-07T18:00:00"/>
    <x v="227"/>
    <x v="170"/>
    <d v="2026-02-08T20:40:00"/>
    <x v="0"/>
    <x v="0"/>
    <n v="0"/>
    <x v="5"/>
    <x v="1"/>
    <d v="2026-02-08T20:07:00"/>
    <d v="1899-12-31T09:19:00"/>
    <n v="33.316666666651145"/>
    <x v="0"/>
    <d v="1899-12-31T05:00:00"/>
    <n v="29.000000000058208"/>
    <s v="NO"/>
    <d v="1900-01-01T14:19:00"/>
    <n v="62.316666666709352"/>
    <d v="1899-12-30T00:00:00"/>
    <x v="0"/>
    <n v="0"/>
    <d v="1900-01-01T11:59:00"/>
    <n v="59.983333333279006"/>
    <x v="1"/>
    <m/>
    <d v="1899-12-30T23:00:00"/>
    <s v="NIGHT"/>
    <s v="6/26"/>
    <s v="MRSU7102340"/>
    <s v="OM TRANSPORT"/>
    <n v="573.5"/>
    <e v="#N/A"/>
    <n v="50"/>
    <n v="0"/>
    <n v="7"/>
    <x v="2"/>
    <s v="OM TRANSPORTSUNDAY"/>
    <n v="573.5"/>
    <n v="20"/>
    <m/>
    <m/>
    <n v="593.5"/>
    <n v="70"/>
    <n v="1"/>
    <m/>
  </r>
  <r>
    <s v="CHARLESTON EXPRESS"/>
    <x v="0"/>
    <d v="2026-02-08T06:12:00"/>
    <d v="2026-02-08T08:00:00"/>
    <x v="3"/>
    <s v="MAEU263383319"/>
    <x v="0"/>
    <s v="Karachi-Muhammad Bin Qasim"/>
    <s v="MSKU0395457"/>
    <s v="LELYSTAD"/>
    <d v="2026-02-10T02:00:00"/>
    <x v="228"/>
    <x v="171"/>
    <d v="2026-02-10T03:42:00"/>
    <x v="0"/>
    <x v="0"/>
    <n v="0"/>
    <x v="6"/>
    <x v="1"/>
    <d v="2026-02-10T02:55:00"/>
    <d v="1899-12-31T19:48:00"/>
    <n v="43.800000000104774"/>
    <x v="0"/>
    <d v="1899-12-30T01:00:00"/>
    <n v="0.99999999994179234"/>
    <s v="SI"/>
    <d v="1899-12-31T20:48:00"/>
    <n v="44.800000000046566"/>
    <d v="1899-12-30T00:00:00"/>
    <x v="0"/>
    <n v="0"/>
    <d v="1899-12-31T21:30:00"/>
    <n v="45.500000000058208"/>
    <x v="0"/>
    <m/>
    <d v="1899-12-30T03:00:00"/>
    <s v="NIGHT"/>
    <s v="7/26"/>
    <s v="MSKU0395457"/>
    <s v="MSI"/>
    <n v="553.5"/>
    <e v="#N/A"/>
    <n v="50"/>
    <n v="0"/>
    <n v="2"/>
    <x v="3"/>
    <s v="MSINIGHT"/>
    <n v="613.5"/>
    <n v="20"/>
    <n v="60"/>
    <s v="03:00 - 06:00"/>
    <n v="633.5"/>
    <n v="70"/>
    <n v="1"/>
    <m/>
  </r>
  <r>
    <s v="CHARLESTON EXPRESS"/>
    <x v="0"/>
    <d v="2026-02-08T06:12:00"/>
    <d v="2026-02-08T08:00:00"/>
    <x v="3"/>
    <s v="MAEU263383244"/>
    <x v="0"/>
    <s v="Karachi-Muhammad Bin Qasim"/>
    <s v="MRSU3778384"/>
    <s v="LELYSTAD"/>
    <d v="2026-02-10T02:00:00"/>
    <x v="229"/>
    <x v="172"/>
    <d v="2026-02-10T05:09:00"/>
    <x v="0"/>
    <x v="0"/>
    <n v="0"/>
    <x v="6"/>
    <x v="1"/>
    <d v="2026-02-10T04:40:00"/>
    <d v="1899-12-31T19:48:00"/>
    <n v="43.800000000104774"/>
    <x v="0"/>
    <d v="1899-12-30T03:00:00"/>
    <n v="3"/>
    <s v="SI"/>
    <d v="1899-12-31T22:48:00"/>
    <n v="46.800000000104774"/>
    <d v="1899-12-30T00:00:00"/>
    <x v="0"/>
    <n v="0"/>
    <d v="1899-12-31T22:57:00"/>
    <n v="46.950000000069849"/>
    <x v="0"/>
    <m/>
    <d v="1899-12-30T05:00:00"/>
    <s v="NO"/>
    <s v="7/26"/>
    <s v="MRSU3778384"/>
    <s v="MSI"/>
    <n v="503.5"/>
    <e v="#N/A"/>
    <n v="50"/>
    <n v="0"/>
    <n v="2"/>
    <x v="1"/>
    <s v="MSIWEEK"/>
    <n v="563.5"/>
    <n v="20"/>
    <n v="60"/>
    <s v="05:00 - 08:00"/>
    <n v="583.5"/>
    <n v="70"/>
    <n v="1"/>
    <m/>
  </r>
  <r>
    <s v="CHARLESTON EXPRESS"/>
    <x v="0"/>
    <d v="2026-02-08T06:12:00"/>
    <d v="2026-02-08T08:00:00"/>
    <x v="2"/>
    <s v="MAEU263383319"/>
    <x v="0"/>
    <s v="Karachi-Muhammad Bin Qasim"/>
    <s v="SELU4084696"/>
    <s v="SIMEI LELYSTAD"/>
    <d v="2026-02-10T02:00:00"/>
    <x v="230"/>
    <x v="173"/>
    <d v="2026-02-10T06:12:00"/>
    <x v="0"/>
    <x v="0"/>
    <n v="1"/>
    <x v="6"/>
    <x v="1"/>
    <d v="2026-02-10T06:01:00"/>
    <d v="1899-12-31T19:48:00"/>
    <n v="43.800000000104774"/>
    <x v="0"/>
    <d v="1899-12-30T04:00:00"/>
    <n v="3.9999999999417923"/>
    <s v="SI"/>
    <d v="1899-12-31T23:48:00"/>
    <n v="47.800000000046566"/>
    <d v="1899-12-30T00:01:00"/>
    <x v="0"/>
    <n v="1.6666666720993817E-2"/>
    <d v="1900-01-01T00:00:00"/>
    <n v="48"/>
    <x v="0"/>
    <m/>
    <d v="1899-12-30T06:00:00"/>
    <s v="NO"/>
    <s v="7/26"/>
    <s v="SELU4084696"/>
    <s v="LOGIX"/>
    <n v="573.5"/>
    <e v="#N/A"/>
    <n v="50"/>
    <n v="50"/>
    <n v="2"/>
    <x v="1"/>
    <s v="LOGIXWEEK"/>
    <n v="623.5"/>
    <n v="20"/>
    <m/>
    <m/>
    <n v="643.5"/>
    <n v="70"/>
    <n v="1"/>
    <m/>
  </r>
  <r>
    <s v="CHARLESTON EXPRESS"/>
    <x v="0"/>
    <d v="2026-02-08T06:12:00"/>
    <d v="2026-02-08T08:00:00"/>
    <x v="4"/>
    <s v="MAEU263383390"/>
    <x v="0"/>
    <s v="Karachi-Muhammad Bin Qasim"/>
    <s v="TGHU1564358"/>
    <s v="LELYSTAD"/>
    <d v="2026-02-10T02:00:00"/>
    <x v="231"/>
    <x v="174"/>
    <d v="2026-02-10T07:16:00"/>
    <x v="0"/>
    <x v="0"/>
    <n v="0"/>
    <x v="6"/>
    <x v="1"/>
    <d v="2026-02-10T06:12:00"/>
    <d v="1899-12-31T19:48:00"/>
    <n v="43.800000000104774"/>
    <x v="0"/>
    <d v="1899-12-30T05:00:00"/>
    <n v="4.9999999998835847"/>
    <s v="SI"/>
    <d v="1900-01-01T00:48:00"/>
    <n v="48.799999999988358"/>
    <d v="1899-12-30T00:00:00"/>
    <x v="0"/>
    <n v="0"/>
    <d v="1900-01-01T01:04:00"/>
    <n v="49.066666666651145"/>
    <x v="1"/>
    <m/>
    <d v="1899-12-30T07:00:00"/>
    <s v="NO"/>
    <s v="7/26"/>
    <s v="TGHU1564358"/>
    <s v="OM TRANSPORT"/>
    <n v="498.5"/>
    <e v="#N/A"/>
    <n v="50"/>
    <n v="0"/>
    <n v="2"/>
    <x v="1"/>
    <s v="OM TRANSPORTWEEK"/>
    <n v="498.5"/>
    <n v="20"/>
    <m/>
    <m/>
    <n v="518.5"/>
    <n v="70"/>
    <n v="1"/>
    <m/>
  </r>
  <r>
    <s v="CHARLESTON EXPRESS"/>
    <x v="0"/>
    <d v="2026-02-08T06:12:00"/>
    <d v="2026-02-08T08:00:00"/>
    <x v="3"/>
    <s v="MAEU263383244"/>
    <x v="0"/>
    <s v="Karachi-Muhammad Bin Qasim"/>
    <s v="GCXU6370474"/>
    <s v="XPO TALLER LELYSTAD"/>
    <d v="2026-02-10T02:00:00"/>
    <x v="232"/>
    <x v="175"/>
    <d v="2026-02-10T08:30:00"/>
    <x v="0"/>
    <x v="0"/>
    <n v="1"/>
    <x v="6"/>
    <x v="1"/>
    <d v="2026-02-10T07:52:00"/>
    <d v="1899-12-31T19:48:00"/>
    <n v="43.800000000104774"/>
    <x v="0"/>
    <d v="1899-12-30T06:00:00"/>
    <n v="6"/>
    <s v="SI"/>
    <d v="1900-01-01T01:48:00"/>
    <n v="49.800000000104774"/>
    <d v="1899-12-30T00:00:00"/>
    <x v="0"/>
    <n v="0"/>
    <d v="1900-01-01T02:18:00"/>
    <n v="50.299999999988358"/>
    <x v="1"/>
    <m/>
    <d v="1899-12-30T08:00:00"/>
    <s v="NO"/>
    <s v="7/26"/>
    <s v="GCXU6370474"/>
    <s v="MSI"/>
    <n v="503.5"/>
    <e v="#N/A"/>
    <n v="50"/>
    <n v="50"/>
    <n v="2"/>
    <x v="1"/>
    <s v="MSIWEEK"/>
    <n v="793.5"/>
    <n v="20"/>
    <n v="240"/>
    <s v="08:15 -15:15"/>
    <n v="813.5"/>
    <n v="70"/>
    <n v="1"/>
    <m/>
  </r>
  <r>
    <s v="CHARLESTON EXPRESS"/>
    <x v="0"/>
    <d v="2026-02-08T06:12:00"/>
    <d v="2026-02-08T08:00:00"/>
    <x v="1"/>
    <s v="MAEU262805176"/>
    <x v="0"/>
    <s v="Mumbai (ex Bombay)"/>
    <s v="CAAU6449024"/>
    <s v="SIMEI LELYSTAD"/>
    <d v="2026-02-10T02:00:00"/>
    <x v="233"/>
    <x v="176"/>
    <d v="2026-02-10T07:35:00"/>
    <x v="0"/>
    <x v="0"/>
    <n v="1"/>
    <x v="6"/>
    <x v="1"/>
    <d v="2026-02-10T07:35:00"/>
    <d v="1899-12-31T19:48:00"/>
    <n v="43.800000000104774"/>
    <x v="0"/>
    <d v="1900-01-02T19:00:00"/>
    <n v="90.999999999941792"/>
    <s v="NO"/>
    <d v="1900-01-04T14:48:00"/>
    <n v="134.80000000004657"/>
    <d v="1899-12-30T00:00:00"/>
    <x v="0"/>
    <n v="0"/>
    <d v="1900-01-01T01:23:00"/>
    <n v="49.383333333302289"/>
    <x v="1"/>
    <m/>
    <d v="1899-12-30T21:00:00"/>
    <s v="NIGHT"/>
    <s v="7/26"/>
    <s v="CAAU6449024"/>
    <s v="CTK TRANSPORT"/>
    <n v="623.5"/>
    <e v="#N/A"/>
    <n v="50"/>
    <n v="50"/>
    <n v="5"/>
    <x v="3"/>
    <s v="CTK TRANSPORTNIGHT"/>
    <n v="673.5"/>
    <n v="20"/>
    <m/>
    <m/>
    <n v="693.5"/>
    <n v="70"/>
    <n v="1"/>
    <m/>
  </r>
  <r>
    <s v="CHARLESTON EXPRESS"/>
    <x v="0"/>
    <d v="2026-02-08T06:12:00"/>
    <d v="2026-02-08T08:00:00"/>
    <x v="2"/>
    <s v="MAEU263383319"/>
    <x v="0"/>
    <s v="Karachi-Muhammad Bin Qasim"/>
    <s v="SUDU5988103"/>
    <s v="LELYSTAD"/>
    <d v="2026-02-10T02:00:00"/>
    <x v="234"/>
    <x v="177"/>
    <d v="2026-02-10T11:00:00"/>
    <x v="0"/>
    <x v="0"/>
    <n v="0"/>
    <x v="6"/>
    <x v="1"/>
    <d v="2026-02-10T11:00:00"/>
    <d v="1899-12-31T19:48:00"/>
    <n v="43.800000000104774"/>
    <x v="0"/>
    <d v="1899-12-30T11:00:00"/>
    <n v="10.999999999883585"/>
    <s v="SI"/>
    <d v="1900-01-01T06:48:00"/>
    <n v="54.799999999988358"/>
    <d v="1899-12-30T00:00:00"/>
    <x v="0"/>
    <n v="0"/>
    <d v="1900-01-01T04:48:00"/>
    <n v="52.800000000104774"/>
    <x v="1"/>
    <m/>
    <d v="1899-12-30T13:00:00"/>
    <s v="NO"/>
    <s v="7/26"/>
    <s v="SUDU5988103"/>
    <s v="LOGIX"/>
    <n v="573.5"/>
    <e v="#N/A"/>
    <n v="50"/>
    <n v="0"/>
    <n v="2"/>
    <x v="1"/>
    <s v="LOGIXWEEK"/>
    <n v="573.5"/>
    <n v="20"/>
    <m/>
    <m/>
    <n v="593.5"/>
    <n v="70"/>
    <n v="1"/>
    <m/>
  </r>
  <r>
    <s v="CHARLESTON EXPRESS"/>
    <x v="0"/>
    <d v="2026-02-08T06:12:00"/>
    <d v="2026-02-08T08:00:00"/>
    <x v="2"/>
    <s v="MAEU263383319"/>
    <x v="0"/>
    <s v="Karachi-Muhammad Bin Qasim"/>
    <s v="TCNU3812364"/>
    <s v="LELYSTAD"/>
    <d v="2026-02-10T02:00:00"/>
    <x v="235"/>
    <x v="178"/>
    <d v="2026-02-10T16:10:00"/>
    <x v="0"/>
    <x v="0"/>
    <n v="0"/>
    <x v="6"/>
    <x v="1"/>
    <d v="2026-02-10T15:47:00"/>
    <d v="1899-12-31T19:48:00"/>
    <n v="43.800000000104774"/>
    <x v="0"/>
    <d v="1899-12-30T13:00:00"/>
    <n v="12.999999999941792"/>
    <s v="SI"/>
    <d v="1900-01-01T08:48:00"/>
    <n v="56.800000000046566"/>
    <d v="1899-12-30T00:47:00"/>
    <x v="1"/>
    <n v="0.78333333326736465"/>
    <d v="1900-01-01T09:58:00"/>
    <n v="57.966666666674428"/>
    <x v="1"/>
    <m/>
    <d v="1899-12-30T15:00:00"/>
    <s v="NO"/>
    <s v="7/26"/>
    <s v="TCNU3812364"/>
    <s v="LOGIX"/>
    <n v="573.5"/>
    <e v="#N/A"/>
    <n v="50"/>
    <n v="0"/>
    <n v="2"/>
    <x v="1"/>
    <s v="LOGIXWEEK"/>
    <n v="573.5"/>
    <n v="20"/>
    <m/>
    <m/>
    <n v="593.5"/>
    <n v="70"/>
    <n v="1"/>
    <m/>
  </r>
  <r>
    <s v="CHARLESTON EXPRESS"/>
    <x v="0"/>
    <d v="2026-02-08T06:12:00"/>
    <d v="2026-02-08T08:00:00"/>
    <x v="5"/>
    <s v="MAEU263383244"/>
    <x v="0"/>
    <s v="Karachi-Muhammad Bin Qasim"/>
    <s v="MRSU6144697"/>
    <s v="LELYSTAD"/>
    <d v="2026-02-10T02:00:00"/>
    <x v="236"/>
    <x v="179"/>
    <d v="2026-02-10T20:15:00"/>
    <x v="0"/>
    <x v="0"/>
    <n v="0"/>
    <x v="6"/>
    <x v="1"/>
    <d v="2026-02-10T19:47:00"/>
    <d v="1899-12-31T19:48:00"/>
    <n v="43.800000000104774"/>
    <x v="0"/>
    <d v="1899-12-30T15:00:00"/>
    <n v="15"/>
    <s v="SI"/>
    <d v="1900-01-01T10:48:00"/>
    <n v="58.800000000104774"/>
    <d v="1899-12-30T02:47:00"/>
    <x v="1"/>
    <n v="2.7833333333255723"/>
    <d v="1900-01-01T14:03:00"/>
    <n v="62.050000000046566"/>
    <x v="1"/>
    <s v="Congestión en terminal"/>
    <d v="1899-12-30T17:00:00"/>
    <s v="NO"/>
    <s v="7/26"/>
    <s v="MRSU6144697"/>
    <s v="OTL"/>
    <n v="553.5"/>
    <e v="#N/A"/>
    <n v="60"/>
    <n v="0"/>
    <n v="2"/>
    <x v="1"/>
    <s v="OTLWEEK"/>
    <n v="553.5"/>
    <n v="20"/>
    <m/>
    <m/>
    <n v="573.5"/>
    <n v="70"/>
    <n v="1"/>
    <m/>
  </r>
  <r>
    <s v="SINGAPORE EXPRESS"/>
    <x v="1"/>
    <d v="2026-02-11T07:24:00"/>
    <d v="2026-02-11T07:00:00"/>
    <x v="3"/>
    <s v="MAEU262577282"/>
    <x v="0"/>
    <s v="Sihanoukville"/>
    <s v="MRKU5673461"/>
    <s v="SIMEI LELYSTAD"/>
    <d v="2026-02-12T03:00:00"/>
    <x v="237"/>
    <x v="180"/>
    <d v="2026-02-12T06:55:00"/>
    <x v="0"/>
    <x v="0"/>
    <n v="2"/>
    <x v="6"/>
    <x v="1"/>
    <d v="2026-02-12T06:55:00"/>
    <d v="1899-12-30T19:36:00"/>
    <n v="19.599999999976717"/>
    <x v="0"/>
    <d v="1899-12-30T05:00:00"/>
    <n v="5.0000000000582077"/>
    <s v="SI"/>
    <d v="1899-12-31T00:36:00"/>
    <n v="24.600000000034925"/>
    <d v="1899-12-30T00:00:00"/>
    <x v="0"/>
    <n v="0"/>
    <d v="1899-12-30T23:31:00"/>
    <n v="23.516666666662786"/>
    <x v="0"/>
    <m/>
    <d v="1899-12-30T08:00:00"/>
    <s v="NO"/>
    <s v="7/26"/>
    <s v="MRKU5673461"/>
    <s v="MSI"/>
    <n v="480"/>
    <e v="#N/A"/>
    <n v="50"/>
    <n v="100"/>
    <n v="4"/>
    <x v="1"/>
    <s v="MSIWEEK"/>
    <n v="580"/>
    <n v="20"/>
    <m/>
    <m/>
    <n v="600"/>
    <n v="70"/>
    <n v="1"/>
    <m/>
  </r>
  <r>
    <s v="SINGAPORE EXPRESS"/>
    <x v="1"/>
    <d v="2026-02-11T07:24:00"/>
    <d v="2026-02-11T07:00:00"/>
    <x v="3"/>
    <s v="MAEU263478210"/>
    <x v="0"/>
    <s v="Ningbo"/>
    <s v="MRKU0252182"/>
    <s v="SIMEI LELYSTAD"/>
    <d v="2026-02-12T03:00:00"/>
    <x v="238"/>
    <x v="181"/>
    <d v="2026-02-12T08:12:00"/>
    <x v="0"/>
    <x v="0"/>
    <n v="0"/>
    <x v="6"/>
    <x v="1"/>
    <d v="2026-02-12T07:57:00"/>
    <d v="1899-12-30T19:36:00"/>
    <n v="19.599999999976717"/>
    <x v="0"/>
    <d v="1899-12-30T05:30:00"/>
    <n v="5.4999999999417923"/>
    <s v="SI"/>
    <d v="1899-12-31T01:06:00"/>
    <n v="25.099999999918509"/>
    <d v="1899-12-30T00:00:00"/>
    <x v="0"/>
    <n v="0"/>
    <d v="1899-12-31T00:48:00"/>
    <n v="24.799999999988358"/>
    <x v="0"/>
    <m/>
    <d v="1899-12-30T08:30:00"/>
    <s v="NO"/>
    <s v="7/26"/>
    <s v="MRKU0252182"/>
    <s v="MSI"/>
    <n v="480"/>
    <e v="#N/A"/>
    <n v="50"/>
    <n v="0"/>
    <n v="4"/>
    <x v="1"/>
    <s v="MSIWEEK"/>
    <n v="480"/>
    <n v="20"/>
    <m/>
    <m/>
    <n v="500"/>
    <n v="70"/>
    <n v="1"/>
    <m/>
  </r>
  <r>
    <s v="SINGAPORE EXPRESS"/>
    <x v="1"/>
    <d v="2026-02-11T07:24:00"/>
    <d v="2026-02-11T07:00:00"/>
    <x v="1"/>
    <s v="MAEU262577282"/>
    <x v="0"/>
    <s v="Sihanoukville"/>
    <s v="MRKU3396959"/>
    <s v="SIMEI LELYSTAD"/>
    <d v="2026-02-12T03:00:00"/>
    <x v="239"/>
    <x v="182"/>
    <d v="2026-02-12T09:48:00"/>
    <x v="0"/>
    <x v="0"/>
    <n v="1"/>
    <x v="6"/>
    <x v="1"/>
    <d v="2026-02-12T09:42:00"/>
    <d v="1899-12-30T19:36:00"/>
    <n v="19.599999999976717"/>
    <x v="0"/>
    <d v="1899-12-30T07:00:00"/>
    <n v="7.0000000001164153"/>
    <s v="SI"/>
    <d v="1899-12-31T02:36:00"/>
    <n v="26.600000000093132"/>
    <d v="1899-12-30T00:00:00"/>
    <x v="0"/>
    <n v="0"/>
    <d v="1899-12-31T02:24:00"/>
    <n v="26.399999999965075"/>
    <x v="0"/>
    <m/>
    <d v="1899-12-30T10:00:00"/>
    <s v="NO"/>
    <s v="7/26"/>
    <s v="MRKU3396959"/>
    <s v="CTK TRANSPORT"/>
    <n v="550"/>
    <e v="#N/A"/>
    <n v="50"/>
    <n v="50"/>
    <n v="4"/>
    <x v="1"/>
    <s v="CTK TRANSPORTWEEK"/>
    <n v="600"/>
    <n v="20"/>
    <m/>
    <m/>
    <n v="620"/>
    <n v="70"/>
    <n v="1"/>
    <m/>
  </r>
  <r>
    <s v="SINGAPORE EXPRESS"/>
    <x v="1"/>
    <d v="2026-02-11T07:24:00"/>
    <d v="2026-02-11T07:00:00"/>
    <x v="2"/>
    <s v="MAEU262577282"/>
    <x v="0"/>
    <s v="Sihanoukville"/>
    <s v="CAAU9263347"/>
    <s v="SIMEI LELYSTAD"/>
    <d v="2026-02-12T03:00:00"/>
    <x v="240"/>
    <x v="183"/>
    <d v="2026-02-12T13:10:00"/>
    <x v="0"/>
    <x v="0"/>
    <n v="1"/>
    <x v="6"/>
    <x v="1"/>
    <d v="2026-02-12T12:55:00"/>
    <d v="1899-12-30T19:36:00"/>
    <n v="19.599999999976717"/>
    <x v="0"/>
    <d v="1899-12-30T09:00:00"/>
    <n v="9.000000000174623"/>
    <s v="SI"/>
    <d v="1899-12-31T04:36:00"/>
    <n v="28.60000000015134"/>
    <d v="1899-12-30T00:55:00"/>
    <x v="1"/>
    <n v="0.91666666651144624"/>
    <d v="1899-12-31T05:46:00"/>
    <n v="29.766666666604578"/>
    <x v="0"/>
    <m/>
    <d v="1899-12-30T12:00:00"/>
    <s v="NO"/>
    <s v="7/26"/>
    <s v="CAAU9263347"/>
    <s v="LOGIX"/>
    <n v="550"/>
    <e v="#N/A"/>
    <n v="50"/>
    <n v="50"/>
    <n v="4"/>
    <x v="1"/>
    <s v="LOGIXWEEK"/>
    <n v="600"/>
    <n v="20"/>
    <m/>
    <m/>
    <n v="620"/>
    <n v="70"/>
    <n v="1"/>
    <m/>
  </r>
  <r>
    <s v="SINGAPORE EXPRESS"/>
    <x v="1"/>
    <d v="2026-02-11T07:24:00"/>
    <d v="2026-02-11T07:00:00"/>
    <x v="4"/>
    <s v="MAEU262577282"/>
    <x v="0"/>
    <s v="Sihanoukville"/>
    <s v="HASU4011247"/>
    <s v="SIMEI LELYSTAD"/>
    <d v="2026-02-12T03:00:00"/>
    <x v="241"/>
    <x v="183"/>
    <d v="2026-02-12T12:10:00"/>
    <x v="0"/>
    <x v="0"/>
    <n v="0"/>
    <x v="6"/>
    <x v="1"/>
    <d v="2026-02-12T12:01:00"/>
    <d v="1899-12-30T19:36:00"/>
    <n v="19.599999999976717"/>
    <x v="0"/>
    <d v="1899-12-30T09:00:00"/>
    <n v="9.000000000174623"/>
    <s v="SI"/>
    <d v="1899-12-31T04:36:00"/>
    <n v="28.60000000015134"/>
    <d v="1899-12-30T00:01:00"/>
    <x v="0"/>
    <n v="1.6666666546370834E-2"/>
    <d v="1899-12-31T04:46:00"/>
    <n v="28.766666666662786"/>
    <x v="0"/>
    <m/>
    <d v="1899-12-30T12:00:00"/>
    <s v="NO"/>
    <s v="7/26"/>
    <s v="HASU4011247"/>
    <s v="OM TRANSPORT"/>
    <n v="475"/>
    <e v="#N/A"/>
    <n v="50"/>
    <n v="0"/>
    <n v="4"/>
    <x v="1"/>
    <s v="OM TRANSPORTWEEK"/>
    <n v="475"/>
    <n v="20"/>
    <m/>
    <m/>
    <n v="495"/>
    <n v="70"/>
    <n v="1"/>
    <m/>
  </r>
  <r>
    <s v="SINGAPORE EXPRESS"/>
    <x v="1"/>
    <d v="2026-02-11T07:24:00"/>
    <d v="2026-02-11T07:00:00"/>
    <x v="4"/>
    <s v="MAEU262301054"/>
    <x v="0"/>
    <s v="Shanghai"/>
    <s v="TCNU2471643"/>
    <s v="LELYSTAD"/>
    <d v="2026-02-12T03:00:00"/>
    <x v="242"/>
    <x v="184"/>
    <d v="2026-02-12T16:50:00"/>
    <x v="0"/>
    <x v="1"/>
    <n v="0"/>
    <x v="6"/>
    <x v="1"/>
    <d v="2026-02-12T16:25:00"/>
    <d v="1899-12-30T19:36:00"/>
    <n v="19.599999999976717"/>
    <x v="0"/>
    <d v="1899-12-30T13:00:00"/>
    <n v="12.999999999941792"/>
    <s v="SI"/>
    <d v="1899-12-31T08:36:00"/>
    <n v="32.599999999918509"/>
    <d v="1899-12-30T00:25:00"/>
    <x v="0"/>
    <n v="0.41666666680248454"/>
    <d v="1899-12-31T09:26:00"/>
    <n v="33.433333333348855"/>
    <x v="0"/>
    <m/>
    <d v="1899-12-30T16:00:00"/>
    <s v="NO"/>
    <s v="7/26"/>
    <s v="TCNU2471643"/>
    <s v="OM TRANSPORT"/>
    <n v="475"/>
    <n v="110"/>
    <n v="50"/>
    <n v="0"/>
    <n v="4"/>
    <x v="1"/>
    <s v="OM TRANSPORTWEEK"/>
    <n v="585"/>
    <n v="20"/>
    <m/>
    <m/>
    <n v="605"/>
    <n v="70"/>
    <n v="1"/>
    <m/>
  </r>
  <r>
    <s v="SINGAPORE EXPRESS"/>
    <x v="1"/>
    <d v="2026-02-11T07:24:00"/>
    <d v="2026-02-11T07:00:00"/>
    <x v="5"/>
    <s v="MAEU262577282"/>
    <x v="0"/>
    <s v="Sihanoukville"/>
    <s v="MAEU9258483"/>
    <s v="SIMEI LELYSTAD"/>
    <d v="2026-02-12T03:00:00"/>
    <x v="243"/>
    <x v="185"/>
    <d v="2026-02-12T18:15:00"/>
    <x v="0"/>
    <x v="0"/>
    <n v="1"/>
    <x v="6"/>
    <x v="1"/>
    <d v="2026-02-12T18:05:00"/>
    <d v="1899-12-30T19:36:00"/>
    <n v="19.599999999976717"/>
    <x v="0"/>
    <d v="1899-12-30T14:00:00"/>
    <n v="14.000000000058208"/>
    <s v="SI"/>
    <d v="1899-12-31T09:36:00"/>
    <n v="33.600000000034925"/>
    <d v="1899-12-30T01:05:00"/>
    <x v="1"/>
    <n v="1.0833333331975155"/>
    <d v="1899-12-31T10:51:00"/>
    <n v="34.849999999918509"/>
    <x v="0"/>
    <m/>
    <d v="1899-12-30T17:00:00"/>
    <s v="NO"/>
    <s v="7/26"/>
    <s v="MAEU9258483"/>
    <s v="OTL"/>
    <n v="530"/>
    <e v="#N/A"/>
    <n v="60"/>
    <n v="60"/>
    <n v="4"/>
    <x v="1"/>
    <s v="OTLWEEK"/>
    <n v="590"/>
    <n v="20"/>
    <m/>
    <m/>
    <n v="610"/>
    <n v="70"/>
    <n v="1"/>
    <m/>
  </r>
  <r>
    <s v="SINGAPORE EXPRESS"/>
    <x v="1"/>
    <d v="2026-02-11T07:24:00"/>
    <d v="2026-02-11T07:00:00"/>
    <x v="2"/>
    <s v="MAEU259153948"/>
    <x v="0"/>
    <s v="Shanghai"/>
    <s v="MSKU4648403"/>
    <s v="SIMEI LELYSTAD"/>
    <d v="2026-02-12T03:00:00"/>
    <x v="244"/>
    <x v="185"/>
    <d v="2026-02-12T17:25:00"/>
    <x v="0"/>
    <x v="0"/>
    <n v="0"/>
    <x v="6"/>
    <x v="1"/>
    <d v="2026-02-12T16:43:00"/>
    <d v="1899-12-30T19:36:00"/>
    <n v="19.599999999976717"/>
    <x v="0"/>
    <d v="1899-12-30T14:00:00"/>
    <n v="14.000000000058208"/>
    <s v="SI"/>
    <d v="1899-12-31T09:36:00"/>
    <n v="33.600000000034925"/>
    <d v="1899-12-30T00:00:00"/>
    <x v="0"/>
    <n v="0"/>
    <d v="1899-12-31T10:01:00"/>
    <n v="34.016666666662786"/>
    <x v="0"/>
    <m/>
    <d v="1899-12-30T17:00:00"/>
    <s v="NO"/>
    <s v="7/26"/>
    <s v="MSKU4648403"/>
    <s v="LOGIX"/>
    <n v="550"/>
    <e v="#N/A"/>
    <n v="50"/>
    <n v="0"/>
    <n v="4"/>
    <x v="1"/>
    <s v="LOGIXWEEK"/>
    <n v="550"/>
    <n v="20"/>
    <m/>
    <m/>
    <n v="570"/>
    <n v="70"/>
    <n v="1"/>
    <m/>
  </r>
  <r>
    <s v="SINGAPORE EXPRESS"/>
    <x v="1"/>
    <d v="2026-02-11T07:24:00"/>
    <d v="2026-02-11T07:00:00"/>
    <x v="3"/>
    <s v="MAEU259153948"/>
    <x v="0"/>
    <s v="Shanghai"/>
    <s v="MSKU4765185"/>
    <s v="SIMEI LELYSTAD"/>
    <d v="2026-02-12T03:00:00"/>
    <x v="245"/>
    <x v="186"/>
    <d v="2026-02-12T20:00:00"/>
    <x v="0"/>
    <x v="0"/>
    <n v="1"/>
    <x v="6"/>
    <x v="1"/>
    <d v="2026-02-12T20:00:00"/>
    <d v="1899-12-30T19:36:00"/>
    <n v="19.599999999976717"/>
    <x v="0"/>
    <d v="1899-12-30T16:00:00"/>
    <n v="15.999999999941792"/>
    <s v="SI"/>
    <d v="1899-12-31T11:36:00"/>
    <n v="35.599999999918509"/>
    <d v="1899-12-30T01:00:00"/>
    <x v="1"/>
    <n v="1.0000000001164153"/>
    <d v="1899-12-31T12:36:00"/>
    <n v="36.600000000034925"/>
    <x v="0"/>
    <m/>
    <d v="1899-12-30T19:00:00"/>
    <s v="NO"/>
    <s v="7/26"/>
    <s v="MSKU4765185"/>
    <s v="MSI"/>
    <n v="480"/>
    <e v="#N/A"/>
    <n v="50"/>
    <n v="50"/>
    <n v="4"/>
    <x v="1"/>
    <s v="MSIWEEK"/>
    <n v="530"/>
    <n v="20"/>
    <m/>
    <m/>
    <n v="550"/>
    <n v="70"/>
    <n v="1"/>
    <m/>
  </r>
  <r>
    <s v="SINGAPORE EXPRESS"/>
    <x v="1"/>
    <d v="2026-02-11T07:24:00"/>
    <d v="2026-02-11T07:00:00"/>
    <x v="4"/>
    <s v="MAEU262057482"/>
    <x v="0"/>
    <s v="Shanghai"/>
    <s v="MSKU4620936"/>
    <s v="SIMEI LELYSTAD"/>
    <d v="2026-02-12T03:00:00"/>
    <x v="246"/>
    <x v="187"/>
    <d v="2026-02-12T20:50:00"/>
    <x v="0"/>
    <x v="0"/>
    <n v="0"/>
    <x v="6"/>
    <x v="1"/>
    <d v="2026-02-12T20:30:00"/>
    <d v="1899-12-30T19:36:00"/>
    <n v="19.599999999976717"/>
    <x v="0"/>
    <d v="1899-12-30T17:00:00"/>
    <n v="17.000000000058208"/>
    <s v="SI"/>
    <d v="1899-12-31T12:36:00"/>
    <n v="36.600000000034925"/>
    <d v="1899-12-30T00:30:00"/>
    <x v="0"/>
    <n v="0.49999999988358468"/>
    <d v="1899-12-31T13:26:00"/>
    <n v="37.433333333290648"/>
    <x v="0"/>
    <m/>
    <d v="1899-12-30T20:00:00"/>
    <s v="NIGHT"/>
    <s v="7/26"/>
    <s v="MSKU4620936"/>
    <s v="OM TRANSPORT"/>
    <n v="475"/>
    <e v="#N/A"/>
    <n v="50"/>
    <n v="0"/>
    <n v="4"/>
    <x v="3"/>
    <s v="OM TRANSPORTNIGHT"/>
    <n v="475"/>
    <n v="20"/>
    <m/>
    <m/>
    <n v="495"/>
    <n v="70"/>
    <n v="1"/>
    <m/>
  </r>
  <r>
    <s v="SINGAPORE EXPRESS"/>
    <x v="1"/>
    <d v="2026-02-11T07:24:00"/>
    <d v="2026-02-11T07:00:00"/>
    <x v="5"/>
    <s v="MAEU259153948"/>
    <x v="0"/>
    <s v="Shanghai"/>
    <s v="MSKU4672626"/>
    <s v="SIMEI LELYSTAD"/>
    <d v="2026-02-12T03:00:00"/>
    <x v="247"/>
    <x v="187"/>
    <d v="2026-02-12T21:25:00"/>
    <x v="0"/>
    <x v="0"/>
    <n v="2"/>
    <x v="6"/>
    <x v="1"/>
    <d v="2026-02-12T21:25:00"/>
    <d v="1899-12-30T19:36:00"/>
    <n v="19.599999999976717"/>
    <x v="0"/>
    <d v="1899-12-30T17:00:00"/>
    <n v="17.000000000058208"/>
    <s v="SI"/>
    <d v="1899-12-31T12:36:00"/>
    <n v="36.600000000034925"/>
    <d v="1899-12-30T01:25:00"/>
    <x v="1"/>
    <n v="1.4166666665696539"/>
    <d v="1899-12-31T14:01:00"/>
    <n v="38.016666666604578"/>
    <x v="0"/>
    <m/>
    <d v="1899-12-30T20:00:00"/>
    <s v="NIGHT"/>
    <s v="7/26"/>
    <s v="MSKU4672626"/>
    <s v="OTL"/>
    <n v="530"/>
    <e v="#N/A"/>
    <n v="60"/>
    <n v="120"/>
    <n v="4"/>
    <x v="3"/>
    <s v="OTLNIGHT"/>
    <n v="650"/>
    <n v="20"/>
    <m/>
    <m/>
    <n v="670"/>
    <n v="70"/>
    <n v="1"/>
    <m/>
  </r>
  <r>
    <s v="SINGAPORE EXPRESS"/>
    <x v="1"/>
    <d v="2026-02-11T07:24:00"/>
    <d v="2026-02-11T07:00:00"/>
    <x v="4"/>
    <s v="MAEU263668261"/>
    <x v="0"/>
    <s v="Yantian"/>
    <s v="MRKU0341211"/>
    <s v="SIMEI LELYSTAD"/>
    <d v="2026-02-12T03:00:00"/>
    <x v="248"/>
    <x v="188"/>
    <d v="2026-02-13T09:30:00"/>
    <x v="0"/>
    <x v="0"/>
    <n v="1"/>
    <x v="6"/>
    <x v="1"/>
    <d v="2026-02-13T07:26:00"/>
    <d v="1899-12-30T19:36:00"/>
    <n v="19.599999999976717"/>
    <x v="0"/>
    <d v="1899-12-31T05:00:00"/>
    <n v="29.000000000058208"/>
    <s v="NO"/>
    <d v="1900-01-01T00:36:00"/>
    <n v="48.600000000034925"/>
    <d v="1899-12-30T00:00:00"/>
    <x v="0"/>
    <n v="0"/>
    <d v="1900-01-01T02:06:00"/>
    <n v="50.100000000034925"/>
    <x v="1"/>
    <m/>
    <d v="1899-12-30T08:00:00"/>
    <s v="NO"/>
    <s v="7/26"/>
    <s v="MRKU0341211"/>
    <s v="OM TRANSPORT"/>
    <n v="475"/>
    <e v="#N/A"/>
    <n v="50"/>
    <n v="50"/>
    <n v="5"/>
    <x v="1"/>
    <s v="OM TRANSPORTWEEK"/>
    <n v="547.5"/>
    <n v="20"/>
    <n v="22.5"/>
    <s v="08:00 - 10:30"/>
    <n v="567.5"/>
    <n v="70"/>
    <n v="1"/>
    <m/>
  </r>
  <r>
    <s v="SINGAPORE EXPRESS"/>
    <x v="1"/>
    <d v="2026-02-11T07:24:00"/>
    <d v="2026-02-11T07:00:00"/>
    <x v="3"/>
    <s v="MAEU263668261"/>
    <x v="0"/>
    <s v="Yantian"/>
    <s v="MSKU5533076"/>
    <s v="SIMEI LELYSTAD"/>
    <d v="2026-02-12T03:00:00"/>
    <x v="249"/>
    <x v="188"/>
    <d v="2026-02-12T19:10:00"/>
    <x v="0"/>
    <x v="0"/>
    <n v="0"/>
    <x v="6"/>
    <x v="1"/>
    <d v="2026-02-12T19:00:00"/>
    <d v="1899-12-30T19:36:00"/>
    <n v="19.599999999976717"/>
    <x v="0"/>
    <d v="1899-12-31T05:00:00"/>
    <n v="29.000000000058208"/>
    <s v="NO"/>
    <d v="1900-01-01T00:36:00"/>
    <n v="48.600000000034925"/>
    <d v="1899-12-30T00:00:00"/>
    <x v="0"/>
    <n v="0"/>
    <d v="1899-12-31T11:46:00"/>
    <n v="35.766666666604578"/>
    <x v="0"/>
    <m/>
    <d v="1899-12-30T08:00:00"/>
    <s v="NO"/>
    <s v="7/26"/>
    <s v="MSKU5533076"/>
    <s v="MSI"/>
    <n v="480"/>
    <e v="#N/A"/>
    <n v="50"/>
    <n v="0"/>
    <n v="5"/>
    <x v="1"/>
    <s v="MSIWEEK"/>
    <n v="480"/>
    <n v="20"/>
    <m/>
    <m/>
    <n v="500"/>
    <n v="70"/>
    <n v="1"/>
    <m/>
  </r>
  <r>
    <s v="MAERSK TUKANG"/>
    <x v="2"/>
    <d v="2026-02-11T11:32:00"/>
    <d v="2026-02-11T11:00:00"/>
    <x v="5"/>
    <s v="MAEU262837839"/>
    <x v="0"/>
    <s v="Chittagong"/>
    <s v="MRKU8373792"/>
    <s v="SIMEI LELYSTAD"/>
    <d v="2026-02-12T08:00:00"/>
    <x v="250"/>
    <x v="180"/>
    <d v="2026-02-12T08:50:00"/>
    <x v="0"/>
    <x v="0"/>
    <n v="1"/>
    <x v="6"/>
    <x v="1"/>
    <d v="2026-02-12T08:40:00"/>
    <d v="1899-12-30T20:28:00"/>
    <n v="20.466666666674428"/>
    <x v="0"/>
    <d v="1899-12-30T00:00:00"/>
    <n v="0"/>
    <s v="SI"/>
    <d v="1899-12-30T20:28:00"/>
    <n v="20.466666666674428"/>
    <d v="1899-12-30T00:40:00"/>
    <x v="0"/>
    <n v="0.6666666665696539"/>
    <d v="1899-12-30T21:18:00"/>
    <n v="21.299999999930151"/>
    <x v="0"/>
    <m/>
    <d v="1899-12-30T08:00:00"/>
    <s v="NO"/>
    <s v="7/26"/>
    <s v="MRKU8373792"/>
    <s v="OTL"/>
    <n v="553.5"/>
    <e v="#N/A"/>
    <n v="60"/>
    <n v="60"/>
    <n v="4"/>
    <x v="1"/>
    <s v="OTLWEEK"/>
    <n v="613.5"/>
    <n v="20"/>
    <m/>
    <m/>
    <n v="633.5"/>
    <n v="70"/>
    <n v="1"/>
    <m/>
  </r>
  <r>
    <s v="MAERSK TUKANG"/>
    <x v="2"/>
    <d v="2026-02-11T11:32:00"/>
    <d v="2026-02-11T11:00:00"/>
    <x v="3"/>
    <s v="MAEU262771834"/>
    <x v="0"/>
    <s v="Chittagong"/>
    <s v="MRSU8042420"/>
    <s v="LELYSTAD"/>
    <d v="2026-02-12T11:00:00"/>
    <x v="251"/>
    <x v="189"/>
    <d v="2026-02-12T12:10:00"/>
    <x v="0"/>
    <x v="1"/>
    <n v="0"/>
    <x v="6"/>
    <x v="1"/>
    <d v="2026-02-12T10:55:00"/>
    <d v="1899-12-30T23:28:00"/>
    <n v="23.466666666674428"/>
    <x v="0"/>
    <d v="1899-12-30T00:00:00"/>
    <n v="0"/>
    <s v="SI"/>
    <d v="1899-12-30T23:28:00"/>
    <n v="23.466666666674428"/>
    <d v="1899-12-30T00:00:00"/>
    <x v="0"/>
    <n v="0"/>
    <d v="1899-12-31T00:38:00"/>
    <n v="24.633333333302289"/>
    <x v="0"/>
    <m/>
    <d v="1899-12-30T11:00:00"/>
    <s v="NO"/>
    <s v="7/26"/>
    <s v="MRSU8042420"/>
    <s v="MSI"/>
    <n v="503.5"/>
    <n v="120"/>
    <n v="50"/>
    <n v="0"/>
    <n v="4"/>
    <x v="1"/>
    <s v="MSIWEEK"/>
    <n v="758.5"/>
    <n v="20"/>
    <n v="135"/>
    <s v="11:00 - 15:15"/>
    <n v="778.5"/>
    <n v="70"/>
    <n v="1"/>
    <m/>
  </r>
  <r>
    <s v="MAERSK TUKANG"/>
    <x v="2"/>
    <d v="2026-02-11T11:32:00"/>
    <d v="2026-02-11T11:00:00"/>
    <x v="3"/>
    <s v="MAEU262771834"/>
    <x v="0"/>
    <s v="Chittagong"/>
    <s v="MRSU7144120"/>
    <s v="LELYSTAD"/>
    <d v="2026-02-12T11:00:00"/>
    <x v="252"/>
    <x v="190"/>
    <d v="2026-02-12T14:00:00"/>
    <x v="0"/>
    <x v="1"/>
    <n v="0"/>
    <x v="6"/>
    <x v="1"/>
    <d v="2026-02-12T12:07:00"/>
    <d v="1899-12-30T23:28:00"/>
    <n v="23.466666666674428"/>
    <x v="0"/>
    <d v="1899-12-30T02:00:00"/>
    <n v="1.9999999998835847"/>
    <s v="SI"/>
    <d v="1899-12-31T01:28:00"/>
    <n v="25.466666666558012"/>
    <d v="1899-12-30T00:00:00"/>
    <x v="0"/>
    <n v="0"/>
    <d v="1899-12-31T02:28:00"/>
    <n v="26.466666666674428"/>
    <x v="0"/>
    <m/>
    <d v="1899-12-30T13:00:00"/>
    <s v="NO"/>
    <s v="7/26"/>
    <s v="MRSU7144120"/>
    <s v="MSI"/>
    <n v="503.5"/>
    <n v="120"/>
    <n v="50"/>
    <n v="0"/>
    <n v="4"/>
    <x v="1"/>
    <s v="MSIWEEK"/>
    <n v="668.5"/>
    <n v="20"/>
    <n v="45"/>
    <s v="13:00 - 15:40"/>
    <n v="688.5"/>
    <n v="70"/>
    <n v="1"/>
    <m/>
  </r>
  <r>
    <s v="MAERSK TUKANG"/>
    <x v="2"/>
    <d v="2026-02-11T11:32:00"/>
    <d v="2026-02-11T11:00:00"/>
    <x v="5"/>
    <s v="MAEU262837839"/>
    <x v="0"/>
    <s v="Chittagong"/>
    <s v="MRKU2144649"/>
    <s v="SIMEI LELYSTAD"/>
    <d v="2026-02-12T11:00:00"/>
    <x v="253"/>
    <x v="191"/>
    <d v="2026-02-12T15:25:00"/>
    <x v="0"/>
    <x v="0"/>
    <n v="0"/>
    <x v="6"/>
    <x v="1"/>
    <d v="2026-02-12T15:15:00"/>
    <d v="1899-12-30T23:28:00"/>
    <n v="23.466666666674428"/>
    <x v="0"/>
    <d v="1899-12-30T03:00:00"/>
    <n v="3"/>
    <s v="SI"/>
    <d v="1899-12-31T02:28:00"/>
    <n v="26.466666666674428"/>
    <d v="1899-12-30T01:15:00"/>
    <x v="1"/>
    <n v="1.2499999998835847"/>
    <d v="1899-12-31T03:53:00"/>
    <n v="27.883333333244082"/>
    <x v="0"/>
    <m/>
    <d v="1899-12-30T14:00:00"/>
    <s v="NO"/>
    <s v="7/26"/>
    <s v="MRKU2144649"/>
    <s v="OTL"/>
    <n v="553.5"/>
    <e v="#N/A"/>
    <n v="60"/>
    <n v="0"/>
    <n v="4"/>
    <x v="1"/>
    <s v="OTLWEEK"/>
    <n v="553.5"/>
    <n v="20"/>
    <m/>
    <m/>
    <n v="573.5"/>
    <n v="70"/>
    <n v="1"/>
    <m/>
  </r>
  <r>
    <s v="MAERSK TUKANG"/>
    <x v="2"/>
    <d v="2026-02-11T11:32:00"/>
    <d v="2026-02-11T11:00:00"/>
    <x v="5"/>
    <s v="HLCUDA1251229440"/>
    <x v="1"/>
    <s v="Chittagong"/>
    <s v="UETU5914490"/>
    <s v="SIMEI LELYSTAD"/>
    <d v="2026-02-12T11:00:00"/>
    <x v="254"/>
    <x v="191"/>
    <d v="2026-02-12T14:40:00"/>
    <x v="0"/>
    <x v="0"/>
    <n v="1"/>
    <x v="6"/>
    <x v="1"/>
    <d v="2026-02-12T14:30:00"/>
    <d v="1899-12-30T23:28:00"/>
    <n v="23.466666666674428"/>
    <x v="0"/>
    <d v="1899-12-30T03:00:00"/>
    <n v="3"/>
    <s v="SI"/>
    <d v="1899-12-31T02:28:00"/>
    <n v="26.466666666674428"/>
    <d v="1899-12-30T00:30:00"/>
    <x v="0"/>
    <n v="0.49999999988358468"/>
    <d v="1899-12-31T03:08:00"/>
    <n v="27.133333333244082"/>
    <x v="0"/>
    <m/>
    <d v="1899-12-30T14:00:00"/>
    <s v="NO"/>
    <s v="7/26"/>
    <s v="UETU5914490"/>
    <s v="OTL"/>
    <n v="553.5"/>
    <e v="#N/A"/>
    <n v="60"/>
    <n v="60"/>
    <n v="4"/>
    <x v="1"/>
    <s v="OTLWEEK"/>
    <n v="613.5"/>
    <n v="20"/>
    <m/>
    <m/>
    <n v="633.5"/>
    <n v="70"/>
    <n v="1"/>
    <m/>
  </r>
  <r>
    <s v="MAERSK TUKANG"/>
    <x v="2"/>
    <d v="2026-02-11T11:32:00"/>
    <d v="2026-02-11T11:00:00"/>
    <x v="3"/>
    <s v="MAEU262771834"/>
    <x v="0"/>
    <s v="Chittagong"/>
    <s v="FFAU2343640"/>
    <s v="LELYSTAD"/>
    <d v="2026-02-12T11:00:00"/>
    <x v="255"/>
    <x v="192"/>
    <d v="2026-02-12T16:20:00"/>
    <x v="0"/>
    <x v="1"/>
    <n v="0"/>
    <x v="6"/>
    <x v="1"/>
    <d v="2026-02-12T15:05:00"/>
    <d v="1899-12-30T23:28:00"/>
    <n v="23.466666666674428"/>
    <x v="0"/>
    <d v="1899-12-30T04:00:00"/>
    <n v="3.9999999999417923"/>
    <s v="SI"/>
    <d v="1899-12-31T03:28:00"/>
    <n v="27.46666666661622"/>
    <d v="1899-12-30T00:05:00"/>
    <x v="0"/>
    <n v="8.3333333255723119E-2"/>
    <d v="1899-12-31T04:48:00"/>
    <n v="28.799999999930151"/>
    <x v="0"/>
    <m/>
    <d v="1899-12-30T15:00:00"/>
    <s v="NO"/>
    <s v="7/26"/>
    <s v="FFAU2343640"/>
    <s v="MSI"/>
    <n v="503.5"/>
    <n v="120"/>
    <n v="50"/>
    <n v="0"/>
    <n v="4"/>
    <x v="1"/>
    <s v="MSIWEEK"/>
    <n v="773.5"/>
    <n v="20"/>
    <n v="150"/>
    <s v="15:00 - 19:30"/>
    <n v="793.5"/>
    <n v="70"/>
    <n v="1"/>
    <m/>
  </r>
  <r>
    <s v="MAERSK TUKANG"/>
    <x v="2"/>
    <d v="2026-02-11T11:32:00"/>
    <d v="2026-02-11T11:00:00"/>
    <x v="2"/>
    <s v="MAEU262837839"/>
    <x v="0"/>
    <s v="Chittagong"/>
    <s v="CAAU8463973"/>
    <s v="SIMEI LELYSTAD"/>
    <d v="2026-02-12T11:00:00"/>
    <x v="256"/>
    <x v="193"/>
    <d v="2026-02-12T17:00:00"/>
    <x v="0"/>
    <x v="0"/>
    <n v="0"/>
    <x v="6"/>
    <x v="1"/>
    <d v="2026-02-12T16:41:00"/>
    <d v="1899-12-30T23:28:00"/>
    <n v="23.466666666674428"/>
    <x v="0"/>
    <d v="1899-12-30T05:30:00"/>
    <n v="5.4999999999417923"/>
    <s v="SI"/>
    <d v="1899-12-31T04:58:00"/>
    <n v="28.96666666661622"/>
    <d v="1899-12-30T00:11:00"/>
    <x v="0"/>
    <n v="0.18333333340706304"/>
    <d v="1899-12-31T05:28:00"/>
    <n v="29.466666666674428"/>
    <x v="0"/>
    <m/>
    <d v="1899-12-30T16:30:00"/>
    <s v="NO"/>
    <s v="7/26"/>
    <s v="CAAU8463973"/>
    <s v="LOGIX"/>
    <n v="573.5"/>
    <e v="#N/A"/>
    <n v="50"/>
    <n v="0"/>
    <n v="4"/>
    <x v="1"/>
    <s v="LOGIXWEEK"/>
    <n v="573.5"/>
    <n v="20"/>
    <m/>
    <m/>
    <n v="593.5"/>
    <n v="70"/>
    <n v="1"/>
    <m/>
  </r>
  <r>
    <s v="MAERSK TUKANG"/>
    <x v="2"/>
    <d v="2026-02-11T11:32:00"/>
    <d v="2026-02-11T11:00:00"/>
    <x v="3"/>
    <s v="MAEU262771834"/>
    <x v="0"/>
    <s v="Chittagong"/>
    <s v="UETU6700929"/>
    <s v="LELYSTAD"/>
    <d v="2026-02-12T11:00:00"/>
    <x v="257"/>
    <x v="185"/>
    <d v="2026-02-12T18:35:00"/>
    <x v="0"/>
    <x v="1"/>
    <n v="0"/>
    <x v="6"/>
    <x v="1"/>
    <d v="2026-02-12T18:02:00"/>
    <d v="1899-12-30T23:28:00"/>
    <n v="23.466666666674428"/>
    <x v="0"/>
    <d v="1899-12-30T06:00:00"/>
    <n v="6"/>
    <s v="SI"/>
    <d v="1899-12-31T05:28:00"/>
    <n v="29.466666666674428"/>
    <d v="1899-12-30T01:02:00"/>
    <x v="1"/>
    <n v="1.033333333209157"/>
    <d v="1899-12-31T07:03:00"/>
    <n v="31.049999999930151"/>
    <x v="0"/>
    <m/>
    <d v="1899-12-30T17:00:00"/>
    <s v="NO"/>
    <s v="7/26"/>
    <s v="UETU6700929"/>
    <s v="MSI"/>
    <n v="503.5"/>
    <n v="120"/>
    <n v="50"/>
    <n v="0"/>
    <n v="4"/>
    <x v="1"/>
    <s v="MSIWEEK"/>
    <n v="788.5"/>
    <n v="20"/>
    <n v="165"/>
    <s v="18:00 - 22:45"/>
    <n v="808.5"/>
    <n v="70"/>
    <n v="1"/>
    <m/>
  </r>
  <r>
    <s v="MAERSK TUKANG"/>
    <x v="2"/>
    <d v="2026-02-11T11:32:00"/>
    <d v="2026-02-11T11:00:00"/>
    <x v="2"/>
    <s v="MAEU262837861"/>
    <x v="0"/>
    <s v="Chittagong"/>
    <s v="HASU4349960"/>
    <s v="SIMEI LELYSTAD"/>
    <d v="2026-02-12T11:00:00"/>
    <x v="258"/>
    <x v="186"/>
    <d v="2026-02-12T21:10:00"/>
    <x v="0"/>
    <x v="0"/>
    <n v="1"/>
    <x v="6"/>
    <x v="1"/>
    <d v="2026-02-12T20:13:00"/>
    <d v="1899-12-30T23:28:00"/>
    <n v="23.466666666674428"/>
    <x v="0"/>
    <d v="1899-12-30T08:00:00"/>
    <n v="7.9999999998835847"/>
    <s v="SI"/>
    <d v="1899-12-31T07:28:00"/>
    <n v="31.466666666558012"/>
    <d v="1899-12-30T01:13:00"/>
    <x v="1"/>
    <n v="1.216666666790843"/>
    <d v="1899-12-31T09:38:00"/>
    <n v="33.633333333302289"/>
    <x v="0"/>
    <m/>
    <d v="1899-12-30T19:00:00"/>
    <s v="NO"/>
    <s v="7/26"/>
    <s v="HASU4349960"/>
    <s v="LOGIX"/>
    <n v="573.5"/>
    <e v="#N/A"/>
    <n v="50"/>
    <n v="50"/>
    <n v="4"/>
    <x v="1"/>
    <s v="LOGIXWEEK"/>
    <n v="623.5"/>
    <n v="20"/>
    <m/>
    <m/>
    <n v="643.5"/>
    <n v="70"/>
    <n v="1"/>
    <m/>
  </r>
  <r>
    <s v="MAERSK TUKANG"/>
    <x v="2"/>
    <d v="2026-02-11T11:32:00"/>
    <d v="2026-02-11T11:00:00"/>
    <x v="3"/>
    <s v="MAEU262772411"/>
    <x v="0"/>
    <s v="Chittagong"/>
    <s v="MRSU8749326"/>
    <s v="LELYSTAD"/>
    <d v="2026-02-12T11:00:00"/>
    <x v="259"/>
    <x v="186"/>
    <d v="2026-02-12T20:30:00"/>
    <x v="0"/>
    <x v="1"/>
    <n v="0"/>
    <x v="6"/>
    <x v="1"/>
    <d v="2026-02-12T19:21:00"/>
    <d v="1899-12-30T23:28:00"/>
    <n v="23.466666666674428"/>
    <x v="0"/>
    <d v="1899-12-30T08:00:00"/>
    <n v="7.9999999998835847"/>
    <s v="SI"/>
    <d v="1899-12-31T07:28:00"/>
    <n v="31.466666666558012"/>
    <d v="1899-12-30T00:21:00"/>
    <x v="0"/>
    <n v="0.35000000009313226"/>
    <d v="1899-12-31T08:58:00"/>
    <n v="32.966666666558012"/>
    <x v="0"/>
    <m/>
    <d v="1899-12-30T19:00:00"/>
    <s v="NO"/>
    <s v="7/26"/>
    <s v="MRSU8749326"/>
    <s v="MSI"/>
    <n v="503.5"/>
    <n v="120"/>
    <n v="50"/>
    <n v="0"/>
    <n v="4"/>
    <x v="1"/>
    <s v="MSIWEEK"/>
    <n v="623.5"/>
    <n v="20"/>
    <m/>
    <m/>
    <n v="643.5"/>
    <n v="70"/>
    <n v="1"/>
    <m/>
  </r>
  <r>
    <s v="MAERSK TUKANG"/>
    <x v="2"/>
    <d v="2026-02-11T11:32:00"/>
    <d v="2026-02-11T11:00:00"/>
    <x v="4"/>
    <s v="MAEU262772232"/>
    <x v="0"/>
    <s v="Chittagong"/>
    <s v="MRSU6979063"/>
    <s v="LELYSTAD"/>
    <d v="2026-02-12T11:00:00"/>
    <x v="260"/>
    <x v="194"/>
    <d v="2026-02-12T21:20:00"/>
    <x v="0"/>
    <x v="1"/>
    <n v="0"/>
    <x v="6"/>
    <x v="1"/>
    <d v="2026-02-12T20:44:00"/>
    <d v="1899-12-30T23:28:00"/>
    <n v="23.466666666674428"/>
    <x v="0"/>
    <d v="1899-12-30T10:00:00"/>
    <n v="9.9999999999417923"/>
    <s v="SI"/>
    <d v="1899-12-31T09:28:00"/>
    <n v="33.46666666661622"/>
    <d v="1899-12-30T00:00:00"/>
    <x v="0"/>
    <n v="0"/>
    <d v="1899-12-31T09:48:00"/>
    <n v="33.799999999988358"/>
    <x v="0"/>
    <m/>
    <d v="1899-12-30T21:00:00"/>
    <s v="NIGHT"/>
    <s v="7/26"/>
    <s v="MRSU6979063"/>
    <s v="OM TRANSPORT"/>
    <n v="498.5"/>
    <n v="110"/>
    <n v="50"/>
    <n v="0"/>
    <n v="4"/>
    <x v="3"/>
    <s v="OM TRANSPORTNIGHT"/>
    <n v="721"/>
    <n v="20"/>
    <n v="112.5"/>
    <s v="21:00 - 01:30"/>
    <n v="741"/>
    <n v="70"/>
    <n v="1"/>
    <m/>
  </r>
  <r>
    <s v="MAERSK TUKANG"/>
    <x v="2"/>
    <d v="2026-02-11T11:32:00"/>
    <d v="2026-02-11T11:00:00"/>
    <x v="1"/>
    <s v="MAEU262837861"/>
    <x v="0"/>
    <s v="Chittagong"/>
    <s v="SUDU5850578"/>
    <s v="SIMEI LELYSTAD"/>
    <d v="2026-02-12T11:00:00"/>
    <x v="261"/>
    <x v="194"/>
    <d v="2026-02-12T14:55:00"/>
    <x v="0"/>
    <x v="0"/>
    <n v="1"/>
    <x v="6"/>
    <x v="1"/>
    <d v="2026-02-12T14:45:00"/>
    <d v="1899-12-30T23:28:00"/>
    <n v="23.466666666674428"/>
    <x v="0"/>
    <d v="1899-12-30T10:00:00"/>
    <n v="9.9999999999417923"/>
    <s v="SI"/>
    <d v="1899-12-31T09:28:00"/>
    <n v="33.46666666661622"/>
    <d v="1899-12-30T00:00:00"/>
    <x v="0"/>
    <n v="0"/>
    <d v="1899-12-31T03:23:00"/>
    <n v="27.383333333360497"/>
    <x v="0"/>
    <m/>
    <d v="1899-12-30T21:00:00"/>
    <s v="NIGHT"/>
    <s v="7/26"/>
    <s v="SUDU5850578"/>
    <s v="CTK TRANSPORT"/>
    <n v="623.5"/>
    <e v="#N/A"/>
    <n v="50"/>
    <n v="50"/>
    <n v="4"/>
    <x v="3"/>
    <s v="CTK TRANSPORTNIGHT"/>
    <n v="673.5"/>
    <n v="20"/>
    <m/>
    <m/>
    <n v="693.5"/>
    <n v="70"/>
    <n v="1"/>
    <m/>
  </r>
  <r>
    <s v="MAERSK TUKANG"/>
    <x v="2"/>
    <d v="2026-02-11T11:32:00"/>
    <d v="2026-02-11T11:00:00"/>
    <x v="4"/>
    <s v="MAEU262772153"/>
    <x v="0"/>
    <s v="Chittagong"/>
    <s v="MRSU4851290"/>
    <s v="LELYSTAD"/>
    <d v="2026-02-12T11:00:00"/>
    <x v="262"/>
    <x v="195"/>
    <d v="2026-02-12T22:30:00"/>
    <x v="0"/>
    <x v="1"/>
    <n v="0"/>
    <x v="6"/>
    <x v="1"/>
    <d v="2026-02-12T20:50:00"/>
    <d v="1899-12-30T23:28:00"/>
    <n v="23.466666666674428"/>
    <x v="0"/>
    <d v="1899-12-30T12:00:00"/>
    <n v="12"/>
    <s v="SI"/>
    <d v="1899-12-31T11:28:00"/>
    <n v="35.466666666674428"/>
    <d v="1899-12-30T00:00:00"/>
    <x v="0"/>
    <n v="0"/>
    <d v="1899-12-31T10:58:00"/>
    <n v="34.96666666661622"/>
    <x v="0"/>
    <m/>
    <d v="1899-12-30T23:00:00"/>
    <s v="NIGHT"/>
    <s v="7/26"/>
    <s v="MRSU4851290"/>
    <s v="OM TRANSPORT"/>
    <n v="498.5"/>
    <n v="110"/>
    <n v="50"/>
    <n v="0"/>
    <n v="4"/>
    <x v="3"/>
    <s v="OM TRANSPORTNIGHT"/>
    <n v="608.5"/>
    <n v="20"/>
    <m/>
    <m/>
    <n v="628.5"/>
    <n v="70"/>
    <n v="1"/>
    <m/>
  </r>
  <r>
    <s v="MAERSK TUKANG"/>
    <x v="2"/>
    <d v="2026-02-11T11:32:00"/>
    <d v="2026-02-11T11:00:00"/>
    <x v="2"/>
    <s v="MAEU262778132"/>
    <x v="0"/>
    <s v="Chittagong"/>
    <s v="MRSU7711054"/>
    <s v="LELYSTAD"/>
    <d v="2026-02-12T11:00:00"/>
    <x v="263"/>
    <x v="196"/>
    <d v="2026-02-13T01:00:00"/>
    <x v="0"/>
    <x v="0"/>
    <n v="0"/>
    <x v="6"/>
    <x v="1"/>
    <d v="2026-02-12T23:04:00"/>
    <d v="1899-12-30T23:28:00"/>
    <n v="23.466666666674428"/>
    <x v="0"/>
    <d v="1899-12-30T13:00:00"/>
    <n v="12.999999999941792"/>
    <s v="SI"/>
    <d v="1899-12-31T12:28:00"/>
    <n v="36.46666666661622"/>
    <d v="1899-12-30T00:00:00"/>
    <x v="0"/>
    <n v="0"/>
    <d v="1899-12-31T13:28:00"/>
    <n v="37.466666666558012"/>
    <x v="0"/>
    <m/>
    <d v="1899-12-30T00:00:00"/>
    <s v="NIGHT"/>
    <s v="7/26"/>
    <s v="MRSU7711054"/>
    <s v="LOGIX"/>
    <n v="573.5"/>
    <e v="#N/A"/>
    <n v="50"/>
    <n v="0"/>
    <n v="5"/>
    <x v="3"/>
    <s v="LOGIXNIGHT"/>
    <n v="573.5"/>
    <n v="20"/>
    <m/>
    <m/>
    <n v="593.5"/>
    <n v="70"/>
    <n v="1"/>
    <m/>
  </r>
  <r>
    <s v="MAERSK TUKANG"/>
    <x v="2"/>
    <d v="2026-02-11T11:32:00"/>
    <d v="2026-02-11T11:00:00"/>
    <x v="4"/>
    <s v="MAEU262772153"/>
    <x v="0"/>
    <s v="Chittagong"/>
    <s v="MRSU4272467"/>
    <s v="LELYSTAD"/>
    <d v="2026-02-12T11:00:00"/>
    <x v="264"/>
    <x v="197"/>
    <d v="2026-02-12T22:45:00"/>
    <x v="0"/>
    <x v="1"/>
    <n v="0"/>
    <x v="6"/>
    <x v="1"/>
    <d v="2026-02-12T22:08:00"/>
    <d v="1899-12-30T23:28:00"/>
    <n v="23.466666666674428"/>
    <x v="0"/>
    <d v="1899-12-30T14:00:00"/>
    <n v="13.999999999883585"/>
    <s v="SI"/>
    <d v="1899-12-31T13:28:00"/>
    <n v="37.466666666558012"/>
    <d v="1899-12-30T00:00:00"/>
    <x v="0"/>
    <n v="0"/>
    <d v="1899-12-31T11:13:00"/>
    <n v="35.216666666558012"/>
    <x v="0"/>
    <m/>
    <d v="1899-12-30T01:00:00"/>
    <s v="NIGHT"/>
    <s v="7/26"/>
    <s v="MRSU4272467"/>
    <s v="OM TRANSPORT"/>
    <n v="498.5"/>
    <n v="110"/>
    <n v="50"/>
    <n v="0"/>
    <n v="5"/>
    <x v="3"/>
    <s v="OM TRANSPORTNIGHT"/>
    <n v="631"/>
    <n v="20"/>
    <n v="22.5"/>
    <s v="01:00 - 03:30"/>
    <n v="651"/>
    <n v="70"/>
    <n v="1"/>
    <m/>
  </r>
  <r>
    <s v="MAERSK TUKANG"/>
    <x v="2"/>
    <d v="2026-02-11T11:32:00"/>
    <d v="2026-02-11T11:00:00"/>
    <x v="4"/>
    <s v="MAEU262837861"/>
    <x v="0"/>
    <s v="Chittagong"/>
    <s v="TLLU4701577"/>
    <s v="LELYSTAD"/>
    <d v="2026-02-12T11:00:00"/>
    <x v="265"/>
    <x v="198"/>
    <d v="2026-02-12T23:35:00"/>
    <x v="0"/>
    <x v="0"/>
    <n v="0"/>
    <x v="6"/>
    <x v="1"/>
    <d v="2026-02-12T22:12:00"/>
    <d v="1899-12-30T23:28:00"/>
    <n v="23.466666666674428"/>
    <x v="0"/>
    <d v="1899-12-30T16:00:00"/>
    <n v="15.999999999941792"/>
    <s v="SI"/>
    <d v="1899-12-31T15:28:00"/>
    <n v="39.46666666661622"/>
    <d v="1899-12-30T00:00:00"/>
    <x v="0"/>
    <n v="0"/>
    <d v="1899-12-31T12:03:00"/>
    <n v="36.049999999988358"/>
    <x v="0"/>
    <m/>
    <d v="1899-12-30T03:00:00"/>
    <s v="NIGHT"/>
    <s v="7/26"/>
    <s v="TLLU4701577"/>
    <s v="OM TRANSPORT"/>
    <n v="498.5"/>
    <e v="#N/A"/>
    <n v="50"/>
    <n v="0"/>
    <n v="5"/>
    <x v="3"/>
    <s v="OM TRANSPORTNIGHT"/>
    <n v="498.5"/>
    <n v="20"/>
    <m/>
    <m/>
    <n v="518.5"/>
    <n v="70"/>
    <n v="1"/>
    <m/>
  </r>
  <r>
    <s v="MAERSK TUKANG"/>
    <x v="2"/>
    <d v="2026-02-11T11:32:00"/>
    <d v="2026-02-11T11:00:00"/>
    <x v="3"/>
    <s v="MAEU262772153"/>
    <x v="0"/>
    <s v="Chittagong"/>
    <s v="UETU6828838"/>
    <s v="LELYSTAD"/>
    <d v="2026-02-12T11:00:00"/>
    <x v="266"/>
    <x v="199"/>
    <d v="2026-02-13T04:08:00"/>
    <x v="0"/>
    <x v="1"/>
    <n v="0"/>
    <x v="6"/>
    <x v="1"/>
    <d v="2026-02-13T03:54:00"/>
    <d v="1899-12-30T23:28:00"/>
    <n v="23.466666666674428"/>
    <x v="0"/>
    <d v="1899-12-30T17:00:00"/>
    <n v="16.999999999883585"/>
    <s v="SI"/>
    <d v="1899-12-31T16:28:00"/>
    <n v="40.466666666558012"/>
    <d v="1899-12-30T00:00:00"/>
    <x v="0"/>
    <n v="0"/>
    <d v="1899-12-31T16:36:00"/>
    <n v="40.599999999976717"/>
    <x v="0"/>
    <m/>
    <d v="1899-12-30T04:00:00"/>
    <s v="NIGHT"/>
    <s v="7/26"/>
    <s v="UETU6828838"/>
    <s v="MSI"/>
    <n v="553.5"/>
    <n v="120"/>
    <n v="50"/>
    <n v="0"/>
    <n v="5"/>
    <x v="3"/>
    <s v="MSINIGHT"/>
    <n v="793.5"/>
    <n v="20"/>
    <n v="120"/>
    <s v="04:00 - 08:00"/>
    <n v="813.5"/>
    <n v="70"/>
    <n v="1"/>
    <m/>
  </r>
  <r>
    <s v="MAERSK TUKANG"/>
    <x v="2"/>
    <d v="2026-02-11T11:32:00"/>
    <d v="2026-02-11T11:00:00"/>
    <x v="2"/>
    <s v="HLCUDA1251229440"/>
    <x v="1"/>
    <s v="Chittagong"/>
    <s v="HAMU4456966"/>
    <s v="SIMEI LELYSTAD"/>
    <d v="2026-02-12T11:00:00"/>
    <x v="267"/>
    <x v="200"/>
    <d v="2026-02-13T07:48:00"/>
    <x v="0"/>
    <x v="0"/>
    <n v="0"/>
    <x v="6"/>
    <x v="1"/>
    <d v="2026-02-13T07:17:00"/>
    <d v="1899-12-30T23:28:00"/>
    <n v="23.466666666674428"/>
    <x v="0"/>
    <d v="1899-12-30T19:00:00"/>
    <n v="18.999999999941792"/>
    <s v="SI"/>
    <d v="1899-12-31T18:28:00"/>
    <n v="42.46666666661622"/>
    <d v="1899-12-30T01:17:00"/>
    <x v="1"/>
    <n v="1.2833333333255723"/>
    <d v="1899-12-31T20:16:00"/>
    <n v="44.266666666546371"/>
    <x v="0"/>
    <m/>
    <d v="1899-12-30T06:00:00"/>
    <s v="NO"/>
    <s v="7/26"/>
    <s v="HAMU4456966"/>
    <s v="LOGIX"/>
    <n v="573.5"/>
    <e v="#N/A"/>
    <n v="50"/>
    <n v="0"/>
    <n v="5"/>
    <x v="1"/>
    <s v="LOGIXWEEK"/>
    <n v="573.5"/>
    <n v="20"/>
    <m/>
    <m/>
    <n v="593.5"/>
    <n v="70"/>
    <n v="1"/>
    <m/>
  </r>
  <r>
    <s v="MAERSK TUKANG"/>
    <x v="2"/>
    <d v="2026-02-11T11:32:00"/>
    <d v="2026-02-11T11:00:00"/>
    <x v="1"/>
    <s v="MAEU262837839"/>
    <x v="0"/>
    <s v="Chittagong"/>
    <s v="TCLU8316190"/>
    <s v="LELYSTAD"/>
    <d v="2026-02-12T11:00:00"/>
    <x v="268"/>
    <x v="200"/>
    <d v="2026-02-13T07:08:00"/>
    <x v="0"/>
    <x v="0"/>
    <n v="0"/>
    <x v="6"/>
    <x v="1"/>
    <d v="2026-02-13T06:06:00"/>
    <d v="1899-12-30T23:28:00"/>
    <n v="23.466666666674428"/>
    <x v="0"/>
    <d v="1899-12-30T19:00:00"/>
    <n v="18.999999999941792"/>
    <s v="SI"/>
    <d v="1899-12-31T18:28:00"/>
    <n v="42.46666666661622"/>
    <d v="1899-12-30T00:06:00"/>
    <x v="0"/>
    <n v="9.9999999976716936E-2"/>
    <d v="1899-12-31T19:36:00"/>
    <n v="43.599999999976717"/>
    <x v="0"/>
    <m/>
    <d v="1899-12-30T06:00:00"/>
    <s v="NO"/>
    <s v="7/26"/>
    <s v="TCLU8316190"/>
    <s v="CTK TRANSPORT"/>
    <n v="573.5"/>
    <e v="#N/A"/>
    <n v="50"/>
    <n v="0"/>
    <n v="5"/>
    <x v="1"/>
    <s v="CTK TRANSPORTWEEK"/>
    <n v="636"/>
    <n v="20"/>
    <n v="62.5"/>
    <s v="06:00 - 09:15"/>
    <n v="656"/>
    <n v="70"/>
    <n v="1"/>
    <m/>
  </r>
  <r>
    <s v="MAERSK TUKANG"/>
    <x v="2"/>
    <d v="2026-02-11T11:32:00"/>
    <d v="2026-02-11T11:00:00"/>
    <x v="3"/>
    <s v="MAEU262772153"/>
    <x v="0"/>
    <s v="Chittagong"/>
    <s v="MRSU7450032"/>
    <s v="LELYSTAD"/>
    <d v="2026-02-12T11:00:00"/>
    <x v="269"/>
    <x v="201"/>
    <d v="2026-02-13T07:20:00"/>
    <x v="0"/>
    <x v="1"/>
    <n v="0"/>
    <x v="6"/>
    <x v="1"/>
    <d v="2026-02-13T07:00:00"/>
    <d v="1899-12-30T23:28:00"/>
    <n v="23.466666666674428"/>
    <x v="0"/>
    <d v="1899-12-30T20:00:00"/>
    <n v="19.999999999883585"/>
    <s v="SI"/>
    <d v="1899-12-31T19:28:00"/>
    <n v="43.466666666558012"/>
    <d v="1899-12-30T00:00:00"/>
    <x v="0"/>
    <n v="0"/>
    <d v="1899-12-31T19:48:00"/>
    <n v="43.799999999930151"/>
    <x v="0"/>
    <m/>
    <d v="1899-12-30T07:00:00"/>
    <s v="NO"/>
    <s v="7/26"/>
    <s v="MRSU7450032"/>
    <s v="MSI"/>
    <n v="503.5"/>
    <n v="120"/>
    <n v="50"/>
    <n v="0"/>
    <n v="5"/>
    <x v="1"/>
    <s v="MSIWEEK"/>
    <n v="668.5"/>
    <n v="20"/>
    <n v="45"/>
    <s v="07:00 - 0:45"/>
    <n v="688.5"/>
    <n v="70"/>
    <n v="1"/>
    <m/>
  </r>
  <r>
    <s v="MAERSK TUKANG"/>
    <x v="2"/>
    <d v="2026-02-11T11:32:00"/>
    <d v="2026-02-11T11:00:00"/>
    <x v="2"/>
    <s v="MAEU262837839"/>
    <x v="0"/>
    <s v="Chittagong"/>
    <s v="TCKU7699441"/>
    <s v="LELYSTAD"/>
    <d v="2026-02-12T11:00:00"/>
    <x v="270"/>
    <x v="188"/>
    <d v="2026-02-13T07:37:00"/>
    <x v="0"/>
    <x v="0"/>
    <n v="0"/>
    <x v="6"/>
    <x v="1"/>
    <d v="2026-02-13T07:37:00"/>
    <d v="1899-12-30T23:28:00"/>
    <n v="23.466666666674428"/>
    <x v="0"/>
    <d v="1899-12-30T21:00:00"/>
    <n v="21"/>
    <s v="SI"/>
    <d v="1899-12-31T20:28:00"/>
    <n v="44.466666666674428"/>
    <d v="1899-12-30T00:00:00"/>
    <x v="0"/>
    <n v="0"/>
    <d v="1899-12-31T20:05:00"/>
    <n v="44.083333333313931"/>
    <x v="0"/>
    <m/>
    <d v="1899-12-30T08:00:00"/>
    <s v="NO"/>
    <s v="7/26"/>
    <s v="TCKU7699441"/>
    <s v="LOGIX"/>
    <n v="573.5"/>
    <e v="#N/A"/>
    <n v="50"/>
    <n v="0"/>
    <n v="5"/>
    <x v="1"/>
    <s v="LOGIXWEEK"/>
    <n v="573.5"/>
    <n v="20"/>
    <m/>
    <m/>
    <n v="593.5"/>
    <n v="70"/>
    <n v="1"/>
    <m/>
  </r>
  <r>
    <s v="MAERSK TUKANG"/>
    <x v="2"/>
    <d v="2026-02-11T11:32:00"/>
    <d v="2026-02-11T11:00:00"/>
    <x v="4"/>
    <s v="MAEU262772153"/>
    <x v="0"/>
    <s v="Chittagong"/>
    <s v="MRSU8431248"/>
    <s v="LELYSTAD"/>
    <d v="2026-02-12T11:00:00"/>
    <x v="271"/>
    <x v="202"/>
    <d v="2026-02-13T08:20:00"/>
    <x v="0"/>
    <x v="1"/>
    <n v="0"/>
    <x v="6"/>
    <x v="1"/>
    <d v="2026-02-13T07:56:00"/>
    <d v="1899-12-30T23:28:00"/>
    <n v="23.466666666674428"/>
    <x v="0"/>
    <d v="1899-12-30T22:00:00"/>
    <n v="21.999999999941792"/>
    <s v="SI"/>
    <d v="1899-12-31T21:28:00"/>
    <n v="45.46666666661622"/>
    <d v="1899-12-30T00:00:00"/>
    <x v="0"/>
    <n v="0"/>
    <d v="1899-12-31T20:48:00"/>
    <n v="44.799999999871943"/>
    <x v="0"/>
    <m/>
    <d v="1899-12-30T09:00:00"/>
    <s v="NO"/>
    <s v="7/26"/>
    <s v="MRSU8431248"/>
    <s v="OM TRANSPORT"/>
    <n v="498.5"/>
    <n v="110"/>
    <n v="50"/>
    <n v="0"/>
    <n v="5"/>
    <x v="1"/>
    <s v="OM TRANSPORTWEEK"/>
    <n v="777.25"/>
    <n v="20"/>
    <n v="168.75"/>
    <s v="09:00 - 14:45"/>
    <n v="797.25"/>
    <n v="70"/>
    <n v="1"/>
    <m/>
  </r>
  <r>
    <s v="MAERSK TUKANG"/>
    <x v="2"/>
    <d v="2026-02-11T11:32:00"/>
    <d v="2026-02-11T11:00:00"/>
    <x v="4"/>
    <s v="MAEU262772153"/>
    <x v="0"/>
    <s v="Chittagong"/>
    <s v="MRSU4306850"/>
    <s v="LELYSTAD"/>
    <d v="2026-02-12T11:00:00"/>
    <x v="272"/>
    <x v="203"/>
    <d v="2026-02-13T11:15:00"/>
    <x v="0"/>
    <x v="1"/>
    <n v="0"/>
    <x v="6"/>
    <x v="1"/>
    <d v="2026-02-13T10:29:00"/>
    <d v="1899-12-30T23:28:00"/>
    <n v="23.466666666674428"/>
    <x v="0"/>
    <d v="1899-12-31T00:00:00"/>
    <n v="24"/>
    <s v="SI"/>
    <d v="1899-12-31T23:28:00"/>
    <n v="47.466666666674428"/>
    <d v="1899-12-30T00:00:00"/>
    <x v="0"/>
    <n v="0"/>
    <d v="1899-12-31T23:43:00"/>
    <n v="47.71666666661622"/>
    <x v="0"/>
    <m/>
    <d v="1899-12-30T11:00:00"/>
    <s v="NO"/>
    <s v="7/26"/>
    <s v="MRSU4306850"/>
    <s v="OM TRANSPORT"/>
    <n v="498.5"/>
    <n v="110"/>
    <n v="50"/>
    <n v="0"/>
    <n v="5"/>
    <x v="1"/>
    <s v="OM TRANSPORTWEEK"/>
    <n v="766"/>
    <n v="20"/>
    <n v="157.5"/>
    <s v="11:00 - 16:30"/>
    <n v="786"/>
    <n v="70"/>
    <n v="1"/>
    <m/>
  </r>
  <r>
    <s v="MAERSK TUKANG"/>
    <x v="2"/>
    <d v="2026-02-11T11:32:00"/>
    <d v="2026-02-11T11:00:00"/>
    <x v="2"/>
    <s v="HLCUDA1251229440"/>
    <x v="1"/>
    <s v="Chittagong"/>
    <s v="SEKU6738485"/>
    <s v="LELYSTAD"/>
    <d v="2026-02-12T11:00:00"/>
    <x v="273"/>
    <x v="204"/>
    <d v="2026-02-13T12:16:00"/>
    <x v="0"/>
    <x v="0"/>
    <n v="0"/>
    <x v="6"/>
    <x v="1"/>
    <d v="2026-02-13T12:00:00"/>
    <d v="1899-12-30T23:28:00"/>
    <n v="23.466666666674428"/>
    <x v="0"/>
    <d v="1899-12-31T01:00:00"/>
    <n v="24.999999999941792"/>
    <s v="NO"/>
    <d v="1900-01-01T00:28:00"/>
    <n v="48.46666666661622"/>
    <d v="1899-12-30T00:00:00"/>
    <x v="0"/>
    <n v="0"/>
    <d v="1900-01-01T00:44:00"/>
    <n v="48.733333333279006"/>
    <x v="1"/>
    <m/>
    <d v="1899-12-30T12:00:00"/>
    <s v="NO"/>
    <s v="7/26"/>
    <s v="SEKU6738485"/>
    <s v="LOGIX"/>
    <n v="573.5"/>
    <e v="#N/A"/>
    <n v="50"/>
    <n v="0"/>
    <n v="5"/>
    <x v="1"/>
    <s v="LOGIXWEEK"/>
    <n v="573.5"/>
    <n v="20"/>
    <m/>
    <m/>
    <n v="593.5"/>
    <n v="70"/>
    <n v="1"/>
    <m/>
  </r>
  <r>
    <s v="MAERSK TUKANG"/>
    <x v="2"/>
    <d v="2026-02-11T11:32:00"/>
    <d v="2026-02-11T11:00:00"/>
    <x v="5"/>
    <s v="MAEU262837839"/>
    <x v="0"/>
    <s v="Chittagong"/>
    <s v="MRKU4598419"/>
    <s v="LELYSTAD"/>
    <d v="2026-02-12T11:00:00"/>
    <x v="274"/>
    <x v="205"/>
    <d v="2026-02-13T17:55:00"/>
    <x v="0"/>
    <x v="0"/>
    <n v="0"/>
    <x v="6"/>
    <x v="1"/>
    <d v="2026-02-13T17:27:00"/>
    <d v="1899-12-30T23:28:00"/>
    <n v="23.466666666674428"/>
    <x v="0"/>
    <d v="1899-12-31T06:00:00"/>
    <n v="30"/>
    <s v="NO"/>
    <d v="1900-01-01T05:28:00"/>
    <n v="53.466666666674428"/>
    <d v="1899-12-30T00:27:00"/>
    <x v="0"/>
    <n v="0.44999999989522621"/>
    <d v="1900-01-01T06:23:00"/>
    <n v="54.383333333360497"/>
    <x v="1"/>
    <m/>
    <d v="1899-12-30T17:00:00"/>
    <s v="NO"/>
    <s v="7/26"/>
    <s v="MRKU4598419"/>
    <s v="OTL"/>
    <n v="553.5"/>
    <e v="#N/A"/>
    <n v="60"/>
    <n v="0"/>
    <n v="5"/>
    <x v="1"/>
    <s v="OTLWEEK"/>
    <n v="553.5"/>
    <n v="20"/>
    <m/>
    <m/>
    <n v="573.5"/>
    <n v="70"/>
    <n v="1"/>
    <m/>
  </r>
  <r>
    <s v="MAERSK TUKANG"/>
    <x v="2"/>
    <d v="2026-02-11T11:32:00"/>
    <d v="2026-02-11T11:00:00"/>
    <x v="2"/>
    <s v="MAEU262837839"/>
    <x v="0"/>
    <s v="Chittagong"/>
    <s v="MRSU3573194"/>
    <s v="LELYSTAD"/>
    <d v="2026-02-12T11:00:00"/>
    <x v="275"/>
    <x v="205"/>
    <d v="2026-02-13T19:29:00"/>
    <x v="0"/>
    <x v="0"/>
    <n v="0"/>
    <x v="6"/>
    <x v="1"/>
    <d v="2026-02-13T18:10:00"/>
    <d v="1899-12-30T23:28:00"/>
    <n v="23.466666666674428"/>
    <x v="0"/>
    <d v="1899-12-31T06:00:00"/>
    <n v="30"/>
    <s v="NO"/>
    <d v="1900-01-01T05:28:00"/>
    <n v="53.466666666674428"/>
    <d v="1899-12-30T01:10:00"/>
    <x v="1"/>
    <n v="1.1666666666278616"/>
    <d v="1900-01-01T07:57:00"/>
    <n v="55.949999999895226"/>
    <x v="1"/>
    <m/>
    <d v="1899-12-30T17:00:00"/>
    <s v="NO"/>
    <s v="7/26"/>
    <s v="MRSU3573194"/>
    <s v="LOGIX"/>
    <n v="573.5"/>
    <e v="#N/A"/>
    <n v="50"/>
    <n v="0"/>
    <n v="5"/>
    <x v="1"/>
    <s v="LOGIXWEEK"/>
    <n v="573.5"/>
    <n v="20"/>
    <m/>
    <m/>
    <n v="593.5"/>
    <n v="70"/>
    <n v="1"/>
    <m/>
  </r>
  <r>
    <s v="MAERSK TUKANG"/>
    <x v="2"/>
    <d v="2026-02-11T11:32:00"/>
    <d v="2026-02-11T11:00:00"/>
    <x v="3"/>
    <s v="MAEU262837861"/>
    <x v="0"/>
    <s v="Chittagong"/>
    <s v="MRKU5576477"/>
    <s v="LELYSTAD"/>
    <d v="2026-02-12T11:00:00"/>
    <x v="276"/>
    <x v="206"/>
    <d v="2026-02-13T20:00:00"/>
    <x v="0"/>
    <x v="0"/>
    <n v="0"/>
    <x v="6"/>
    <x v="1"/>
    <d v="2026-02-13T19:01:00"/>
    <d v="1899-12-30T23:28:00"/>
    <n v="23.466666666674428"/>
    <x v="0"/>
    <d v="1899-12-31T08:00:00"/>
    <n v="31.999999999883585"/>
    <s v="NO"/>
    <d v="1900-01-01T07:28:00"/>
    <n v="55.466666666558012"/>
    <d v="1899-12-30T00:01:00"/>
    <x v="0"/>
    <n v="1.6666666720993817E-2"/>
    <d v="1900-01-01T08:28:00"/>
    <n v="56.466666666674428"/>
    <x v="1"/>
    <m/>
    <d v="1899-12-30T19:00:00"/>
    <s v="NO"/>
    <s v="7/26"/>
    <s v="MRKU5576477"/>
    <s v="MSI"/>
    <n v="503.5"/>
    <e v="#N/A"/>
    <n v="50"/>
    <n v="0"/>
    <n v="5"/>
    <x v="1"/>
    <s v="MSIWEEK"/>
    <n v="638.5"/>
    <n v="20"/>
    <n v="135"/>
    <s v="19:00 - 23:15"/>
    <n v="658.5"/>
    <n v="70"/>
    <n v="1"/>
    <m/>
  </r>
  <r>
    <s v="MAERSK TUKANG"/>
    <x v="2"/>
    <d v="2026-02-11T11:32:00"/>
    <d v="2026-02-11T11:00:00"/>
    <x v="2"/>
    <s v="HLCUDA1251229440"/>
    <x v="1"/>
    <s v="Chittagong"/>
    <s v="TCLU1660033"/>
    <s v="LELYSTAD"/>
    <d v="2026-02-12T11:00:00"/>
    <x v="277"/>
    <x v="207"/>
    <d v="2026-02-13T19:29:00"/>
    <x v="0"/>
    <x v="0"/>
    <n v="0"/>
    <x v="6"/>
    <x v="1"/>
    <d v="2026-02-13T18:33:00"/>
    <d v="1899-12-30T23:28:00"/>
    <n v="23.466666666674428"/>
    <x v="0"/>
    <d v="1899-12-31T09:00:00"/>
    <n v="33"/>
    <s v="NO"/>
    <d v="1900-01-01T08:28:00"/>
    <n v="56.466666666674428"/>
    <d v="1899-12-30T00:00:00"/>
    <x v="0"/>
    <n v="0"/>
    <d v="1900-01-01T07:57:00"/>
    <n v="55.949999999895226"/>
    <x v="1"/>
    <m/>
    <d v="1899-12-30T20:00:00"/>
    <s v="NIGHT"/>
    <s v="7/26"/>
    <s v="TCLU1660033"/>
    <s v="LOGIX"/>
    <n v="573.5"/>
    <e v="#N/A"/>
    <n v="50"/>
    <n v="0"/>
    <n v="5"/>
    <x v="3"/>
    <s v="LOGIXNIGHT"/>
    <n v="573.5"/>
    <n v="20"/>
    <m/>
    <m/>
    <n v="593.5"/>
    <n v="70"/>
    <n v="1"/>
    <m/>
  </r>
  <r>
    <s v="MAERSK TUKANG"/>
    <x v="2"/>
    <d v="2026-02-11T11:32:00"/>
    <d v="2026-02-11T11:00:00"/>
    <x v="1"/>
    <s v="MAEU262778132"/>
    <x v="0"/>
    <s v="Chittagong"/>
    <s v="CAAU2498632"/>
    <s v="LELYSTAD"/>
    <d v="2026-02-12T11:00:00"/>
    <x v="278"/>
    <x v="176"/>
    <d v="2026-02-13T18:01:00"/>
    <x v="0"/>
    <x v="0"/>
    <n v="0"/>
    <x v="6"/>
    <x v="1"/>
    <d v="2026-02-13T17:09:00"/>
    <d v="1899-12-30T23:28:00"/>
    <n v="23.466666666674428"/>
    <x v="0"/>
    <d v="1899-12-31T10:00:00"/>
    <n v="33.999999999941792"/>
    <s v="NO"/>
    <d v="1900-01-01T09:28:00"/>
    <n v="57.46666666661622"/>
    <d v="1899-12-30T00:00:00"/>
    <x v="0"/>
    <n v="0"/>
    <d v="1900-01-01T06:29:00"/>
    <n v="54.483333333337214"/>
    <x v="1"/>
    <m/>
    <d v="1899-12-30T21:00:00"/>
    <s v="NIGHT"/>
    <s v="7/26"/>
    <s v="CAAU2498632"/>
    <s v="CTK TRANSPORT"/>
    <n v="623.5"/>
    <e v="#N/A"/>
    <n v="50"/>
    <n v="0"/>
    <n v="5"/>
    <x v="3"/>
    <s v="CTK TRANSPORTNIGHT"/>
    <n v="623.5"/>
    <n v="20"/>
    <m/>
    <m/>
    <n v="643.5"/>
    <n v="70"/>
    <n v="1"/>
    <m/>
  </r>
  <r>
    <s v="MAERSK TUKANG"/>
    <x v="2"/>
    <d v="2026-02-11T11:32:00"/>
    <d v="2026-02-11T11:00:00"/>
    <x v="3"/>
    <s v="HLCUDA1251229440"/>
    <x v="1"/>
    <s v="Chittagong"/>
    <s v="UACU6023192"/>
    <s v="LELYSTAD"/>
    <d v="2026-02-12T11:00:00"/>
    <x v="279"/>
    <x v="208"/>
    <d v="2026-02-13T21:00:00"/>
    <x v="0"/>
    <x v="0"/>
    <n v="0"/>
    <x v="6"/>
    <x v="1"/>
    <d v="2026-02-13T20:40:00"/>
    <d v="1899-12-30T23:28:00"/>
    <n v="23.466666666674428"/>
    <x v="0"/>
    <d v="1899-12-31T12:00:00"/>
    <n v="36"/>
    <s v="NO"/>
    <d v="1900-01-01T11:28:00"/>
    <n v="59.466666666674428"/>
    <d v="1899-12-30T00:00:00"/>
    <x v="0"/>
    <n v="0"/>
    <d v="1900-01-01T09:28:00"/>
    <n v="57.46666666661622"/>
    <x v="1"/>
    <m/>
    <d v="1899-12-30T23:00:00"/>
    <s v="NIGHT"/>
    <s v="7/26"/>
    <s v="UACU6023192"/>
    <s v="MSI"/>
    <n v="553.5"/>
    <e v="#N/A"/>
    <n v="50"/>
    <n v="0"/>
    <n v="5"/>
    <x v="3"/>
    <s v="MSINIGHT"/>
    <n v="553.5"/>
    <n v="20"/>
    <m/>
    <m/>
    <n v="573.5"/>
    <n v="70"/>
    <n v="1"/>
    <m/>
  </r>
  <r>
    <s v="SAVANNAH EXPRESS"/>
    <x v="0"/>
    <d v="2026-02-12T11:12:00"/>
    <d v="2026-02-12T09:00:00"/>
    <x v="4"/>
    <s v="MAEU263502717"/>
    <x v="0"/>
    <s v="Karachi-Muhammad Bin Qasim"/>
    <s v="MAGU5450915"/>
    <s v="SIMEI LELYSTAD"/>
    <d v="2026-02-13T18:00:00"/>
    <x v="280"/>
    <x v="209"/>
    <d v="2026-02-13T18:40:00"/>
    <x v="0"/>
    <x v="0"/>
    <n v="1"/>
    <x v="6"/>
    <x v="1"/>
    <d v="2026-02-13T18:20:00"/>
    <d v="1899-12-31T06:48:00"/>
    <n v="30.799999999988358"/>
    <x v="0"/>
    <d v="1899-12-30T00:00:00"/>
    <n v="0"/>
    <s v="SI"/>
    <d v="1899-12-31T06:48:00"/>
    <n v="30.799999999988358"/>
    <d v="1899-12-30T00:20:00"/>
    <x v="0"/>
    <n v="0.33333333337213844"/>
    <d v="1899-12-31T07:28:00"/>
    <n v="31.466666666732635"/>
    <x v="0"/>
    <m/>
    <d v="1899-12-30T18:00:00"/>
    <s v="NO"/>
    <s v="7/26"/>
    <s v="MAGU5450915"/>
    <s v="OM TRANSPORT"/>
    <n v="498.5"/>
    <e v="#N/A"/>
    <n v="50"/>
    <n v="50"/>
    <n v="5"/>
    <x v="1"/>
    <s v="OM TRANSPORTWEEK"/>
    <n v="683.5"/>
    <n v="20"/>
    <n v="135"/>
    <s v="18:00 - 23:00"/>
    <n v="703.5"/>
    <n v="70"/>
    <n v="1"/>
    <m/>
  </r>
  <r>
    <s v="SAVANNAH EXPRESS"/>
    <x v="0"/>
    <d v="2026-02-12T11:12:00"/>
    <d v="2026-02-12T09:00:00"/>
    <x v="2"/>
    <s v="MAEU263502201"/>
    <x v="0"/>
    <s v="Karachi-Muhammad Bin Qasim"/>
    <s v="MRKU6057943"/>
    <s v="LELYSTAD"/>
    <d v="2026-02-13T22:00:00"/>
    <x v="281"/>
    <x v="210"/>
    <d v="2026-02-13T23:20:00"/>
    <x v="0"/>
    <x v="0"/>
    <n v="0"/>
    <x v="6"/>
    <x v="1"/>
    <d v="2026-02-13T21:52:00"/>
    <d v="1899-12-31T10:48:00"/>
    <n v="34.799999999930151"/>
    <x v="0"/>
    <d v="1899-12-30T04:00:00"/>
    <n v="4.0000000001164153"/>
    <s v="SI"/>
    <d v="1899-12-31T14:48:00"/>
    <n v="38.800000000046566"/>
    <d v="1899-12-30T00:00:00"/>
    <x v="0"/>
    <n v="0"/>
    <d v="1899-12-31T12:08:00"/>
    <n v="36.133333333244082"/>
    <x v="0"/>
    <m/>
    <d v="1899-12-30T02:00:00"/>
    <s v="NIGHT"/>
    <s v="7/26"/>
    <s v="MRKU6057943"/>
    <s v="LOGIX"/>
    <n v="573.5"/>
    <e v="#N/A"/>
    <n v="50"/>
    <n v="0"/>
    <n v="6"/>
    <x v="0"/>
    <s v="LOGIXSATURDAY"/>
    <n v="573.5"/>
    <n v="20"/>
    <m/>
    <m/>
    <n v="593.5"/>
    <n v="70"/>
    <n v="1"/>
    <m/>
  </r>
  <r>
    <s v="SAVANNAH EXPRESS"/>
    <x v="0"/>
    <d v="2026-02-12T11:12:00"/>
    <d v="2026-02-12T09:00:00"/>
    <x v="2"/>
    <s v="MAEU263502717"/>
    <x v="0"/>
    <s v="Karachi-Muhammad Bin Qasim"/>
    <s v="MSKU1792166"/>
    <s v="LELYSTAD"/>
    <d v="2026-02-13T22:00:00"/>
    <x v="282"/>
    <x v="211"/>
    <d v="2026-02-14T04:05:00"/>
    <x v="0"/>
    <x v="0"/>
    <n v="0"/>
    <x v="6"/>
    <x v="1"/>
    <d v="2026-02-14T03:57:00"/>
    <d v="1899-12-31T10:48:00"/>
    <n v="34.799999999930151"/>
    <x v="0"/>
    <d v="1899-12-30T06:00:00"/>
    <n v="6"/>
    <s v="SI"/>
    <d v="1899-12-31T16:48:00"/>
    <n v="40.799999999930151"/>
    <d v="1899-12-30T00:00:00"/>
    <x v="0"/>
    <n v="0"/>
    <d v="1899-12-31T16:53:00"/>
    <n v="40.883333333360497"/>
    <x v="0"/>
    <m/>
    <d v="1899-12-30T04:00:00"/>
    <s v="NIGHT"/>
    <s v="7/26"/>
    <s v="MSKU1792166"/>
    <s v="LOGIX"/>
    <n v="573.5"/>
    <e v="#N/A"/>
    <n v="50"/>
    <n v="0"/>
    <n v="6"/>
    <x v="0"/>
    <s v="LOGIXSATURDAY"/>
    <n v="573.5"/>
    <n v="20"/>
    <m/>
    <m/>
    <n v="593.5"/>
    <n v="70"/>
    <n v="1"/>
    <m/>
  </r>
  <r>
    <s v="SAVANNAH EXPRESS"/>
    <x v="0"/>
    <d v="2026-02-12T11:12:00"/>
    <d v="2026-02-12T09:00:00"/>
    <x v="1"/>
    <s v="MAEU263502201"/>
    <x v="0"/>
    <s v="Karachi-Muhammad Bin Qasim"/>
    <s v="MRSU3563386"/>
    <s v="LELYSTAD"/>
    <d v="2026-02-13T22:00:00"/>
    <x v="283"/>
    <x v="212"/>
    <d v="2026-02-14T10:10:00"/>
    <x v="0"/>
    <x v="0"/>
    <n v="0"/>
    <x v="6"/>
    <x v="1"/>
    <d v="2026-02-14T09:35:00"/>
    <d v="1899-12-31T10:48:00"/>
    <n v="34.799999999930151"/>
    <x v="0"/>
    <d v="1899-12-30T13:00:00"/>
    <n v="13.000000000116415"/>
    <s v="SI"/>
    <d v="1899-12-31T23:48:00"/>
    <n v="47.800000000046566"/>
    <d v="1899-12-30T00:00:00"/>
    <x v="0"/>
    <n v="0"/>
    <d v="1899-12-31T22:58:00"/>
    <n v="46.96666666661622"/>
    <x v="0"/>
    <m/>
    <d v="1899-12-30T11:00:00"/>
    <s v="NO"/>
    <s v="7/26"/>
    <s v="MRSU3563386"/>
    <s v="CTK TRANSPORT"/>
    <n v="648.5"/>
    <e v="#N/A"/>
    <n v="50"/>
    <n v="0"/>
    <n v="6"/>
    <x v="0"/>
    <s v="CTK TRANSPORTSATURDAY"/>
    <n v="711"/>
    <n v="20"/>
    <n v="62.5"/>
    <s v="11:00 - 14:15"/>
    <n v="731"/>
    <n v="70"/>
    <n v="1"/>
    <m/>
  </r>
  <r>
    <s v="SAVANNAH EXPRESS"/>
    <x v="0"/>
    <d v="2026-02-12T11:12:00"/>
    <d v="2026-02-12T09:00:00"/>
    <x v="3"/>
    <s v="MAEU263502201"/>
    <x v="0"/>
    <s v="Karachi-Muhammad Bin Qasim"/>
    <s v="MRSU4071225"/>
    <s v="LELYSTAD"/>
    <d v="2026-02-13T22:00:00"/>
    <x v="284"/>
    <x v="213"/>
    <d v="2026-02-14T15:44:00"/>
    <x v="0"/>
    <x v="0"/>
    <n v="0"/>
    <x v="6"/>
    <x v="1"/>
    <d v="2026-02-14T15:05:00"/>
    <d v="1899-12-31T10:48:00"/>
    <n v="34.799999999930151"/>
    <x v="0"/>
    <d v="1899-12-30T18:00:00"/>
    <n v="18"/>
    <s v="SI"/>
    <d v="1900-01-01T04:48:00"/>
    <n v="52.799999999930151"/>
    <d v="1899-12-30T00:00:00"/>
    <x v="0"/>
    <n v="0"/>
    <d v="1900-01-01T04:32:00"/>
    <n v="52.533333333267365"/>
    <x v="1"/>
    <m/>
    <d v="1899-12-30T16:00:00"/>
    <s v="NO"/>
    <s v="7/26"/>
    <s v="MRSU4071225"/>
    <s v="MSI"/>
    <n v="523.5"/>
    <e v="#N/A"/>
    <n v="50"/>
    <n v="0"/>
    <n v="6"/>
    <x v="0"/>
    <s v="MSISATURDAY"/>
    <n v="658.5"/>
    <n v="20"/>
    <n v="135"/>
    <s v="16:00 - 20:45"/>
    <n v="678.5"/>
    <n v="70"/>
    <n v="1"/>
    <m/>
  </r>
  <r>
    <s v="SAVANNAH EXPRESS"/>
    <x v="0"/>
    <d v="2026-02-12T11:12:00"/>
    <d v="2026-02-12T09:00:00"/>
    <x v="3"/>
    <s v="MAEU263383521"/>
    <x v="0"/>
    <s v="Karachi-Muhammad Bin Qasim"/>
    <s v="SUDU7942061"/>
    <s v="LELYSTAD"/>
    <d v="2026-02-13T22:00:00"/>
    <x v="285"/>
    <x v="214"/>
    <d v="2026-02-14T16:32:00"/>
    <x v="0"/>
    <x v="0"/>
    <n v="0"/>
    <x v="6"/>
    <x v="1"/>
    <d v="2026-02-14T16:09:00"/>
    <d v="1899-12-31T10:48:00"/>
    <n v="34.799999999930151"/>
    <x v="0"/>
    <d v="1899-12-30T19:00:00"/>
    <n v="19.000000000116415"/>
    <s v="SI"/>
    <d v="1900-01-01T05:48:00"/>
    <n v="53.800000000046566"/>
    <d v="1899-12-30T00:00:00"/>
    <x v="0"/>
    <n v="0"/>
    <d v="1900-01-01T05:20:00"/>
    <n v="53.333333333255723"/>
    <x v="1"/>
    <m/>
    <d v="1899-12-30T17:00:00"/>
    <s v="NO"/>
    <s v="7/26"/>
    <s v="SUDU7942061"/>
    <s v="MSI"/>
    <n v="523.5"/>
    <e v="#N/A"/>
    <n v="50"/>
    <n v="0"/>
    <n v="6"/>
    <x v="0"/>
    <s v="MSISATURDAY"/>
    <n v="523.5"/>
    <n v="20"/>
    <m/>
    <m/>
    <n v="543.5"/>
    <n v="70"/>
    <n v="1"/>
    <m/>
  </r>
  <r>
    <s v="SAVANNAH EXPRESS"/>
    <x v="0"/>
    <d v="2026-02-12T11:12:00"/>
    <d v="2026-02-12T09:00:00"/>
    <x v="2"/>
    <s v="MAEU262931804"/>
    <x v="0"/>
    <s v="Toamasina"/>
    <s v="MRSU7336061"/>
    <s v="XPO TALLER LELYSTAD"/>
    <d v="2026-02-13T22:00:00"/>
    <x v="286"/>
    <x v="215"/>
    <d v="2026-02-15T07:25:00"/>
    <x v="0"/>
    <x v="0"/>
    <n v="0"/>
    <x v="6"/>
    <x v="1"/>
    <d v="2026-02-15T07:20:00"/>
    <d v="1899-12-31T10:48:00"/>
    <n v="34.799999999930151"/>
    <x v="0"/>
    <d v="1899-12-31T09:00:00"/>
    <n v="33"/>
    <s v="NO"/>
    <d v="1900-01-01T19:48:00"/>
    <n v="67.799999999930151"/>
    <d v="1899-12-30T00:20:00"/>
    <x v="0"/>
    <n v="0.33333333337213844"/>
    <d v="1900-01-01T20:13:00"/>
    <n v="68.216666666732635"/>
    <x v="1"/>
    <m/>
    <d v="1899-12-30T07:00:00"/>
    <s v="NO"/>
    <s v="7/26"/>
    <s v="MRSU7336061"/>
    <s v="LOGIX"/>
    <n v="573.5"/>
    <e v="#N/A"/>
    <n v="50"/>
    <n v="0"/>
    <n v="7"/>
    <x v="2"/>
    <s v="LOGIXSUNDAY"/>
    <n v="573.5"/>
    <n v="20"/>
    <m/>
    <m/>
    <n v="593.5"/>
    <n v="70"/>
    <n v="1"/>
    <m/>
  </r>
  <r>
    <s v="SAVANNAH EXPRESS"/>
    <x v="0"/>
    <d v="2026-02-12T11:12:00"/>
    <d v="2026-02-12T09:00:00"/>
    <x v="3"/>
    <s v="MAEU263161396"/>
    <x v="0"/>
    <s v="Mumbai (ex Bombay)"/>
    <s v="MRKU0447008"/>
    <s v="XPO TALLER LELYSTAD"/>
    <d v="2026-02-13T22:00:00"/>
    <x v="287"/>
    <x v="216"/>
    <d v="2026-02-15T11:30:00"/>
    <x v="0"/>
    <x v="0"/>
    <n v="1"/>
    <x v="6"/>
    <x v="1"/>
    <d v="2026-02-15T10:55:00"/>
    <d v="1899-12-31T10:48:00"/>
    <n v="34.799999999930151"/>
    <x v="0"/>
    <d v="1899-12-31T12:00:00"/>
    <n v="36"/>
    <s v="NO"/>
    <d v="1900-01-01T22:48:00"/>
    <n v="70.799999999930151"/>
    <d v="1899-12-30T00:55:00"/>
    <x v="1"/>
    <n v="0.91666666668606922"/>
    <d v="1900-01-02T00:18:00"/>
    <n v="72.299999999930151"/>
    <x v="1"/>
    <m/>
    <d v="1899-12-30T10:00:00"/>
    <s v="NO"/>
    <s v="7/26"/>
    <s v="MRKU0447008"/>
    <s v="MSI"/>
    <n v="523.5"/>
    <e v="#N/A"/>
    <n v="50"/>
    <n v="50"/>
    <n v="7"/>
    <x v="2"/>
    <s v="MSISUNDAY"/>
    <n v="573.5"/>
    <n v="20"/>
    <m/>
    <m/>
    <n v="593.5"/>
    <n v="70"/>
    <n v="1"/>
    <m/>
  </r>
  <r>
    <s v="MAERSK GUATEMALA"/>
    <x v="0"/>
    <d v="2026-02-16T01:01:00"/>
    <d v="2026-02-15T01:00:00"/>
    <x v="1"/>
    <s v="MAEU263253578"/>
    <x v="0"/>
    <s v="Chittagong"/>
    <s v="TRHU4955506"/>
    <s v="XPO TALLER LELYSTAD"/>
    <d v="2026-02-16T19:00:00"/>
    <x v="288"/>
    <x v="217"/>
    <d v="2026-02-16T18:20:00"/>
    <x v="0"/>
    <x v="0"/>
    <n v="1"/>
    <x v="7"/>
    <x v="1"/>
    <d v="2026-02-16T18:20:00"/>
    <d v="1899-12-30T17:59:00"/>
    <n v="17.983333333279006"/>
    <x v="0"/>
    <d v="1899-12-30T00:00:00"/>
    <n v="0"/>
    <s v="SI"/>
    <d v="1899-12-30T17:59:00"/>
    <n v="17.983333333279006"/>
    <d v="1899-12-30T00:00:00"/>
    <x v="0"/>
    <n v="0"/>
    <d v="1899-12-30T17:19:00"/>
    <n v="17.316666666709352"/>
    <x v="0"/>
    <m/>
    <d v="1899-12-30T19:00:00"/>
    <s v="NO"/>
    <s v="8/26"/>
    <s v="TRHU4955506"/>
    <s v="CTK TRANSPORT"/>
    <n v="573.5"/>
    <e v="#N/A"/>
    <n v="50"/>
    <n v="50"/>
    <n v="1"/>
    <x v="1"/>
    <s v="CTK TRANSPORTWEEK"/>
    <n v="623.5"/>
    <n v="20"/>
    <m/>
    <m/>
    <n v="643.5"/>
    <n v="70"/>
    <n v="1"/>
    <m/>
  </r>
  <r>
    <s v="MAERSK GUATEMALA"/>
    <x v="0"/>
    <d v="2026-02-16T01:01:00"/>
    <d v="2026-02-15T01:00:00"/>
    <x v="4"/>
    <s v="MAEU263221898"/>
    <x v="0"/>
    <s v="Chittagong"/>
    <s v="MRSU4935750"/>
    <s v="LELYSTAD"/>
    <d v="2026-02-16T19:00:00"/>
    <x v="289"/>
    <x v="217"/>
    <d v="2026-02-16T20:00:00"/>
    <x v="0"/>
    <x v="1"/>
    <n v="0"/>
    <x v="7"/>
    <x v="1"/>
    <d v="2026-02-16T18:39:00"/>
    <d v="1899-12-30T17:59:00"/>
    <n v="17.983333333279006"/>
    <x v="0"/>
    <d v="1899-12-30T00:00:00"/>
    <n v="0"/>
    <s v="SI"/>
    <d v="1899-12-30T17:59:00"/>
    <n v="17.983333333279006"/>
    <d v="1899-12-30T00:00:00"/>
    <x v="0"/>
    <n v="0"/>
    <d v="1899-12-30T18:59:00"/>
    <n v="18.983333333395422"/>
    <x v="0"/>
    <m/>
    <d v="1899-12-30T19:00:00"/>
    <s v="NO"/>
    <s v="8/26"/>
    <s v="MRSU4935750"/>
    <s v="OM TRANSPORT"/>
    <n v="498.5"/>
    <n v="110"/>
    <n v="50"/>
    <n v="0"/>
    <n v="1"/>
    <x v="1"/>
    <s v="OM TRANSPORTWEEK"/>
    <n v="608.5"/>
    <n v="20"/>
    <m/>
    <m/>
    <n v="628.5"/>
    <n v="70"/>
    <n v="1"/>
    <m/>
  </r>
  <r>
    <s v="MAERSK GUATEMALA"/>
    <x v="0"/>
    <d v="2026-02-16T01:01:00"/>
    <d v="2026-02-15T01:00:00"/>
    <x v="2"/>
    <s v="MAEU263256662"/>
    <x v="0"/>
    <s v="Chittagong"/>
    <s v="SUDU8650932"/>
    <s v="SIMEI LELYSTAD"/>
    <d v="2026-02-16T19:00:00"/>
    <x v="290"/>
    <x v="217"/>
    <d v="2026-02-16T19:00:00"/>
    <x v="0"/>
    <x v="0"/>
    <n v="1"/>
    <x v="7"/>
    <x v="1"/>
    <d v="2026-02-16T19:00:00"/>
    <d v="1899-12-30T17:59:00"/>
    <n v="17.983333333279006"/>
    <x v="0"/>
    <d v="1899-12-30T00:00:00"/>
    <n v="0"/>
    <s v="SI"/>
    <d v="1899-12-30T17:59:00"/>
    <n v="17.983333333279006"/>
    <d v="1899-12-30T00:00:00"/>
    <x v="0"/>
    <n v="0"/>
    <d v="1899-12-30T17:59:00"/>
    <n v="17.983333333279006"/>
    <x v="0"/>
    <m/>
    <d v="1899-12-30T19:00:00"/>
    <s v="NO"/>
    <s v="8/26"/>
    <s v="SUDU8650932"/>
    <s v="LOGIX"/>
    <n v="573.5"/>
    <e v="#N/A"/>
    <n v="50"/>
    <n v="50"/>
    <n v="1"/>
    <x v="1"/>
    <s v="LOGIXWEEK"/>
    <n v="623.5"/>
    <n v="20"/>
    <m/>
    <m/>
    <n v="643.5"/>
    <n v="70"/>
    <n v="1"/>
    <m/>
  </r>
  <r>
    <s v="MAERSK GUATEMALA"/>
    <x v="0"/>
    <d v="2026-02-16T01:01:00"/>
    <d v="2026-02-15T01:00:00"/>
    <x v="4"/>
    <s v="MAEU263221898"/>
    <x v="0"/>
    <s v="Chittagong"/>
    <s v="TLLU5839874"/>
    <s v="LELYSTAD"/>
    <d v="2026-02-16T19:00:00"/>
    <x v="291"/>
    <x v="218"/>
    <d v="2026-02-16T20:00:00"/>
    <x v="0"/>
    <x v="1"/>
    <n v="0"/>
    <x v="7"/>
    <x v="1"/>
    <d v="2026-02-16T18:30:00"/>
    <d v="1899-12-30T17:59:00"/>
    <n v="17.983333333279006"/>
    <x v="0"/>
    <d v="1899-12-30T02:00:00"/>
    <n v="2.0000000000582077"/>
    <s v="SI"/>
    <d v="1899-12-30T19:59:00"/>
    <n v="19.983333333337214"/>
    <d v="1899-12-30T00:00:00"/>
    <x v="0"/>
    <n v="0"/>
    <d v="1899-12-30T18:59:00"/>
    <n v="18.983333333395422"/>
    <x v="0"/>
    <m/>
    <d v="1899-12-30T21:00:00"/>
    <s v="NIGHT"/>
    <s v="8/26"/>
    <s v="TLLU5839874"/>
    <s v="OM TRANSPORT"/>
    <n v="498.5"/>
    <n v="110"/>
    <n v="50"/>
    <n v="0"/>
    <n v="1"/>
    <x v="3"/>
    <s v="OM TRANSPORTNIGHT"/>
    <n v="608.5"/>
    <n v="20"/>
    <m/>
    <m/>
    <n v="628.5"/>
    <n v="70"/>
    <n v="1"/>
    <m/>
  </r>
  <r>
    <s v="MAERSK GUATEMALA"/>
    <x v="0"/>
    <d v="2026-02-16T01:01:00"/>
    <d v="2026-02-15T01:00:00"/>
    <x v="4"/>
    <s v="MAEU263221898"/>
    <x v="0"/>
    <s v="Chittagong"/>
    <s v="CIPU5223004"/>
    <s v="LELYSTAD"/>
    <d v="2026-02-16T19:00:00"/>
    <x v="292"/>
    <x v="219"/>
    <d v="2026-02-16T23:30:00"/>
    <x v="0"/>
    <x v="1"/>
    <n v="0"/>
    <x v="7"/>
    <x v="1"/>
    <d v="2026-02-16T23:00:00"/>
    <d v="1899-12-30T17:59:00"/>
    <n v="17.983333333279006"/>
    <x v="0"/>
    <d v="1899-12-30T04:00:00"/>
    <n v="4.0000000001164153"/>
    <s v="SI"/>
    <d v="1899-12-30T21:59:00"/>
    <n v="21.983333333395422"/>
    <d v="1899-12-30T00:00:00"/>
    <x v="0"/>
    <n v="0"/>
    <d v="1899-12-30T22:29:00"/>
    <n v="22.483333333279006"/>
    <x v="0"/>
    <m/>
    <d v="1899-12-30T23:00:00"/>
    <s v="NIGHT"/>
    <s v="8/26"/>
    <s v="CIPU5223004"/>
    <s v="OM TRANSPORT"/>
    <n v="498.5"/>
    <n v="110"/>
    <n v="50"/>
    <n v="0"/>
    <n v="1"/>
    <x v="3"/>
    <s v="OM TRANSPORTNIGHT"/>
    <n v="608.5"/>
    <n v="20"/>
    <m/>
    <m/>
    <n v="628.5"/>
    <n v="70"/>
    <n v="1"/>
    <m/>
  </r>
  <r>
    <s v="MAERSK GUATEMALA"/>
    <x v="0"/>
    <d v="2026-02-16T01:01:00"/>
    <d v="2026-02-15T01:00:00"/>
    <x v="2"/>
    <s v="MAEU263256379"/>
    <x v="0"/>
    <s v="Chittagong"/>
    <s v="MRSU6256681"/>
    <s v="LELYSTAD"/>
    <d v="2026-02-16T19:00:00"/>
    <x v="293"/>
    <x v="220"/>
    <d v="2026-02-17T03:20:00"/>
    <x v="0"/>
    <x v="0"/>
    <n v="0"/>
    <x v="7"/>
    <x v="1"/>
    <d v="2026-02-17T02:39:00"/>
    <d v="1899-12-30T17:59:00"/>
    <n v="17.983333333279006"/>
    <x v="0"/>
    <d v="1899-12-30T06:00:00"/>
    <n v="6"/>
    <s v="SI"/>
    <d v="1899-12-30T23:59:00"/>
    <n v="23.983333333279006"/>
    <d v="1899-12-30T01:39:00"/>
    <x v="1"/>
    <n v="1.6500000001396984"/>
    <d v="1899-12-31T02:19:00"/>
    <n v="26.316666666709352"/>
    <x v="0"/>
    <m/>
    <d v="1899-12-30T01:00:00"/>
    <s v="NIGHT"/>
    <s v="8/26"/>
    <s v="MRSU6256681"/>
    <s v="LOGIX"/>
    <n v="573.5"/>
    <e v="#N/A"/>
    <n v="50"/>
    <n v="0"/>
    <n v="2"/>
    <x v="3"/>
    <s v="LOGIXNIGHT"/>
    <n v="573.5"/>
    <n v="20"/>
    <m/>
    <m/>
    <n v="593.5"/>
    <n v="70"/>
    <n v="1"/>
    <m/>
  </r>
  <r>
    <s v="MAERSK GUATEMALA"/>
    <x v="0"/>
    <d v="2026-02-16T01:01:00"/>
    <d v="2026-02-15T01:00:00"/>
    <x v="3"/>
    <s v="MAEU263222018"/>
    <x v="0"/>
    <s v="Chittagong"/>
    <s v="MRSU7107403"/>
    <s v="LELYSTAD"/>
    <d v="2026-02-16T19:00:00"/>
    <x v="294"/>
    <x v="221"/>
    <d v="2026-02-17T05:35:00"/>
    <x v="0"/>
    <x v="1"/>
    <n v="0"/>
    <x v="7"/>
    <x v="1"/>
    <d v="2026-02-17T03:09:00"/>
    <d v="1899-12-30T17:59:00"/>
    <n v="17.983333333279006"/>
    <x v="0"/>
    <d v="1899-12-30T08:00:00"/>
    <n v="8.0000000000582077"/>
    <s v="SI"/>
    <d v="1899-12-31T01:59:00"/>
    <n v="25.983333333337214"/>
    <d v="1899-12-30T00:09:00"/>
    <x v="0"/>
    <n v="0.1499999999650754"/>
    <d v="1899-12-31T04:34:00"/>
    <n v="28.566666666709352"/>
    <x v="0"/>
    <m/>
    <d v="1899-12-30T03:00:00"/>
    <s v="NIGHT"/>
    <s v="8/26"/>
    <s v="MRSU7107403"/>
    <s v="MSI"/>
    <n v="553.5"/>
    <n v="120"/>
    <n v="50"/>
    <n v="0"/>
    <n v="2"/>
    <x v="3"/>
    <s v="MSINIGHT"/>
    <n v="913.5"/>
    <n v="20"/>
    <n v="240"/>
    <s v="03:00 - 09:00"/>
    <n v="933.5"/>
    <n v="70"/>
    <n v="1"/>
    <m/>
  </r>
  <r>
    <s v="MAERSK GUATEMALA"/>
    <x v="0"/>
    <d v="2026-02-16T01:01:00"/>
    <d v="2026-02-15T01:00:00"/>
    <x v="3"/>
    <s v="MAEU263222018"/>
    <x v="0"/>
    <s v="Chittagong"/>
    <s v="MSKU0723366"/>
    <s v="LELYSTAD"/>
    <d v="2026-02-16T19:00:00"/>
    <x v="295"/>
    <x v="222"/>
    <d v="2026-02-17T05:30:00"/>
    <x v="0"/>
    <x v="1"/>
    <n v="0"/>
    <x v="7"/>
    <x v="1"/>
    <d v="2026-02-17T03:44:00"/>
    <d v="1899-12-30T17:59:00"/>
    <n v="17.983333333279006"/>
    <x v="0"/>
    <d v="1899-12-30T09:00:00"/>
    <n v="9"/>
    <s v="SI"/>
    <d v="1899-12-31T02:59:00"/>
    <n v="26.983333333279006"/>
    <d v="1899-12-30T00:00:00"/>
    <x v="0"/>
    <n v="0"/>
    <d v="1899-12-31T04:29:00"/>
    <n v="28.483333333279006"/>
    <x v="0"/>
    <m/>
    <d v="1899-12-30T04:00:00"/>
    <s v="NIGHT"/>
    <s v="8/26"/>
    <s v="MSKU0723366"/>
    <s v="MSI"/>
    <n v="553.5"/>
    <n v="120"/>
    <n v="50"/>
    <n v="0"/>
    <n v="2"/>
    <x v="3"/>
    <s v="MSINIGHT"/>
    <n v="868.5"/>
    <n v="20"/>
    <n v="195"/>
    <s v="04:00 - 09:15"/>
    <n v="888.5"/>
    <n v="70"/>
    <n v="1"/>
    <m/>
  </r>
  <r>
    <s v="MAERSK GUATEMALA"/>
    <x v="0"/>
    <d v="2026-02-16T01:01:00"/>
    <d v="2026-02-15T01:00:00"/>
    <x v="2"/>
    <s v="MAEU263256662"/>
    <x v="0"/>
    <s v="Chittagong"/>
    <s v="MVIU0030171"/>
    <s v="LELYSTAD"/>
    <d v="2026-02-16T19:00:00"/>
    <x v="296"/>
    <x v="223"/>
    <d v="2026-02-17T02:45:00"/>
    <x v="0"/>
    <x v="0"/>
    <n v="0"/>
    <x v="7"/>
    <x v="1"/>
    <d v="2026-02-16T23:37:00"/>
    <d v="1899-12-30T17:59:00"/>
    <n v="17.983333333279006"/>
    <x v="0"/>
    <d v="1899-12-30T10:00:00"/>
    <n v="10.000000000116415"/>
    <s v="SI"/>
    <d v="1899-12-31T03:59:00"/>
    <n v="27.983333333395422"/>
    <d v="1899-12-30T00:00:00"/>
    <x v="0"/>
    <n v="0"/>
    <d v="1899-12-31T01:44:00"/>
    <n v="25.733333333395422"/>
    <x v="0"/>
    <m/>
    <d v="1899-12-30T05:00:00"/>
    <s v="NO"/>
    <s v="8/26"/>
    <s v="MVIU0030171"/>
    <s v="LOGIX"/>
    <n v="573.5"/>
    <e v="#N/A"/>
    <n v="50"/>
    <n v="0"/>
    <n v="2"/>
    <x v="1"/>
    <s v="LOGIXWEEK"/>
    <n v="573.5"/>
    <n v="20"/>
    <m/>
    <m/>
    <n v="593.5"/>
    <n v="70"/>
    <n v="1"/>
    <m/>
  </r>
  <r>
    <s v="MAERSK GUATEMALA"/>
    <x v="0"/>
    <d v="2026-02-16T01:01:00"/>
    <d v="2026-02-15T01:00:00"/>
    <x v="3"/>
    <s v="MAEU263222018"/>
    <x v="0"/>
    <s v="Chittagong"/>
    <s v="TRHU5139620"/>
    <s v="LELYSTAD"/>
    <d v="2026-02-16T19:00:00"/>
    <x v="297"/>
    <x v="223"/>
    <d v="2026-02-17T05:40:00"/>
    <x v="0"/>
    <x v="1"/>
    <n v="0"/>
    <x v="7"/>
    <x v="1"/>
    <d v="2026-02-17T05:20:00"/>
    <d v="1899-12-30T17:59:00"/>
    <n v="17.983333333279006"/>
    <x v="0"/>
    <d v="1899-12-30T10:00:00"/>
    <n v="10.000000000116415"/>
    <s v="SI"/>
    <d v="1899-12-31T03:59:00"/>
    <n v="27.983333333395422"/>
    <d v="1899-12-30T00:20:00"/>
    <x v="0"/>
    <n v="0.33333333319751546"/>
    <d v="1899-12-31T04:39:00"/>
    <n v="28.649999999965075"/>
    <x v="0"/>
    <m/>
    <d v="1899-12-30T05:00:00"/>
    <s v="NO"/>
    <s v="8/26"/>
    <s v="TRHU5139620"/>
    <s v="MSI"/>
    <n v="503.5"/>
    <n v="120"/>
    <n v="50"/>
    <n v="0"/>
    <n v="2"/>
    <x v="1"/>
    <s v="MSIWEEK"/>
    <n v="773.5"/>
    <n v="20"/>
    <n v="150"/>
    <s v="05:15 - 09:45"/>
    <n v="793.5"/>
    <n v="70"/>
    <n v="1"/>
    <m/>
  </r>
  <r>
    <s v="MAERSK GUATEMALA"/>
    <x v="0"/>
    <d v="2026-02-16T01:01:00"/>
    <d v="2026-02-15T01:00:00"/>
    <x v="5"/>
    <s v="MAEU263253578"/>
    <x v="0"/>
    <s v="Chittagong"/>
    <s v="MRSU3239063"/>
    <s v="SIMEI LELYSTAD"/>
    <d v="2026-02-16T19:00:00"/>
    <x v="298"/>
    <x v="224"/>
    <d v="2026-02-17T07:30:00"/>
    <x v="0"/>
    <x v="0"/>
    <n v="0"/>
    <x v="7"/>
    <x v="1"/>
    <d v="2026-02-17T07:20:00"/>
    <d v="1899-12-30T17:59:00"/>
    <n v="17.983333333279006"/>
    <x v="0"/>
    <d v="1899-12-30T11:00:00"/>
    <n v="11.000000000058208"/>
    <s v="SI"/>
    <d v="1899-12-31T04:59:00"/>
    <n v="28.983333333337214"/>
    <d v="1899-12-30T01:20:00"/>
    <x v="1"/>
    <n v="1.3333333333139308"/>
    <d v="1899-12-31T06:29:00"/>
    <n v="30.483333333337214"/>
    <x v="0"/>
    <m/>
    <d v="1899-12-30T06:00:00"/>
    <s v="NO"/>
    <s v="8/26"/>
    <s v="MRSU3239063"/>
    <s v="OTL"/>
    <n v="553.5"/>
    <e v="#N/A"/>
    <n v="60"/>
    <n v="0"/>
    <n v="2"/>
    <x v="1"/>
    <s v="OTLWEEK"/>
    <n v="553.5"/>
    <n v="20"/>
    <m/>
    <m/>
    <n v="573.5"/>
    <n v="70"/>
    <n v="1"/>
    <m/>
  </r>
  <r>
    <s v="MAERSK GUATEMALA"/>
    <x v="0"/>
    <d v="2026-02-16T01:01:00"/>
    <d v="2026-02-15T01:00:00"/>
    <x v="3"/>
    <s v="MAEU263256379"/>
    <x v="0"/>
    <s v="Chittagong"/>
    <s v="MSKU1144604"/>
    <s v="SIMEI LELYSTAD"/>
    <d v="2026-02-16T19:00:00"/>
    <x v="299"/>
    <x v="224"/>
    <d v="2026-02-17T06:35:00"/>
    <x v="0"/>
    <x v="0"/>
    <n v="0"/>
    <x v="7"/>
    <x v="1"/>
    <d v="2026-02-17T06:27:00"/>
    <d v="1899-12-30T17:59:00"/>
    <n v="17.983333333279006"/>
    <x v="0"/>
    <d v="1899-12-30T11:00:00"/>
    <n v="11.000000000058208"/>
    <s v="SI"/>
    <d v="1899-12-31T04:59:00"/>
    <n v="28.983333333337214"/>
    <d v="1899-12-30T00:27:00"/>
    <x v="0"/>
    <n v="0.45000000006984919"/>
    <d v="1899-12-31T05:34:00"/>
    <n v="29.566666666651145"/>
    <x v="0"/>
    <m/>
    <d v="1899-12-30T06:00:00"/>
    <s v="NO"/>
    <s v="8/26"/>
    <s v="MSKU1144604"/>
    <s v="MSI"/>
    <n v="503.5"/>
    <e v="#N/A"/>
    <n v="50"/>
    <n v="0"/>
    <n v="2"/>
    <x v="1"/>
    <s v="MSIWEEK"/>
    <n v="503.5"/>
    <n v="20"/>
    <m/>
    <m/>
    <n v="523.5"/>
    <n v="70"/>
    <n v="1"/>
    <m/>
  </r>
  <r>
    <s v="MAERSK GUATEMALA"/>
    <x v="0"/>
    <d v="2026-02-16T01:01:00"/>
    <d v="2026-02-15T01:00:00"/>
    <x v="4"/>
    <s v="MAEU263256379"/>
    <x v="0"/>
    <s v="Chittagong"/>
    <s v="MSKU6726510"/>
    <s v="LELYSTAD"/>
    <d v="2026-02-16T19:00:00"/>
    <x v="300"/>
    <x v="224"/>
    <d v="2026-02-17T07:20:00"/>
    <x v="0"/>
    <x v="0"/>
    <n v="0"/>
    <x v="7"/>
    <x v="1"/>
    <d v="2026-02-17T06:18:00"/>
    <d v="1899-12-30T17:59:00"/>
    <n v="17.983333333279006"/>
    <x v="0"/>
    <d v="1899-12-30T11:00:00"/>
    <n v="11.000000000058208"/>
    <s v="SI"/>
    <d v="1899-12-31T04:59:00"/>
    <n v="28.983333333337214"/>
    <d v="1899-12-30T00:18:00"/>
    <x v="0"/>
    <n v="0.29999999993015081"/>
    <d v="1899-12-31T06:19:00"/>
    <n v="30.316666666651145"/>
    <x v="0"/>
    <m/>
    <d v="1899-12-30T06:00:00"/>
    <s v="NO"/>
    <s v="8/26"/>
    <s v="MSKU6726510"/>
    <s v="OM TRANSPORT"/>
    <n v="498.5"/>
    <e v="#N/A"/>
    <n v="50"/>
    <n v="0"/>
    <n v="2"/>
    <x v="1"/>
    <s v="OM TRANSPORTWEEK"/>
    <n v="498.5"/>
    <n v="20"/>
    <m/>
    <m/>
    <n v="518.5"/>
    <n v="70"/>
    <n v="1"/>
    <m/>
  </r>
  <r>
    <s v="MAERSK GUATEMALA"/>
    <x v="0"/>
    <d v="2026-02-16T01:01:00"/>
    <d v="2026-02-15T01:00:00"/>
    <x v="4"/>
    <s v="MAEU263222113"/>
    <x v="0"/>
    <s v="Chittagong"/>
    <s v="TCKU7017161"/>
    <s v="LELYSTAD"/>
    <d v="2026-02-16T19:00:00"/>
    <x v="301"/>
    <x v="225"/>
    <d v="2026-02-17T07:30:00"/>
    <x v="0"/>
    <x v="1"/>
    <n v="0"/>
    <x v="7"/>
    <x v="1"/>
    <d v="2026-02-17T06:25:00"/>
    <d v="1899-12-30T17:59:00"/>
    <n v="17.983333333279006"/>
    <x v="0"/>
    <d v="1899-12-30T12:00:00"/>
    <n v="12"/>
    <s v="SI"/>
    <d v="1899-12-31T05:59:00"/>
    <n v="29.983333333279006"/>
    <d v="1899-12-30T00:00:00"/>
    <x v="0"/>
    <n v="0"/>
    <d v="1899-12-31T06:29:00"/>
    <n v="30.483333333337214"/>
    <x v="0"/>
    <m/>
    <d v="1899-12-30T07:00:00"/>
    <s v="NO"/>
    <s v="8/26"/>
    <s v="TCKU7017161"/>
    <s v="OM TRANSPORT"/>
    <n v="498.5"/>
    <n v="110"/>
    <n v="50"/>
    <n v="0"/>
    <n v="2"/>
    <x v="1"/>
    <s v="OM TRANSPORTWEEK"/>
    <n v="608.5"/>
    <n v="20"/>
    <m/>
    <m/>
    <n v="628.5"/>
    <n v="70"/>
    <n v="1"/>
    <m/>
  </r>
  <r>
    <s v="MAERSK GUATEMALA"/>
    <x v="0"/>
    <d v="2026-02-16T01:01:00"/>
    <d v="2026-02-15T01:00:00"/>
    <x v="2"/>
    <s v="MAEU263256662"/>
    <x v="0"/>
    <s v="Chittagong"/>
    <s v="TCNU2813242"/>
    <s v="SIMEI LELYSTAD"/>
    <d v="2026-02-16T19:00:00"/>
    <x v="302"/>
    <x v="226"/>
    <d v="2026-02-17T08:05:00"/>
    <x v="0"/>
    <x v="0"/>
    <n v="1"/>
    <x v="7"/>
    <x v="1"/>
    <d v="2026-02-17T07:52:00"/>
    <d v="1899-12-30T17:59:00"/>
    <n v="17.983333333279006"/>
    <x v="0"/>
    <d v="1899-12-30T13:00:00"/>
    <n v="13.000000000116415"/>
    <s v="SI"/>
    <d v="1899-12-31T06:59:00"/>
    <n v="30.983333333395422"/>
    <d v="1899-12-30T00:00:00"/>
    <x v="0"/>
    <n v="0"/>
    <d v="1899-12-31T07:04:00"/>
    <n v="31.066666666651145"/>
    <x v="0"/>
    <m/>
    <d v="1899-12-30T08:00:00"/>
    <s v="NO"/>
    <s v="8/26"/>
    <s v="TCNU2813242"/>
    <s v="LOGIX"/>
    <n v="573.5"/>
    <e v="#N/A"/>
    <n v="50"/>
    <n v="50"/>
    <n v="2"/>
    <x v="1"/>
    <s v="LOGIXWEEK"/>
    <n v="623.5"/>
    <n v="20"/>
    <m/>
    <m/>
    <n v="643.5"/>
    <n v="70"/>
    <n v="1"/>
    <m/>
  </r>
  <r>
    <s v="MAERSK GUATEMALA"/>
    <x v="0"/>
    <d v="2026-02-16T01:01:00"/>
    <d v="2026-02-15T01:00:00"/>
    <x v="2"/>
    <s v="MAEU263256662"/>
    <x v="0"/>
    <s v="Chittagong"/>
    <s v="TCNU7575152"/>
    <s v="LELYSTAD"/>
    <d v="2026-02-16T19:00:00"/>
    <x v="303"/>
    <x v="226"/>
    <d v="2026-02-17T06:35:00"/>
    <x v="0"/>
    <x v="0"/>
    <n v="0"/>
    <x v="7"/>
    <x v="1"/>
    <d v="2026-02-17T05:32:00"/>
    <d v="1899-12-30T17:59:00"/>
    <n v="17.983333333279006"/>
    <x v="0"/>
    <d v="1899-12-30T13:00:00"/>
    <n v="13.000000000116415"/>
    <s v="SI"/>
    <d v="1899-12-31T06:59:00"/>
    <n v="30.983333333395422"/>
    <d v="1899-12-30T00:00:00"/>
    <x v="0"/>
    <n v="0"/>
    <d v="1899-12-31T05:34:00"/>
    <n v="29.566666666651145"/>
    <x v="0"/>
    <m/>
    <d v="1899-12-30T08:00:00"/>
    <s v="NO"/>
    <s v="8/26"/>
    <s v="TCNU7575152"/>
    <s v="LOGIX"/>
    <n v="573.5"/>
    <e v="#N/A"/>
    <n v="50"/>
    <n v="0"/>
    <n v="2"/>
    <x v="1"/>
    <s v="LOGIXWEEK"/>
    <n v="573.5"/>
    <n v="20"/>
    <m/>
    <m/>
    <n v="593.5"/>
    <n v="70"/>
    <n v="1"/>
    <m/>
  </r>
  <r>
    <s v="MAERSK GUATEMALA"/>
    <x v="0"/>
    <d v="2026-02-16T01:01:00"/>
    <d v="2026-02-15T01:00:00"/>
    <x v="3"/>
    <s v="MAEU263256379"/>
    <x v="0"/>
    <s v="Chittagong"/>
    <s v="BSIU9110053"/>
    <s v="SIMEI LELYSTAD"/>
    <d v="2026-02-16T19:00:00"/>
    <x v="304"/>
    <x v="227"/>
    <d v="2026-02-17T09:45:00"/>
    <x v="0"/>
    <x v="0"/>
    <n v="1"/>
    <x v="7"/>
    <x v="1"/>
    <d v="2026-02-17T09:33:00"/>
    <d v="1899-12-30T17:59:00"/>
    <n v="17.983333333279006"/>
    <x v="0"/>
    <d v="1899-12-30T15:00:00"/>
    <n v="15"/>
    <s v="SI"/>
    <d v="1899-12-31T08:59:00"/>
    <n v="32.983333333279006"/>
    <d v="1899-12-30T00:00:00"/>
    <x v="0"/>
    <n v="0"/>
    <d v="1899-12-31T08:44:00"/>
    <n v="32.733333333337214"/>
    <x v="0"/>
    <m/>
    <d v="1899-12-30T10:00:00"/>
    <s v="NO"/>
    <s v="8/26"/>
    <s v="BSIU9110053"/>
    <s v="MSI"/>
    <n v="503.5"/>
    <e v="#N/A"/>
    <n v="50"/>
    <n v="50"/>
    <n v="2"/>
    <x v="1"/>
    <s v="MSIWEEK"/>
    <n v="553.5"/>
    <n v="20"/>
    <m/>
    <m/>
    <n v="573.5"/>
    <n v="70"/>
    <n v="1"/>
    <m/>
  </r>
  <r>
    <s v="MAERSK GUATEMALA"/>
    <x v="0"/>
    <d v="2026-02-16T01:01:00"/>
    <d v="2026-02-15T01:00:00"/>
    <x v="3"/>
    <s v="MAEU263256662"/>
    <x v="0"/>
    <s v="Chittagong"/>
    <s v="TCNU6574969"/>
    <s v="SIMEI LELYSTAD"/>
    <d v="2026-02-16T19:00:00"/>
    <x v="305"/>
    <x v="228"/>
    <d v="2026-02-17T10:25:00"/>
    <x v="0"/>
    <x v="0"/>
    <n v="1"/>
    <x v="7"/>
    <x v="1"/>
    <d v="2026-02-17T10:25:00"/>
    <d v="1899-12-30T17:59:00"/>
    <n v="17.983333333279006"/>
    <x v="0"/>
    <d v="1899-12-30T16:00:00"/>
    <n v="16.000000000116415"/>
    <s v="SI"/>
    <d v="1899-12-31T09:59:00"/>
    <n v="33.983333333395422"/>
    <d v="1899-12-30T00:00:00"/>
    <x v="0"/>
    <n v="0"/>
    <d v="1899-12-31T09:24:00"/>
    <n v="33.400000000081491"/>
    <x v="0"/>
    <m/>
    <d v="1899-12-30T11:00:00"/>
    <s v="NO"/>
    <s v="8/26"/>
    <s v="TCNU6574969"/>
    <s v="MSI"/>
    <n v="503.5"/>
    <e v="#N/A"/>
    <n v="50"/>
    <n v="50"/>
    <n v="2"/>
    <x v="1"/>
    <s v="MSIWEEK"/>
    <n v="553.5"/>
    <n v="20"/>
    <m/>
    <m/>
    <n v="573.5"/>
    <n v="70"/>
    <n v="1"/>
    <m/>
  </r>
  <r>
    <s v="MAERSK GUATEMALA"/>
    <x v="0"/>
    <d v="2026-02-16T01:01:00"/>
    <d v="2026-02-15T01:00:00"/>
    <x v="3"/>
    <s v="MAEU263253578"/>
    <x v="0"/>
    <s v="Chittagong"/>
    <s v="TRHU7442071"/>
    <s v="LELYSTAD"/>
    <d v="2026-02-16T19:00:00"/>
    <x v="306"/>
    <x v="229"/>
    <d v="2026-02-17T12:45:00"/>
    <x v="0"/>
    <x v="0"/>
    <n v="0"/>
    <x v="7"/>
    <x v="1"/>
    <d v="2026-02-17T12:17:00"/>
    <d v="1899-12-30T17:59:00"/>
    <n v="17.983333333279006"/>
    <x v="0"/>
    <d v="1899-12-30T18:00:00"/>
    <n v="18"/>
    <s v="SI"/>
    <d v="1899-12-31T11:59:00"/>
    <n v="35.983333333279006"/>
    <d v="1899-12-30T00:00:00"/>
    <x v="0"/>
    <n v="0"/>
    <d v="1899-12-31T11:44:00"/>
    <n v="35.733333333337214"/>
    <x v="0"/>
    <m/>
    <d v="1899-12-30T13:00:00"/>
    <s v="NO"/>
    <s v="8/26"/>
    <s v="TRHU7442071"/>
    <s v="MSI"/>
    <n v="503.5"/>
    <e v="#N/A"/>
    <n v="50"/>
    <n v="0"/>
    <n v="2"/>
    <x v="1"/>
    <s v="MSIWEEK"/>
    <n v="593.5"/>
    <n v="20"/>
    <n v="90"/>
    <s v="13:00 - 16:30"/>
    <n v="613.5"/>
    <n v="70"/>
    <n v="1"/>
    <m/>
  </r>
  <r>
    <s v="MAERSK GUATEMALA"/>
    <x v="0"/>
    <d v="2026-02-16T01:01:00"/>
    <d v="2026-02-15T01:00:00"/>
    <x v="2"/>
    <s v="MAEU263253578"/>
    <x v="0"/>
    <s v="Chittagong"/>
    <s v="TRHU4956987"/>
    <s v="SIMEI LELYSTAD"/>
    <d v="2026-02-16T19:00:00"/>
    <x v="307"/>
    <x v="230"/>
    <d v="2026-02-17T13:30:00"/>
    <x v="0"/>
    <x v="0"/>
    <n v="0"/>
    <x v="7"/>
    <x v="1"/>
    <d v="2026-02-17T13:20:00"/>
    <d v="1899-12-30T17:59:00"/>
    <n v="17.983333333279006"/>
    <x v="0"/>
    <d v="1899-12-30T19:00:00"/>
    <n v="19.000000000116415"/>
    <s v="SI"/>
    <d v="1899-12-31T12:59:00"/>
    <n v="36.983333333395422"/>
    <d v="1899-12-30T00:00:00"/>
    <x v="0"/>
    <n v="0"/>
    <d v="1899-12-31T12:29:00"/>
    <n v="36.483333333337214"/>
    <x v="0"/>
    <m/>
    <d v="1899-12-30T14:00:00"/>
    <s v="NO"/>
    <s v="8/26"/>
    <s v="TRHU4956987"/>
    <s v="LOGIX"/>
    <n v="573.5"/>
    <e v="#N/A"/>
    <n v="50"/>
    <n v="0"/>
    <n v="2"/>
    <x v="1"/>
    <s v="LOGIXWEEK"/>
    <n v="573.5"/>
    <n v="20"/>
    <m/>
    <m/>
    <n v="593.5"/>
    <n v="70"/>
    <n v="1"/>
    <m/>
  </r>
  <r>
    <s v="MAERSK GUATEMALA"/>
    <x v="0"/>
    <d v="2026-02-16T01:01:00"/>
    <d v="2026-02-15T01:00:00"/>
    <x v="4"/>
    <s v="MAEU263256379"/>
    <x v="0"/>
    <s v="Chittagong"/>
    <s v="MSKU9773408"/>
    <s v="SIMEI LELYSTAD"/>
    <d v="2026-02-16T19:00:00"/>
    <x v="308"/>
    <x v="231"/>
    <d v="2026-02-17T14:50:00"/>
    <x v="0"/>
    <x v="0"/>
    <n v="0"/>
    <x v="7"/>
    <x v="1"/>
    <d v="2026-02-17T14:40:00"/>
    <d v="1899-12-30T17:59:00"/>
    <n v="17.983333333279006"/>
    <x v="0"/>
    <d v="1899-12-30T21:00:00"/>
    <n v="21"/>
    <s v="SI"/>
    <d v="1899-12-31T14:59:00"/>
    <n v="38.983333333279006"/>
    <d v="1899-12-30T00:00:00"/>
    <x v="0"/>
    <n v="0"/>
    <d v="1899-12-31T13:49:00"/>
    <n v="37.816666666651145"/>
    <x v="0"/>
    <m/>
    <d v="1899-12-30T16:00:00"/>
    <s v="NO"/>
    <s v="8/26"/>
    <s v="MSKU9773408"/>
    <s v="OM TRANSPORT"/>
    <n v="498.5"/>
    <e v="#N/A"/>
    <n v="50"/>
    <n v="0"/>
    <n v="2"/>
    <x v="1"/>
    <s v="OM TRANSPORTWEEK"/>
    <n v="498.5"/>
    <n v="20"/>
    <m/>
    <m/>
    <n v="518.5"/>
    <n v="70"/>
    <n v="1"/>
    <m/>
  </r>
  <r>
    <s v="MAERSK GUATEMALA"/>
    <x v="0"/>
    <d v="2026-02-16T01:01:00"/>
    <d v="2026-02-15T01:00:00"/>
    <x v="4"/>
    <s v="MAEU263256379"/>
    <x v="0"/>
    <s v="Chittagong"/>
    <s v="TTNU1148768"/>
    <s v="LELYSTAD"/>
    <d v="2026-02-16T19:00:00"/>
    <x v="309"/>
    <x v="232"/>
    <d v="2026-02-17T17:51:00"/>
    <x v="0"/>
    <x v="0"/>
    <n v="0"/>
    <x v="7"/>
    <x v="1"/>
    <d v="2026-02-17T17:51:00"/>
    <d v="1899-12-30T17:59:00"/>
    <n v="17.983333333279006"/>
    <x v="0"/>
    <d v="1899-12-30T23:00:00"/>
    <n v="23.000000000058208"/>
    <s v="SI"/>
    <d v="1899-12-31T16:59:00"/>
    <n v="40.983333333337214"/>
    <d v="1899-12-30T00:00:00"/>
    <x v="0"/>
    <n v="0"/>
    <d v="1899-12-31T16:50:00"/>
    <n v="40.833333333372138"/>
    <x v="0"/>
    <m/>
    <d v="1899-12-30T18:00:00"/>
    <s v="NO"/>
    <s v="8/26"/>
    <s v="TTNU1148768"/>
    <s v="OM TRANSPORT"/>
    <n v="498.5"/>
    <e v="#N/A"/>
    <n v="50"/>
    <n v="0"/>
    <n v="2"/>
    <x v="1"/>
    <s v="OM TRANSPORTWEEK"/>
    <n v="498.5"/>
    <n v="20"/>
    <m/>
    <m/>
    <n v="518.5"/>
    <n v="70"/>
    <n v="1"/>
    <m/>
  </r>
  <r>
    <s v="MAERSK GUATEMALA"/>
    <x v="0"/>
    <d v="2026-02-16T01:01:00"/>
    <d v="2026-02-15T01:00:00"/>
    <x v="5"/>
    <s v="MAEU263256379"/>
    <x v="0"/>
    <s v="Chittagong"/>
    <s v="HASU4093081"/>
    <s v="LELYSTAD"/>
    <d v="2026-02-16T19:00:00"/>
    <x v="310"/>
    <x v="233"/>
    <d v="2026-02-17T19:34:00"/>
    <x v="0"/>
    <x v="0"/>
    <n v="0"/>
    <x v="7"/>
    <x v="1"/>
    <d v="2026-02-17T19:07:00"/>
    <d v="1899-12-30T17:59:00"/>
    <n v="17.983333333279006"/>
    <x v="0"/>
    <d v="1899-12-31T00:00:00"/>
    <n v="24"/>
    <s v="SI"/>
    <d v="1899-12-31T17:59:00"/>
    <n v="41.983333333279006"/>
    <d v="1899-12-30T00:07:00"/>
    <x v="0"/>
    <n v="0.11666666669771075"/>
    <d v="1899-12-31T18:33:00"/>
    <n v="42.550000000046566"/>
    <x v="0"/>
    <m/>
    <d v="1899-12-30T19:00:00"/>
    <s v="NO"/>
    <s v="8/26"/>
    <s v="HASU4093081"/>
    <s v="OTL"/>
    <n v="553.5"/>
    <e v="#N/A"/>
    <n v="60"/>
    <n v="0"/>
    <n v="2"/>
    <x v="1"/>
    <s v="OTLWEEK"/>
    <n v="553.5"/>
    <n v="20"/>
    <m/>
    <m/>
    <n v="573.5"/>
    <n v="70"/>
    <n v="1"/>
    <m/>
  </r>
  <r>
    <s v="MANCHESTER MAERSK"/>
    <x v="1"/>
    <d v="2026-02-17T03:48:00"/>
    <d v="2026-02-17T04:00:00"/>
    <x v="3"/>
    <s v="MAEU262905504"/>
    <x v="0"/>
    <s v="Sihanoukville"/>
    <s v="BSIU8587334"/>
    <s v="SIMEI LELYSTAD"/>
    <d v="2026-02-18T18:00:00"/>
    <x v="311"/>
    <x v="234"/>
    <d v="2026-02-19T06:15:00"/>
    <x v="0"/>
    <x v="0"/>
    <n v="0"/>
    <x v="7"/>
    <x v="1"/>
    <d v="2026-02-19T05:46:00"/>
    <d v="1899-12-31T14:12:00"/>
    <n v="38.200000000011642"/>
    <x v="0"/>
    <d v="1899-12-30T12:00:00"/>
    <n v="12"/>
    <s v="SI"/>
    <d v="1900-01-01T02:12:00"/>
    <n v="50.200000000011642"/>
    <d v="1899-12-30T00:00:00"/>
    <x v="0"/>
    <n v="0"/>
    <d v="1900-01-01T02:27:00"/>
    <n v="50.449999999953434"/>
    <x v="1"/>
    <m/>
    <d v="1899-12-30T06:00:00"/>
    <s v="NO"/>
    <s v="8/26"/>
    <s v="BSIU8587334"/>
    <s v="MSI"/>
    <n v="480"/>
    <e v="#N/A"/>
    <n v="50"/>
    <n v="0"/>
    <n v="4"/>
    <x v="1"/>
    <s v="MSIWEEK"/>
    <n v="480"/>
    <n v="20"/>
    <m/>
    <m/>
    <n v="500"/>
    <n v="70"/>
    <n v="1"/>
    <m/>
  </r>
  <r>
    <s v="MANCHESTER MAERSK"/>
    <x v="1"/>
    <d v="2026-02-17T03:48:00"/>
    <d v="2026-02-17T04:00:00"/>
    <x v="4"/>
    <s v="MAEU262905504"/>
    <x v="0"/>
    <s v="Sihanoukville"/>
    <s v="CAAU7060865"/>
    <s v="SIMEI LELYSTAD"/>
    <d v="2026-02-18T18:00:00"/>
    <x v="312"/>
    <x v="235"/>
    <d v="2026-02-18T14:10:00"/>
    <x v="0"/>
    <x v="0"/>
    <n v="1"/>
    <x v="7"/>
    <x v="1"/>
    <d v="2026-02-18T14:10:00"/>
    <d v="1899-12-31T14:12:00"/>
    <n v="38.200000000011642"/>
    <x v="0"/>
    <d v="1899-12-30T02:00:00"/>
    <n v="2.0000000000582077"/>
    <s v="SI"/>
    <d v="1899-12-31T16:12:00"/>
    <n v="40.200000000069849"/>
    <d v="1899-12-30T00:00:00"/>
    <x v="0"/>
    <n v="0"/>
    <d v="1899-12-31T10:22:00"/>
    <n v="34.366666666755918"/>
    <x v="0"/>
    <m/>
    <d v="1899-12-30T20:00:00"/>
    <s v="NIGHT"/>
    <s v="8/26"/>
    <s v="CAAU7060865"/>
    <s v="OM TRANSPORT"/>
    <n v="475"/>
    <e v="#N/A"/>
    <n v="50"/>
    <n v="50"/>
    <n v="3"/>
    <x v="3"/>
    <s v="OM TRANSPORTNIGHT"/>
    <n v="525"/>
    <n v="20"/>
    <m/>
    <m/>
    <n v="545"/>
    <n v="70"/>
    <n v="1"/>
    <m/>
  </r>
  <r>
    <s v="MANCHESTER MAERSK"/>
    <x v="1"/>
    <d v="2026-02-17T03:48:00"/>
    <d v="2026-02-17T04:00:00"/>
    <x v="4"/>
    <s v="MAEU263252963"/>
    <x v="0"/>
    <s v="Qingdao"/>
    <s v="HASU1516913"/>
    <s v="LELYSTAD"/>
    <d v="2026-02-18T18:00:00"/>
    <x v="313"/>
    <x v="236"/>
    <d v="2026-02-18T13:50:00"/>
    <x v="0"/>
    <x v="0"/>
    <n v="0"/>
    <x v="7"/>
    <x v="1"/>
    <d v="2026-02-18T13:07:00"/>
    <d v="1899-12-31T14:12:00"/>
    <n v="38.200000000011642"/>
    <x v="0"/>
    <d v="1899-12-30T00:00:00"/>
    <n v="0"/>
    <s v="SI"/>
    <d v="1899-12-31T14:12:00"/>
    <n v="38.200000000011642"/>
    <d v="1899-12-30T00:00:00"/>
    <x v="0"/>
    <n v="0"/>
    <d v="1899-12-31T10:02:00"/>
    <n v="34.03333333338378"/>
    <x v="0"/>
    <m/>
    <d v="1899-12-30T18:00:00"/>
    <s v="NO"/>
    <s v="8/26"/>
    <s v="HASU1516913"/>
    <s v="OM TRANSPORT"/>
    <n v="475"/>
    <e v="#N/A"/>
    <n v="50"/>
    <n v="0"/>
    <n v="3"/>
    <x v="1"/>
    <s v="OM TRANSPORTWEEK"/>
    <n v="475"/>
    <n v="20"/>
    <m/>
    <m/>
    <n v="495"/>
    <n v="70"/>
    <n v="1"/>
    <m/>
  </r>
  <r>
    <s v="MANCHESTER MAERSK"/>
    <x v="1"/>
    <d v="2026-02-17T03:48:00"/>
    <d v="2026-02-17T04:00:00"/>
    <x v="3"/>
    <s v="MAEU262057704"/>
    <x v="0"/>
    <s v="Shanghai"/>
    <s v="MAEU9162648"/>
    <s v="SIMEI LELYSTAD"/>
    <d v="2026-02-18T18:00:00"/>
    <x v="314"/>
    <x v="236"/>
    <d v="2026-02-18T19:50:00"/>
    <x v="0"/>
    <x v="0"/>
    <n v="1"/>
    <x v="7"/>
    <x v="1"/>
    <d v="2026-02-18T19:40:00"/>
    <d v="1899-12-31T14:12:00"/>
    <n v="38.200000000011642"/>
    <x v="0"/>
    <d v="1899-12-30T00:00:00"/>
    <n v="0"/>
    <s v="SI"/>
    <d v="1899-12-31T14:12:00"/>
    <n v="38.200000000011642"/>
    <d v="1899-12-30T01:40:00"/>
    <x v="1"/>
    <n v="1.6666666666860692"/>
    <d v="1899-12-31T16:02:00"/>
    <n v="40.03333333338378"/>
    <x v="0"/>
    <m/>
    <d v="1899-12-30T18:00:00"/>
    <s v="NO"/>
    <s v="8/26"/>
    <s v="MAEU9162648"/>
    <s v="MSI"/>
    <n v="480"/>
    <e v="#N/A"/>
    <n v="50"/>
    <n v="50"/>
    <n v="3"/>
    <x v="1"/>
    <s v="MSIWEEK"/>
    <n v="530"/>
    <n v="20"/>
    <m/>
    <m/>
    <n v="550"/>
    <n v="70"/>
    <n v="1"/>
    <m/>
  </r>
  <r>
    <s v="MANCHESTER MAERSK"/>
    <x v="1"/>
    <d v="2026-02-17T03:48:00"/>
    <d v="2026-02-17T04:00:00"/>
    <x v="5"/>
    <s v="MAEU262057706"/>
    <x v="0"/>
    <s v="Shanghai"/>
    <s v="MAEU9227163"/>
    <s v="XPO TALLER LELYSTAD"/>
    <d v="2026-02-18T18:00:00"/>
    <x v="315"/>
    <x v="236"/>
    <d v="2026-02-18T17:30:00"/>
    <x v="0"/>
    <x v="0"/>
    <n v="0"/>
    <x v="7"/>
    <x v="1"/>
    <d v="2026-02-18T17:30:00"/>
    <d v="1899-12-31T14:12:00"/>
    <n v="38.200000000011642"/>
    <x v="0"/>
    <d v="1899-12-30T00:00:00"/>
    <n v="0"/>
    <s v="SI"/>
    <d v="1899-12-31T14:12:00"/>
    <n v="38.200000000011642"/>
    <d v="1899-12-30T00:00:00"/>
    <x v="0"/>
    <n v="0"/>
    <d v="1899-12-31T13:42:00"/>
    <n v="37.699999999953434"/>
    <x v="0"/>
    <m/>
    <d v="1899-12-30T18:00:00"/>
    <s v="NO"/>
    <s v="8/26"/>
    <s v="MAEU9227163"/>
    <s v="OTL"/>
    <n v="530"/>
    <e v="#N/A"/>
    <n v="60"/>
    <n v="0"/>
    <n v="3"/>
    <x v="1"/>
    <s v="OTLWEEK"/>
    <n v="530"/>
    <n v="20"/>
    <m/>
    <m/>
    <n v="550"/>
    <n v="70"/>
    <n v="1"/>
    <m/>
  </r>
  <r>
    <s v="MANCHESTER MAERSK"/>
    <x v="1"/>
    <d v="2026-02-17T03:48:00"/>
    <d v="2026-02-17T04:00:00"/>
    <x v="2"/>
    <s v="MAEU263532844"/>
    <x v="0"/>
    <s v="Xiamen"/>
    <s v="MRKU0998870"/>
    <s v="LELYSTAD"/>
    <d v="2026-02-18T18:00:00"/>
    <x v="316"/>
    <x v="237"/>
    <d v="2026-02-19T12:56:00"/>
    <x v="0"/>
    <x v="0"/>
    <n v="0"/>
    <x v="7"/>
    <x v="1"/>
    <d v="2026-02-19T11:43:00"/>
    <d v="1899-12-31T14:12:00"/>
    <n v="38.200000000011642"/>
    <x v="0"/>
    <d v="1899-12-30T18:00:00"/>
    <n v="18"/>
    <s v="SI"/>
    <d v="1900-01-01T08:12:00"/>
    <n v="56.200000000011642"/>
    <d v="1899-12-30T00:00:00"/>
    <x v="0"/>
    <n v="0"/>
    <d v="1900-01-01T09:08:00"/>
    <n v="57.133333333418705"/>
    <x v="1"/>
    <m/>
    <d v="1899-12-30T12:00:00"/>
    <s v="NO"/>
    <s v="8/26"/>
    <s v="MRKU0998870"/>
    <s v="LOGIX"/>
    <n v="550"/>
    <e v="#N/A"/>
    <n v="50"/>
    <n v="0"/>
    <n v="4"/>
    <x v="1"/>
    <s v="LOGIXWEEK"/>
    <n v="550"/>
    <n v="20"/>
    <m/>
    <m/>
    <n v="570"/>
    <n v="70"/>
    <n v="1"/>
    <m/>
  </r>
  <r>
    <s v="MANCHESTER MAERSK"/>
    <x v="1"/>
    <d v="2026-02-17T03:48:00"/>
    <d v="2026-02-17T04:00:00"/>
    <x v="3"/>
    <s v="MAEU262905504"/>
    <x v="0"/>
    <s v="Sihanoukville"/>
    <s v="MRKU3087728"/>
    <s v="SIMEI LELYSTAD"/>
    <d v="2026-02-18T18:00:00"/>
    <x v="317"/>
    <x v="238"/>
    <d v="2026-02-19T08:45:00"/>
    <x v="0"/>
    <x v="0"/>
    <n v="2"/>
    <x v="7"/>
    <x v="1"/>
    <d v="2026-02-18T20:45:00"/>
    <d v="1899-12-31T14:12:00"/>
    <n v="38.200000000011642"/>
    <x v="0"/>
    <d v="1899-12-30T01:00:00"/>
    <n v="0.99999999994179234"/>
    <s v="SI"/>
    <d v="1899-12-31T15:12:00"/>
    <n v="39.199999999953434"/>
    <d v="1899-12-30T01:45:00"/>
    <x v="1"/>
    <n v="1.7500000001164153"/>
    <d v="1900-01-01T04:57:00"/>
    <n v="52.950000000069849"/>
    <x v="1"/>
    <m/>
    <d v="1899-12-30T19:00:00"/>
    <s v="NO"/>
    <s v="8/26"/>
    <s v="MRKU3087728"/>
    <s v="MSI"/>
    <n v="480"/>
    <e v="#N/A"/>
    <n v="50"/>
    <n v="100"/>
    <n v="3"/>
    <x v="1"/>
    <s v="MSIWEEK"/>
    <n v="580"/>
    <n v="20"/>
    <m/>
    <m/>
    <n v="600"/>
    <n v="70"/>
    <n v="1"/>
    <m/>
  </r>
  <r>
    <s v="MANCHESTER MAERSK"/>
    <x v="1"/>
    <d v="2026-02-17T03:48:00"/>
    <d v="2026-02-17T04:00:00"/>
    <x v="4"/>
    <s v="MAEU263252963"/>
    <x v="0"/>
    <s v="Qingdao"/>
    <s v="MRSU3476229"/>
    <s v="LELYSTAD"/>
    <d v="2026-02-18T18:00:00"/>
    <x v="318"/>
    <x v="239"/>
    <d v="2026-02-18T20:10:00"/>
    <x v="0"/>
    <x v="0"/>
    <n v="0"/>
    <x v="7"/>
    <x v="1"/>
    <d v="2026-02-18T20:10:00"/>
    <d v="1899-12-31T14:12:00"/>
    <n v="38.200000000011642"/>
    <x v="0"/>
    <d v="1899-12-30T05:00:00"/>
    <n v="5.0000000000582077"/>
    <s v="SI"/>
    <d v="1899-12-31T19:12:00"/>
    <n v="43.200000000069849"/>
    <d v="1899-12-30T00:00:00"/>
    <x v="0"/>
    <n v="0"/>
    <d v="1899-12-31T16:22:00"/>
    <n v="40.366666666755918"/>
    <x v="0"/>
    <m/>
    <d v="1899-12-30T23:00:00"/>
    <s v="NIGHT"/>
    <s v="8/26"/>
    <s v="MRSU3476229"/>
    <s v="OM TRANSPORT"/>
    <n v="475"/>
    <e v="#N/A"/>
    <n v="50"/>
    <n v="0"/>
    <n v="3"/>
    <x v="3"/>
    <s v="OM TRANSPORTNIGHT"/>
    <n v="475"/>
    <n v="20"/>
    <m/>
    <m/>
    <n v="495"/>
    <n v="70"/>
    <n v="1"/>
    <m/>
  </r>
  <r>
    <s v="MANCHESTER MAERSK"/>
    <x v="1"/>
    <d v="2026-02-17T03:48:00"/>
    <d v="2026-02-17T04:00:00"/>
    <x v="4"/>
    <s v="MAEU263252963"/>
    <x v="0"/>
    <s v="Qingdao"/>
    <s v="MRSU8932126"/>
    <s v="LELYSTAD"/>
    <d v="2026-02-18T15:00:00"/>
    <x v="319"/>
    <x v="240"/>
    <d v="2026-02-18T16:00:00"/>
    <x v="0"/>
    <x v="0"/>
    <n v="0"/>
    <x v="7"/>
    <x v="1"/>
    <d v="2026-02-18T15:00:00"/>
    <d v="1899-12-31T11:12:00"/>
    <n v="35.200000000011642"/>
    <x v="0"/>
    <d v="1899-12-30T00:00:00"/>
    <n v="0"/>
    <s v="SI"/>
    <d v="1899-12-31T11:12:00"/>
    <n v="35.200000000011642"/>
    <d v="1899-12-30T00:00:00"/>
    <x v="0"/>
    <n v="0"/>
    <d v="1899-12-31T12:12:00"/>
    <n v="36.199999999953434"/>
    <x v="0"/>
    <m/>
    <d v="1899-12-30T15:00:00"/>
    <s v="NO"/>
    <s v="8/26"/>
    <s v="MRSU8932126"/>
    <s v="OM TRANSPORT"/>
    <n v="475"/>
    <e v="#N/A"/>
    <n v="50"/>
    <n v="0"/>
    <n v="3"/>
    <x v="1"/>
    <s v="OM TRANSPORTWEEK"/>
    <n v="475"/>
    <n v="20"/>
    <m/>
    <m/>
    <n v="495"/>
    <n v="70"/>
    <n v="1"/>
    <m/>
  </r>
  <r>
    <s v="MANCHESTER MAERSK"/>
    <x v="1"/>
    <d v="2026-02-17T03:48:00"/>
    <d v="2026-02-17T04:00:00"/>
    <x v="2"/>
    <s v="MAEU262905504"/>
    <x v="0"/>
    <s v="Sihanoukville"/>
    <s v="MSKU1026920"/>
    <s v="SIMEI LELYSTAD"/>
    <d v="2026-02-18T12:00:00"/>
    <x v="320"/>
    <x v="241"/>
    <d v="2026-02-18T12:40:00"/>
    <x v="0"/>
    <x v="0"/>
    <n v="2"/>
    <x v="7"/>
    <x v="1"/>
    <d v="2026-02-18T12:00:00"/>
    <d v="1899-12-31T08:12:00"/>
    <n v="32.200000000011642"/>
    <x v="0"/>
    <d v="1899-12-30T00:00:00"/>
    <n v="0"/>
    <s v="SI"/>
    <d v="1899-12-31T08:12:00"/>
    <n v="32.200000000011642"/>
    <d v="1899-12-30T00:00:00"/>
    <x v="0"/>
    <n v="0"/>
    <d v="1899-12-31T08:52:00"/>
    <n v="32.866666666755918"/>
    <x v="0"/>
    <m/>
    <d v="1899-12-30T12:00:00"/>
    <s v="NO"/>
    <s v="8/26"/>
    <s v="MSKU1026920"/>
    <s v="LOGIX"/>
    <n v="550"/>
    <e v="#N/A"/>
    <n v="50"/>
    <n v="100"/>
    <n v="3"/>
    <x v="1"/>
    <s v="LOGIXWEEK"/>
    <n v="650"/>
    <n v="20"/>
    <m/>
    <m/>
    <n v="670"/>
    <n v="70"/>
    <n v="1"/>
    <m/>
  </r>
  <r>
    <s v="MANCHESTER MAERSK"/>
    <x v="1"/>
    <d v="2026-02-17T03:48:00"/>
    <d v="2026-02-17T04:00:00"/>
    <x v="3"/>
    <s v="MAEU262057705"/>
    <x v="0"/>
    <s v="Shanghai"/>
    <s v="MSKU4783384"/>
    <s v="SIMEI LELYSTAD"/>
    <d v="2026-02-18T18:00:00"/>
    <x v="321"/>
    <x v="235"/>
    <d v="2026-02-18T21:05:00"/>
    <x v="0"/>
    <x v="0"/>
    <n v="0"/>
    <x v="7"/>
    <x v="1"/>
    <d v="2026-02-18T20:29:00"/>
    <d v="1899-12-31T14:12:00"/>
    <n v="38.200000000011642"/>
    <x v="0"/>
    <d v="1899-12-30T02:00:00"/>
    <n v="2.0000000000582077"/>
    <s v="SI"/>
    <d v="1899-12-31T16:12:00"/>
    <n v="40.200000000069849"/>
    <d v="1899-12-30T00:29:00"/>
    <x v="0"/>
    <n v="0.48333333333721384"/>
    <d v="1899-12-31T17:17:00"/>
    <n v="41.283333333267365"/>
    <x v="0"/>
    <m/>
    <d v="1899-12-30T20:00:00"/>
    <s v="NIGHT"/>
    <s v="8/26"/>
    <s v="MSKU4783384"/>
    <s v="MSI"/>
    <n v="530"/>
    <e v="#N/A"/>
    <n v="50"/>
    <n v="0"/>
    <n v="3"/>
    <x v="3"/>
    <s v="MSINIGHT"/>
    <n v="530"/>
    <n v="20"/>
    <m/>
    <m/>
    <n v="550"/>
    <n v="70"/>
    <n v="1"/>
    <m/>
  </r>
  <r>
    <s v="MANCHESTER MAERSK"/>
    <x v="1"/>
    <d v="2026-02-17T03:48:00"/>
    <d v="2026-02-17T04:00:00"/>
    <x v="4"/>
    <s v="MAEU263243293"/>
    <x v="0"/>
    <s v="Ho Chi Minh City"/>
    <s v="MSKU5928944"/>
    <s v="LELYSTAD"/>
    <d v="2026-02-18T18:00:00"/>
    <x v="322"/>
    <x v="234"/>
    <d v="2026-02-19T07:15:00"/>
    <x v="0"/>
    <x v="0"/>
    <n v="0"/>
    <x v="7"/>
    <x v="1"/>
    <d v="2026-02-19T06:13:00"/>
    <d v="1899-12-31T14:12:00"/>
    <n v="38.200000000011642"/>
    <x v="0"/>
    <d v="1899-12-30T12:00:00"/>
    <n v="12"/>
    <s v="SI"/>
    <d v="1900-01-01T02:12:00"/>
    <n v="50.200000000011642"/>
    <d v="1899-12-30T00:13:00"/>
    <x v="0"/>
    <n v="0.21666666667442769"/>
    <d v="1900-01-01T03:27:00"/>
    <n v="51.450000000069849"/>
    <x v="1"/>
    <m/>
    <d v="1899-12-30T06:00:00"/>
    <s v="NO"/>
    <s v="8/26"/>
    <s v="MSKU5928944"/>
    <s v="OM TRANSPORT"/>
    <n v="475"/>
    <e v="#N/A"/>
    <n v="50"/>
    <n v="0"/>
    <n v="4"/>
    <x v="1"/>
    <s v="OM TRANSPORTWEEK"/>
    <n v="475"/>
    <n v="20"/>
    <m/>
    <m/>
    <n v="495"/>
    <n v="70"/>
    <n v="1"/>
    <m/>
  </r>
  <r>
    <s v="MANCHESTER MAERSK"/>
    <x v="1"/>
    <d v="2026-02-17T03:48:00"/>
    <d v="2026-02-17T04:00:00"/>
    <x v="5"/>
    <s v="MAEU263252963"/>
    <x v="0"/>
    <s v="Qingdao"/>
    <s v="SUDU8723598"/>
    <s v="LELYSTAD"/>
    <d v="2026-02-18T18:00:00"/>
    <x v="323"/>
    <x v="242"/>
    <d v="2026-02-18T22:10:00"/>
    <x v="0"/>
    <x v="0"/>
    <n v="0"/>
    <x v="7"/>
    <x v="1"/>
    <d v="2026-02-18T22:10:00"/>
    <d v="1899-12-31T14:12:00"/>
    <n v="38.200000000011642"/>
    <x v="0"/>
    <d v="1899-12-30T06:00:00"/>
    <n v="6"/>
    <s v="SI"/>
    <d v="1899-12-31T20:12:00"/>
    <n v="44.200000000011642"/>
    <d v="1899-12-30T00:00:00"/>
    <x v="0"/>
    <n v="0"/>
    <d v="1899-12-31T18:22:00"/>
    <n v="42.366666666639503"/>
    <x v="0"/>
    <m/>
    <d v="1899-12-30T00:00:00"/>
    <s v="NIGHT"/>
    <s v="8/26"/>
    <s v="SUDU8723598"/>
    <s v="OTL"/>
    <n v="530"/>
    <e v="#N/A"/>
    <n v="60"/>
    <n v="0"/>
    <n v="4"/>
    <x v="3"/>
    <s v="OTLNIGHT"/>
    <n v="530"/>
    <n v="20"/>
    <m/>
    <m/>
    <n v="550"/>
    <n v="70"/>
    <n v="1"/>
    <m/>
  </r>
  <r>
    <s v="MANCHESTER MAERSK"/>
    <x v="1"/>
    <d v="2026-02-17T03:48:00"/>
    <d v="2026-02-17T04:00:00"/>
    <x v="3"/>
    <s v="MAEU263131294"/>
    <x v="0"/>
    <s v="Haiphong"/>
    <s v="TCLU6809639"/>
    <s v="LELYSTAD"/>
    <d v="2026-02-18T18:00:00"/>
    <x v="324"/>
    <x v="243"/>
    <d v="2026-02-19T11:15:00"/>
    <x v="0"/>
    <x v="0"/>
    <n v="0"/>
    <x v="7"/>
    <x v="1"/>
    <d v="2026-02-19T10:35:00"/>
    <d v="1899-12-31T14:12:00"/>
    <n v="38.200000000011642"/>
    <x v="0"/>
    <d v="1899-12-30T17:00:00"/>
    <n v="17.000000000058208"/>
    <s v="SI"/>
    <d v="1900-01-01T07:12:00"/>
    <n v="55.200000000069849"/>
    <d v="1899-12-30T00:00:00"/>
    <x v="0"/>
    <n v="0"/>
    <d v="1900-01-01T07:27:00"/>
    <n v="55.450000000011642"/>
    <x v="1"/>
    <m/>
    <d v="1899-12-30T11:00:00"/>
    <s v="NO"/>
    <s v="8/26"/>
    <s v="TCLU6809639"/>
    <s v="MSI"/>
    <n v="480"/>
    <e v="#N/A"/>
    <n v="50"/>
    <n v="0"/>
    <n v="4"/>
    <x v="1"/>
    <s v="MSIWEEK"/>
    <n v="480"/>
    <n v="20"/>
    <m/>
    <m/>
    <n v="500"/>
    <n v="70"/>
    <n v="1"/>
    <m/>
  </r>
  <r>
    <s v="MANCHESTER MAERSK"/>
    <x v="1"/>
    <d v="2026-02-17T03:48:00"/>
    <d v="2026-02-17T04:00:00"/>
    <x v="2"/>
    <s v="MAEU262905504"/>
    <x v="0"/>
    <s v="Sihanoukville"/>
    <s v="TRHU6769347"/>
    <s v="XPO TALLER LELYSTAD"/>
    <d v="2026-02-18T18:00:00"/>
    <x v="325"/>
    <x v="244"/>
    <d v="2026-02-18T22:30:00"/>
    <x v="0"/>
    <x v="0"/>
    <n v="0"/>
    <x v="7"/>
    <x v="1"/>
    <d v="2026-02-18T20:27:00"/>
    <d v="1899-12-31T14:12:00"/>
    <n v="38.200000000011642"/>
    <x v="0"/>
    <d v="1899-12-30T03:00:00"/>
    <n v="3"/>
    <s v="SI"/>
    <d v="1899-12-31T17:12:00"/>
    <n v="41.200000000011642"/>
    <d v="1899-12-30T00:00:00"/>
    <x v="0"/>
    <n v="0"/>
    <d v="1899-12-31T18:42:00"/>
    <n v="42.700000000011642"/>
    <x v="0"/>
    <m/>
    <d v="1899-12-30T21:00:00"/>
    <s v="NIGHT"/>
    <s v="8/26"/>
    <s v="TRHU6769347"/>
    <s v="LOGIX"/>
    <n v="550"/>
    <e v="#N/A"/>
    <n v="50"/>
    <n v="0"/>
    <n v="3"/>
    <x v="3"/>
    <s v="LOGIXNIGHT"/>
    <n v="550"/>
    <n v="20"/>
    <m/>
    <m/>
    <n v="570"/>
    <n v="70"/>
    <n v="1"/>
    <m/>
  </r>
  <r>
    <s v="MANCHESTER MAERSK"/>
    <x v="1"/>
    <d v="2026-02-17T03:48:00"/>
    <d v="2026-02-17T04:00:00"/>
    <x v="2"/>
    <s v="MAEU262905504"/>
    <x v="0"/>
    <s v="Sihanoukville"/>
    <s v="UETU8471117"/>
    <s v="SIMEI LELYSTAD"/>
    <d v="2026-02-18T18:00:00"/>
    <x v="326"/>
    <x v="234"/>
    <d v="2026-02-19T06:35:00"/>
    <x v="0"/>
    <x v="0"/>
    <n v="2"/>
    <x v="7"/>
    <x v="1"/>
    <d v="2026-02-19T05:58:00"/>
    <d v="1899-12-31T14:12:00"/>
    <n v="38.200000000011642"/>
    <x v="0"/>
    <d v="1899-12-30T12:00:00"/>
    <n v="12"/>
    <s v="SI"/>
    <d v="1900-01-01T02:12:00"/>
    <n v="50.200000000011642"/>
    <d v="1899-12-30T00:00:00"/>
    <x v="0"/>
    <n v="0"/>
    <d v="1900-01-01T02:47:00"/>
    <n v="50.783333333325572"/>
    <x v="1"/>
    <m/>
    <d v="1899-12-30T06:00:00"/>
    <s v="NO"/>
    <s v="8/26"/>
    <s v="UETU8471117"/>
    <s v="LOGIX"/>
    <n v="550"/>
    <e v="#N/A"/>
    <n v="50"/>
    <n v="100"/>
    <n v="4"/>
    <x v="1"/>
    <s v="LOGIXWEEK"/>
    <n v="650"/>
    <n v="20"/>
    <m/>
    <m/>
    <n v="670"/>
    <n v="70"/>
    <n v="1"/>
    <m/>
  </r>
  <r>
    <s v="MAERSK GENOA"/>
    <x v="3"/>
    <d v="2026-02-17T19:05:00"/>
    <d v="2026-02-17T20:00:00"/>
    <x v="6"/>
    <s v="MAEU263259849"/>
    <x v="0"/>
    <s v="Chittagong"/>
    <s v="MRSU4314011"/>
    <s v="LELYSTAD"/>
    <d v="2026-02-21T10:00:00"/>
    <x v="327"/>
    <x v="245"/>
    <d v="2026-02-21T12:20:00"/>
    <x v="0"/>
    <x v="0"/>
    <n v="0"/>
    <x v="7"/>
    <x v="1"/>
    <d v="2026-02-21T12:20:00"/>
    <d v="1900-01-02T14:55:00"/>
    <n v="86.916666666569654"/>
    <x v="1"/>
    <d v="1899-12-30T03:00:00"/>
    <n v="3"/>
    <s v="SI"/>
    <d v="1900-01-02T17:55:00"/>
    <n v="89.916666666569654"/>
    <d v="1899-12-30T00:00:00"/>
    <x v="0"/>
    <n v="0"/>
    <d v="1900-01-02T17:15:00"/>
    <n v="89.25"/>
    <x v="1"/>
    <m/>
    <d v="1899-12-30T13:00:00"/>
    <s v="NO"/>
    <s v="8/26"/>
    <s v="MRSU4314011"/>
    <s v="ALTRANSA"/>
    <n v="0"/>
    <n v="0"/>
    <e v="#N/A"/>
    <n v="0"/>
    <n v="6"/>
    <x v="0"/>
    <s v="ALTRANSASATURDAY"/>
    <n v="0"/>
    <n v="0"/>
    <m/>
    <m/>
    <n v="0"/>
    <n v="70"/>
    <n v="2"/>
    <m/>
  </r>
  <r>
    <s v="MAERSK GENOA"/>
    <x v="3"/>
    <d v="2026-02-17T19:05:00"/>
    <d v="2026-02-17T20:00:00"/>
    <x v="6"/>
    <s v="MAEU263486726"/>
    <x v="0"/>
    <s v="Chittagong"/>
    <s v="TCKU6647401"/>
    <s v="LELYSTAD"/>
    <d v="2026-02-21T10:00:00"/>
    <x v="328"/>
    <x v="246"/>
    <d v="2026-02-21T12:15:00"/>
    <x v="0"/>
    <x v="1"/>
    <n v="0"/>
    <x v="7"/>
    <x v="1"/>
    <d v="2026-02-21T11:55:00"/>
    <d v="1900-01-02T14:55:00"/>
    <n v="86.916666666569654"/>
    <x v="1"/>
    <d v="1899-12-30T05:00:00"/>
    <n v="5.0000000000582077"/>
    <s v="SI"/>
    <d v="1900-01-02T19:55:00"/>
    <n v="91.916666666627862"/>
    <d v="1899-12-30T00:00:00"/>
    <x v="0"/>
    <n v="0"/>
    <d v="1900-01-02T17:10:00"/>
    <n v="89.166666666569654"/>
    <x v="1"/>
    <m/>
    <d v="1899-12-30T15:00:00"/>
    <s v="NO"/>
    <s v="8/26"/>
    <s v="TCKU6647401"/>
    <s v="ALTRANSA"/>
    <n v="0"/>
    <n v="0"/>
    <e v="#N/A"/>
    <n v="0"/>
    <n v="6"/>
    <x v="0"/>
    <s v="ALTRANSASATURDAY"/>
    <n v="0"/>
    <n v="0"/>
    <m/>
    <m/>
    <n v="0"/>
    <n v="70"/>
    <n v="2"/>
    <m/>
  </r>
  <r>
    <s v="MAERSK GENOA"/>
    <x v="3"/>
    <d v="2026-02-17T19:05:00"/>
    <d v="2026-02-17T20:00:00"/>
    <x v="6"/>
    <s v="MAEU263861548"/>
    <x v="0"/>
    <s v="Chittagong"/>
    <s v="MRKU4691877"/>
    <s v="SIMEI LELYSTAD"/>
    <d v="2026-02-21T10:00:00"/>
    <x v="329"/>
    <x v="247"/>
    <d v="2026-02-22T08:15:00"/>
    <x v="0"/>
    <x v="0"/>
    <n v="1"/>
    <x v="7"/>
    <x v="1"/>
    <d v="2026-02-22T08:09:00"/>
    <d v="1900-01-02T14:55:00"/>
    <n v="86.916666666569654"/>
    <x v="1"/>
    <d v="1899-12-30T22:00:00"/>
    <n v="22.000000000116415"/>
    <s v="SI"/>
    <d v="1900-01-03T12:55:00"/>
    <n v="108.91666666668607"/>
    <d v="1899-12-30T00:09:00"/>
    <x v="0"/>
    <n v="0.1499999999650754"/>
    <d v="1900-01-03T13:10:00"/>
    <n v="109.16666666662786"/>
    <x v="1"/>
    <m/>
    <d v="1899-12-30T08:00:00"/>
    <s v="NO"/>
    <s v="8/26"/>
    <s v="MRKU4691877"/>
    <s v="ALTRANSA"/>
    <n v="0"/>
    <n v="0"/>
    <e v="#N/A"/>
    <n v="0"/>
    <n v="7"/>
    <x v="2"/>
    <s v="ALTRANSASUNDAY"/>
    <n v="0"/>
    <n v="0"/>
    <m/>
    <m/>
    <n v="0"/>
    <n v="70"/>
    <n v="2"/>
    <m/>
  </r>
  <r>
    <s v="MAERSK GENOA"/>
    <x v="3"/>
    <d v="2026-02-17T19:05:00"/>
    <d v="2026-02-17T20:00:00"/>
    <x v="6"/>
    <s v="MAEU263861548"/>
    <x v="0"/>
    <s v="Chittagong"/>
    <s v="TRHU5900473"/>
    <s v="SIMEI LELYSTAD"/>
    <d v="2026-02-21T10:00:00"/>
    <x v="330"/>
    <x v="248"/>
    <d v="2026-02-22T10:00:00"/>
    <x v="0"/>
    <x v="0"/>
    <n v="0"/>
    <x v="7"/>
    <x v="1"/>
    <d v="2026-02-22T09:45:00"/>
    <d v="1900-01-02T14:55:00"/>
    <n v="86.916666666569654"/>
    <x v="1"/>
    <d v="1899-12-31T00:00:00"/>
    <n v="24"/>
    <s v="SI"/>
    <d v="1900-01-03T14:55:00"/>
    <n v="110.91666666656965"/>
    <d v="1899-12-30T00:00:00"/>
    <x v="0"/>
    <n v="0"/>
    <d v="1900-01-03T14:55:00"/>
    <n v="110.91666666656965"/>
    <x v="1"/>
    <m/>
    <d v="1899-12-30T10:00:00"/>
    <s v="NO"/>
    <s v="8/26"/>
    <s v="TRHU5900473"/>
    <s v="ALTRANSA"/>
    <n v="0"/>
    <n v="0"/>
    <e v="#N/A"/>
    <n v="0"/>
    <n v="7"/>
    <x v="2"/>
    <s v="ALTRANSASUNDAY"/>
    <n v="0"/>
    <n v="0"/>
    <m/>
    <m/>
    <n v="0"/>
    <n v="70"/>
    <n v="2"/>
    <m/>
  </r>
  <r>
    <s v="HOUSTON EXPRESS"/>
    <x v="0"/>
    <d v="2026-02-21T12:25:00"/>
    <d v="2026-02-20T20:00:00"/>
    <x v="2"/>
    <s v="MAEU263211990"/>
    <x v="0"/>
    <s v="Mumbai (ex Bombay)"/>
    <s v="MRKU0012432"/>
    <s v="SIMEI LELYSTAD"/>
    <d v="2026-02-22T21:00:00"/>
    <x v="331"/>
    <x v="249"/>
    <d v="2026-02-22T12:50:00"/>
    <x v="0"/>
    <x v="0"/>
    <n v="1"/>
    <x v="7"/>
    <x v="1"/>
    <d v="2026-02-22T12:36:00"/>
    <d v="1899-12-31T08:35:00"/>
    <n v="32.583333333372138"/>
    <x v="0"/>
    <n v="-0.34375"/>
    <n v="-8.25"/>
    <s v="SI"/>
    <d v="1899-12-31T00:20:00"/>
    <n v="24.333333333372138"/>
    <d v="1899-12-30T00:00:00"/>
    <x v="0"/>
    <n v="0"/>
    <d v="1899-12-31T00:25:00"/>
    <n v="24.416666666627862"/>
    <x v="0"/>
    <m/>
    <d v="1899-12-30T12:45:00"/>
    <s v="NO"/>
    <s v="8/26"/>
    <s v="MRKU0012432"/>
    <s v="LOGIX"/>
    <n v="573.5"/>
    <e v="#N/A"/>
    <n v="50"/>
    <n v="50"/>
    <n v="7"/>
    <x v="2"/>
    <s v="LOGIXSUNDAY"/>
    <n v="623.5"/>
    <n v="20"/>
    <m/>
    <m/>
    <n v="643.5"/>
    <n v="70"/>
    <n v="1"/>
    <m/>
  </r>
  <r>
    <s v="HOUSTON EXPRESS"/>
    <x v="0"/>
    <d v="2026-02-21T12:25:00"/>
    <d v="2026-02-20T20:00:00"/>
    <x v="4"/>
    <s v="MAEU263698873"/>
    <x v="0"/>
    <s v="Karachi-Muhammad Bin Qasim"/>
    <s v="MRSU7052790"/>
    <s v="LELYSTAD"/>
    <d v="2026-02-22T21:00:00"/>
    <x v="332"/>
    <x v="250"/>
    <d v="2026-02-22T15:05:00"/>
    <x v="0"/>
    <x v="0"/>
    <n v="0"/>
    <x v="7"/>
    <x v="1"/>
    <d v="2026-02-22T15:00:00"/>
    <d v="1899-12-31T08:35:00"/>
    <n v="32.583333333372138"/>
    <x v="0"/>
    <n v="-0.25"/>
    <n v="-6"/>
    <s v="SI"/>
    <d v="1899-12-31T02:35:00"/>
    <n v="26.583333333372138"/>
    <d v="1899-12-30T00:00:00"/>
    <x v="0"/>
    <n v="0"/>
    <d v="1899-12-31T02:40:00"/>
    <n v="26.666666666627862"/>
    <x v="0"/>
    <m/>
    <d v="1899-12-30T15:00:00"/>
    <s v="NO"/>
    <s v="8/26"/>
    <s v="MRSU7052790"/>
    <s v="OM TRANSPORT"/>
    <n v="573.5"/>
    <e v="#N/A"/>
    <n v="50"/>
    <n v="0"/>
    <n v="7"/>
    <x v="2"/>
    <s v="OM TRANSPORTSUNDAY"/>
    <n v="573.5"/>
    <n v="20"/>
    <m/>
    <m/>
    <n v="593.5"/>
    <n v="70"/>
    <n v="1"/>
    <m/>
  </r>
  <r>
    <s v="HOUSTON EXPRESS"/>
    <x v="0"/>
    <d v="2026-02-21T12:25:00"/>
    <d v="2026-02-20T20:00:00"/>
    <x v="4"/>
    <s v="MAEU263698873"/>
    <x v="0"/>
    <s v="Karachi-Muhammad Bin Qasim"/>
    <s v="SUDU8519080"/>
    <s v="SIMEI LELYSTAD"/>
    <d v="2026-02-22T21:00:00"/>
    <x v="333"/>
    <x v="250"/>
    <d v="2026-02-22T15:28:00"/>
    <x v="0"/>
    <x v="0"/>
    <n v="1"/>
    <x v="7"/>
    <x v="1"/>
    <d v="2026-02-22T15:58:00"/>
    <d v="1899-12-31T08:35:00"/>
    <n v="32.583333333372138"/>
    <x v="0"/>
    <n v="-0.25"/>
    <n v="-6"/>
    <s v="SI"/>
    <d v="1899-12-31T02:35:00"/>
    <n v="26.583333333372138"/>
    <d v="1899-12-30T00:58:00"/>
    <x v="1"/>
    <n v="0.96666666667442769"/>
    <d v="1899-12-31T03:03:00"/>
    <n v="27.049999999988358"/>
    <x v="0"/>
    <m/>
    <d v="1899-12-30T15:00:00"/>
    <s v="NO"/>
    <s v="8/26"/>
    <s v="SUDU8519080"/>
    <s v="OM TRANSPORT"/>
    <n v="573.5"/>
    <e v="#N/A"/>
    <n v="50"/>
    <n v="50"/>
    <n v="7"/>
    <x v="2"/>
    <s v="OM TRANSPORTSUNDAY"/>
    <n v="623.5"/>
    <n v="20"/>
    <m/>
    <m/>
    <n v="643.5"/>
    <n v="70"/>
    <n v="1"/>
    <m/>
  </r>
  <r>
    <s v="HOUSTON EXPRESS"/>
    <x v="0"/>
    <d v="2026-02-21T12:25:00"/>
    <d v="2026-02-20T20:00:00"/>
    <x v="3"/>
    <s v="MAEU263698873"/>
    <x v="0"/>
    <s v="Karachi-Muhammad Bin Qasim"/>
    <s v="MRSU3867060"/>
    <s v="LELYSTAD"/>
    <d v="2026-02-22T21:00:00"/>
    <x v="334"/>
    <x v="251"/>
    <d v="2026-02-22T18:40:00"/>
    <x v="0"/>
    <x v="0"/>
    <n v="0"/>
    <x v="7"/>
    <x v="1"/>
    <d v="2026-02-22T18:04:00"/>
    <d v="1899-12-31T08:35:00"/>
    <n v="32.583333333372138"/>
    <x v="0"/>
    <n v="-0.125"/>
    <n v="-3"/>
    <s v="SI"/>
    <d v="1899-12-31T05:35:00"/>
    <n v="29.583333333372138"/>
    <d v="1899-12-30T00:04:00"/>
    <x v="0"/>
    <n v="6.6666666709352285E-2"/>
    <d v="1899-12-31T06:15:00"/>
    <n v="30.250000000116415"/>
    <x v="0"/>
    <m/>
    <d v="1899-12-30T18:00:00"/>
    <s v="NO"/>
    <s v="8/26"/>
    <s v="MRSU3867060"/>
    <s v="MSI"/>
    <n v="523.5"/>
    <e v="#N/A"/>
    <n v="50"/>
    <n v="0"/>
    <n v="7"/>
    <x v="2"/>
    <s v="MSISUNDAY"/>
    <n v="583.5"/>
    <n v="20"/>
    <n v="60"/>
    <s v="18:30 - 21:30"/>
    <n v="603.5"/>
    <n v="70"/>
    <n v="1"/>
    <m/>
  </r>
  <r>
    <s v="HOUSTON EXPRESS"/>
    <x v="0"/>
    <d v="2026-02-21T12:25:00"/>
    <d v="2026-02-20T20:00:00"/>
    <x v="2"/>
    <s v="MAEU263698873"/>
    <x v="0"/>
    <s v="Karachi-Muhammad Bin Qasim"/>
    <s v="MSKU9470802"/>
    <s v="LELYSTAD"/>
    <d v="2026-02-22T21:00:00"/>
    <x v="335"/>
    <x v="252"/>
    <d v="2026-02-22T17:45:00"/>
    <x v="0"/>
    <x v="0"/>
    <n v="0"/>
    <x v="7"/>
    <x v="1"/>
    <d v="2026-02-22T17:15:00"/>
    <d v="1899-12-31T08:35:00"/>
    <n v="32.583333333372138"/>
    <x v="0"/>
    <n v="-8.3333333335758653E-2"/>
    <n v="-2.0000000000582077"/>
    <s v="SI"/>
    <d v="1899-12-31T06:35:00"/>
    <n v="30.583333333313931"/>
    <d v="1899-12-30T00:00:00"/>
    <x v="0"/>
    <n v="0"/>
    <d v="1899-12-31T05:20:00"/>
    <n v="29.333333333430346"/>
    <x v="0"/>
    <m/>
    <d v="1899-12-30T19:00:00"/>
    <s v="NO"/>
    <s v="8/26"/>
    <s v="MSKU9470802"/>
    <s v="LOGIX"/>
    <n v="573.5"/>
    <e v="#N/A"/>
    <n v="50"/>
    <n v="0"/>
    <n v="7"/>
    <x v="2"/>
    <s v="LOGIXSUNDAY"/>
    <n v="573.5"/>
    <n v="20"/>
    <m/>
    <m/>
    <n v="593.5"/>
    <n v="70"/>
    <n v="1"/>
    <m/>
  </r>
  <r>
    <s v="HOUSTON EXPRESS"/>
    <x v="0"/>
    <d v="2026-02-21T12:25:00"/>
    <d v="2026-02-20T20:00:00"/>
    <x v="4"/>
    <s v="MAEU263212055"/>
    <x v="0"/>
    <s v="Mumbai (ex Bombay)"/>
    <s v="TRHU4867811"/>
    <s v="XPO TALLER LELYSTAD"/>
    <d v="2026-02-22T21:00:00"/>
    <x v="336"/>
    <x v="253"/>
    <d v="2026-02-23T10:10:00"/>
    <x v="0"/>
    <x v="0"/>
    <n v="0"/>
    <x v="8"/>
    <x v="1"/>
    <d v="2026-02-23T09:00:00"/>
    <d v="1899-12-31T08:35:00"/>
    <n v="32.583333333372138"/>
    <x v="0"/>
    <d v="1899-12-30T12:00:00"/>
    <n v="12"/>
    <s v="SI"/>
    <d v="1899-12-31T20:35:00"/>
    <n v="44.583333333372138"/>
    <d v="1899-12-30T00:00:00"/>
    <x v="0"/>
    <n v="0"/>
    <d v="1899-12-31T21:45:00"/>
    <n v="45.75"/>
    <x v="0"/>
    <m/>
    <d v="1899-12-30T09:00:00"/>
    <s v="NO"/>
    <s v="9/26"/>
    <s v="TRHU4867811"/>
    <s v="OM TRANSPORT"/>
    <n v="498.5"/>
    <e v="#N/A"/>
    <n v="50"/>
    <n v="0"/>
    <n v="1"/>
    <x v="1"/>
    <s v="OM TRANSPORTWEEK"/>
    <n v="498.5"/>
    <n v="20"/>
    <m/>
    <m/>
    <n v="518.5"/>
    <n v="70"/>
    <n v="1"/>
    <m/>
  </r>
  <r>
    <s v="HOUSTON EXPRESS"/>
    <x v="0"/>
    <d v="2026-02-21T12:25:00"/>
    <d v="2026-02-20T20:00:00"/>
    <x v="3"/>
    <s v="MAEU263211789"/>
    <x v="0"/>
    <s v="Mumbai (ex Bombay)"/>
    <s v="MRKU0797428"/>
    <s v="XPO TALLER LELYSTAD"/>
    <d v="2026-02-22T21:00:00"/>
    <x v="337"/>
    <x v="254"/>
    <d v="2026-02-23T15:00:00"/>
    <x v="0"/>
    <x v="0"/>
    <n v="1"/>
    <x v="8"/>
    <x v="1"/>
    <d v="2026-02-23T14:49:00"/>
    <d v="1899-12-31T08:35:00"/>
    <n v="32.583333333372138"/>
    <x v="0"/>
    <d v="1899-12-30T17:00:00"/>
    <n v="17.000000000058208"/>
    <s v="SI"/>
    <d v="1900-01-01T01:35:00"/>
    <n v="49.583333333430346"/>
    <d v="1899-12-30T00:49:00"/>
    <x v="1"/>
    <n v="0.8166666665347293"/>
    <d v="1900-01-01T02:35:00"/>
    <n v="50.583333333372138"/>
    <x v="1"/>
    <m/>
    <d v="1899-12-30T14:00:00"/>
    <s v="NO"/>
    <s v="9/26"/>
    <s v="MRKU0797428"/>
    <s v="MSI"/>
    <n v="503.5"/>
    <e v="#N/A"/>
    <n v="50"/>
    <n v="50"/>
    <n v="1"/>
    <x v="1"/>
    <s v="MSIWEEK"/>
    <n v="553.5"/>
    <n v="20"/>
    <m/>
    <m/>
    <n v="573.5"/>
    <n v="70"/>
    <n v="1"/>
    <m/>
  </r>
  <r>
    <s v="MURCIA MAERSK"/>
    <x v="1"/>
    <d v="2026-02-25T13:00:00"/>
    <d v="2026-02-25T12:30:00"/>
    <x v="4"/>
    <s v="MAEU263618341"/>
    <x v="0"/>
    <s v="Xiamen"/>
    <s v="MRKU0845980"/>
    <s v="LELYSTAD"/>
    <d v="2026-02-26T02:00:00"/>
    <x v="338"/>
    <x v="255"/>
    <d v="2026-02-26T05:20:00"/>
    <x v="0"/>
    <x v="0"/>
    <n v="0"/>
    <x v="8"/>
    <x v="1"/>
    <d v="2026-02-26T05:00:00"/>
    <d v="1899-12-30T13:00:00"/>
    <n v="13.000000000116415"/>
    <x v="0"/>
    <d v="1899-12-30T03:00:00"/>
    <n v="3"/>
    <s v="SI"/>
    <d v="1899-12-30T16:00:00"/>
    <n v="16.000000000116415"/>
    <d v="1899-12-30T00:00:00"/>
    <x v="0"/>
    <n v="0"/>
    <d v="1899-12-30T16:20:00"/>
    <n v="16.333333333313931"/>
    <x v="0"/>
    <m/>
    <d v="1899-12-30T05:00:00"/>
    <s v="NO"/>
    <s v="9/26"/>
    <s v="MRKU0845980"/>
    <s v="OM TRANSPORT"/>
    <n v="475"/>
    <e v="#N/A"/>
    <n v="50"/>
    <n v="0"/>
    <n v="4"/>
    <x v="1"/>
    <s v="OM TRANSPORTWEEK"/>
    <n v="475"/>
    <n v="20"/>
    <m/>
    <m/>
    <n v="495"/>
    <n v="70"/>
    <n v="1"/>
    <m/>
  </r>
  <r>
    <s v="MURCIA MAERSK"/>
    <x v="1"/>
    <d v="2026-02-25T13:00:00"/>
    <d v="2026-02-25T12:30:00"/>
    <x v="4"/>
    <s v="MAEU262905346"/>
    <x v="0"/>
    <s v="Sihanoukville"/>
    <s v="GAOU7484530"/>
    <s v="XPO TALLER LELYSTAD"/>
    <d v="2026-02-26T02:00:00"/>
    <x v="339"/>
    <x v="256"/>
    <d v="2026-02-26T10:25:00"/>
    <x v="0"/>
    <x v="0"/>
    <n v="0"/>
    <x v="8"/>
    <x v="1"/>
    <d v="2026-02-26T10:00:00"/>
    <d v="1899-12-30T13:00:00"/>
    <n v="13.000000000116415"/>
    <x v="0"/>
    <d v="1899-12-30T08:00:00"/>
    <n v="7.9999999998835847"/>
    <s v="SI"/>
    <d v="1899-12-30T21:00:00"/>
    <n v="21"/>
    <d v="1899-12-30T00:00:00"/>
    <x v="0"/>
    <n v="0"/>
    <d v="1899-12-30T21:25:00"/>
    <n v="21.416666666802485"/>
    <x v="0"/>
    <m/>
    <d v="1899-12-30T10:00:00"/>
    <s v="NO"/>
    <s v="9/26"/>
    <s v="GAOU7484530"/>
    <s v="OM TRANSPORT"/>
    <n v="475"/>
    <e v="#N/A"/>
    <n v="50"/>
    <n v="0"/>
    <n v="4"/>
    <x v="1"/>
    <s v="OM TRANSPORTWEEK"/>
    <n v="475"/>
    <n v="20"/>
    <m/>
    <m/>
    <n v="495"/>
    <n v="70"/>
    <n v="1"/>
    <m/>
  </r>
  <r>
    <s v="MURCIA MAERSK"/>
    <x v="1"/>
    <d v="2026-02-25T13:00:00"/>
    <d v="2026-02-25T12:30:00"/>
    <x v="3"/>
    <s v="MAEU259153954"/>
    <x v="0"/>
    <s v="Shanghai"/>
    <s v="MSKU4713108"/>
    <s v="SIMEI LELYSTAD"/>
    <d v="2026-02-26T02:00:00"/>
    <x v="340"/>
    <x v="256"/>
    <d v="2026-02-26T08:50:00"/>
    <x v="0"/>
    <x v="0"/>
    <n v="1"/>
    <x v="8"/>
    <x v="1"/>
    <d v="2026-02-26T08:38:00"/>
    <d v="1899-12-30T13:00:00"/>
    <n v="13.000000000116415"/>
    <x v="0"/>
    <d v="1899-12-30T08:00:00"/>
    <n v="7.9999999998835847"/>
    <s v="SI"/>
    <d v="1899-12-30T21:00:00"/>
    <n v="21"/>
    <d v="1899-12-30T00:00:00"/>
    <x v="0"/>
    <n v="0"/>
    <d v="1899-12-30T19:50:00"/>
    <n v="19.833333333372138"/>
    <x v="0"/>
    <m/>
    <d v="1899-12-30T10:00:00"/>
    <s v="NO"/>
    <s v="9/26"/>
    <s v="MSKU4713108"/>
    <s v="MSI"/>
    <n v="480"/>
    <e v="#N/A"/>
    <n v="50"/>
    <n v="50"/>
    <n v="4"/>
    <x v="1"/>
    <s v="MSIWEEK"/>
    <n v="530"/>
    <n v="20"/>
    <m/>
    <m/>
    <n v="550"/>
    <n v="70"/>
    <n v="1"/>
    <m/>
  </r>
  <r>
    <s v="MURCIA MAERSK"/>
    <x v="1"/>
    <d v="2026-02-25T13:00:00"/>
    <d v="2026-02-25T12:30:00"/>
    <x v="2"/>
    <s v="MAEU262905346"/>
    <x v="0"/>
    <s v="Sihanoukville"/>
    <s v="MRSU3835988"/>
    <s v="SIMEI LELYSTAD"/>
    <d v="2026-02-26T02:00:00"/>
    <x v="341"/>
    <x v="257"/>
    <d v="2026-02-26T11:35:00"/>
    <x v="0"/>
    <x v="0"/>
    <n v="1"/>
    <x v="8"/>
    <x v="1"/>
    <d v="2026-02-26T11:08:00"/>
    <d v="1899-12-30T13:00:00"/>
    <n v="13.000000000116415"/>
    <x v="0"/>
    <d v="1899-12-30T09:00:00"/>
    <n v="9"/>
    <s v="SI"/>
    <d v="1899-12-30T22:00:00"/>
    <n v="22.000000000116415"/>
    <d v="1899-12-30T00:08:00"/>
    <x v="0"/>
    <n v="0.13333333324408159"/>
    <d v="1899-12-30T22:35:00"/>
    <n v="22.583333333430346"/>
    <x v="0"/>
    <m/>
    <d v="1899-12-30T11:00:00"/>
    <s v="NO"/>
    <s v="9/26"/>
    <s v="MRSU3835988"/>
    <s v="LOGIX"/>
    <n v="550"/>
    <e v="#N/A"/>
    <n v="50"/>
    <n v="50"/>
    <n v="4"/>
    <x v="1"/>
    <s v="LOGIXWEEK"/>
    <n v="600"/>
    <n v="20"/>
    <m/>
    <m/>
    <n v="620"/>
    <n v="70"/>
    <n v="1"/>
    <m/>
  </r>
  <r>
    <s v="MURCIA MAERSK"/>
    <x v="1"/>
    <d v="2026-02-25T13:00:00"/>
    <d v="2026-02-25T12:30:00"/>
    <x v="3"/>
    <s v="MAEU262905346"/>
    <x v="0"/>
    <s v="Sihanoukville"/>
    <s v="MRSU7235317"/>
    <s v="SIMEI LELYSTAD"/>
    <d v="2026-02-26T02:00:00"/>
    <x v="342"/>
    <x v="257"/>
    <d v="2026-02-26T10:40:00"/>
    <x v="0"/>
    <x v="0"/>
    <n v="1"/>
    <x v="8"/>
    <x v="1"/>
    <d v="2026-02-26T10:21:00"/>
    <d v="1899-12-30T13:00:00"/>
    <n v="13.000000000116415"/>
    <x v="0"/>
    <d v="1899-12-30T09:00:00"/>
    <n v="9"/>
    <s v="SI"/>
    <d v="1899-12-30T22:00:00"/>
    <n v="22.000000000116415"/>
    <d v="1899-12-30T00:00:00"/>
    <x v="0"/>
    <n v="0"/>
    <d v="1899-12-30T21:40:00"/>
    <n v="21.666666666744277"/>
    <x v="0"/>
    <m/>
    <d v="1899-12-30T11:00:00"/>
    <s v="NO"/>
    <s v="9/26"/>
    <s v="MRSU7235317"/>
    <s v="MSI"/>
    <n v="480"/>
    <e v="#N/A"/>
    <n v="50"/>
    <n v="50"/>
    <n v="4"/>
    <x v="1"/>
    <s v="MSIWEEK"/>
    <n v="530"/>
    <n v="20"/>
    <m/>
    <m/>
    <n v="550"/>
    <n v="70"/>
    <n v="1"/>
    <m/>
  </r>
  <r>
    <s v="MURCIA MAERSK"/>
    <x v="1"/>
    <d v="2026-02-25T13:00:00"/>
    <d v="2026-02-25T12:30:00"/>
    <x v="5"/>
    <s v="MAEU262905346"/>
    <x v="0"/>
    <s v="Sihanoukville"/>
    <s v="MRSU8115234"/>
    <s v="SIMEI LELYSTAD"/>
    <d v="2026-02-26T02:00:00"/>
    <x v="343"/>
    <x v="257"/>
    <d v="2026-02-26T10:50:00"/>
    <x v="0"/>
    <x v="0"/>
    <n v="0"/>
    <x v="8"/>
    <x v="1"/>
    <d v="2026-02-26T10:40:00"/>
    <d v="1899-12-30T13:00:00"/>
    <n v="13.000000000116415"/>
    <x v="0"/>
    <d v="1899-12-30T09:00:00"/>
    <n v="9"/>
    <s v="SI"/>
    <d v="1899-12-30T22:00:00"/>
    <n v="22.000000000116415"/>
    <d v="1899-12-30T00:00:00"/>
    <x v="0"/>
    <n v="0"/>
    <d v="1899-12-30T21:50:00"/>
    <n v="21.833333333430346"/>
    <x v="0"/>
    <m/>
    <d v="1899-12-30T11:00:00"/>
    <s v="NO"/>
    <s v="9/26"/>
    <s v="MRSU8115234"/>
    <s v="OTL"/>
    <n v="530"/>
    <e v="#N/A"/>
    <n v="60"/>
    <n v="0"/>
    <n v="4"/>
    <x v="1"/>
    <s v="OTLWEEK"/>
    <n v="530"/>
    <n v="20"/>
    <m/>
    <m/>
    <n v="550"/>
    <n v="70"/>
    <n v="1"/>
    <m/>
  </r>
  <r>
    <s v="MURCIA MAERSK"/>
    <x v="1"/>
    <d v="2026-02-25T13:00:00"/>
    <d v="2026-02-25T12:30:00"/>
    <x v="5"/>
    <s v="MAEU262905346"/>
    <x v="0"/>
    <s v="Sihanoukville"/>
    <s v="CAIU3534953"/>
    <s v="XPO TALLER LELYSTAD"/>
    <d v="2026-02-26T02:00:00"/>
    <x v="344"/>
    <x v="258"/>
    <d v="2026-02-26T14:20:00"/>
    <x v="0"/>
    <x v="0"/>
    <n v="1"/>
    <x v="8"/>
    <x v="1"/>
    <d v="2026-02-26T15:56:00"/>
    <d v="1899-12-30T13:00:00"/>
    <n v="13.000000000116415"/>
    <x v="0"/>
    <d v="1899-12-30T11:00:00"/>
    <n v="10.999999999883585"/>
    <s v="SI"/>
    <d v="1899-12-31T00:00:00"/>
    <n v="24"/>
    <d v="1899-12-30T02:56:00"/>
    <x v="1"/>
    <n v="2.9333333334652707"/>
    <d v="1899-12-31T01:20:00"/>
    <n v="25.333333333313931"/>
    <x v="0"/>
    <m/>
    <d v="1899-12-30T13:00:00"/>
    <s v="NO"/>
    <s v="9/26"/>
    <s v="CAIU3534953"/>
    <s v="OTL"/>
    <n v="530"/>
    <e v="#N/A"/>
    <n v="60"/>
    <n v="60"/>
    <n v="4"/>
    <x v="1"/>
    <s v="OTLWEEK"/>
    <n v="590"/>
    <n v="20"/>
    <m/>
    <m/>
    <n v="610"/>
    <n v="70"/>
    <n v="1"/>
    <m/>
  </r>
  <r>
    <s v="MURCIA MAERSK"/>
    <x v="1"/>
    <d v="2026-02-25T13:00:00"/>
    <d v="2026-02-25T12:30:00"/>
    <x v="4"/>
    <s v="MAEU262905346"/>
    <x v="0"/>
    <s v="Sihanoukville"/>
    <s v="GCXU5780176"/>
    <s v="SIMEI LELYSTAD"/>
    <d v="2026-02-26T02:00:00"/>
    <x v="345"/>
    <x v="259"/>
    <d v="2026-02-26T14:00:00"/>
    <x v="0"/>
    <x v="0"/>
    <n v="0"/>
    <x v="8"/>
    <x v="1"/>
    <d v="2026-02-26T13:50:00"/>
    <d v="1899-12-30T13:00:00"/>
    <n v="13.000000000116415"/>
    <x v="0"/>
    <d v="1899-12-30T12:00:00"/>
    <n v="12"/>
    <s v="SI"/>
    <d v="1899-12-31T01:00:00"/>
    <n v="25.000000000116415"/>
    <d v="1899-12-30T00:00:00"/>
    <x v="0"/>
    <n v="0"/>
    <d v="1899-12-31T01:00:00"/>
    <n v="25.000000000116415"/>
    <x v="0"/>
    <m/>
    <d v="1899-12-30T14:00:00"/>
    <s v="NO"/>
    <s v="9/26"/>
    <s v="GCXU5780176"/>
    <s v="OM TRANSPORT"/>
    <n v="475"/>
    <e v="#N/A"/>
    <n v="50"/>
    <n v="0"/>
    <n v="4"/>
    <x v="1"/>
    <s v="OM TRANSPORTWEEK"/>
    <n v="475"/>
    <n v="20"/>
    <m/>
    <m/>
    <n v="495"/>
    <n v="70"/>
    <n v="1"/>
    <m/>
  </r>
  <r>
    <s v="MURCIA MAERSK"/>
    <x v="1"/>
    <d v="2026-02-25T13:00:00"/>
    <d v="2026-02-25T12:30:00"/>
    <x v="3"/>
    <s v="MAEU263790519"/>
    <x v="0"/>
    <s v="Haiphong"/>
    <s v="MRKU9452788"/>
    <s v="LELYSTAD"/>
    <d v="2026-02-26T02:00:00"/>
    <x v="346"/>
    <x v="260"/>
    <d v="2026-02-26T14:35:00"/>
    <x v="0"/>
    <x v="0"/>
    <n v="0"/>
    <x v="8"/>
    <x v="1"/>
    <d v="2026-02-26T13:40:00"/>
    <d v="1899-12-30T13:00:00"/>
    <n v="13.000000000116415"/>
    <x v="0"/>
    <d v="1899-12-30T13:00:00"/>
    <n v="12.999999999941792"/>
    <s v="SI"/>
    <d v="1899-12-31T02:00:00"/>
    <n v="26.000000000058208"/>
    <d v="1899-12-30T00:00:00"/>
    <x v="0"/>
    <n v="0"/>
    <d v="1899-12-31T01:35:00"/>
    <n v="25.583333333430346"/>
    <x v="0"/>
    <m/>
    <d v="1899-12-30T15:00:00"/>
    <s v="NO"/>
    <s v="9/26"/>
    <s v="MRKU9452788"/>
    <s v="MSI"/>
    <n v="480"/>
    <e v="#N/A"/>
    <n v="50"/>
    <n v="0"/>
    <n v="4"/>
    <x v="1"/>
    <s v="MSIWEEK"/>
    <n v="480"/>
    <n v="20"/>
    <m/>
    <m/>
    <n v="500"/>
    <n v="70"/>
    <n v="1"/>
    <m/>
  </r>
  <r>
    <s v="MURCIA MAERSK"/>
    <x v="1"/>
    <d v="2026-02-25T13:00:00"/>
    <d v="2026-02-25T12:30:00"/>
    <x v="2"/>
    <s v="MAEU259153954"/>
    <x v="0"/>
    <s v="Shanghai"/>
    <s v="MSKU4708821"/>
    <s v="SIMEI LELYSTAD"/>
    <d v="2026-02-26T02:00:00"/>
    <x v="347"/>
    <x v="261"/>
    <d v="2026-02-26T16:10:00"/>
    <x v="0"/>
    <x v="0"/>
    <n v="2"/>
    <x v="8"/>
    <x v="1"/>
    <d v="2026-02-26T15:53:00"/>
    <d v="1899-12-30T13:00:00"/>
    <n v="13.000000000116415"/>
    <x v="0"/>
    <d v="1899-12-30T14:00:00"/>
    <n v="13.999999999883585"/>
    <s v="SI"/>
    <d v="1899-12-31T03:00:00"/>
    <n v="27"/>
    <d v="1899-12-30T00:00:00"/>
    <x v="0"/>
    <n v="0"/>
    <d v="1899-12-31T03:10:00"/>
    <n v="27.166666666686069"/>
    <x v="0"/>
    <m/>
    <d v="1899-12-30T16:00:00"/>
    <s v="NO"/>
    <s v="9/26"/>
    <s v="MSKU4708821"/>
    <s v="LOGIX"/>
    <n v="550"/>
    <e v="#N/A"/>
    <n v="50"/>
    <n v="100"/>
    <n v="4"/>
    <x v="1"/>
    <s v="LOGIXWEEK"/>
    <n v="650"/>
    <n v="20"/>
    <m/>
    <m/>
    <n v="670"/>
    <n v="70"/>
    <n v="1"/>
    <m/>
  </r>
  <r>
    <s v="MURCIA MAERSK"/>
    <x v="1"/>
    <d v="2026-02-25T13:00:00"/>
    <d v="2026-02-25T12:30:00"/>
    <x v="2"/>
    <s v="MAEU262905346"/>
    <x v="0"/>
    <s v="Sihanoukville"/>
    <s v="TCKU7991263"/>
    <s v="SIMEI LELYSTAD"/>
    <d v="2026-02-26T02:00:00"/>
    <x v="348"/>
    <x v="262"/>
    <d v="2026-02-26T20:05:00"/>
    <x v="0"/>
    <x v="0"/>
    <n v="1"/>
    <x v="8"/>
    <x v="1"/>
    <d v="2026-02-26T19:54:00"/>
    <d v="1899-12-30T13:00:00"/>
    <n v="13.000000000116415"/>
    <x v="0"/>
    <d v="1899-12-30T17:00:00"/>
    <n v="16.999999999883585"/>
    <s v="SI"/>
    <d v="1899-12-31T06:00:00"/>
    <n v="30"/>
    <d v="1899-12-30T00:54:00"/>
    <x v="1"/>
    <n v="0.90000000013969839"/>
    <d v="1899-12-31T07:05:00"/>
    <n v="31.083333333372138"/>
    <x v="0"/>
    <m/>
    <d v="1899-12-30T19:00:00"/>
    <s v="NO"/>
    <s v="9/26"/>
    <s v="TCKU7991263"/>
    <s v="LOGIX"/>
    <n v="550"/>
    <e v="#N/A"/>
    <n v="50"/>
    <n v="50"/>
    <n v="4"/>
    <x v="1"/>
    <s v="LOGIXWEEK"/>
    <n v="600"/>
    <n v="20"/>
    <m/>
    <m/>
    <n v="620"/>
    <n v="70"/>
    <n v="1"/>
    <m/>
  </r>
  <r>
    <s v="MAERSK GENOA"/>
    <x v="0"/>
    <d v="2026-02-26T13:50:00"/>
    <d v="2026-02-26T14:00:00"/>
    <x v="3"/>
    <s v="MAEU263486726"/>
    <x v="0"/>
    <s v="Chittagong"/>
    <s v="CAAU8351485"/>
    <s v="LELYSTAD"/>
    <d v="2026-02-27T07:00:00"/>
    <x v="349"/>
    <x v="263"/>
    <d v="2026-02-27T07:45:00"/>
    <x v="0"/>
    <x v="1"/>
    <n v="0"/>
    <x v="8"/>
    <x v="1"/>
    <d v="2026-02-27T06:42:00"/>
    <d v="1899-12-30T17:10:00"/>
    <n v="17.166666666569654"/>
    <x v="0"/>
    <d v="1899-12-30T00:00:00"/>
    <n v="0"/>
    <s v="SI"/>
    <d v="1899-12-30T17:10:00"/>
    <n v="17.166666666569654"/>
    <d v="1899-12-30T00:00:00"/>
    <x v="0"/>
    <n v="0"/>
    <d v="1899-12-30T17:55:00"/>
    <n v="17.916666666569654"/>
    <x v="0"/>
    <m/>
    <d v="1899-12-30T07:00:00"/>
    <s v="NO"/>
    <s v="9/26"/>
    <s v="CAAU8351485"/>
    <s v="MSI"/>
    <n v="503.5"/>
    <n v="120"/>
    <n v="50"/>
    <n v="0"/>
    <n v="5"/>
    <x v="1"/>
    <s v="MSIWEEK"/>
    <n v="758.5"/>
    <n v="20"/>
    <n v="135"/>
    <s v="07:00 - 11:10"/>
    <n v="778.5"/>
    <n v="70"/>
    <n v="1"/>
    <m/>
  </r>
  <r>
    <s v="MAERSK GENOA"/>
    <x v="0"/>
    <d v="2026-02-26T13:50:00"/>
    <d v="2026-02-26T14:00:00"/>
    <x v="3"/>
    <s v="MAEU263259849"/>
    <x v="0"/>
    <s v="Chittagong"/>
    <s v="FCIU8378487"/>
    <s v="LELYSTAD"/>
    <d v="2026-02-27T07:00:00"/>
    <x v="350"/>
    <x v="263"/>
    <d v="2026-02-27T07:48:00"/>
    <x v="0"/>
    <x v="0"/>
    <n v="0"/>
    <x v="8"/>
    <x v="1"/>
    <d v="2026-02-27T07:15:00"/>
    <d v="1899-12-30T17:10:00"/>
    <n v="17.166666666569654"/>
    <x v="0"/>
    <d v="1899-12-30T00:00:00"/>
    <n v="0"/>
    <s v="SI"/>
    <d v="1899-12-30T17:10:00"/>
    <n v="17.166666666569654"/>
    <d v="1899-12-30T00:15:00"/>
    <x v="0"/>
    <n v="0.25000000011641532"/>
    <d v="1899-12-30T17:58:00"/>
    <n v="17.966666666558012"/>
    <x v="0"/>
    <m/>
    <d v="1899-12-30T07:00:00"/>
    <s v="NO"/>
    <s v="9/26"/>
    <s v="FCIU8378487"/>
    <s v="MSI"/>
    <n v="503.5"/>
    <e v="#N/A"/>
    <n v="50"/>
    <n v="0"/>
    <n v="5"/>
    <x v="1"/>
    <s v="MSIWEEK"/>
    <n v="653.5"/>
    <n v="20"/>
    <n v="150"/>
    <s v="07:00 - 11:30"/>
    <n v="673.5"/>
    <n v="70"/>
    <n v="1"/>
    <m/>
  </r>
  <r>
    <s v="MAERSK GENOA"/>
    <x v="0"/>
    <d v="2026-02-26T13:50:00"/>
    <d v="2026-02-26T14:00:00"/>
    <x v="3"/>
    <s v="MAEU263257242"/>
    <x v="0"/>
    <s v="Chittagong"/>
    <s v="TCNU6281810"/>
    <s v="SIMEI LELYSTAD"/>
    <d v="2026-02-27T07:00:00"/>
    <x v="351"/>
    <x v="263"/>
    <d v="2026-02-27T06:55:00"/>
    <x v="0"/>
    <x v="0"/>
    <n v="2"/>
    <x v="8"/>
    <x v="1"/>
    <d v="2026-02-27T06:44:00"/>
    <d v="1899-12-30T17:10:00"/>
    <n v="17.166666666569654"/>
    <x v="0"/>
    <d v="1899-12-30T00:00:00"/>
    <n v="0"/>
    <s v="SI"/>
    <d v="1899-12-30T17:10:00"/>
    <n v="17.166666666569654"/>
    <d v="1899-12-30T00:00:00"/>
    <x v="0"/>
    <n v="0"/>
    <d v="1899-12-30T17:05:00"/>
    <n v="17.083333333313931"/>
    <x v="0"/>
    <m/>
    <d v="1899-12-30T07:00:00"/>
    <s v="NO"/>
    <s v="9/26"/>
    <s v="TCNU6281810"/>
    <s v="MSI"/>
    <n v="503.5"/>
    <e v="#N/A"/>
    <n v="50"/>
    <n v="100"/>
    <n v="5"/>
    <x v="1"/>
    <s v="MSIWEEK"/>
    <n v="708.5"/>
    <n v="20"/>
    <n v="105"/>
    <s v="07:00 - 12:45"/>
    <n v="728.5"/>
    <n v="70"/>
    <n v="1"/>
    <m/>
  </r>
  <r>
    <s v="MAERSK GENOA"/>
    <x v="0"/>
    <d v="2026-02-26T13:50:00"/>
    <d v="2026-02-26T14:00:00"/>
    <x v="5"/>
    <s v="HLCUDA1260110078"/>
    <x v="1"/>
    <s v="Chittagong"/>
    <s v="UACU5785953"/>
    <s v="SIMEI LELYSTAD"/>
    <d v="2026-02-27T07:00:00"/>
    <x v="352"/>
    <x v="263"/>
    <d v="2026-02-27T08:10:00"/>
    <x v="0"/>
    <x v="0"/>
    <n v="0"/>
    <x v="8"/>
    <x v="1"/>
    <d v="2026-02-27T08:00:00"/>
    <d v="1899-12-30T17:10:00"/>
    <n v="17.166666666569654"/>
    <x v="0"/>
    <d v="1899-12-30T00:00:00"/>
    <n v="0"/>
    <s v="SI"/>
    <d v="1899-12-30T17:10:00"/>
    <n v="17.166666666569654"/>
    <d v="1899-12-30T01:00:00"/>
    <x v="1"/>
    <n v="1.0000000001164153"/>
    <d v="1899-12-30T18:20:00"/>
    <n v="18.333333333372138"/>
    <x v="0"/>
    <m/>
    <d v="1899-12-30T07:00:00"/>
    <s v="NO"/>
    <s v="9/26"/>
    <s v="UACU5785953"/>
    <s v="OTL"/>
    <n v="553.5"/>
    <e v="#N/A"/>
    <n v="60"/>
    <n v="0"/>
    <n v="5"/>
    <x v="1"/>
    <s v="OTLWEEK"/>
    <n v="553.5"/>
    <n v="20"/>
    <m/>
    <m/>
    <n v="573.5"/>
    <n v="70"/>
    <n v="1"/>
    <m/>
  </r>
  <r>
    <s v="MAERSK GENOA"/>
    <x v="0"/>
    <d v="2026-02-26T13:50:00"/>
    <d v="2026-02-26T14:00:00"/>
    <x v="3"/>
    <s v="MAEU263486885"/>
    <x v="0"/>
    <s v="Chittagong"/>
    <s v="GAOU7270879"/>
    <s v="LELYSTAD"/>
    <d v="2026-02-27T07:00:00"/>
    <x v="353"/>
    <x v="264"/>
    <d v="2026-02-27T07:45:00"/>
    <x v="0"/>
    <x v="1"/>
    <n v="0"/>
    <x v="8"/>
    <x v="1"/>
    <d v="2026-02-27T07:06:00"/>
    <d v="1899-12-30T17:10:00"/>
    <n v="17.166666666569654"/>
    <x v="0"/>
    <d v="1899-12-30T01:00:00"/>
    <n v="1.0000000001164153"/>
    <s v="SI"/>
    <d v="1899-12-30T18:10:00"/>
    <n v="18.166666666686069"/>
    <d v="1899-12-30T00:00:00"/>
    <x v="0"/>
    <n v="0"/>
    <d v="1899-12-30T17:55:00"/>
    <n v="17.916666666569654"/>
    <x v="0"/>
    <m/>
    <d v="1899-12-30T08:00:00"/>
    <s v="NO"/>
    <s v="9/26"/>
    <s v="GAOU7270879"/>
    <s v="MSI"/>
    <n v="503.5"/>
    <n v="120"/>
    <n v="50"/>
    <n v="0"/>
    <n v="5"/>
    <x v="1"/>
    <s v="MSIWEEK"/>
    <n v="698.5"/>
    <n v="20"/>
    <n v="75"/>
    <s v="08:00 - 11:15"/>
    <n v="718.5"/>
    <n v="70"/>
    <n v="1"/>
    <m/>
  </r>
  <r>
    <s v="MAERSK GENOA"/>
    <x v="0"/>
    <d v="2026-02-26T13:50:00"/>
    <d v="2026-02-26T14:00:00"/>
    <x v="2"/>
    <s v="MAEU263259849"/>
    <x v="0"/>
    <s v="Chittagong"/>
    <s v="MRKU2866195"/>
    <s v="XPO TALLER LELYSTAD"/>
    <d v="2026-02-27T07:00:00"/>
    <x v="354"/>
    <x v="265"/>
    <d v="2026-02-27T09:05:00"/>
    <x v="0"/>
    <x v="0"/>
    <n v="0"/>
    <x v="8"/>
    <x v="1"/>
    <d v="2026-02-27T09:00:00"/>
    <d v="1899-12-30T17:10:00"/>
    <n v="17.166666666569654"/>
    <x v="0"/>
    <d v="1899-12-30T02:00:00"/>
    <n v="2.0000000000582077"/>
    <s v="SI"/>
    <d v="1899-12-30T19:10:00"/>
    <n v="19.166666666627862"/>
    <d v="1899-12-30T00:00:00"/>
    <x v="0"/>
    <n v="0"/>
    <d v="1899-12-30T19:15:00"/>
    <n v="19.249999999883585"/>
    <x v="0"/>
    <m/>
    <d v="1899-12-30T09:00:00"/>
    <s v="NO"/>
    <s v="9/26"/>
    <s v="MRKU2866195"/>
    <s v="LOGIX"/>
    <n v="573.5"/>
    <e v="#N/A"/>
    <n v="50"/>
    <n v="0"/>
    <n v="5"/>
    <x v="1"/>
    <s v="LOGIXWEEK"/>
    <n v="573.5"/>
    <n v="20"/>
    <m/>
    <m/>
    <n v="593.5"/>
    <n v="70"/>
    <n v="1"/>
    <m/>
  </r>
  <r>
    <s v="MAERSK GENOA"/>
    <x v="0"/>
    <d v="2026-02-26T13:50:00"/>
    <d v="2026-02-26T14:00:00"/>
    <x v="4"/>
    <s v="MAEU263486726"/>
    <x v="0"/>
    <s v="Chittagong"/>
    <s v="MRSU5439100"/>
    <s v="LELYSTAD"/>
    <d v="2026-02-27T07:00:00"/>
    <x v="355"/>
    <x v="265"/>
    <d v="2026-02-27T09:20:00"/>
    <x v="0"/>
    <x v="1"/>
    <n v="0"/>
    <x v="8"/>
    <x v="1"/>
    <d v="2026-02-27T08:51:00"/>
    <d v="1899-12-30T17:10:00"/>
    <n v="17.166666666569654"/>
    <x v="0"/>
    <d v="1899-12-30T02:00:00"/>
    <n v="2.0000000000582077"/>
    <s v="SI"/>
    <d v="1899-12-30T19:10:00"/>
    <n v="19.166666666627862"/>
    <d v="1899-12-30T00:00:00"/>
    <x v="0"/>
    <n v="0"/>
    <d v="1899-12-30T19:30:00"/>
    <n v="19.5"/>
    <x v="0"/>
    <m/>
    <d v="1899-12-30T09:00:00"/>
    <s v="NO"/>
    <s v="9/26"/>
    <s v="MRSU5439100"/>
    <s v="OM TRANSPORT"/>
    <n v="498.5"/>
    <n v="110"/>
    <n v="50"/>
    <n v="0"/>
    <n v="5"/>
    <x v="1"/>
    <s v="OM TRANSPORTWEEK"/>
    <n v="608.5"/>
    <n v="20"/>
    <m/>
    <m/>
    <n v="628.5"/>
    <n v="70"/>
    <n v="1"/>
    <m/>
  </r>
  <r>
    <s v="MAERSK GENOA"/>
    <x v="0"/>
    <d v="2026-02-26T13:50:00"/>
    <d v="2026-02-26T14:00:00"/>
    <x v="2"/>
    <s v="MAEU263259849"/>
    <x v="0"/>
    <s v="Chittagong"/>
    <s v="UETU6640049"/>
    <s v="SIMEI LELYSTAD"/>
    <d v="2026-02-27T07:00:00"/>
    <x v="356"/>
    <x v="265"/>
    <d v="2026-02-27T11:45:00"/>
    <x v="0"/>
    <x v="0"/>
    <n v="0"/>
    <x v="8"/>
    <x v="1"/>
    <d v="2026-02-27T11:25:00"/>
    <d v="1899-12-30T17:10:00"/>
    <n v="17.166666666569654"/>
    <x v="0"/>
    <d v="1899-12-30T02:00:00"/>
    <n v="2.0000000000582077"/>
    <s v="SI"/>
    <d v="1899-12-30T19:10:00"/>
    <n v="19.166666666627862"/>
    <d v="1899-12-30T02:25:00"/>
    <x v="1"/>
    <n v="2.4166666666860692"/>
    <d v="1899-12-30T21:55:00"/>
    <n v="21.916666666686069"/>
    <x v="0"/>
    <m/>
    <d v="1899-12-30T09:00:00"/>
    <s v="NO"/>
    <s v="9/26"/>
    <s v="UETU6640049"/>
    <s v="LOGIX"/>
    <n v="573.5"/>
    <e v="#N/A"/>
    <n v="50"/>
    <n v="0"/>
    <n v="5"/>
    <x v="1"/>
    <s v="LOGIXWEEK"/>
    <n v="573.5"/>
    <n v="20"/>
    <m/>
    <m/>
    <n v="593.5"/>
    <n v="70"/>
    <n v="1"/>
    <m/>
  </r>
  <r>
    <s v="MAERSK GENOA"/>
    <x v="0"/>
    <d v="2026-02-26T13:50:00"/>
    <d v="2026-02-26T14:00:00"/>
    <x v="4"/>
    <s v="MAEU263486726"/>
    <x v="0"/>
    <s v="Chittagong"/>
    <s v="MRSU4326558"/>
    <s v="LELYSTAD"/>
    <d v="2026-02-27T07:00:00"/>
    <x v="357"/>
    <x v="266"/>
    <d v="2026-02-27T12:10:00"/>
    <x v="0"/>
    <x v="1"/>
    <n v="0"/>
    <x v="8"/>
    <x v="1"/>
    <d v="2026-02-26T11:00:00"/>
    <d v="1899-12-30T17:10:00"/>
    <n v="17.166666666569654"/>
    <x v="0"/>
    <d v="1899-12-30T04:00:00"/>
    <n v="4.0000000001164153"/>
    <s v="SI"/>
    <d v="1899-12-30T21:10:00"/>
    <n v="21.166666666686069"/>
    <d v="1899-12-30T00:00:00"/>
    <x v="0"/>
    <n v="0"/>
    <d v="1899-12-30T22:20:00"/>
    <n v="22.333333333313931"/>
    <x v="0"/>
    <m/>
    <d v="1899-12-30T11:00:00"/>
    <s v="NO"/>
    <s v="9/26"/>
    <s v="MRSU4326558"/>
    <s v="OM TRANSPORT"/>
    <n v="498.5"/>
    <n v="110"/>
    <n v="50"/>
    <n v="0"/>
    <n v="5"/>
    <x v="1"/>
    <s v="OM TRANSPORTWEEK"/>
    <n v="608.5"/>
    <n v="20"/>
    <m/>
    <m/>
    <n v="628.5"/>
    <n v="70"/>
    <n v="1"/>
    <m/>
  </r>
  <r>
    <s v="MAERSK GENOA"/>
    <x v="0"/>
    <d v="2026-02-26T13:50:00"/>
    <d v="2026-02-26T14:00:00"/>
    <x v="3"/>
    <s v="MAEU263259849"/>
    <x v="0"/>
    <s v="Chittagong"/>
    <s v="MSKU5554593"/>
    <s v="SIMEI LELYSTAD"/>
    <d v="2026-02-27T07:00:00"/>
    <x v="358"/>
    <x v="266"/>
    <d v="2026-02-27T11:00:00"/>
    <x v="0"/>
    <x v="0"/>
    <n v="0"/>
    <x v="8"/>
    <x v="1"/>
    <d v="2026-02-27T10:43:00"/>
    <d v="1899-12-30T17:10:00"/>
    <n v="17.166666666569654"/>
    <x v="0"/>
    <d v="1899-12-30T04:00:00"/>
    <n v="4.0000000001164153"/>
    <s v="SI"/>
    <d v="1899-12-30T21:10:00"/>
    <n v="21.166666666686069"/>
    <d v="1899-12-30T00:00:00"/>
    <x v="0"/>
    <n v="0"/>
    <d v="1899-12-30T21:10:00"/>
    <n v="21.166666666686069"/>
    <x v="0"/>
    <m/>
    <d v="1899-12-30T11:00:00"/>
    <s v="NO"/>
    <s v="9/26"/>
    <s v="MSKU5554593"/>
    <s v="MSI"/>
    <n v="503.5"/>
    <e v="#N/A"/>
    <n v="50"/>
    <n v="0"/>
    <n v="5"/>
    <x v="1"/>
    <s v="MSIWEEK"/>
    <n v="503.5"/>
    <n v="20"/>
    <m/>
    <m/>
    <n v="523.5"/>
    <n v="70"/>
    <n v="1"/>
    <m/>
  </r>
  <r>
    <s v="MAERSK GENOA"/>
    <x v="0"/>
    <d v="2026-02-26T13:50:00"/>
    <d v="2026-02-26T14:00:00"/>
    <x v="4"/>
    <s v="HLCUDA1260110078"/>
    <x v="1"/>
    <s v="Chittagong"/>
    <s v="UACU5825953"/>
    <s v="SIMEI LELYSTAD"/>
    <d v="2026-02-27T07:00:00"/>
    <x v="359"/>
    <x v="266"/>
    <d v="2026-02-27T11:25:00"/>
    <x v="0"/>
    <x v="0"/>
    <n v="1"/>
    <x v="8"/>
    <x v="1"/>
    <d v="2026-02-27T11:10:00"/>
    <d v="1899-12-30T17:10:00"/>
    <n v="17.166666666569654"/>
    <x v="0"/>
    <d v="1899-12-30T04:00:00"/>
    <n v="4.0000000001164153"/>
    <s v="SI"/>
    <d v="1899-12-30T21:10:00"/>
    <n v="21.166666666686069"/>
    <d v="1899-12-30T00:10:00"/>
    <x v="0"/>
    <n v="0.16666666668606922"/>
    <d v="1899-12-30T21:35:00"/>
    <n v="21.583333333313931"/>
    <x v="0"/>
    <m/>
    <d v="1899-12-30T11:00:00"/>
    <s v="NO"/>
    <s v="9/26"/>
    <s v="UACU5825953"/>
    <s v="OM TRANSPORT"/>
    <n v="498.5"/>
    <e v="#N/A"/>
    <n v="50"/>
    <n v="50"/>
    <n v="5"/>
    <x v="1"/>
    <s v="OM TRANSPORTWEEK"/>
    <n v="548.5"/>
    <n v="20"/>
    <m/>
    <m/>
    <n v="568.5"/>
    <n v="70"/>
    <n v="1"/>
    <m/>
  </r>
  <r>
    <s v="MAERSK GENOA"/>
    <x v="0"/>
    <d v="2026-02-26T13:50:00"/>
    <d v="2026-02-26T14:00:00"/>
    <x v="5"/>
    <s v="MAEU263257242"/>
    <x v="0"/>
    <s v="Chittagong"/>
    <s v="TCNU2576407"/>
    <s v="SIMEI LELYSTAD"/>
    <d v="2026-02-27T07:00:00"/>
    <x v="360"/>
    <x v="267"/>
    <d v="2026-02-27T15:05:00"/>
    <x v="0"/>
    <x v="0"/>
    <n v="0"/>
    <x v="8"/>
    <x v="1"/>
    <d v="2026-02-27T14:55:00"/>
    <d v="1899-12-30T17:10:00"/>
    <n v="17.166666666569654"/>
    <x v="0"/>
    <d v="1899-12-30T06:00:00"/>
    <n v="6"/>
    <s v="SI"/>
    <d v="1899-12-30T23:10:00"/>
    <n v="23.166666666569654"/>
    <d v="1899-12-30T01:55:00"/>
    <x v="1"/>
    <n v="1.9166666668024845"/>
    <d v="1899-12-31T01:15:00"/>
    <n v="25.249999999883585"/>
    <x v="0"/>
    <m/>
    <d v="1899-12-30T13:00:00"/>
    <s v="NO"/>
    <s v="9/26"/>
    <s v="TCNU2576407"/>
    <s v="OTL"/>
    <n v="553.5"/>
    <e v="#N/A"/>
    <n v="60"/>
    <n v="0"/>
    <n v="5"/>
    <x v="1"/>
    <s v="OTLWEEK"/>
    <n v="553.5"/>
    <n v="20"/>
    <m/>
    <m/>
    <n v="573.5"/>
    <n v="70"/>
    <n v="1"/>
    <m/>
  </r>
  <r>
    <s v="MAERSK GENOA"/>
    <x v="0"/>
    <d v="2026-02-26T13:50:00"/>
    <d v="2026-02-26T14:00:00"/>
    <x v="3"/>
    <s v="MAEU263486726"/>
    <x v="0"/>
    <s v="Chittagong"/>
    <s v="UETU6676798"/>
    <s v="LELYSTAD"/>
    <d v="2026-02-27T07:00:00"/>
    <x v="361"/>
    <x v="267"/>
    <d v="2026-02-27T13:00:00"/>
    <x v="0"/>
    <x v="1"/>
    <n v="0"/>
    <x v="8"/>
    <x v="1"/>
    <d v="2026-02-27T11:32:00"/>
    <d v="1899-12-30T17:10:00"/>
    <n v="17.166666666569654"/>
    <x v="0"/>
    <d v="1899-12-30T06:00:00"/>
    <n v="6"/>
    <s v="SI"/>
    <d v="1899-12-30T23:10:00"/>
    <n v="23.166666666569654"/>
    <d v="1899-12-30T00:00:00"/>
    <x v="0"/>
    <n v="0"/>
    <d v="1899-12-30T23:10:00"/>
    <n v="23.166666666569654"/>
    <x v="0"/>
    <m/>
    <d v="1899-12-30T13:00:00"/>
    <s v="NO"/>
    <s v="9/26"/>
    <s v="UETU6676798"/>
    <s v="MSI"/>
    <n v="503.5"/>
    <n v="120"/>
    <n v="50"/>
    <n v="0"/>
    <n v="5"/>
    <x v="1"/>
    <s v="MSIWEEK"/>
    <n v="818.5"/>
    <n v="20"/>
    <n v="195"/>
    <s v="13:00 - 18:15"/>
    <n v="838.5"/>
    <n v="70"/>
    <n v="1"/>
    <m/>
  </r>
  <r>
    <s v="MAERSK GENOA"/>
    <x v="0"/>
    <d v="2026-02-26T13:50:00"/>
    <d v="2026-02-26T14:00:00"/>
    <x v="5"/>
    <s v="MAEU263259849"/>
    <x v="0"/>
    <s v="Chittagong"/>
    <s v="TRHU4519246"/>
    <s v="LELYSTAD"/>
    <d v="2026-02-27T07:00:00"/>
    <x v="362"/>
    <x v="268"/>
    <d v="2026-02-27T15:08:00"/>
    <x v="0"/>
    <x v="0"/>
    <n v="0"/>
    <x v="8"/>
    <x v="1"/>
    <d v="2026-02-27T14:00:00"/>
    <d v="1899-12-30T17:10:00"/>
    <n v="17.166666666569654"/>
    <x v="0"/>
    <d v="1899-12-30T07:00:00"/>
    <n v="7.0000000001164153"/>
    <s v="SI"/>
    <d v="1899-12-31T00:10:00"/>
    <n v="24.166666666686069"/>
    <d v="1899-12-30T00:00:00"/>
    <x v="0"/>
    <n v="0"/>
    <d v="1899-12-31T01:18:00"/>
    <n v="25.300000000046566"/>
    <x v="0"/>
    <m/>
    <d v="1899-12-30T14:00:00"/>
    <s v="NO"/>
    <s v="9/26"/>
    <s v="TRHU4519246"/>
    <s v="OTL"/>
    <n v="553.5"/>
    <e v="#N/A"/>
    <n v="60"/>
    <n v="0"/>
    <n v="5"/>
    <x v="1"/>
    <s v="OTLWEEK"/>
    <n v="553.5"/>
    <n v="20"/>
    <m/>
    <m/>
    <n v="573.5"/>
    <n v="70"/>
    <n v="1"/>
    <m/>
  </r>
  <r>
    <s v="MAERSK GENOA"/>
    <x v="0"/>
    <d v="2026-02-26T13:50:00"/>
    <d v="2026-02-26T14:00:00"/>
    <x v="4"/>
    <s v="MAEU263486726"/>
    <x v="0"/>
    <s v="Chittagong"/>
    <s v="TCKU7090199"/>
    <s v="LELYSTAD"/>
    <d v="2026-02-27T07:00:00"/>
    <x v="363"/>
    <x v="269"/>
    <d v="2026-02-27T17:00:00"/>
    <x v="0"/>
    <x v="1"/>
    <n v="0"/>
    <x v="8"/>
    <x v="1"/>
    <d v="2026-02-27T15:45:00"/>
    <d v="1899-12-30T17:10:00"/>
    <n v="17.166666666569654"/>
    <x v="0"/>
    <d v="1899-12-30T08:45:00"/>
    <n v="8.7500000000582077"/>
    <s v="SI"/>
    <d v="1899-12-31T01:55:00"/>
    <n v="25.916666666627862"/>
    <d v="1899-12-30T00:00:00"/>
    <x v="0"/>
    <n v="0"/>
    <d v="1899-12-31T03:10:00"/>
    <n v="27.166666666686069"/>
    <x v="0"/>
    <m/>
    <d v="1899-12-30T15:45:00"/>
    <s v="NO"/>
    <s v="9/26"/>
    <s v="TCKU7090199"/>
    <s v="OM TRANSPORT"/>
    <n v="498.5"/>
    <n v="110"/>
    <n v="50"/>
    <n v="0"/>
    <n v="5"/>
    <x v="1"/>
    <s v="OM TRANSPORTWEEK"/>
    <n v="608.5"/>
    <n v="20"/>
    <m/>
    <m/>
    <n v="628.5"/>
    <n v="70"/>
    <n v="1"/>
    <m/>
  </r>
  <r>
    <s v="MAERSK GENOA"/>
    <x v="0"/>
    <d v="2026-02-26T13:50:00"/>
    <d v="2026-02-26T14:00:00"/>
    <x v="4"/>
    <s v="HLCUDA1260110078"/>
    <x v="1"/>
    <s v="Chittagong"/>
    <s v="HLBU1776550"/>
    <s v="SIMEI LELYSTAD"/>
    <d v="2026-02-27T07:00:00"/>
    <x v="364"/>
    <x v="270"/>
    <d v="2026-02-27T19:25:00"/>
    <x v="0"/>
    <x v="0"/>
    <n v="2"/>
    <x v="8"/>
    <x v="1"/>
    <d v="2026-02-27T17:42:00"/>
    <d v="1899-12-30T17:10:00"/>
    <n v="17.166666666569654"/>
    <x v="0"/>
    <d v="1899-12-30T09:00:00"/>
    <n v="9"/>
    <s v="SI"/>
    <d v="1899-12-31T02:10:00"/>
    <n v="26.166666666569654"/>
    <d v="1899-12-30T01:42:00"/>
    <x v="1"/>
    <n v="1.7000000001280569"/>
    <d v="1899-12-31T05:35:00"/>
    <n v="29.583333333372138"/>
    <x v="0"/>
    <m/>
    <d v="1899-12-30T16:00:00"/>
    <s v="NO"/>
    <s v="9/26"/>
    <s v="HLBU1776550"/>
    <s v="OM TRANSPORT"/>
    <n v="498.5"/>
    <e v="#N/A"/>
    <n v="50"/>
    <n v="100"/>
    <n v="5"/>
    <x v="1"/>
    <s v="OM TRANSPORTWEEK"/>
    <n v="598.5"/>
    <n v="20"/>
    <m/>
    <m/>
    <n v="618.5"/>
    <n v="70"/>
    <n v="1"/>
    <m/>
  </r>
  <r>
    <s v="MAERSK GENOA"/>
    <x v="0"/>
    <d v="2026-02-26T13:50:00"/>
    <d v="2026-02-26T14:00:00"/>
    <x v="2"/>
    <s v="MAEU263259849"/>
    <x v="0"/>
    <s v="Chittagong"/>
    <s v="TCNU5280682"/>
    <s v="LELYSTAD"/>
    <d v="2026-02-27T07:00:00"/>
    <x v="365"/>
    <x v="270"/>
    <d v="2026-02-27T13:25:00"/>
    <x v="0"/>
    <x v="0"/>
    <n v="0"/>
    <x v="8"/>
    <x v="1"/>
    <d v="2026-02-27T12:54:00"/>
    <d v="1899-12-30T17:10:00"/>
    <n v="17.166666666569654"/>
    <x v="0"/>
    <d v="1899-12-30T09:00:00"/>
    <n v="9"/>
    <s v="SI"/>
    <d v="1899-12-31T02:10:00"/>
    <n v="26.166666666569654"/>
    <d v="1899-12-30T00:00:00"/>
    <x v="0"/>
    <n v="0"/>
    <d v="1899-12-30T23:35:00"/>
    <n v="23.583333333372138"/>
    <x v="0"/>
    <m/>
    <d v="1899-12-30T16:00:00"/>
    <s v="NO"/>
    <s v="9/26"/>
    <s v="TCNU5280682"/>
    <s v="LOGIX"/>
    <n v="573.5"/>
    <e v="#N/A"/>
    <n v="50"/>
    <n v="0"/>
    <n v="5"/>
    <x v="1"/>
    <s v="LOGIXWEEK"/>
    <n v="573.5"/>
    <n v="20"/>
    <m/>
    <m/>
    <n v="593.5"/>
    <n v="70"/>
    <n v="1"/>
    <m/>
  </r>
  <r>
    <s v="MAERSK GENOA"/>
    <x v="0"/>
    <d v="2026-02-26T13:50:00"/>
    <d v="2026-02-26T14:00:00"/>
    <x v="2"/>
    <s v="HLCUDA1260110078"/>
    <x v="1"/>
    <s v="Chittagong"/>
    <s v="UACU8482375"/>
    <s v="SIMEI LELYSTAD"/>
    <d v="2026-02-27T07:00:00"/>
    <x v="366"/>
    <x v="270"/>
    <d v="2026-02-27T20:05:00"/>
    <x v="0"/>
    <x v="0"/>
    <n v="0"/>
    <x v="8"/>
    <x v="1"/>
    <d v="2026-02-27T19:45:00"/>
    <d v="1899-12-30T17:10:00"/>
    <n v="17.166666666569654"/>
    <x v="0"/>
    <d v="1899-12-30T09:00:00"/>
    <n v="9"/>
    <s v="SI"/>
    <d v="1899-12-31T02:10:00"/>
    <n v="26.166666666569654"/>
    <d v="1899-12-30T03:45:00"/>
    <x v="1"/>
    <n v="3.75"/>
    <d v="1899-12-31T06:15:00"/>
    <n v="30.249999999941792"/>
    <x v="0"/>
    <m/>
    <d v="1899-12-30T16:00:00"/>
    <s v="NO"/>
    <s v="9/26"/>
    <s v="UACU8482375"/>
    <s v="LOGIX"/>
    <n v="573.5"/>
    <e v="#N/A"/>
    <n v="50"/>
    <n v="0"/>
    <n v="5"/>
    <x v="1"/>
    <s v="LOGIXWEEK"/>
    <n v="573.5"/>
    <n v="20"/>
    <m/>
    <m/>
    <n v="593.5"/>
    <n v="70"/>
    <n v="1"/>
    <m/>
  </r>
  <r>
    <s v="MAERSK GENOA"/>
    <x v="0"/>
    <d v="2026-02-26T13:50:00"/>
    <d v="2026-02-26T14:00:00"/>
    <x v="3"/>
    <s v="MAEU263486726"/>
    <x v="0"/>
    <s v="Chittagong"/>
    <s v="MRSU6072730"/>
    <s v="LELYSTAD"/>
    <d v="2026-02-27T07:00:00"/>
    <x v="367"/>
    <x v="271"/>
    <d v="2026-02-27T18:30:00"/>
    <x v="0"/>
    <x v="1"/>
    <n v="0"/>
    <x v="8"/>
    <x v="1"/>
    <d v="2026-02-27T16:18:00"/>
    <d v="1899-12-30T17:10:00"/>
    <n v="17.166666666569654"/>
    <x v="0"/>
    <d v="1899-12-30T10:00:00"/>
    <n v="10.000000000116415"/>
    <s v="SI"/>
    <d v="1899-12-31T03:10:00"/>
    <n v="27.166666666686069"/>
    <d v="1899-12-30T00:00:00"/>
    <x v="0"/>
    <n v="0"/>
    <d v="1899-12-31T04:40:00"/>
    <n v="28.666666666686069"/>
    <x v="0"/>
    <m/>
    <d v="1899-12-30T17:00:00"/>
    <s v="NO"/>
    <s v="9/26"/>
    <s v="MRSU6072730"/>
    <s v="MSI"/>
    <n v="503.5"/>
    <n v="120"/>
    <n v="50"/>
    <n v="0"/>
    <n v="5"/>
    <x v="1"/>
    <s v="MSIWEEK"/>
    <n v="773.5"/>
    <n v="20"/>
    <n v="150"/>
    <s v="17:00 - 21:30"/>
    <n v="793.5"/>
    <n v="70"/>
    <n v="1"/>
    <m/>
  </r>
  <r>
    <s v="MAERSK GENOA"/>
    <x v="0"/>
    <d v="2026-02-26T13:50:00"/>
    <d v="2026-02-26T14:00:00"/>
    <x v="2"/>
    <s v="MAEU263259849"/>
    <x v="0"/>
    <s v="Chittagong"/>
    <s v="HASU4953413"/>
    <s v="LELYSTAD"/>
    <d v="2026-02-27T07:00:00"/>
    <x v="368"/>
    <x v="272"/>
    <d v="2026-02-27T21:00:00"/>
    <x v="0"/>
    <x v="0"/>
    <n v="0"/>
    <x v="8"/>
    <x v="1"/>
    <d v="2026-02-27T20:53:00"/>
    <d v="1899-12-30T17:10:00"/>
    <n v="17.166666666569654"/>
    <x v="0"/>
    <d v="1899-12-30T11:00:00"/>
    <n v="11.000000000058208"/>
    <s v="SI"/>
    <d v="1899-12-31T04:10:00"/>
    <n v="28.166666666627862"/>
    <d v="1899-12-30T02:53:00"/>
    <x v="1"/>
    <n v="2.8833333333022892"/>
    <d v="1899-12-31T07:10:00"/>
    <n v="31.166666666627862"/>
    <x v="0"/>
    <m/>
    <d v="1899-12-30T18:00:00"/>
    <s v="NO"/>
    <s v="9/26"/>
    <s v="HASU4953413"/>
    <s v="LOGIX"/>
    <n v="573.5"/>
    <e v="#N/A"/>
    <n v="50"/>
    <n v="0"/>
    <n v="5"/>
    <x v="1"/>
    <s v="LOGIXWEEK"/>
    <n v="573.5"/>
    <n v="20"/>
    <m/>
    <m/>
    <n v="593.5"/>
    <n v="70"/>
    <n v="1"/>
    <m/>
  </r>
  <r>
    <s v="MAERSK GENOA"/>
    <x v="0"/>
    <d v="2026-02-26T13:50:00"/>
    <d v="2026-02-26T14:00:00"/>
    <x v="4"/>
    <s v="MAEU263486885"/>
    <x v="0"/>
    <s v="Chittagong"/>
    <s v="GCXU5783200"/>
    <s v="LELYSTAD"/>
    <d v="2026-02-27T07:00:00"/>
    <x v="364"/>
    <x v="273"/>
    <d v="2026-02-27T17:42:00"/>
    <x v="0"/>
    <x v="1"/>
    <n v="0"/>
    <x v="8"/>
    <x v="1"/>
    <d v="2026-02-27T17:42:00"/>
    <d v="1899-12-30T17:10:00"/>
    <n v="17.166666666569654"/>
    <x v="0"/>
    <d v="1899-12-30T12:00:00"/>
    <n v="12"/>
    <s v="SI"/>
    <d v="1899-12-31T05:10:00"/>
    <n v="29.166666666569654"/>
    <d v="1899-12-30T00:00:00"/>
    <x v="0"/>
    <n v="0"/>
    <d v="1899-12-31T03:52:00"/>
    <n v="27.866666666697711"/>
    <x v="0"/>
    <m/>
    <d v="1899-12-30T19:00:00"/>
    <s v="NO"/>
    <s v="9/26"/>
    <s v="GCXU5783200"/>
    <s v="OM TRANSPORT"/>
    <n v="498.5"/>
    <n v="110"/>
    <n v="50"/>
    <n v="0"/>
    <n v="5"/>
    <x v="1"/>
    <s v="OM TRANSPORTWEEK"/>
    <n v="608.5"/>
    <n v="20"/>
    <m/>
    <m/>
    <n v="628.5"/>
    <n v="70"/>
    <n v="1"/>
    <m/>
  </r>
  <r>
    <s v="MAERSK GENOA"/>
    <x v="0"/>
    <d v="2026-02-26T13:50:00"/>
    <d v="2026-02-26T14:00:00"/>
    <x v="5"/>
    <s v="HLCUDA1260110078"/>
    <x v="1"/>
    <s v="Chittagong"/>
    <s v="CAAU5545764"/>
    <s v="LELYSTAD"/>
    <d v="2026-02-27T07:00:00"/>
    <x v="369"/>
    <x v="274"/>
    <d v="2026-02-27T18:40:00"/>
    <x v="0"/>
    <x v="0"/>
    <n v="0"/>
    <x v="8"/>
    <x v="1"/>
    <d v="2026-02-27T18:40:00"/>
    <d v="1899-12-30T17:10:00"/>
    <n v="17.166666666569654"/>
    <x v="0"/>
    <d v="1899-12-30T13:00:00"/>
    <n v="13.000000000116415"/>
    <s v="SI"/>
    <d v="1899-12-31T06:10:00"/>
    <n v="30.166666666686069"/>
    <d v="1899-12-30T00:00:00"/>
    <x v="0"/>
    <n v="0"/>
    <d v="1899-12-31T04:50:00"/>
    <n v="28.833333333372138"/>
    <x v="0"/>
    <m/>
    <d v="1899-12-30T20:00:00"/>
    <s v="NIGHT"/>
    <s v="9/26"/>
    <s v="CAAU5545764"/>
    <s v="OTL"/>
    <n v="553.5"/>
    <e v="#N/A"/>
    <n v="60"/>
    <n v="0"/>
    <n v="5"/>
    <x v="3"/>
    <s v="OTLNIGHT"/>
    <n v="553.5"/>
    <n v="20"/>
    <m/>
    <m/>
    <n v="573.5"/>
    <n v="70"/>
    <n v="1"/>
    <m/>
  </r>
  <r>
    <s v="MAERSK GENOA"/>
    <x v="0"/>
    <d v="2026-02-26T13:50:00"/>
    <d v="2026-02-26T14:00:00"/>
    <x v="3"/>
    <s v="MAEU263486885"/>
    <x v="0"/>
    <s v="Chittagong"/>
    <s v="MRSU7450984"/>
    <s v="LELYSTAD"/>
    <d v="2026-02-27T07:00:00"/>
    <x v="370"/>
    <x v="275"/>
    <d v="2026-02-27T22:05:00"/>
    <x v="0"/>
    <x v="1"/>
    <n v="0"/>
    <x v="8"/>
    <x v="1"/>
    <d v="2026-02-27T20:16:00"/>
    <d v="1899-12-30T17:10:00"/>
    <n v="17.166666666569654"/>
    <x v="0"/>
    <d v="1899-12-30T14:00:00"/>
    <n v="14.000000000058208"/>
    <s v="SI"/>
    <d v="1899-12-31T07:10:00"/>
    <n v="31.166666666627862"/>
    <d v="1899-12-30T00:00:00"/>
    <x v="0"/>
    <n v="0"/>
    <d v="1899-12-31T08:15:00"/>
    <n v="32.25"/>
    <x v="0"/>
    <m/>
    <d v="1899-12-30T21:00:00"/>
    <s v="NIGHT"/>
    <s v="9/26"/>
    <s v="MRSU7450984"/>
    <s v="MSI"/>
    <n v="553.5"/>
    <n v="120"/>
    <n v="50"/>
    <n v="0"/>
    <n v="5"/>
    <x v="3"/>
    <s v="MSINIGHT"/>
    <n v="868.5"/>
    <n v="20"/>
    <n v="195"/>
    <s v="21:00 - 02:20"/>
    <n v="888.5"/>
    <n v="70"/>
    <n v="1"/>
    <m/>
  </r>
  <r>
    <s v="MAERSK GENOA"/>
    <x v="0"/>
    <d v="2026-02-26T13:50:00"/>
    <d v="2026-02-26T14:00:00"/>
    <x v="5"/>
    <s v="HLCUDA1260110078"/>
    <x v="1"/>
    <s v="Chittagong"/>
    <s v="HLBU2871612"/>
    <s v="LELYSTAD"/>
    <d v="2026-02-27T07:00:00"/>
    <x v="371"/>
    <x v="276"/>
    <d v="2026-02-27T17:10:00"/>
    <x v="0"/>
    <x v="0"/>
    <n v="0"/>
    <x v="8"/>
    <x v="1"/>
    <d v="2026-02-27T17:10:00"/>
    <d v="1899-12-30T17:10:00"/>
    <n v="17.166666666569654"/>
    <x v="0"/>
    <d v="1899-12-30T15:00:00"/>
    <n v="15"/>
    <s v="SI"/>
    <d v="1899-12-31T08:10:00"/>
    <n v="32.166666666569654"/>
    <d v="1899-12-30T00:00:00"/>
    <x v="0"/>
    <n v="0"/>
    <d v="1899-12-31T03:20:00"/>
    <n v="27.333333333372138"/>
    <x v="0"/>
    <m/>
    <d v="1899-12-30T22:00:00"/>
    <s v="NIGHT"/>
    <s v="9/26"/>
    <s v="HLBU2871612"/>
    <s v="OTL"/>
    <n v="553.5"/>
    <e v="#N/A"/>
    <n v="60"/>
    <n v="0"/>
    <n v="5"/>
    <x v="3"/>
    <s v="OTLNIGHT"/>
    <n v="553.5"/>
    <n v="20"/>
    <m/>
    <m/>
    <n v="573.5"/>
    <n v="70"/>
    <n v="1"/>
    <m/>
  </r>
  <r>
    <s v="MAERSK GENOA"/>
    <x v="0"/>
    <d v="2026-02-26T13:50:00"/>
    <d v="2026-02-26T14:00:00"/>
    <x v="4"/>
    <s v="MAEU263486885"/>
    <x v="0"/>
    <s v="Chittagong"/>
    <s v="MRSU5641301"/>
    <s v="LELYSTAD"/>
    <d v="2026-02-27T07:00:00"/>
    <x v="372"/>
    <x v="277"/>
    <d v="2026-02-27T23:10:00"/>
    <x v="0"/>
    <x v="1"/>
    <n v="0"/>
    <x v="8"/>
    <x v="1"/>
    <d v="2026-02-27T23:00:00"/>
    <d v="1899-12-30T17:10:00"/>
    <n v="17.166666666569654"/>
    <x v="0"/>
    <d v="1899-12-30T16:00:00"/>
    <n v="16.000000000116415"/>
    <s v="SI"/>
    <d v="1899-12-31T09:10:00"/>
    <n v="33.166666666686069"/>
    <d v="1899-12-30T00:00:00"/>
    <x v="0"/>
    <n v="0"/>
    <d v="1899-12-31T09:20:00"/>
    <n v="33.333333333372138"/>
    <x v="0"/>
    <m/>
    <d v="1899-12-30T23:00:00"/>
    <s v="NIGHT"/>
    <s v="9/26"/>
    <s v="MRSU5641301"/>
    <s v="OM TRANSPORT"/>
    <n v="498.5"/>
    <n v="110"/>
    <n v="50"/>
    <n v="0"/>
    <n v="5"/>
    <x v="3"/>
    <s v="OM TRANSPORTNIGHT"/>
    <n v="608.5"/>
    <n v="20"/>
    <m/>
    <m/>
    <n v="628.5"/>
    <n v="70"/>
    <n v="1"/>
    <m/>
  </r>
  <r>
    <s v="MAERSK GENOA"/>
    <x v="0"/>
    <d v="2026-02-26T13:50:00"/>
    <d v="2026-02-26T14:00:00"/>
    <x v="2"/>
    <s v="HLCUDA1260110078"/>
    <x v="1"/>
    <s v="Chittagong"/>
    <s v="FANU1959444"/>
    <s v="LELYSTAD"/>
    <d v="2026-02-27T07:00:00"/>
    <x v="373"/>
    <x v="278"/>
    <d v="2026-02-27T23:55:00"/>
    <x v="0"/>
    <x v="0"/>
    <n v="0"/>
    <x v="8"/>
    <x v="1"/>
    <d v="2026-02-27T23:34:00"/>
    <d v="1899-12-30T17:10:00"/>
    <n v="17.166666666569654"/>
    <x v="0"/>
    <d v="1899-12-30T17:00:00"/>
    <n v="17.000000000058208"/>
    <s v="SI"/>
    <d v="1899-12-31T10:10:00"/>
    <n v="34.166666666627862"/>
    <d v="1899-12-30T00:00:00"/>
    <x v="0"/>
    <n v="0"/>
    <d v="1899-12-31T10:05:00"/>
    <n v="34.083333333372138"/>
    <x v="0"/>
    <m/>
    <d v="1899-12-30T00:00:00"/>
    <s v="NIGHT"/>
    <s v="9/26"/>
    <s v="FANU1959444"/>
    <s v="LOGIX"/>
    <n v="573.5"/>
    <e v="#N/A"/>
    <n v="50"/>
    <n v="0"/>
    <n v="6"/>
    <x v="0"/>
    <s v="LOGIXSATURDAY"/>
    <n v="573.5"/>
    <n v="20"/>
    <m/>
    <m/>
    <n v="593.5"/>
    <n v="70"/>
    <n v="1"/>
    <m/>
  </r>
  <r>
    <s v="MAERSK GENOA"/>
    <x v="0"/>
    <d v="2026-02-26T13:50:00"/>
    <d v="2026-02-26T14:00:00"/>
    <x v="2"/>
    <s v="MAEU263260175"/>
    <x v="0"/>
    <s v="Chittagong"/>
    <s v="MSKU7487473"/>
    <s v="LELYSTAD"/>
    <d v="2026-02-27T07:00:00"/>
    <x v="374"/>
    <x v="279"/>
    <d v="2026-02-28T02:10:00"/>
    <x v="0"/>
    <x v="0"/>
    <n v="0"/>
    <x v="8"/>
    <x v="1"/>
    <d v="2026-02-28T01:45:00"/>
    <d v="1899-12-30T17:10:00"/>
    <n v="17.166666666569654"/>
    <x v="0"/>
    <d v="1899-12-30T19:00:00"/>
    <n v="19.000000000116415"/>
    <s v="SI"/>
    <d v="1899-12-31T12:10:00"/>
    <n v="36.166666666686069"/>
    <d v="1899-12-30T00:00:00"/>
    <x v="0"/>
    <n v="0"/>
    <d v="1899-12-31T12:20:00"/>
    <n v="36.333333333372138"/>
    <x v="0"/>
    <m/>
    <d v="1899-12-30T02:00:00"/>
    <s v="NIGHT"/>
    <s v="9/26"/>
    <s v="MSKU7487473"/>
    <s v="LOGIX"/>
    <n v="573.5"/>
    <e v="#N/A"/>
    <n v="50"/>
    <n v="0"/>
    <n v="6"/>
    <x v="0"/>
    <s v="LOGIXSATURDAY"/>
    <n v="573.5"/>
    <n v="20"/>
    <m/>
    <m/>
    <n v="593.5"/>
    <n v="70"/>
    <n v="1"/>
    <m/>
  </r>
  <r>
    <s v="MAERSK GENOA"/>
    <x v="0"/>
    <d v="2026-02-26T13:50:00"/>
    <d v="2026-02-26T14:00:00"/>
    <x v="4"/>
    <s v="MAEU263854129"/>
    <x v="0"/>
    <s v="Chittagong"/>
    <s v="MRSU5047666"/>
    <s v="LELYSTAD"/>
    <d v="2026-02-27T07:00:00"/>
    <x v="375"/>
    <x v="280"/>
    <d v="2026-02-28T02:10:00"/>
    <x v="0"/>
    <x v="1"/>
    <n v="0"/>
    <x v="8"/>
    <x v="1"/>
    <d v="2026-02-28T01:47:00"/>
    <d v="1899-12-30T17:10:00"/>
    <n v="17.166666666569654"/>
    <x v="0"/>
    <d v="1899-12-30T20:00:00"/>
    <n v="20.000000000058208"/>
    <s v="SI"/>
    <d v="1899-12-31T13:10:00"/>
    <n v="37.166666666627862"/>
    <d v="1899-12-30T00:00:00"/>
    <x v="0"/>
    <n v="0"/>
    <d v="1899-12-31T12:20:00"/>
    <n v="36.333333333372138"/>
    <x v="0"/>
    <m/>
    <d v="1899-12-30T03:00:00"/>
    <s v="NIGHT"/>
    <s v="9/26"/>
    <s v="MRSU5047666"/>
    <s v="OM TRANSPORT"/>
    <n v="573.5"/>
    <n v="110"/>
    <n v="50"/>
    <n v="0"/>
    <n v="6"/>
    <x v="0"/>
    <s v="OM TRANSPORTSATURDAY"/>
    <n v="683.5"/>
    <n v="20"/>
    <m/>
    <m/>
    <n v="703.5"/>
    <n v="70"/>
    <n v="1"/>
    <m/>
  </r>
  <r>
    <s v="MAERSK GENOA"/>
    <x v="0"/>
    <d v="2026-02-26T13:50:00"/>
    <d v="2026-02-26T14:00:00"/>
    <x v="3"/>
    <s v="MAEU263854129"/>
    <x v="0"/>
    <s v="Chittagong"/>
    <s v="MRSU6484697"/>
    <s v="LELYSTAD"/>
    <d v="2026-02-27T07:00:00"/>
    <x v="376"/>
    <x v="281"/>
    <d v="2026-02-28T05:30:00"/>
    <x v="0"/>
    <x v="1"/>
    <n v="0"/>
    <x v="8"/>
    <x v="1"/>
    <d v="2026-02-28T04:52:00"/>
    <d v="1899-12-30T17:10:00"/>
    <n v="17.166666666569654"/>
    <x v="0"/>
    <d v="1899-12-30T22:00:00"/>
    <n v="22.000000000116415"/>
    <s v="SI"/>
    <d v="1899-12-31T15:10:00"/>
    <n v="39.166666666686069"/>
    <d v="1899-12-30T00:00:00"/>
    <x v="0"/>
    <n v="0"/>
    <d v="1899-12-31T15:40:00"/>
    <n v="39.666666666569654"/>
    <x v="0"/>
    <m/>
    <d v="1899-12-30T05:00:00"/>
    <s v="NO"/>
    <s v="9/26"/>
    <s v="MRSU6484697"/>
    <s v="MSI"/>
    <n v="523.5"/>
    <n v="120"/>
    <n v="50"/>
    <n v="0"/>
    <n v="6"/>
    <x v="0"/>
    <s v="MSISATURDAY"/>
    <n v="673.5"/>
    <n v="20"/>
    <n v="30"/>
    <s v="05:00 - 07:25"/>
    <n v="693.5"/>
    <n v="70"/>
    <n v="1"/>
    <m/>
  </r>
  <r>
    <s v="MAERSK GENOA"/>
    <x v="0"/>
    <d v="2026-02-26T13:50:00"/>
    <d v="2026-02-26T14:00:00"/>
    <x v="2"/>
    <s v="MAEU263259849"/>
    <x v="0"/>
    <s v="Chittagong"/>
    <s v="TCNU4205180"/>
    <s v="LELYSTAD"/>
    <d v="2026-02-27T07:00:00"/>
    <x v="377"/>
    <x v="282"/>
    <d v="2026-02-28T09:10:00"/>
    <x v="0"/>
    <x v="0"/>
    <n v="0"/>
    <x v="8"/>
    <x v="1"/>
    <d v="2026-02-28T08:32:00"/>
    <d v="1899-12-30T17:10:00"/>
    <n v="17.166666666569654"/>
    <x v="0"/>
    <d v="1899-12-31T00:00:00"/>
    <n v="24"/>
    <s v="SI"/>
    <d v="1899-12-31T17:10:00"/>
    <n v="41.166666666569654"/>
    <d v="1899-12-30T01:32:00"/>
    <x v="1"/>
    <n v="1.5333333334419876"/>
    <d v="1899-12-31T19:20:00"/>
    <n v="43.333333333313931"/>
    <x v="0"/>
    <m/>
    <d v="1899-12-30T07:00:00"/>
    <s v="NO"/>
    <s v="9/26"/>
    <s v="TCNU4205180"/>
    <s v="LOGIX"/>
    <n v="573.5"/>
    <e v="#N/A"/>
    <n v="50"/>
    <n v="0"/>
    <n v="6"/>
    <x v="0"/>
    <s v="LOGIXSATURDAY"/>
    <n v="573.5"/>
    <n v="20"/>
    <m/>
    <m/>
    <n v="593.5"/>
    <n v="70"/>
    <n v="1"/>
    <m/>
  </r>
  <r>
    <s v="MAERSK GENOA"/>
    <x v="0"/>
    <d v="2026-02-26T13:50:00"/>
    <d v="2026-02-26T14:00:00"/>
    <x v="4"/>
    <s v="MAEU263486885"/>
    <x v="0"/>
    <s v="Chittagong"/>
    <s v="MRSU6977590"/>
    <s v="LELYSTAD"/>
    <d v="2026-02-27T07:00:00"/>
    <x v="378"/>
    <x v="283"/>
    <d v="2026-02-28T08:15:00"/>
    <x v="0"/>
    <x v="1"/>
    <n v="0"/>
    <x v="8"/>
    <x v="1"/>
    <d v="2026-02-28T07:33:00"/>
    <d v="1899-12-30T17:10:00"/>
    <n v="17.166666666569654"/>
    <x v="0"/>
    <d v="1899-12-31T01:00:00"/>
    <n v="25.000000000116415"/>
    <s v="NO"/>
    <d v="1899-12-31T18:10:00"/>
    <n v="42.166666666686069"/>
    <d v="1899-12-30T00:00:00"/>
    <x v="0"/>
    <n v="0"/>
    <d v="1899-12-31T18:25:00"/>
    <n v="42.416666666627862"/>
    <x v="0"/>
    <m/>
    <d v="1899-12-30T08:00:00"/>
    <s v="NO"/>
    <s v="9/26"/>
    <s v="MRSU6977590"/>
    <s v="OM TRANSPORT"/>
    <n v="573.5"/>
    <n v="110"/>
    <n v="50"/>
    <n v="0"/>
    <n v="6"/>
    <x v="0"/>
    <s v="OM TRANSPORTSATURDAY"/>
    <n v="683.5"/>
    <n v="20"/>
    <m/>
    <m/>
    <n v="703.5"/>
    <n v="70"/>
    <n v="1"/>
    <m/>
  </r>
  <r>
    <s v="MAERSK GENOA"/>
    <x v="0"/>
    <d v="2026-02-26T13:50:00"/>
    <d v="2026-02-26T14:00:00"/>
    <x v="3"/>
    <s v="MAEU263257242"/>
    <x v="0"/>
    <s v="Chittagong"/>
    <s v="HASU5146273"/>
    <s v="LELYSTAD"/>
    <d v="2026-02-27T07:00:00"/>
    <x v="379"/>
    <x v="284"/>
    <d v="2026-02-28T09:14:00"/>
    <x v="0"/>
    <x v="0"/>
    <n v="0"/>
    <x v="8"/>
    <x v="1"/>
    <d v="2026-02-28T08:56:00"/>
    <d v="1899-12-30T17:10:00"/>
    <n v="17.166666666569654"/>
    <x v="0"/>
    <d v="1899-12-31T02:00:00"/>
    <n v="26.000000000058208"/>
    <s v="NO"/>
    <d v="1899-12-31T19:10:00"/>
    <n v="43.166666666627862"/>
    <d v="1899-12-30T00:00:00"/>
    <x v="0"/>
    <n v="0"/>
    <d v="1899-12-31T19:24:00"/>
    <n v="43.400000000023283"/>
    <x v="0"/>
    <m/>
    <d v="1899-12-30T09:00:00"/>
    <s v="NO"/>
    <s v="9/26"/>
    <s v="HASU5146273"/>
    <s v="MSI"/>
    <n v="523.5"/>
    <e v="#N/A"/>
    <n v="50"/>
    <n v="0"/>
    <n v="6"/>
    <x v="0"/>
    <s v="MSISATURDAY"/>
    <n v="538.5"/>
    <n v="20"/>
    <n v="15"/>
    <s v="09:00 - 11:20"/>
    <n v="558.5"/>
    <n v="70"/>
    <n v="1"/>
    <m/>
  </r>
  <r>
    <s v="MAERSK GENOA"/>
    <x v="0"/>
    <d v="2026-02-26T13:50:00"/>
    <d v="2026-02-26T14:00:00"/>
    <x v="3"/>
    <s v="MAEU263854129"/>
    <x v="0"/>
    <s v="Chittagong"/>
    <s v="TRHU5018640"/>
    <s v="LELYSTAD"/>
    <d v="2026-02-27T07:00:00"/>
    <x v="380"/>
    <x v="285"/>
    <d v="2026-02-28T09:50:00"/>
    <x v="0"/>
    <x v="1"/>
    <n v="0"/>
    <x v="8"/>
    <x v="1"/>
    <d v="2026-02-28T09:05:00"/>
    <d v="1899-12-30T17:10:00"/>
    <n v="17.166666666569654"/>
    <x v="0"/>
    <d v="1899-12-31T03:00:00"/>
    <n v="27"/>
    <s v="NO"/>
    <d v="1899-12-31T20:10:00"/>
    <n v="44.166666666569654"/>
    <d v="1899-12-30T00:00:00"/>
    <x v="0"/>
    <n v="0"/>
    <d v="1899-12-31T20:00:00"/>
    <n v="43.999999999883585"/>
    <x v="0"/>
    <m/>
    <d v="1899-12-30T10:00:00"/>
    <s v="NO"/>
    <s v="9/26"/>
    <s v="TRHU5018640"/>
    <s v="MSI"/>
    <n v="523.5"/>
    <n v="120"/>
    <n v="50"/>
    <n v="0"/>
    <n v="6"/>
    <x v="0"/>
    <s v="MSISATURDAY"/>
    <n v="823.5"/>
    <n v="20"/>
    <n v="180"/>
    <s v="10:00 - 15:00"/>
    <n v="843.5"/>
    <n v="70"/>
    <n v="1"/>
    <m/>
  </r>
  <r>
    <s v="MAERSK GENOA"/>
    <x v="0"/>
    <d v="2026-02-26T13:50:00"/>
    <d v="2026-02-26T14:00:00"/>
    <x v="2"/>
    <s v="MAEU263259849"/>
    <x v="0"/>
    <s v="Chittagong"/>
    <s v="TCNU7711048"/>
    <s v="LELYSTAD"/>
    <d v="2026-02-27T07:00:00"/>
    <x v="381"/>
    <x v="286"/>
    <d v="2026-02-28T11:30:00"/>
    <x v="0"/>
    <x v="0"/>
    <n v="0"/>
    <x v="8"/>
    <x v="1"/>
    <d v="2026-02-28T11:05:00"/>
    <d v="1899-12-30T17:10:00"/>
    <n v="17.166666666569654"/>
    <x v="0"/>
    <d v="1899-12-31T04:00:00"/>
    <n v="28.000000000116415"/>
    <s v="NO"/>
    <d v="1899-12-31T21:10:00"/>
    <n v="45.166666666686069"/>
    <d v="1899-12-30T00:05:00"/>
    <x v="0"/>
    <n v="8.3333333255723119E-2"/>
    <d v="1899-12-31T21:40:00"/>
    <n v="45.666666666569654"/>
    <x v="0"/>
    <m/>
    <d v="1899-12-30T11:00:00"/>
    <s v="NO"/>
    <s v="9/26"/>
    <s v="TCNU7711048"/>
    <s v="LOGIX"/>
    <n v="573.5"/>
    <e v="#N/A"/>
    <n v="50"/>
    <n v="0"/>
    <n v="6"/>
    <x v="0"/>
    <s v="LOGIXSATURDAY"/>
    <n v="573.5"/>
    <n v="20"/>
    <m/>
    <m/>
    <n v="593.5"/>
    <n v="70"/>
    <n v="1"/>
    <m/>
  </r>
  <r>
    <s v="MAERSK GENOA"/>
    <x v="0"/>
    <d v="2026-02-26T13:50:00"/>
    <d v="2026-02-26T14:00:00"/>
    <x v="4"/>
    <s v="MAEU263854129"/>
    <x v="0"/>
    <s v="Chittagong"/>
    <s v="MRSU4443750"/>
    <s v="LELYSTAD"/>
    <d v="2026-02-27T07:00:00"/>
    <x v="382"/>
    <x v="287"/>
    <d v="2026-02-28T11:00:00"/>
    <x v="0"/>
    <x v="1"/>
    <n v="0"/>
    <x v="8"/>
    <x v="1"/>
    <d v="2026-02-28T11:00:00"/>
    <d v="1899-12-30T17:10:00"/>
    <n v="17.166666666569654"/>
    <x v="0"/>
    <d v="1899-12-31T05:00:00"/>
    <n v="29.000000000058208"/>
    <s v="NO"/>
    <d v="1899-12-31T22:10:00"/>
    <n v="46.166666666627862"/>
    <d v="1899-12-30T00:00:00"/>
    <x v="0"/>
    <n v="0"/>
    <d v="1899-12-31T21:10:00"/>
    <n v="45.166666666686069"/>
    <x v="0"/>
    <m/>
    <d v="1899-12-30T12:00:00"/>
    <s v="NO"/>
    <s v="9/26"/>
    <s v="MRSU4443750"/>
    <s v="OM TRANSPORT"/>
    <n v="573.5"/>
    <n v="110"/>
    <n v="50"/>
    <n v="0"/>
    <n v="6"/>
    <x v="0"/>
    <s v="OM TRANSPORTSATURDAY"/>
    <n v="683.5"/>
    <n v="20"/>
    <m/>
    <m/>
    <n v="703.5"/>
    <n v="70"/>
    <n v="1"/>
    <m/>
  </r>
  <r>
    <s v="MAERSK GENOA"/>
    <x v="0"/>
    <d v="2026-02-26T13:50:00"/>
    <d v="2026-02-26T14:00:00"/>
    <x v="2"/>
    <s v="MAEU263260175"/>
    <x v="0"/>
    <s v="Chittagong"/>
    <s v="CAAU8413993"/>
    <s v="LELYSTAD"/>
    <d v="2026-02-27T07:00:00"/>
    <x v="383"/>
    <x v="288"/>
    <d v="2026-02-28T16:01:00"/>
    <x v="0"/>
    <x v="0"/>
    <n v="0"/>
    <x v="8"/>
    <x v="1"/>
    <d v="2026-02-28T15:17:00"/>
    <d v="1899-12-30T17:10:00"/>
    <n v="17.166666666569654"/>
    <x v="0"/>
    <d v="1899-12-31T06:00:00"/>
    <n v="30"/>
    <s v="NO"/>
    <d v="1899-12-31T23:10:00"/>
    <n v="47.166666666569654"/>
    <d v="1899-12-30T02:17:00"/>
    <x v="1"/>
    <n v="2.2833333334419876"/>
    <d v="1900-01-01T02:11:00"/>
    <n v="50.183333333290648"/>
    <x v="1"/>
    <m/>
    <d v="1899-12-30T13:00:00"/>
    <s v="NO"/>
    <s v="9/26"/>
    <s v="CAAU8413993"/>
    <s v="LOGIX"/>
    <n v="573.5"/>
    <e v="#N/A"/>
    <n v="50"/>
    <n v="0"/>
    <n v="6"/>
    <x v="0"/>
    <s v="LOGIXSATURDAY"/>
    <n v="573.5"/>
    <n v="20"/>
    <m/>
    <m/>
    <n v="593.5"/>
    <n v="70"/>
    <n v="1"/>
    <m/>
  </r>
  <r>
    <s v="MAERSK GENOA"/>
    <x v="0"/>
    <d v="2026-02-26T13:50:00"/>
    <d v="2026-02-26T14:00:00"/>
    <x v="3"/>
    <s v="MAEU263486726"/>
    <x v="0"/>
    <s v="Chittagong"/>
    <s v="MRSU6411920"/>
    <s v="LELYSTAD"/>
    <d v="2026-02-27T07:00:00"/>
    <x v="384"/>
    <x v="289"/>
    <d v="2026-02-28T14:40:00"/>
    <x v="0"/>
    <x v="1"/>
    <n v="0"/>
    <x v="8"/>
    <x v="1"/>
    <d v="2026-02-28T14:20:00"/>
    <d v="1899-12-30T17:10:00"/>
    <n v="17.166666666569654"/>
    <x v="0"/>
    <d v="1899-12-31T07:00:00"/>
    <n v="31.000000000116415"/>
    <s v="NO"/>
    <d v="1900-01-01T00:10:00"/>
    <n v="48.166666666686069"/>
    <d v="1899-12-30T00:20:00"/>
    <x v="0"/>
    <n v="0.33333333319751546"/>
    <d v="1900-01-01T00:50:00"/>
    <n v="48.833333333255723"/>
    <x v="1"/>
    <m/>
    <d v="1899-12-30T14:00:00"/>
    <s v="NO"/>
    <s v="9/26"/>
    <s v="MRSU6411920"/>
    <s v="MSI"/>
    <n v="523.5"/>
    <n v="120"/>
    <n v="50"/>
    <n v="0"/>
    <n v="6"/>
    <x v="0"/>
    <s v="MSISATURDAY"/>
    <n v="853.5"/>
    <n v="20"/>
    <n v="210"/>
    <s v="14:00 - 19:30"/>
    <n v="873.5"/>
    <n v="70"/>
    <n v="1"/>
    <m/>
  </r>
  <r>
    <s v="MAERSK GENOA"/>
    <x v="0"/>
    <d v="2026-02-26T13:50:00"/>
    <d v="2026-02-26T14:00:00"/>
    <x v="4"/>
    <s v="MAEU263854129"/>
    <x v="0"/>
    <s v="Chittagong"/>
    <s v="TCKU7076673"/>
    <s v="LELYSTAD"/>
    <d v="2026-02-27T07:00:00"/>
    <x v="385"/>
    <x v="290"/>
    <d v="2026-02-28T18:00:00"/>
    <x v="0"/>
    <x v="1"/>
    <n v="0"/>
    <x v="8"/>
    <x v="1"/>
    <d v="2026-02-28T15:48:00"/>
    <d v="1899-12-30T17:10:00"/>
    <n v="17.166666666569654"/>
    <x v="0"/>
    <d v="1899-12-31T09:00:00"/>
    <n v="33"/>
    <s v="NO"/>
    <d v="1900-01-01T02:10:00"/>
    <n v="50.166666666569654"/>
    <d v="1899-12-30T00:00:00"/>
    <x v="0"/>
    <n v="0"/>
    <d v="1900-01-01T04:10:00"/>
    <n v="52.166666666627862"/>
    <x v="1"/>
    <m/>
    <d v="1899-12-30T16:00:00"/>
    <s v="NO"/>
    <s v="9/26"/>
    <s v="TCKU7076673"/>
    <s v="OM TRANSPORT"/>
    <n v="573.5"/>
    <n v="110"/>
    <n v="50"/>
    <n v="0"/>
    <n v="6"/>
    <x v="0"/>
    <s v="OM TRANSPORTSATURDAY"/>
    <n v="683.5"/>
    <n v="20"/>
    <m/>
    <m/>
    <n v="703.5"/>
    <n v="70"/>
    <n v="1"/>
    <m/>
  </r>
  <r>
    <s v="BALTIMORE EXPRESS"/>
    <x v="0"/>
    <d v="2026-02-27T17:11:00"/>
    <d v="2026-02-27T17:00:00"/>
    <x v="4"/>
    <s v="MAEU263884177"/>
    <x v="0"/>
    <s v="Karachi-Muhammad Bin Qasim"/>
    <s v="UETU7571955"/>
    <s v="LELYSTAD"/>
    <d v="2026-03-01T08:00:00"/>
    <x v="386"/>
    <x v="291"/>
    <d v="2026-03-01T08:00:00"/>
    <x v="0"/>
    <x v="0"/>
    <n v="0"/>
    <x v="8"/>
    <x v="2"/>
    <d v="2026-03-01T07:32:00"/>
    <d v="1899-12-31T14:49:00"/>
    <n v="38.81666666676756"/>
    <x v="0"/>
    <d v="1899-12-30T00:00:00"/>
    <n v="0"/>
    <s v="SI"/>
    <d v="1899-12-31T14:49:00"/>
    <n v="38.81666666676756"/>
    <d v="1899-12-30T00:00:00"/>
    <x v="0"/>
    <n v="0"/>
    <d v="1899-12-31T14:49:00"/>
    <n v="38.81666666676756"/>
    <x v="0"/>
    <m/>
    <d v="1899-12-30T08:00:00"/>
    <s v="NO"/>
    <s v="9/26"/>
    <s v="UETU7571955"/>
    <s v="OM TRANSPORT"/>
    <n v="573.5"/>
    <e v="#N/A"/>
    <n v="50"/>
    <n v="0"/>
    <n v="7"/>
    <x v="2"/>
    <s v="OM TRANSPORTSUNDAY"/>
    <n v="573.5"/>
    <n v="20"/>
    <m/>
    <m/>
    <n v="593.5"/>
    <n v="70"/>
    <n v="1"/>
    <m/>
  </r>
  <r>
    <s v="BALTIMORE EXPRESS"/>
    <x v="0"/>
    <d v="2026-02-27T17:11:00"/>
    <d v="2026-02-27T17:00:00"/>
    <x v="3"/>
    <s v="MAEU263884177"/>
    <x v="0"/>
    <s v="Karachi-Muhammad Bin Qasim"/>
    <s v="MSKU0913828"/>
    <s v="SIMEI LELYSTAD"/>
    <d v="2026-03-01T08:00:00"/>
    <x v="387"/>
    <x v="292"/>
    <d v="2026-03-01T09:10:00"/>
    <x v="0"/>
    <x v="0"/>
    <n v="1"/>
    <x v="8"/>
    <x v="2"/>
    <d v="2026-03-01T07:20:00"/>
    <d v="1899-12-31T14:49:00"/>
    <n v="38.81666666676756"/>
    <x v="0"/>
    <d v="1899-12-30T01:00:00"/>
    <n v="0.99999999994179234"/>
    <s v="SI"/>
    <d v="1899-12-31T15:49:00"/>
    <n v="39.816666666709352"/>
    <d v="1899-12-30T00:00:00"/>
    <x v="0"/>
    <n v="0"/>
    <d v="1899-12-31T15:59:00"/>
    <n v="39.983333333395422"/>
    <x v="0"/>
    <m/>
    <d v="1899-12-30T09:00:00"/>
    <s v="NO"/>
    <s v="9/26"/>
    <s v="MSKU0913828"/>
    <s v="MSI"/>
    <n v="523.5"/>
    <e v="#N/A"/>
    <n v="50"/>
    <n v="50"/>
    <n v="7"/>
    <x v="2"/>
    <s v="MSISUNDAY"/>
    <n v="573.5"/>
    <n v="20"/>
    <m/>
    <m/>
    <n v="593.5"/>
    <n v="70"/>
    <n v="1"/>
    <m/>
  </r>
  <r>
    <s v="BALTIMORE EXPRESS"/>
    <x v="0"/>
    <d v="2026-02-27T17:11:00"/>
    <d v="2026-02-27T17:00:00"/>
    <x v="2"/>
    <s v="MAEU263884177"/>
    <x v="0"/>
    <s v="Karachi-Muhammad Bin Qasim"/>
    <s v="TCKU7267263"/>
    <s v="SIMEI LELYSTAD"/>
    <d v="2026-03-01T08:00:00"/>
    <x v="388"/>
    <x v="293"/>
    <d v="2026-03-01T11:00:00"/>
    <x v="0"/>
    <x v="0"/>
    <n v="1"/>
    <x v="8"/>
    <x v="2"/>
    <d v="2026-03-01T10:39:00"/>
    <d v="1899-12-31T14:49:00"/>
    <n v="38.81666666676756"/>
    <x v="0"/>
    <d v="1899-12-30T02:00:00"/>
    <n v="1.9999999998835847"/>
    <s v="SI"/>
    <d v="1899-12-31T16:49:00"/>
    <n v="40.816666666651145"/>
    <d v="1899-12-30T00:39:00"/>
    <x v="0"/>
    <n v="0.65000000002328306"/>
    <d v="1899-12-31T17:49:00"/>
    <n v="41.81666666676756"/>
    <x v="0"/>
    <m/>
    <d v="1899-12-30T10:00:00"/>
    <s v="NO"/>
    <s v="9/26"/>
    <s v="TCKU7267263"/>
    <s v="LOGIX"/>
    <n v="573.5"/>
    <e v="#N/A"/>
    <n v="50"/>
    <n v="50"/>
    <n v="7"/>
    <x v="2"/>
    <s v="LOGIXSUNDAY"/>
    <n v="623.5"/>
    <n v="20"/>
    <m/>
    <m/>
    <n v="643.5"/>
    <n v="70"/>
    <n v="1"/>
    <m/>
  </r>
  <r>
    <s v="BALTIMORE EXPRESS"/>
    <x v="0"/>
    <d v="2026-02-27T17:11:00"/>
    <d v="2026-02-27T17:00:00"/>
    <x v="4"/>
    <s v="MAEU263493885"/>
    <x v="0"/>
    <s v="Mumbai (ex Bombay)"/>
    <s v="MRKU0240108"/>
    <s v="SIMEI LELYSTAD"/>
    <d v="2026-03-01T08:00:00"/>
    <x v="389"/>
    <x v="294"/>
    <d v="2026-03-01T12:05:00"/>
    <x v="0"/>
    <x v="0"/>
    <n v="1"/>
    <x v="8"/>
    <x v="2"/>
    <d v="2026-03-01T12:33:00"/>
    <d v="1899-12-31T14:49:00"/>
    <n v="38.81666666676756"/>
    <x v="0"/>
    <d v="1899-12-30T04:00:00"/>
    <n v="3.9999999999417923"/>
    <s v="SI"/>
    <d v="1899-12-31T18:49:00"/>
    <n v="42.816666666709352"/>
    <d v="1899-12-30T00:33:00"/>
    <x v="0"/>
    <n v="0.55000000004656613"/>
    <d v="1899-12-31T18:54:00"/>
    <n v="42.899999999965075"/>
    <x v="0"/>
    <m/>
    <d v="1899-12-30T12:00:00"/>
    <s v="NO"/>
    <s v="9/26"/>
    <s v="MRKU0240108"/>
    <s v="OM TRANSPORT"/>
    <n v="573.5"/>
    <e v="#N/A"/>
    <n v="50"/>
    <n v="50"/>
    <n v="7"/>
    <x v="2"/>
    <s v="OM TRANSPORTSUNDAY"/>
    <n v="623.5"/>
    <n v="20"/>
    <m/>
    <m/>
    <n v="643.5"/>
    <n v="70"/>
    <n v="1"/>
    <m/>
  </r>
  <r>
    <s v="BALTIMORE EXPRESS"/>
    <x v="0"/>
    <d v="2026-02-27T17:11:00"/>
    <d v="2026-02-27T17:00:00"/>
    <x v="3"/>
    <s v="MAEU263884313"/>
    <x v="0"/>
    <s v="Karachi-Muhammad Bin Qasim"/>
    <s v="TRHU4336435"/>
    <s v="LELYSTAD"/>
    <d v="2026-03-01T08:00:00"/>
    <x v="390"/>
    <x v="294"/>
    <d v="2026-03-01T15:00:00"/>
    <x v="0"/>
    <x v="0"/>
    <n v="0"/>
    <x v="8"/>
    <x v="2"/>
    <d v="2026-03-01T11:44:00"/>
    <d v="1899-12-31T14:49:00"/>
    <n v="38.81666666676756"/>
    <x v="0"/>
    <d v="1899-12-30T04:00:00"/>
    <n v="3.9999999999417923"/>
    <s v="SI"/>
    <d v="1899-12-31T18:49:00"/>
    <n v="42.816666666709352"/>
    <d v="1899-12-30T00:00:00"/>
    <x v="0"/>
    <n v="0"/>
    <d v="1899-12-31T21:49:00"/>
    <n v="45.816666666709352"/>
    <x v="0"/>
    <m/>
    <d v="1899-12-30T12:00:00"/>
    <s v="NO"/>
    <s v="9/26"/>
    <s v="TRHU4336435"/>
    <s v="MSI"/>
    <n v="523.5"/>
    <e v="#N/A"/>
    <n v="50"/>
    <n v="0"/>
    <n v="7"/>
    <x v="2"/>
    <s v="MSISUNDAY"/>
    <n v="523.5"/>
    <n v="20"/>
    <m/>
    <m/>
    <n v="543.5"/>
    <n v="70"/>
    <n v="1"/>
    <m/>
  </r>
  <r>
    <s v="BALTIMORE EXPRESS"/>
    <x v="0"/>
    <d v="2026-02-27T17:11:00"/>
    <d v="2026-02-27T17:00:00"/>
    <x v="2"/>
    <s v="MAEU264148083"/>
    <x v="0"/>
    <s v="Karachi-Muhammad Bin Qasim"/>
    <s v="TIIU5336013"/>
    <s v="LELYSTAD"/>
    <d v="2026-03-01T08:00:00"/>
    <x v="391"/>
    <x v="295"/>
    <d v="2026-03-01T14:45:00"/>
    <x v="0"/>
    <x v="0"/>
    <n v="0"/>
    <x v="8"/>
    <x v="2"/>
    <d v="2026-03-01T08:49:00"/>
    <d v="1899-12-31T14:49:00"/>
    <n v="38.81666666676756"/>
    <x v="0"/>
    <d v="1899-12-30T07:00:00"/>
    <n v="6.9999999999417923"/>
    <s v="SI"/>
    <d v="1899-12-31T21:49:00"/>
    <n v="45.816666666709352"/>
    <d v="1899-12-30T00:00:00"/>
    <x v="0"/>
    <n v="0"/>
    <d v="1899-12-31T21:34:00"/>
    <n v="45.56666666676756"/>
    <x v="0"/>
    <m/>
    <d v="1899-12-30T15:00:00"/>
    <s v="NO"/>
    <s v="9/26"/>
    <s v="TIIU5336013"/>
    <s v="LOGIX"/>
    <n v="573.5"/>
    <e v="#N/A"/>
    <n v="50"/>
    <n v="0"/>
    <n v="7"/>
    <x v="2"/>
    <s v="LOGIXSUNDAY"/>
    <n v="573.5"/>
    <n v="20"/>
    <m/>
    <m/>
    <n v="593.5"/>
    <n v="70"/>
    <n v="1"/>
    <m/>
  </r>
  <r>
    <s v="BALTIMORE EXPRESS"/>
    <x v="0"/>
    <d v="2026-02-27T17:11:00"/>
    <d v="2026-02-27T17:00:00"/>
    <x v="4"/>
    <s v="MAEU264148083"/>
    <x v="0"/>
    <s v="Karachi-Muhammad Bin Qasim"/>
    <s v="GCXU5685857"/>
    <s v="LELYSTAD"/>
    <d v="2026-03-01T08:00:00"/>
    <x v="392"/>
    <x v="296"/>
    <d v="2026-03-01T15:29:00"/>
    <x v="0"/>
    <x v="0"/>
    <n v="0"/>
    <x v="8"/>
    <x v="2"/>
    <d v="2026-03-01T14:38:00"/>
    <d v="1899-12-31T14:49:00"/>
    <n v="38.81666666676756"/>
    <x v="0"/>
    <d v="1899-12-30T09:00:00"/>
    <n v="9"/>
    <s v="SI"/>
    <d v="1899-12-31T23:49:00"/>
    <n v="47.81666666676756"/>
    <d v="1899-12-30T00:00:00"/>
    <x v="0"/>
    <n v="0"/>
    <d v="1899-12-31T22:18:00"/>
    <n v="46.300000000046566"/>
    <x v="0"/>
    <m/>
    <d v="1899-12-30T17:00:00"/>
    <s v="NO"/>
    <s v="9/26"/>
    <s v="GCXU5685857"/>
    <s v="OM TRANSPORT"/>
    <n v="573.5"/>
    <e v="#N/A"/>
    <n v="50"/>
    <n v="0"/>
    <n v="7"/>
    <x v="2"/>
    <s v="OM TRANSPORTSUNDAY"/>
    <n v="573.5"/>
    <n v="20"/>
    <m/>
    <m/>
    <n v="593.5"/>
    <n v="70"/>
    <n v="1"/>
    <m/>
  </r>
  <r>
    <s v="BALTIMORE EXPRESS"/>
    <x v="0"/>
    <d v="2026-02-27T17:11:00"/>
    <d v="2026-02-27T17:00:00"/>
    <x v="3"/>
    <s v="MAEU264148083"/>
    <x v="0"/>
    <s v="Karachi-Muhammad Bin Qasim"/>
    <s v="MRSU5930217"/>
    <s v="LELYSTAD"/>
    <d v="2026-03-01T08:00:00"/>
    <x v="393"/>
    <x v="297"/>
    <d v="2026-03-01T21:00:00"/>
    <x v="0"/>
    <x v="0"/>
    <n v="0"/>
    <x v="8"/>
    <x v="2"/>
    <d v="2026-03-01T18:29:00"/>
    <d v="1899-12-31T14:49:00"/>
    <n v="38.81666666676756"/>
    <x v="0"/>
    <d v="1899-12-30T11:00:00"/>
    <n v="10.999999999883585"/>
    <s v="SI"/>
    <d v="1900-01-01T01:49:00"/>
    <n v="49.816666666651145"/>
    <d v="1899-12-30T00:00:00"/>
    <x v="0"/>
    <n v="0"/>
    <d v="1900-01-01T03:49:00"/>
    <n v="51.816666666709352"/>
    <x v="1"/>
    <m/>
    <d v="1899-12-30T19:00:00"/>
    <s v="NO"/>
    <s v="9/26"/>
    <s v="MRSU5930217"/>
    <s v="MSI"/>
    <n v="523.5"/>
    <e v="#N/A"/>
    <n v="50"/>
    <n v="0"/>
    <n v="7"/>
    <x v="2"/>
    <s v="MSISUNDAY"/>
    <n v="523.5"/>
    <n v="20"/>
    <m/>
    <m/>
    <n v="543.5"/>
    <n v="70"/>
    <n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x v="0"/>
    <n v="0"/>
    <x v="0"/>
  </r>
  <r>
    <x v="0"/>
    <x v="1"/>
    <n v="0"/>
    <x v="0"/>
  </r>
  <r>
    <x v="0"/>
    <x v="2"/>
    <n v="0"/>
    <x v="0"/>
  </r>
  <r>
    <x v="0"/>
    <x v="3"/>
    <n v="0"/>
    <x v="0"/>
  </r>
  <r>
    <x v="0"/>
    <x v="4"/>
    <n v="0"/>
    <x v="0"/>
  </r>
  <r>
    <x v="0"/>
    <x v="5"/>
    <n v="99"/>
    <x v="0"/>
  </r>
  <r>
    <x v="0"/>
    <x v="6"/>
    <n v="85"/>
    <x v="0"/>
  </r>
  <r>
    <x v="0"/>
    <x v="7"/>
    <n v="116"/>
    <x v="0"/>
  </r>
  <r>
    <x v="0"/>
    <x v="8"/>
    <n v="393"/>
    <x v="0"/>
  </r>
  <r>
    <x v="0"/>
    <x v="9"/>
    <n v="402"/>
    <x v="0"/>
  </r>
  <r>
    <x v="0"/>
    <x v="10"/>
    <n v="218"/>
    <x v="0"/>
  </r>
  <r>
    <x v="0"/>
    <x v="11"/>
    <n v="81"/>
    <x v="0"/>
  </r>
  <r>
    <x v="1"/>
    <x v="0"/>
    <n v="265"/>
    <x v="0"/>
  </r>
  <r>
    <x v="1"/>
    <x v="1"/>
    <n v="182"/>
    <x v="0"/>
  </r>
  <r>
    <x v="1"/>
    <x v="2"/>
    <n v="239"/>
    <x v="0"/>
  </r>
  <r>
    <x v="1"/>
    <x v="3"/>
    <n v="179"/>
    <x v="0"/>
  </r>
  <r>
    <x v="1"/>
    <x v="4"/>
    <n v="103"/>
    <x v="0"/>
  </r>
  <r>
    <x v="1"/>
    <x v="5"/>
    <n v="100"/>
    <x v="0"/>
  </r>
  <r>
    <x v="1"/>
    <x v="6"/>
    <n v="295"/>
    <x v="0"/>
  </r>
  <r>
    <x v="1"/>
    <x v="7"/>
    <n v="394"/>
    <x v="0"/>
  </r>
  <r>
    <x v="1"/>
    <x v="8"/>
    <n v="705"/>
    <x v="0"/>
  </r>
  <r>
    <x v="1"/>
    <x v="9"/>
    <n v="700"/>
    <x v="0"/>
  </r>
  <r>
    <x v="1"/>
    <x v="10"/>
    <n v="299"/>
    <x v="0"/>
  </r>
  <r>
    <x v="1"/>
    <x v="11"/>
    <n v="143"/>
    <x v="0"/>
  </r>
  <r>
    <x v="2"/>
    <x v="0"/>
    <n v="225"/>
    <x v="0"/>
  </r>
  <r>
    <x v="2"/>
    <x v="1"/>
    <n v="224"/>
    <x v="0"/>
  </r>
  <r>
    <x v="2"/>
    <x v="2"/>
    <n v="167"/>
    <x v="0"/>
  </r>
  <r>
    <x v="2"/>
    <x v="3"/>
    <n v="157"/>
    <x v="0"/>
  </r>
  <r>
    <x v="2"/>
    <x v="4"/>
    <n v="146"/>
    <x v="0"/>
  </r>
  <r>
    <x v="2"/>
    <x v="5"/>
    <n v="98"/>
    <x v="0"/>
  </r>
  <r>
    <x v="2"/>
    <x v="6"/>
    <n v="122"/>
    <x v="0"/>
  </r>
  <r>
    <x v="2"/>
    <x v="7"/>
    <n v="227"/>
    <x v="0"/>
  </r>
  <r>
    <x v="2"/>
    <x v="8"/>
    <n v="497"/>
    <x v="0"/>
  </r>
  <r>
    <x v="2"/>
    <x v="9"/>
    <n v="502"/>
    <x v="0"/>
  </r>
  <r>
    <x v="2"/>
    <x v="10"/>
    <n v="356"/>
    <x v="0"/>
  </r>
  <r>
    <x v="2"/>
    <x v="11"/>
    <n v="171"/>
    <x v="0"/>
  </r>
  <r>
    <x v="3"/>
    <x v="0"/>
    <n v="172"/>
    <x v="0"/>
  </r>
  <r>
    <x v="3"/>
    <x v="1"/>
    <n v="134"/>
    <x v="0"/>
  </r>
  <r>
    <x v="3"/>
    <x v="2"/>
    <n v="260"/>
    <x v="0"/>
  </r>
  <r>
    <x v="3"/>
    <x v="3"/>
    <n v="218"/>
    <x v="0"/>
  </r>
  <r>
    <x v="3"/>
    <x v="4"/>
    <n v="154"/>
    <x v="0"/>
  </r>
  <r>
    <x v="3"/>
    <x v="5"/>
    <n v="79"/>
    <x v="0"/>
  </r>
  <r>
    <x v="3"/>
    <x v="6"/>
    <n v="123"/>
    <x v="0"/>
  </r>
  <r>
    <x v="3"/>
    <x v="7"/>
    <n v="213"/>
    <x v="0"/>
  </r>
  <r>
    <x v="3"/>
    <x v="8"/>
    <n v="284"/>
    <x v="0"/>
  </r>
  <r>
    <x v="3"/>
    <x v="9"/>
    <n v="540"/>
    <x v="0"/>
  </r>
  <r>
    <x v="3"/>
    <x v="10"/>
    <n v="412"/>
    <x v="0"/>
  </r>
  <r>
    <x v="3"/>
    <x v="11"/>
    <n v="160"/>
    <x v="0"/>
  </r>
  <r>
    <x v="4"/>
    <x v="0"/>
    <n v="291"/>
    <x v="0"/>
  </r>
  <r>
    <x v="4"/>
    <x v="1"/>
    <n v="301"/>
    <x v="0"/>
  </r>
  <r>
    <x v="4"/>
    <x v="2"/>
    <n v="330"/>
    <x v="0"/>
  </r>
  <r>
    <x v="4"/>
    <x v="3"/>
    <n v="274"/>
    <x v="0"/>
  </r>
  <r>
    <x v="4"/>
    <x v="4"/>
    <n v="171"/>
    <x v="0"/>
  </r>
  <r>
    <x v="4"/>
    <x v="5"/>
    <n v="116"/>
    <x v="0"/>
  </r>
  <r>
    <x v="4"/>
    <x v="6"/>
    <n v="117"/>
    <x v="0"/>
  </r>
  <r>
    <x v="4"/>
    <x v="7"/>
    <n v="245"/>
    <x v="0"/>
  </r>
  <r>
    <x v="4"/>
    <x v="8"/>
    <n v="579"/>
    <x v="0"/>
  </r>
  <r>
    <x v="4"/>
    <x v="9"/>
    <n v="538"/>
    <x v="0"/>
  </r>
  <r>
    <x v="4"/>
    <x v="10"/>
    <n v="493"/>
    <x v="0"/>
  </r>
  <r>
    <x v="4"/>
    <x v="11"/>
    <n v="153"/>
    <x v="0"/>
  </r>
  <r>
    <x v="5"/>
    <x v="0"/>
    <n v="164"/>
    <x v="0"/>
  </r>
  <r>
    <x v="5"/>
    <x v="1"/>
    <n v="231"/>
    <x v="0"/>
  </r>
  <r>
    <x v="5"/>
    <x v="2"/>
    <m/>
    <x v="0"/>
  </r>
  <r>
    <x v="5"/>
    <x v="3"/>
    <m/>
    <x v="0"/>
  </r>
  <r>
    <x v="5"/>
    <x v="4"/>
    <m/>
    <x v="0"/>
  </r>
  <r>
    <x v="5"/>
    <x v="5"/>
    <m/>
    <x v="0"/>
  </r>
  <r>
    <x v="5"/>
    <x v="6"/>
    <m/>
    <x v="0"/>
  </r>
  <r>
    <x v="5"/>
    <x v="7"/>
    <m/>
    <x v="0"/>
  </r>
  <r>
    <x v="5"/>
    <x v="8"/>
    <m/>
    <x v="0"/>
  </r>
  <r>
    <x v="5"/>
    <x v="9"/>
    <m/>
    <x v="0"/>
  </r>
  <r>
    <x v="5"/>
    <x v="10"/>
    <m/>
    <x v="0"/>
  </r>
  <r>
    <x v="5"/>
    <x v="11"/>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7BB4E5-255B-4F0A-97F0-21F82F0A4CE5}" name="WT COSTS"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fieldListSortAscending="1">
  <location ref="W42:X49" firstHeaderRow="1" firstDataRow="1" firstDataCol="1" rowPageCount="1" colPageCount="1"/>
  <pivotFields count="57">
    <pivotField showAll="0"/>
    <pivotField showAll="0">
      <items count="8">
        <item x="3"/>
        <item m="1" x="4"/>
        <item x="0"/>
        <item m="1" x="6"/>
        <item m="1" x="5"/>
        <item x="2"/>
        <item x="1"/>
        <item t="default"/>
      </items>
    </pivotField>
    <pivotField numFmtId="164" showAll="0"/>
    <pivotField numFmtId="164" showAll="0"/>
    <pivotField axis="axisRow" showAll="0" sortType="descending" maxSubtotal="1">
      <items count="17">
        <item x="0"/>
        <item m="1" x="9"/>
        <item m="1" x="13"/>
        <item m="1" x="10"/>
        <item m="1" x="8"/>
        <item x="2"/>
        <item m="1" x="11"/>
        <item x="3"/>
        <item x="4"/>
        <item m="1" x="12"/>
        <item m="1" x="7"/>
        <item m="1" x="15"/>
        <item m="1" x="14"/>
        <item x="6"/>
        <item x="1"/>
        <item x="5"/>
        <item t="max"/>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showAll="0"/>
    <pivotField axis="axisPage" multipleItemSelectionAllowed="1" showAll="0">
      <items count="13">
        <item x="0"/>
        <item x="1"/>
        <item x="2"/>
        <item m="1" x="3"/>
        <item m="1" x="4"/>
        <item m="1" x="5"/>
        <item m="1" x="6"/>
        <item m="1" x="7"/>
        <item m="1" x="9"/>
        <item m="1" x="8"/>
        <item m="1" x="10"/>
        <item m="1" x="11"/>
        <item t="default"/>
      </items>
    </pivotField>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showAll="0"/>
    <pivotField showAll="0"/>
    <pivotField numFmtId="166" showAll="0"/>
    <pivotField numFmtId="166" showAll="0"/>
    <pivotField showAll="0"/>
    <pivotField showAll="0"/>
    <pivotField showAll="0"/>
    <pivotField numFmtId="170" showAll="0"/>
    <pivotField numFmtId="170" showAll="0"/>
    <pivotField dataField="1"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7">
    <i>
      <x v="7"/>
    </i>
    <i>
      <x v="8"/>
    </i>
    <i>
      <x v="15"/>
    </i>
    <i>
      <x v="14"/>
    </i>
    <i>
      <x v="5"/>
    </i>
    <i>
      <x v="13"/>
    </i>
    <i t="grand">
      <x/>
    </i>
  </rowItems>
  <colItems count="1">
    <i/>
  </colItems>
  <pageFields count="1">
    <pageField fld="18" hier="-1"/>
  </pageFields>
  <dataFields count="1">
    <dataField name="Sum of WAITING TIMES" fld="49" baseField="4" baseItem="0" numFmtId="172"/>
  </dataFields>
  <formats count="7">
    <format dxfId="23">
      <pivotArea outline="0" collapsedLevelsAreSubtotals="1" fieldPosition="0"/>
    </format>
    <format dxfId="22">
      <pivotArea type="all" dataOnly="0" outline="0" fieldPosition="0"/>
    </format>
    <format dxfId="21">
      <pivotArea outline="0" collapsedLevelsAreSubtotals="1" fieldPosition="0"/>
    </format>
    <format dxfId="20">
      <pivotArea field="4" type="button" dataOnly="0" labelOnly="1" outline="0" axis="axisRow" fieldPosition="0"/>
    </format>
    <format dxfId="19">
      <pivotArea dataOnly="0" labelOnly="1" fieldPosition="0">
        <references count="1">
          <reference field="4" count="5">
            <x v="0"/>
            <x v="1"/>
            <x v="2"/>
            <x v="7"/>
            <x v="8"/>
          </reference>
        </references>
      </pivotArea>
    </format>
    <format dxfId="18">
      <pivotArea dataOnly="0" labelOnly="1" grandRow="1" outline="0" fieldPosition="0"/>
    </format>
    <format dxfId="17">
      <pivotArea dataOnly="0" labelOnly="1" outline="0" axis="axisValues" fieldPosition="0"/>
    </format>
  </formats>
  <chartFormats count="6">
    <chartFormat chart="8" format="2" series="1">
      <pivotArea type="data" outline="0" fieldPosition="0">
        <references count="1">
          <reference field="4294967294" count="1" selected="0">
            <x v="0"/>
          </reference>
        </references>
      </pivotArea>
    </chartFormat>
    <chartFormat chart="8" format="4">
      <pivotArea type="data" outline="0" fieldPosition="0">
        <references count="2">
          <reference field="4294967294" count="1" selected="0">
            <x v="0"/>
          </reference>
          <reference field="4" count="1" selected="0">
            <x v="0"/>
          </reference>
        </references>
      </pivotArea>
    </chartFormat>
    <chartFormat chart="8" format="5">
      <pivotArea type="data" outline="0" fieldPosition="0">
        <references count="2">
          <reference field="4294967294" count="1" selected="0">
            <x v="0"/>
          </reference>
          <reference field="4" count="1" selected="0">
            <x v="8"/>
          </reference>
        </references>
      </pivotArea>
    </chartFormat>
    <chartFormat chart="8" format="6">
      <pivotArea type="data" outline="0" fieldPosition="0">
        <references count="2">
          <reference field="4294967294" count="1" selected="0">
            <x v="0"/>
          </reference>
          <reference field="4" count="1" selected="0">
            <x v="7"/>
          </reference>
        </references>
      </pivotArea>
    </chartFormat>
    <chartFormat chart="8" format="7">
      <pivotArea type="data" outline="0" fieldPosition="0">
        <references count="2">
          <reference field="4294967294" count="1" selected="0">
            <x v="0"/>
          </reference>
          <reference field="4" count="1" selected="0">
            <x v="1"/>
          </reference>
        </references>
      </pivotArea>
    </chartFormat>
    <chartFormat chart="8" format="8">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EE2A17-09A4-49D6-BB6E-4F6C27EA96BC}" name="ETA TO AVAILABILITY"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1">
  <location ref="H3:I9" firstHeaderRow="1" firstDataRow="1" firstDataCol="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axis="axisRow" showAll="0">
      <items count="50">
        <item x="0"/>
        <item x="2"/>
        <item x="1"/>
        <item x="3"/>
        <item x="4"/>
        <item x="5"/>
        <item x="6"/>
        <item x="7"/>
        <item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9"/>
        <item m="1" x="34"/>
        <item m="1" x="35"/>
        <item m="1" x="36"/>
        <item m="1" x="37"/>
        <item m="1" x="38"/>
        <item m="1" x="40"/>
        <item m="1" x="41"/>
        <item m="1" x="42"/>
        <item m="1" x="43"/>
        <item m="1" x="44"/>
        <item m="1" x="45"/>
        <item m="1" x="46"/>
        <item m="1" x="47"/>
        <item m="1" x="48"/>
        <item t="default"/>
      </items>
    </pivotField>
    <pivotField showAll="0"/>
    <pivotField numFmtId="164" showAll="0"/>
    <pivotField numFmtId="165" showAll="0"/>
    <pivotField dataField="1"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showAll="0"/>
    <pivotField showAll="0"/>
    <pivotField numFmtId="166"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17"/>
  </rowFields>
  <rowItems count="6">
    <i>
      <x v="4"/>
    </i>
    <i>
      <x v="5"/>
    </i>
    <i>
      <x v="6"/>
    </i>
    <i>
      <x v="7"/>
    </i>
    <i>
      <x v="8"/>
    </i>
    <i t="grand">
      <x/>
    </i>
  </rowItems>
  <colItems count="1">
    <i/>
  </colItems>
  <dataFields count="1">
    <dataField name="Average of ATA A OFRECIMIENTO 2" fld="21" subtotal="average" baseField="17" baseItem="4" numFmtId="2"/>
  </dataFields>
  <formats count="6">
    <format dxfId="29">
      <pivotArea type="all" dataOnly="0" outline="0" fieldPosition="0"/>
    </format>
    <format dxfId="28">
      <pivotArea outline="0" collapsedLevelsAreSubtotals="1" fieldPosition="0"/>
    </format>
    <format dxfId="27">
      <pivotArea field="17" type="button" dataOnly="0" labelOnly="1" outline="0" axis="axisRow" fieldPosition="0"/>
    </format>
    <format dxfId="26">
      <pivotArea dataOnly="0" labelOnly="1" fieldPosition="0">
        <references count="1">
          <reference field="17" count="0"/>
        </references>
      </pivotArea>
    </format>
    <format dxfId="25">
      <pivotArea dataOnly="0" labelOnly="1" grandRow="1" outline="0" fieldPosition="0"/>
    </format>
    <format dxfId="24">
      <pivotArea dataOnly="0" labelOnly="1" outline="0" axis="axisValues" fieldPosition="0"/>
    </format>
  </formats>
  <chartFormats count="1">
    <chartFormat chart="1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70E9B1-7E0F-477E-BA10-506B9C8BDB29}" name="% delivered -48h"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41:B44" firstHeaderRow="1" firstDataRow="1" firstDataCol="1" rowPageCount="1" colPageCount="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dataField="1"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showAll="0"/>
    <pivotField axis="axisPage" multipleItemSelectionAllowed="1" showAll="0">
      <items count="13">
        <item x="0"/>
        <item x="1"/>
        <item x="2"/>
        <item m="1" x="3"/>
        <item m="1" x="4"/>
        <item m="1" x="5"/>
        <item m="1" x="6"/>
        <item m="1" x="7"/>
        <item m="1" x="9"/>
        <item m="1" x="8"/>
        <item m="1" x="10"/>
        <item m="1" x="11"/>
        <item t="default"/>
      </items>
    </pivotField>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axis="axisRow" showAll="0">
      <items count="3">
        <item x="1"/>
        <item x="0"/>
        <item t="default"/>
      </items>
    </pivotField>
    <pivotField showAll="0"/>
    <pivotField numFmtId="168" showAll="0"/>
    <pivotField showAll="0"/>
    <pivotField showAll="0"/>
    <pivotField showAll="0"/>
    <pivotField showAll="0"/>
    <pivotField numFmtId="44" showAll="0"/>
    <pivotField showAll="0"/>
    <pivotField numFmtId="166" showAll="0"/>
    <pivotField numFmtId="166" showAll="0"/>
    <pivotField showAll="0"/>
    <pivotField showAll="0"/>
    <pivotField showAll="0"/>
    <pivotField numFmtId="170" showAll="0"/>
    <pivotField numFmtId="170" showAll="0"/>
    <pivotField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33"/>
  </rowFields>
  <rowItems count="3">
    <i>
      <x/>
    </i>
    <i>
      <x v="1"/>
    </i>
    <i t="grand">
      <x/>
    </i>
  </rowItems>
  <colItems count="1">
    <i/>
  </colItems>
  <pageFields count="1">
    <pageField fld="18" hier="-1"/>
  </pageFields>
  <dataFields count="1">
    <dataField name="Count of CONTAINER" fld="8" subtotal="count" showDataAs="percentOfCol" baseField="0" baseItem="0" numFmtId="9"/>
  </dataFields>
  <formats count="7">
    <format dxfId="36">
      <pivotArea outline="0" collapsedLevelsAreSubtotals="1" fieldPosition="0"/>
    </format>
    <format dxfId="35">
      <pivotArea type="all" dataOnly="0" outline="0" fieldPosition="0"/>
    </format>
    <format dxfId="34">
      <pivotArea outline="0" collapsedLevelsAreSubtotals="1" fieldPosition="0"/>
    </format>
    <format dxfId="33">
      <pivotArea field="33" type="button" dataOnly="0" labelOnly="1" outline="0" axis="axisRow" fieldPosition="0"/>
    </format>
    <format dxfId="32">
      <pivotArea dataOnly="0" labelOnly="1" fieldPosition="0">
        <references count="1">
          <reference field="33" count="0"/>
        </references>
      </pivotArea>
    </format>
    <format dxfId="31">
      <pivotArea dataOnly="0" labelOnly="1" grandRow="1" outline="0" fieldPosition="0"/>
    </format>
    <format dxfId="30">
      <pivotArea dataOnly="0" labelOnly="1" outline="0" axis="axisValues" fieldPosition="0"/>
    </format>
  </format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3" count="1" selected="0">
            <x v="0"/>
          </reference>
        </references>
      </pivotArea>
    </chartFormat>
    <chartFormat chart="4" format="6">
      <pivotArea type="data" outline="0" fieldPosition="0">
        <references count="2">
          <reference field="4294967294" count="1" selected="0">
            <x v="0"/>
          </reference>
          <reference field="33" count="1" selected="0">
            <x v="1"/>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8E7BE0-0D2E-4949-ACCC-84926CEA0332}" name="QUANTITIES YEARLY COMPARISON"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location ref="AA45:AN60" firstHeaderRow="1" firstDataRow="3" firstDataCol="1"/>
  <pivotFields count="4">
    <pivotField axis="axisCol" showAll="0">
      <items count="7">
        <item x="0"/>
        <item x="1"/>
        <item x="2"/>
        <item x="3"/>
        <item x="4"/>
        <item x="5"/>
        <item t="default"/>
      </items>
    </pivotField>
    <pivotField axis="axisRow" showAll="0">
      <items count="13">
        <item x="0"/>
        <item x="1"/>
        <item x="2"/>
        <item x="3"/>
        <item x="4"/>
        <item x="5"/>
        <item x="6"/>
        <item x="7"/>
        <item x="8"/>
        <item x="9"/>
        <item x="10"/>
        <item x="11"/>
        <item t="default"/>
      </items>
    </pivotField>
    <pivotField dataField="1" showAll="0"/>
    <pivotField axis="axisCol" showAll="0">
      <items count="3">
        <item m="1" x="1"/>
        <item x="0"/>
        <item t="default"/>
      </items>
    </pivotField>
  </pivotFields>
  <rowFields count="1">
    <field x="1"/>
  </rowFields>
  <rowItems count="13">
    <i>
      <x/>
    </i>
    <i>
      <x v="1"/>
    </i>
    <i>
      <x v="2"/>
    </i>
    <i>
      <x v="3"/>
    </i>
    <i>
      <x v="4"/>
    </i>
    <i>
      <x v="5"/>
    </i>
    <i>
      <x v="6"/>
    </i>
    <i>
      <x v="7"/>
    </i>
    <i>
      <x v="8"/>
    </i>
    <i>
      <x v="9"/>
    </i>
    <i>
      <x v="10"/>
    </i>
    <i>
      <x v="11"/>
    </i>
    <i t="grand">
      <x/>
    </i>
  </rowItems>
  <colFields count="2">
    <field x="0"/>
    <field x="3"/>
  </colFields>
  <colItems count="13">
    <i>
      <x/>
      <x v="1"/>
    </i>
    <i t="default">
      <x/>
    </i>
    <i>
      <x v="1"/>
      <x v="1"/>
    </i>
    <i t="default">
      <x v="1"/>
    </i>
    <i>
      <x v="2"/>
      <x v="1"/>
    </i>
    <i t="default">
      <x v="2"/>
    </i>
    <i>
      <x v="3"/>
      <x v="1"/>
    </i>
    <i t="default">
      <x v="3"/>
    </i>
    <i>
      <x v="4"/>
      <x v="1"/>
    </i>
    <i t="default">
      <x v="4"/>
    </i>
    <i>
      <x v="5"/>
      <x v="1"/>
    </i>
    <i t="default">
      <x v="5"/>
    </i>
    <i t="grand">
      <x/>
    </i>
  </colItems>
  <dataFields count="1">
    <dataField name="Sum of CNTR" fld="2" baseField="0" baseItem="0"/>
  </dataFields>
  <formats count="17">
    <format dxfId="53">
      <pivotArea type="all" dataOnly="0" outline="0" fieldPosition="0"/>
    </format>
    <format dxfId="52">
      <pivotArea outline="0" collapsedLevelsAreSubtotals="1" fieldPosition="0"/>
    </format>
    <format dxfId="51">
      <pivotArea type="origin" dataOnly="0" labelOnly="1" outline="0" fieldPosition="0"/>
    </format>
    <format dxfId="50">
      <pivotArea field="0" type="button" dataOnly="0" labelOnly="1" outline="0" axis="axisCol" fieldPosition="0"/>
    </format>
    <format dxfId="49">
      <pivotArea field="3" type="button" dataOnly="0" labelOnly="1" outline="0" axis="axisCol" fieldPosition="1"/>
    </format>
    <format dxfId="48">
      <pivotArea type="topRight" dataOnly="0" labelOnly="1" outline="0" fieldPosition="0"/>
    </format>
    <format dxfId="47">
      <pivotArea field="1" type="button" dataOnly="0" labelOnly="1" outline="0" axis="axisRow" fieldPosition="0"/>
    </format>
    <format dxfId="46">
      <pivotArea dataOnly="0" labelOnly="1" fieldPosition="0">
        <references count="1">
          <reference field="1" count="0"/>
        </references>
      </pivotArea>
    </format>
    <format dxfId="45">
      <pivotArea dataOnly="0" labelOnly="1" grandRow="1" outline="0" fieldPosition="0"/>
    </format>
    <format dxfId="44">
      <pivotArea dataOnly="0" labelOnly="1" fieldPosition="0">
        <references count="1">
          <reference field="0" count="0"/>
        </references>
      </pivotArea>
    </format>
    <format dxfId="43">
      <pivotArea dataOnly="0" labelOnly="1" fieldPosition="0">
        <references count="1">
          <reference field="0" count="0" defaultSubtotal="1"/>
        </references>
      </pivotArea>
    </format>
    <format dxfId="42">
      <pivotArea dataOnly="0" labelOnly="1" grandCol="1" outline="0" fieldPosition="0"/>
    </format>
    <format dxfId="41">
      <pivotArea dataOnly="0" labelOnly="1" fieldPosition="0">
        <references count="2">
          <reference field="0" count="1" selected="0">
            <x v="0"/>
          </reference>
          <reference field="3" count="1">
            <x v="1"/>
          </reference>
        </references>
      </pivotArea>
    </format>
    <format dxfId="40">
      <pivotArea dataOnly="0" labelOnly="1" fieldPosition="0">
        <references count="2">
          <reference field="0" count="1" selected="0">
            <x v="1"/>
          </reference>
          <reference field="3" count="1">
            <x v="1"/>
          </reference>
        </references>
      </pivotArea>
    </format>
    <format dxfId="39">
      <pivotArea dataOnly="0" labelOnly="1" fieldPosition="0">
        <references count="2">
          <reference field="0" count="1" selected="0">
            <x v="2"/>
          </reference>
          <reference field="3" count="1">
            <x v="1"/>
          </reference>
        </references>
      </pivotArea>
    </format>
    <format dxfId="38">
      <pivotArea dataOnly="0" labelOnly="1" fieldPosition="0">
        <references count="2">
          <reference field="0" count="1" selected="0">
            <x v="3"/>
          </reference>
          <reference field="3" count="1">
            <x v="1"/>
          </reference>
        </references>
      </pivotArea>
    </format>
    <format dxfId="37">
      <pivotArea dataOnly="0" labelOnly="1" fieldPosition="0">
        <references count="2">
          <reference field="0" count="1" selected="0">
            <x v="4"/>
          </reference>
          <reference field="3" count="0"/>
        </references>
      </pivotArea>
    </format>
  </formats>
  <chartFormats count="17">
    <chartFormat chart="28" format="0" series="1">
      <pivotArea type="data" outline="0" fieldPosition="0">
        <references count="1">
          <reference field="4294967294" count="1" selected="0">
            <x v="0"/>
          </reference>
        </references>
      </pivotArea>
    </chartFormat>
    <chartFormat chart="28" format="1" series="1">
      <pivotArea type="data" outline="0" fieldPosition="0">
        <references count="2">
          <reference field="4294967294" count="1" selected="0">
            <x v="0"/>
          </reference>
          <reference field="0" count="1" selected="0">
            <x v="1"/>
          </reference>
        </references>
      </pivotArea>
    </chartFormat>
    <chartFormat chart="28" format="2" series="1">
      <pivotArea type="data" outline="0" fieldPosition="0">
        <references count="2">
          <reference field="4294967294" count="1" selected="0">
            <x v="0"/>
          </reference>
          <reference field="0" count="1" selected="0">
            <x v="2"/>
          </reference>
        </references>
      </pivotArea>
    </chartFormat>
    <chartFormat chart="28" format="3" series="1">
      <pivotArea type="data" outline="0" fieldPosition="0">
        <references count="2">
          <reference field="4294967294" count="1" selected="0">
            <x v="0"/>
          </reference>
          <reference field="0" count="1" selected="0">
            <x v="3"/>
          </reference>
        </references>
      </pivotArea>
    </chartFormat>
    <chartFormat chart="28" format="4" series="1">
      <pivotArea type="data" outline="0" fieldPosition="0">
        <references count="2">
          <reference field="4294967294" count="1" selected="0">
            <x v="0"/>
          </reference>
          <reference field="0" count="1" selected="0">
            <x v="4"/>
          </reference>
        </references>
      </pivotArea>
    </chartFormat>
    <chartFormat chart="30" format="10" series="1">
      <pivotArea type="data" outline="0" fieldPosition="0">
        <references count="2">
          <reference field="4294967294" count="1" selected="0">
            <x v="0"/>
          </reference>
          <reference field="0" count="1" selected="0">
            <x v="0"/>
          </reference>
        </references>
      </pivotArea>
    </chartFormat>
    <chartFormat chart="30" format="11" series="1">
      <pivotArea type="data" outline="0" fieldPosition="0">
        <references count="2">
          <reference field="4294967294" count="1" selected="0">
            <x v="0"/>
          </reference>
          <reference field="0" count="1" selected="0">
            <x v="1"/>
          </reference>
        </references>
      </pivotArea>
    </chartFormat>
    <chartFormat chart="30" format="12" series="1">
      <pivotArea type="data" outline="0" fieldPosition="0">
        <references count="2">
          <reference field="4294967294" count="1" selected="0">
            <x v="0"/>
          </reference>
          <reference field="0" count="1" selected="0">
            <x v="2"/>
          </reference>
        </references>
      </pivotArea>
    </chartFormat>
    <chartFormat chart="30" format="13" series="1">
      <pivotArea type="data" outline="0" fieldPosition="0">
        <references count="2">
          <reference field="4294967294" count="1" selected="0">
            <x v="0"/>
          </reference>
          <reference field="0" count="1" selected="0">
            <x v="3"/>
          </reference>
        </references>
      </pivotArea>
    </chartFormat>
    <chartFormat chart="30" format="14" series="1">
      <pivotArea type="data" outline="0" fieldPosition="0">
        <references count="2">
          <reference field="4294967294" count="1" selected="0">
            <x v="0"/>
          </reference>
          <reference field="0" count="1" selected="0">
            <x v="4"/>
          </reference>
        </references>
      </pivotArea>
    </chartFormat>
    <chartFormat chart="30" format="22" series="1">
      <pivotArea type="data" outline="0" fieldPosition="0">
        <references count="3">
          <reference field="4294967294" count="1" selected="0">
            <x v="0"/>
          </reference>
          <reference field="0" count="1" selected="0">
            <x v="4"/>
          </reference>
          <reference field="3" count="1" selected="0">
            <x v="0"/>
          </reference>
        </references>
      </pivotArea>
    </chartFormat>
    <chartFormat chart="30" format="23" series="1">
      <pivotArea type="data" outline="0" fieldPosition="0">
        <references count="3">
          <reference field="4294967294" count="1" selected="0">
            <x v="0"/>
          </reference>
          <reference field="0" count="1" selected="0">
            <x v="0"/>
          </reference>
          <reference field="3" count="1" selected="0">
            <x v="1"/>
          </reference>
        </references>
      </pivotArea>
    </chartFormat>
    <chartFormat chart="30" format="24" series="1">
      <pivotArea type="data" outline="0" fieldPosition="0">
        <references count="3">
          <reference field="4294967294" count="1" selected="0">
            <x v="0"/>
          </reference>
          <reference field="0" count="1" selected="0">
            <x v="1"/>
          </reference>
          <reference field="3" count="1" selected="0">
            <x v="1"/>
          </reference>
        </references>
      </pivotArea>
    </chartFormat>
    <chartFormat chart="30" format="25" series="1">
      <pivotArea type="data" outline="0" fieldPosition="0">
        <references count="3">
          <reference field="4294967294" count="1" selected="0">
            <x v="0"/>
          </reference>
          <reference field="0" count="1" selected="0">
            <x v="2"/>
          </reference>
          <reference field="3" count="1" selected="0">
            <x v="1"/>
          </reference>
        </references>
      </pivotArea>
    </chartFormat>
    <chartFormat chart="30" format="26" series="1">
      <pivotArea type="data" outline="0" fieldPosition="0">
        <references count="3">
          <reference field="4294967294" count="1" selected="0">
            <x v="0"/>
          </reference>
          <reference field="0" count="1" selected="0">
            <x v="3"/>
          </reference>
          <reference field="3" count="1" selected="0">
            <x v="1"/>
          </reference>
        </references>
      </pivotArea>
    </chartFormat>
    <chartFormat chart="30" format="27" series="1">
      <pivotArea type="data" outline="0" fieldPosition="0">
        <references count="3">
          <reference field="4294967294" count="1" selected="0">
            <x v="0"/>
          </reference>
          <reference field="0" count="1" selected="0">
            <x v="4"/>
          </reference>
          <reference field="3" count="1" selected="0">
            <x v="1"/>
          </reference>
        </references>
      </pivotArea>
    </chartFormat>
    <chartFormat chart="30" format="29" series="1">
      <pivotArea type="data" outline="0" fieldPosition="0">
        <references count="3">
          <reference field="4294967294" count="1" selected="0">
            <x v="0"/>
          </reference>
          <reference field="0" count="1" selected="0">
            <x v="5"/>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F1C7E9E-CCD3-49BC-9098-093FA6E4106E}" name="NUMBER OF CNTS" cacheId="98" applyNumberFormats="0" applyBorderFormats="0" applyFontFormats="0" applyPatternFormats="0" applyAlignmentFormats="0" applyWidthHeightFormats="1" dataCaption="Values" updatedVersion="8" minRefreshableVersion="5" showDrill="0" useAutoFormatting="1" itemPrintTitles="1" createdVersion="8" indent="0" showHeaders="0" outline="1" outlineData="1" multipleFieldFilters="0" chartFormat="27">
  <location ref="A3:C6" firstHeaderRow="1" firstDataRow="2" firstDataCol="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dataField="1"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axis="axisCol" showAll="0">
      <items count="5">
        <item m="1" x="1"/>
        <item x="0"/>
        <item m="1" x="2"/>
        <item m="1" x="3"/>
        <item t="default"/>
      </items>
    </pivotField>
    <pivotField showAll="0"/>
    <pivotField showAll="0"/>
    <pivotField showAll="0"/>
    <pivotField showAll="0"/>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showAll="0"/>
    <pivotField showAll="0"/>
    <pivotField numFmtId="166"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56"/>
  </rowFields>
  <rowItems count="2">
    <i>
      <x v="2"/>
    </i>
    <i t="grand">
      <x/>
    </i>
  </rowItems>
  <colFields count="1">
    <field x="14"/>
  </colFields>
  <colItems count="2">
    <i>
      <x v="1"/>
    </i>
    <i t="grand">
      <x/>
    </i>
  </colItems>
  <dataFields count="1">
    <dataField name="Count of CONTAINER" fld="8" subtotal="count" baseField="0" baseItem="0"/>
  </dataFields>
  <formats count="8">
    <format dxfId="61">
      <pivotArea type="all" dataOnly="0" outline="0" fieldPosition="0"/>
    </format>
    <format dxfId="60">
      <pivotArea outline="0" collapsedLevelsAreSubtotals="1" fieldPosition="0"/>
    </format>
    <format dxfId="59">
      <pivotArea type="origin" dataOnly="0" labelOnly="1" outline="0" fieldPosition="0"/>
    </format>
    <format dxfId="58">
      <pivotArea type="topRight" dataOnly="0" labelOnly="1" outline="0" fieldPosition="0"/>
    </format>
    <format dxfId="57">
      <pivotArea dataOnly="0" labelOnly="1" fieldPosition="0">
        <references count="1">
          <reference field="56" count="8">
            <x v="1"/>
            <x v="2"/>
            <x v="3"/>
            <x v="4"/>
            <x v="5"/>
            <x v="6"/>
            <x v="7"/>
            <x v="8"/>
          </reference>
        </references>
      </pivotArea>
    </format>
    <format dxfId="56">
      <pivotArea dataOnly="0" labelOnly="1" grandRow="1" outline="0" fieldPosition="0"/>
    </format>
    <format dxfId="55">
      <pivotArea dataOnly="0" labelOnly="1" fieldPosition="0">
        <references count="1">
          <reference field="14" count="0"/>
        </references>
      </pivotArea>
    </format>
    <format dxfId="54">
      <pivotArea dataOnly="0" labelOnly="1" grandCol="1" outline="0" fieldPosition="0"/>
    </format>
  </formats>
  <chartFormats count="13">
    <chartFormat chart="7" format="22" series="1">
      <pivotArea type="data" outline="0" fieldPosition="0">
        <references count="2">
          <reference field="4294967294" count="1" selected="0">
            <x v="0"/>
          </reference>
          <reference field="14" count="1" selected="0">
            <x v="0"/>
          </reference>
        </references>
      </pivotArea>
    </chartFormat>
    <chartFormat chart="7" format="23" series="1">
      <pivotArea type="data" outline="0" fieldPosition="0">
        <references count="2">
          <reference field="4294967294" count="1" selected="0">
            <x v="0"/>
          </reference>
          <reference field="14" count="1" selected="0">
            <x v="1"/>
          </reference>
        </references>
      </pivotArea>
    </chartFormat>
    <chartFormat chart="20" format="0" series="1">
      <pivotArea type="data" outline="0" fieldPosition="0">
        <references count="2">
          <reference field="4294967294" count="1" selected="0">
            <x v="0"/>
          </reference>
          <reference field="14" count="1" selected="0">
            <x v="0"/>
          </reference>
        </references>
      </pivotArea>
    </chartFormat>
    <chartFormat chart="20" format="1" series="1">
      <pivotArea type="data" outline="0" fieldPosition="0">
        <references count="2">
          <reference field="4294967294" count="1" selected="0">
            <x v="0"/>
          </reference>
          <reference field="14" count="1" selected="0">
            <x v="1"/>
          </reference>
        </references>
      </pivotArea>
    </chartFormat>
    <chartFormat chart="22" format="4" series="1">
      <pivotArea type="data" outline="0" fieldPosition="0">
        <references count="2">
          <reference field="4294967294" count="1" selected="0">
            <x v="0"/>
          </reference>
          <reference field="14" count="1" selected="0">
            <x v="0"/>
          </reference>
        </references>
      </pivotArea>
    </chartFormat>
    <chartFormat chart="22" format="5" series="1">
      <pivotArea type="data" outline="0" fieldPosition="0">
        <references count="2">
          <reference field="4294967294" count="1" selected="0">
            <x v="0"/>
          </reference>
          <reference field="14" count="1" selected="0">
            <x v="1"/>
          </reference>
        </references>
      </pivotArea>
    </chartFormat>
    <chartFormat chart="7" format="24" series="1">
      <pivotArea type="data" outline="0" fieldPosition="0">
        <references count="2">
          <reference field="4294967294" count="1" selected="0">
            <x v="0"/>
          </reference>
          <reference field="14" count="1" selected="0">
            <x v="2"/>
          </reference>
        </references>
      </pivotArea>
    </chartFormat>
    <chartFormat chart="7" format="25" series="1">
      <pivotArea type="data" outline="0" fieldPosition="0">
        <references count="2">
          <reference field="4294967294" count="1" selected="0">
            <x v="0"/>
          </reference>
          <reference field="14" count="1" selected="0">
            <x v="3"/>
          </reference>
        </references>
      </pivotArea>
    </chartFormat>
    <chartFormat chart="7" format="26" series="1">
      <pivotArea type="data" outline="0" fieldPosition="0">
        <references count="1">
          <reference field="4294967294" count="1" selected="0">
            <x v="0"/>
          </reference>
        </references>
      </pivotArea>
    </chartFormat>
    <chartFormat chart="23" format="27" series="1">
      <pivotArea type="data" outline="0" fieldPosition="0">
        <references count="2">
          <reference field="4294967294" count="1" selected="0">
            <x v="0"/>
          </reference>
          <reference field="14" count="1" selected="0">
            <x v="0"/>
          </reference>
        </references>
      </pivotArea>
    </chartFormat>
    <chartFormat chart="23" format="28" series="1">
      <pivotArea type="data" outline="0" fieldPosition="0">
        <references count="2">
          <reference field="4294967294" count="1" selected="0">
            <x v="0"/>
          </reference>
          <reference field="14" count="1" selected="0">
            <x v="1"/>
          </reference>
        </references>
      </pivotArea>
    </chartFormat>
    <chartFormat chart="24" format="29" series="1">
      <pivotArea type="data" outline="0" fieldPosition="0">
        <references count="2">
          <reference field="4294967294" count="1" selected="0">
            <x v="0"/>
          </reference>
          <reference field="14" count="1" selected="0">
            <x v="0"/>
          </reference>
        </references>
      </pivotArea>
    </chartFormat>
    <chartFormat chart="24" format="30"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1606DA0-25BF-4EEE-92B1-EA9EF76D9A88}" name="% transport mode"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23:B25" firstHeaderRow="1" firstDataRow="1" firstDataCol="1" rowPageCount="1" colPageCount="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dataField="1"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axis="axisRow" showAll="0">
      <items count="5">
        <item m="1" x="1"/>
        <item m="1" x="2"/>
        <item m="1" x="3"/>
        <item x="0"/>
        <item t="default"/>
      </items>
    </pivotField>
    <pivotField showAll="0"/>
    <pivotField showAll="0"/>
    <pivotField showAll="0"/>
    <pivotField axis="axisPage" multipleItemSelectionAllowed="1" showAll="0">
      <items count="13">
        <item x="0"/>
        <item x="1"/>
        <item x="2"/>
        <item m="1" x="3"/>
        <item m="1" x="4"/>
        <item m="1" x="5"/>
        <item m="1" x="6"/>
        <item m="1" x="7"/>
        <item m="1" x="9"/>
        <item m="1" x="8"/>
        <item m="1" x="10"/>
        <item m="1" x="11"/>
        <item t="default"/>
      </items>
    </pivotField>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numFmtId="44" showAll="0"/>
    <pivotField showAll="0"/>
    <pivotField numFmtId="166" showAll="0"/>
    <pivotField numFmtId="166" showAll="0"/>
    <pivotField showAll="0"/>
    <pivotField showAll="0"/>
    <pivotField showAll="0"/>
    <pivotField numFmtId="170" showAll="0"/>
    <pivotField numFmtId="170" showAll="0"/>
    <pivotField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4"/>
  </rowFields>
  <rowItems count="2">
    <i>
      <x v="3"/>
    </i>
    <i t="grand">
      <x/>
    </i>
  </rowItems>
  <colItems count="1">
    <i/>
  </colItems>
  <pageFields count="1">
    <pageField fld="18" hier="-1"/>
  </pageFields>
  <dataFields count="1">
    <dataField name="Count of CONTAINER" fld="8" subtotal="count" showDataAs="percentOfCol" baseField="12" baseItem="0" numFmtId="9"/>
  </dataFields>
  <formats count="7">
    <format dxfId="68">
      <pivotArea outline="0" collapsedLevelsAreSubtotals="1" fieldPosition="0"/>
    </format>
    <format dxfId="67">
      <pivotArea type="all" dataOnly="0" outline="0" fieldPosition="0"/>
    </format>
    <format dxfId="66">
      <pivotArea outline="0" collapsedLevelsAreSubtotals="1" fieldPosition="0"/>
    </format>
    <format dxfId="65">
      <pivotArea field="14" type="button" dataOnly="0" labelOnly="1" outline="0" axis="axisRow" fieldPosition="0"/>
    </format>
    <format dxfId="64">
      <pivotArea dataOnly="0" labelOnly="1" fieldPosition="0">
        <references count="1">
          <reference field="14" count="0"/>
        </references>
      </pivotArea>
    </format>
    <format dxfId="63">
      <pivotArea dataOnly="0" labelOnly="1" grandRow="1" outline="0" fieldPosition="0"/>
    </format>
    <format dxfId="62">
      <pivotArea dataOnly="0" labelOnly="1" outline="0" axis="axisValues" fieldPosition="0"/>
    </format>
  </formats>
  <chartFormats count="4">
    <chartFormat chart="2"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4" count="1" selected="0">
            <x v="0"/>
          </reference>
        </references>
      </pivotArea>
    </chartFormat>
    <chartFormat chart="4" format="8">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2A92182-3602-4F6F-9DDE-0B458F478D3A}" name="EXTRA STOPS AND GOH CLEANINGS"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A25:AG34" firstHeaderRow="1" firstDataRow="3" firstDataCol="1" rowPageCount="1" colPageCount="1"/>
  <pivotFields count="57">
    <pivotField showAll="0"/>
    <pivotField showAll="0">
      <items count="8">
        <item x="3"/>
        <item m="1" x="4"/>
        <item x="0"/>
        <item m="1" x="6"/>
        <item m="1" x="5"/>
        <item x="2"/>
        <item x="1"/>
        <item t="default"/>
      </items>
    </pivotField>
    <pivotField numFmtId="164" showAll="0"/>
    <pivotField numFmtId="164" showAll="0"/>
    <pivotField axis="axisRow" showAll="0">
      <items count="17">
        <item x="0"/>
        <item m="1" x="9"/>
        <item m="1" x="13"/>
        <item m="1" x="10"/>
        <item m="1" x="8"/>
        <item x="2"/>
        <item m="1" x="11"/>
        <item x="3"/>
        <item x="4"/>
        <item m="1" x="12"/>
        <item m="1" x="7"/>
        <item m="1" x="15"/>
        <item m="1" x="14"/>
        <item x="6"/>
        <item x="1"/>
        <item x="5"/>
        <item t="default"/>
      </items>
    </pivotField>
    <pivotField showAll="0"/>
    <pivotField showAll="0"/>
    <pivotField showAll="0"/>
    <pivotField dataField="1"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35"/>
        <item m="1" x="836"/>
        <item m="1" x="854"/>
        <item m="1" x="837"/>
        <item m="1" x="838"/>
        <item m="1" x="839"/>
        <item m="1" x="840"/>
        <item m="1" x="841"/>
        <item m="1" x="842"/>
        <item m="1" x="843"/>
        <item m="1" x="844"/>
        <item m="1" x="845"/>
        <item m="1" x="846"/>
        <item m="1" x="847"/>
        <item m="1" x="848"/>
        <item m="1" x="849"/>
        <item m="1" x="850"/>
        <item m="1" x="851"/>
        <item m="1" x="852"/>
        <item m="1" x="853"/>
        <item m="1" x="855"/>
        <item m="1" x="856"/>
        <item m="1" x="857"/>
        <item m="1" x="858"/>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59"/>
        <item m="1" x="895"/>
        <item m="1" x="896"/>
        <item m="1" x="860"/>
        <item m="1" x="897"/>
        <item m="1" x="861"/>
        <item m="1" x="862"/>
        <item m="1" x="863"/>
        <item m="1" x="864"/>
        <item m="1" x="865"/>
        <item m="1" x="898"/>
        <item m="1" x="866"/>
        <item m="1" x="867"/>
        <item m="1" x="868"/>
        <item m="1" x="869"/>
        <item m="1" x="899"/>
        <item m="1" x="900"/>
        <item m="1" x="901"/>
        <item m="1" x="902"/>
        <item m="1" x="870"/>
        <item m="1" x="903"/>
        <item m="1" x="904"/>
        <item m="1" x="905"/>
        <item m="1" x="871"/>
        <item m="1" x="906"/>
        <item m="1" x="907"/>
        <item m="1" x="872"/>
        <item m="1" x="908"/>
        <item m="1" x="873"/>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axis="axisCol" showAll="0">
      <items count="4">
        <item x="1"/>
        <item x="0"/>
        <item m="1" x="2"/>
        <item t="default"/>
      </items>
    </pivotField>
    <pivotField dataField="1" showAll="0"/>
    <pivotField showAll="0"/>
    <pivotField axis="axisPage" showAll="0">
      <items count="13">
        <item x="0"/>
        <item x="1"/>
        <item x="2"/>
        <item m="1" x="3"/>
        <item m="1" x="4"/>
        <item m="1" x="5"/>
        <item m="1" x="6"/>
        <item m="1" x="7"/>
        <item m="1" x="9"/>
        <item m="1" x="8"/>
        <item m="1" x="10"/>
        <item m="1" x="11"/>
        <item t="default"/>
      </items>
    </pivotField>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numFmtId="44" showAll="0"/>
    <pivotField showAll="0"/>
    <pivotField numFmtId="166" showAll="0"/>
    <pivotField numFmtId="166" showAll="0"/>
    <pivotField showAll="0"/>
    <pivotField showAll="0"/>
    <pivotField showAll="0"/>
    <pivotField numFmtId="170" showAll="0"/>
    <pivotField numFmtId="170" showAll="0"/>
    <pivotField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7">
    <i>
      <x v="5"/>
    </i>
    <i>
      <x v="7"/>
    </i>
    <i>
      <x v="8"/>
    </i>
    <i>
      <x v="13"/>
    </i>
    <i>
      <x v="14"/>
    </i>
    <i>
      <x v="15"/>
    </i>
    <i t="grand">
      <x/>
    </i>
  </rowItems>
  <colFields count="2">
    <field x="15"/>
    <field x="-2"/>
  </colFields>
  <colItems count="6">
    <i>
      <x/>
      <x/>
    </i>
    <i r="1" i="1">
      <x v="1"/>
    </i>
    <i>
      <x v="1"/>
      <x/>
    </i>
    <i r="1" i="1">
      <x v="1"/>
    </i>
    <i t="grand">
      <x/>
    </i>
    <i t="grand" i="1">
      <x/>
    </i>
  </colItems>
  <pageFields count="1">
    <pageField fld="18" hier="-1"/>
  </pageFields>
  <dataFields count="2">
    <dataField name="Count of CONTAINER" fld="8" subtotal="count" baseField="0" baseItem="0"/>
    <dataField name="Sum of EXTRA STOP" fld="16" baseField="0" baseItem="0"/>
  </dataFields>
  <formats count="14">
    <format dxfId="82">
      <pivotArea type="all" dataOnly="0" outline="0" fieldPosition="0"/>
    </format>
    <format dxfId="81">
      <pivotArea outline="0" collapsedLevelsAreSubtotals="1" fieldPosition="0"/>
    </format>
    <format dxfId="80">
      <pivotArea type="origin" dataOnly="0" labelOnly="1" outline="0" fieldPosition="0"/>
    </format>
    <format dxfId="79">
      <pivotArea field="15" type="button" dataOnly="0" labelOnly="1" outline="0" axis="axisCol" fieldPosition="0"/>
    </format>
    <format dxfId="78">
      <pivotArea field="-2" type="button" dataOnly="0" labelOnly="1" outline="0" axis="axisCol" fieldPosition="1"/>
    </format>
    <format dxfId="77">
      <pivotArea type="topRight" dataOnly="0" labelOnly="1" outline="0" fieldPosition="0"/>
    </format>
    <format dxfId="76">
      <pivotArea field="4" type="button" dataOnly="0" labelOnly="1" outline="0" axis="axisRow" fieldPosition="0"/>
    </format>
    <format dxfId="75">
      <pivotArea dataOnly="0" labelOnly="1" fieldPosition="0">
        <references count="1">
          <reference field="4" count="0"/>
        </references>
      </pivotArea>
    </format>
    <format dxfId="74">
      <pivotArea dataOnly="0" labelOnly="1" grandRow="1" outline="0" fieldPosition="0"/>
    </format>
    <format dxfId="73">
      <pivotArea dataOnly="0" labelOnly="1" fieldPosition="0">
        <references count="1">
          <reference field="15" count="0"/>
        </references>
      </pivotArea>
    </format>
    <format dxfId="72">
      <pivotArea field="15" dataOnly="0" labelOnly="1" grandCol="1" outline="0" axis="axisCol" fieldPosition="0">
        <references count="1">
          <reference field="4294967294" count="1" selected="0">
            <x v="0"/>
          </reference>
        </references>
      </pivotArea>
    </format>
    <format dxfId="71">
      <pivotArea field="15" dataOnly="0" labelOnly="1" grandCol="1" outline="0" axis="axisCol" fieldPosition="0">
        <references count="1">
          <reference field="4294967294" count="1" selected="0">
            <x v="1"/>
          </reference>
        </references>
      </pivotArea>
    </format>
    <format dxfId="70">
      <pivotArea dataOnly="0" labelOnly="1" outline="0" fieldPosition="0">
        <references count="2">
          <reference field="4294967294" count="2">
            <x v="0"/>
            <x v="1"/>
          </reference>
          <reference field="15" count="1" selected="0">
            <x v="0"/>
          </reference>
        </references>
      </pivotArea>
    </format>
    <format dxfId="69">
      <pivotArea dataOnly="0" labelOnly="1" outline="0" fieldPosition="0">
        <references count="2">
          <reference field="4294967294" count="2">
            <x v="0"/>
            <x v="1"/>
          </reference>
          <reference field="15" count="1" selected="0">
            <x v="1"/>
          </reference>
        </references>
      </pivotArea>
    </format>
  </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55F3953-F05B-496F-9904-B4936898C823}" name="PivotTable1" cacheId="9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A1:BB9" firstHeaderRow="1" firstDataRow="1" firstDataCol="1"/>
  <pivotFields count="57">
    <pivotField showAll="0"/>
    <pivotField showAll="0"/>
    <pivotField numFmtId="164" showAll="0"/>
    <pivotField numFmtId="164" showAll="0"/>
    <pivotField axis="axisRow" showAll="0">
      <items count="17">
        <item x="6"/>
        <item x="0"/>
        <item m="1" x="9"/>
        <item m="1" x="13"/>
        <item x="1"/>
        <item m="1" x="10"/>
        <item m="1" x="8"/>
        <item m="1" x="14"/>
        <item x="2"/>
        <item m="1" x="11"/>
        <item x="3"/>
        <item x="4"/>
        <item m="1" x="12"/>
        <item m="1" x="7"/>
        <item m="1" x="15"/>
        <item x="5"/>
        <item t="default"/>
      </items>
    </pivotField>
    <pivotField showAll="0"/>
    <pivotField showAll="0"/>
    <pivotField showAll="0"/>
    <pivotField dataField="1" showAll="0"/>
    <pivotField showAll="0"/>
    <pivotField numFmtId="164" showAll="0"/>
    <pivotField numFmtId="164" showAll="0"/>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35"/>
        <item m="1" x="836"/>
        <item m="1" x="854"/>
        <item m="1" x="837"/>
        <item m="1" x="838"/>
        <item m="1" x="839"/>
        <item m="1" x="840"/>
        <item m="1" x="841"/>
        <item m="1" x="842"/>
        <item m="1" x="843"/>
        <item m="1" x="844"/>
        <item m="1" x="845"/>
        <item m="1" x="846"/>
        <item m="1" x="847"/>
        <item m="1" x="848"/>
        <item m="1" x="849"/>
        <item m="1" x="850"/>
        <item m="1" x="851"/>
        <item m="1" x="852"/>
        <item m="1" x="853"/>
        <item m="1" x="855"/>
        <item m="1" x="856"/>
        <item m="1" x="857"/>
        <item m="1" x="858"/>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59"/>
        <item m="1" x="895"/>
        <item m="1" x="896"/>
        <item m="1" x="860"/>
        <item m="1" x="897"/>
        <item m="1" x="861"/>
        <item m="1" x="862"/>
        <item m="1" x="863"/>
        <item m="1" x="864"/>
        <item m="1" x="865"/>
        <item m="1" x="898"/>
        <item m="1" x="866"/>
        <item m="1" x="867"/>
        <item m="1" x="868"/>
        <item m="1" x="869"/>
        <item m="1" x="899"/>
        <item m="1" x="900"/>
        <item m="1" x="901"/>
        <item m="1" x="902"/>
        <item m="1" x="870"/>
        <item m="1" x="903"/>
        <item m="1" x="904"/>
        <item m="1" x="905"/>
        <item m="1" x="871"/>
        <item m="1" x="906"/>
        <item m="1" x="907"/>
        <item m="1" x="872"/>
        <item m="1" x="908"/>
        <item m="1" x="873"/>
        <item m="1" x="909"/>
        <item m="1" x="910"/>
        <item m="1" x="911"/>
        <item m="1" x="912"/>
        <item m="1" x="913"/>
        <item m="1" x="914"/>
        <item m="1" x="915"/>
        <item m="1" x="916"/>
        <item m="1" x="917"/>
        <item m="1" x="918"/>
        <item m="1" x="919"/>
        <item m="1" x="931"/>
        <item m="1" x="932"/>
        <item m="1" x="933"/>
        <item m="1" x="920"/>
        <item m="1" x="934"/>
        <item m="1" x="935"/>
        <item m="1" x="936"/>
        <item m="1" x="921"/>
        <item m="1" x="937"/>
        <item m="1" x="922"/>
        <item m="1" x="923"/>
        <item m="1" x="924"/>
        <item m="1" x="925"/>
        <item m="1" x="926"/>
        <item m="1" x="927"/>
        <item m="1" x="928"/>
        <item m="1" x="938"/>
        <item m="1" x="939"/>
        <item m="1" x="940"/>
        <item m="1" x="941"/>
        <item m="1" x="929"/>
        <item m="1" x="942"/>
        <item m="1" x="943"/>
        <item m="1" x="944"/>
        <item m="1" x="945"/>
        <item m="1" x="946"/>
        <item m="1" x="930"/>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2714"/>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63"/>
        <item m="1" x="1064"/>
        <item m="1" x="1059"/>
        <item m="1" x="1060"/>
        <item m="1" x="1065"/>
        <item m="1" x="1061"/>
        <item m="1" x="1062"/>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27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1"/>
        <item m="1" x="1560"/>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42"/>
        <item m="1" x="1643"/>
        <item m="1" x="1635"/>
        <item m="1" x="1644"/>
        <item m="1" x="1645"/>
        <item m="1" x="1646"/>
        <item m="1" x="1647"/>
        <item m="1" x="1648"/>
        <item m="1" x="1636"/>
        <item m="1" x="1649"/>
        <item m="1" x="1650"/>
        <item m="1" x="1637"/>
        <item m="1" x="1651"/>
        <item m="1" x="1638"/>
        <item m="1" x="1652"/>
        <item m="1" x="1653"/>
        <item m="1" x="1654"/>
        <item m="1" x="1655"/>
        <item m="1" x="1639"/>
        <item m="1" x="1656"/>
        <item m="1" x="1657"/>
        <item m="1" x="1658"/>
        <item m="1" x="1659"/>
        <item m="1" x="1660"/>
        <item m="1" x="1661"/>
        <item m="1" x="1662"/>
        <item m="1" x="1663"/>
        <item m="1" x="1664"/>
        <item m="1" x="1665"/>
        <item m="1" x="1666"/>
        <item m="1" x="2712"/>
        <item m="1" x="1640"/>
        <item m="1" x="1667"/>
        <item m="1" x="1641"/>
        <item m="1" x="1668"/>
        <item m="1" x="1669"/>
        <item m="1" x="1686"/>
        <item m="1" x="1670"/>
        <item m="1" x="1671"/>
        <item m="1" x="1672"/>
        <item m="1" x="1687"/>
        <item m="1" x="1673"/>
        <item m="1" x="1688"/>
        <item m="1" x="1674"/>
        <item m="1" x="1689"/>
        <item m="1" x="1675"/>
        <item m="1" x="1676"/>
        <item m="1" x="1677"/>
        <item m="1" x="1690"/>
        <item m="1" x="1691"/>
        <item m="1" x="1678"/>
        <item m="1" x="1679"/>
        <item m="1" x="1680"/>
        <item m="1" x="1681"/>
        <item m="1" x="1682"/>
        <item m="1" x="1683"/>
        <item m="1" x="1684"/>
        <item m="1" x="1692"/>
        <item m="1" x="1693"/>
        <item m="1" x="1694"/>
        <item m="1" x="1695"/>
        <item m="1" x="1696"/>
        <item m="1" x="1685"/>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66"/>
        <item m="1" x="1795"/>
        <item m="1" x="1796"/>
        <item m="1" x="1797"/>
        <item m="1" x="1798"/>
        <item m="1" x="1799"/>
        <item m="1" x="1800"/>
        <item m="1" x="1801"/>
        <item m="1" x="1802"/>
        <item m="1" x="1803"/>
        <item m="1" x="1804"/>
        <item m="1" x="1805"/>
        <item m="1" x="1806"/>
        <item m="1" x="1807"/>
        <item m="1" x="1808"/>
        <item m="1" x="1809"/>
        <item m="1" x="1810"/>
        <item m="1" x="1819"/>
        <item m="1" x="1820"/>
        <item m="1" x="1871"/>
        <item m="1" x="1821"/>
        <item m="1" x="1822"/>
        <item m="1" x="1811"/>
        <item m="1" x="1823"/>
        <item m="1" x="1824"/>
        <item m="1" x="1825"/>
        <item m="1" x="1826"/>
        <item m="1" x="1872"/>
        <item m="1" x="1827"/>
        <item m="1" x="1828"/>
        <item m="1" x="1829"/>
        <item m="1" x="1830"/>
        <item m="1" x="1831"/>
        <item m="1" x="1873"/>
        <item m="1" x="1832"/>
        <item m="1" x="1833"/>
        <item m="1" x="1874"/>
        <item m="1" x="1834"/>
        <item m="1" x="1875"/>
        <item m="1" x="1835"/>
        <item m="1" x="1876"/>
        <item m="1" x="1836"/>
        <item m="1" x="1837"/>
        <item m="1" x="1877"/>
        <item m="1" x="1878"/>
        <item m="1" x="1838"/>
        <item m="1" x="1839"/>
        <item m="1" x="1840"/>
        <item m="1" x="1841"/>
        <item m="1" x="1842"/>
        <item m="1" x="1843"/>
        <item m="1" x="1844"/>
        <item m="1" x="1845"/>
        <item m="1" x="1846"/>
        <item m="1" x="1847"/>
        <item m="1" x="1879"/>
        <item m="1" x="1848"/>
        <item m="1" x="1849"/>
        <item m="1" x="1880"/>
        <item m="1" x="1881"/>
        <item m="1" x="1882"/>
        <item m="1" x="1850"/>
        <item m="1" x="1883"/>
        <item m="1" x="1851"/>
        <item m="1" x="1884"/>
        <item m="1" x="1852"/>
        <item m="1" x="1853"/>
        <item m="1" x="1885"/>
        <item m="1" x="1854"/>
        <item m="1" x="1886"/>
        <item m="1" x="1855"/>
        <item m="1" x="1856"/>
        <item m="1" x="1812"/>
        <item m="1" x="1813"/>
        <item m="1" x="1887"/>
        <item m="1" x="1857"/>
        <item m="1" x="1858"/>
        <item m="1" x="1814"/>
        <item m="1" x="1859"/>
        <item m="1" x="1860"/>
        <item m="1" x="1815"/>
        <item m="1" x="1861"/>
        <item m="1" x="1862"/>
        <item m="1" x="1816"/>
        <item m="1" x="1863"/>
        <item m="1" x="1817"/>
        <item m="1" x="1864"/>
        <item m="1" x="1865"/>
        <item m="1" x="1818"/>
        <item m="1" x="1866"/>
        <item m="1" x="1867"/>
        <item m="1" x="1868"/>
        <item m="1" x="1869"/>
        <item m="1" x="1888"/>
        <item m="1" x="1889"/>
        <item m="1" x="1870"/>
        <item m="1" x="1898"/>
        <item m="1" x="1899"/>
        <item m="1" x="1900"/>
        <item m="1" x="1901"/>
        <item m="1" x="1902"/>
        <item m="1" x="1903"/>
        <item m="1" x="1904"/>
        <item m="1" x="1905"/>
        <item m="1" x="1906"/>
        <item m="1" x="1907"/>
        <item m="1" x="1890"/>
        <item m="1" x="1891"/>
        <item m="1" x="1892"/>
        <item m="1" x="1908"/>
        <item m="1" x="1909"/>
        <item m="1" x="1910"/>
        <item m="1" x="1911"/>
        <item m="1" x="1912"/>
        <item m="1" x="1893"/>
        <item m="1" x="1913"/>
        <item m="1" x="1894"/>
        <item m="1" x="1895"/>
        <item m="1" x="1896"/>
        <item m="1" x="1914"/>
        <item m="1" x="1915"/>
        <item m="1" x="1949"/>
        <item m="1" x="1916"/>
        <item m="1" x="1950"/>
        <item m="1" x="1917"/>
        <item m="1" x="1918"/>
        <item m="1" x="1951"/>
        <item m="1" x="1919"/>
        <item m="1" x="1920"/>
        <item m="1" x="1952"/>
        <item m="1" x="1921"/>
        <item m="1" x="1922"/>
        <item m="1" x="1923"/>
        <item m="1" x="1924"/>
        <item m="1" x="1925"/>
        <item m="1" x="1953"/>
        <item m="1" x="1926"/>
        <item m="1" x="1954"/>
        <item m="1" x="1927"/>
        <item m="1" x="1928"/>
        <item m="1" x="1929"/>
        <item m="1" x="1955"/>
        <item m="1" x="1930"/>
        <item m="1" x="1956"/>
        <item m="1" x="1931"/>
        <item m="1" x="1932"/>
        <item m="1" x="1957"/>
        <item m="1" x="1958"/>
        <item m="1" x="1933"/>
        <item m="1" x="1934"/>
        <item m="1" x="1935"/>
        <item m="1" x="1897"/>
        <item m="1" x="1936"/>
        <item m="1" x="1937"/>
        <item m="1" x="1959"/>
        <item m="1" x="1938"/>
        <item m="1" x="1960"/>
        <item m="1" x="1961"/>
        <item m="1" x="1962"/>
        <item m="1" x="1963"/>
        <item m="1" x="1964"/>
        <item m="1" x="1965"/>
        <item m="1" x="1939"/>
        <item m="1" x="1966"/>
        <item m="1" x="1967"/>
        <item m="1" x="1940"/>
        <item m="1" x="1968"/>
        <item m="1" x="1969"/>
        <item m="1" x="1941"/>
        <item m="1" x="1970"/>
        <item m="1" x="1971"/>
        <item m="1" x="1972"/>
        <item m="1" x="1942"/>
        <item m="1" x="1943"/>
        <item m="1" x="1973"/>
        <item m="1" x="1944"/>
        <item m="1" x="1945"/>
        <item m="1" x="1946"/>
        <item m="1" x="1974"/>
        <item m="1" x="1947"/>
        <item m="1" x="2710"/>
        <item m="1" x="2711"/>
        <item m="1" x="1975"/>
        <item m="1" x="1948"/>
        <item m="1" x="1976"/>
        <item m="1" x="2027"/>
        <item m="1" x="1977"/>
        <item m="1" x="1978"/>
        <item m="1" x="2028"/>
        <item m="1" x="2029"/>
        <item m="1" x="1979"/>
        <item m="1" x="2030"/>
        <item m="1" x="1980"/>
        <item m="1" x="2031"/>
        <item m="1" x="2032"/>
        <item m="1" x="2033"/>
        <item m="1" x="2034"/>
        <item m="1" x="2035"/>
        <item m="1" x="2036"/>
        <item m="1" x="1981"/>
        <item m="1" x="2037"/>
        <item m="1" x="2038"/>
        <item m="1" x="1982"/>
        <item m="1" x="2039"/>
        <item m="1" x="2040"/>
        <item m="1" x="2041"/>
        <item m="1" x="2042"/>
        <item m="1" x="2043"/>
        <item m="1" x="2044"/>
        <item m="1" x="2045"/>
        <item m="1" x="2046"/>
        <item m="1" x="2047"/>
        <item m="1" x="1983"/>
        <item m="1" x="2048"/>
        <item m="1" x="1984"/>
        <item m="1" x="2049"/>
        <item m="1" x="1985"/>
        <item m="1" x="1986"/>
        <item m="1" x="1987"/>
        <item m="1" x="2050"/>
        <item m="1" x="1988"/>
        <item m="1" x="1989"/>
        <item m="1" x="2051"/>
        <item m="1" x="2052"/>
        <item m="1" x="1990"/>
        <item m="1" x="2053"/>
        <item m="1" x="1991"/>
        <item m="1" x="1992"/>
        <item m="1" x="1993"/>
        <item m="1" x="1994"/>
        <item m="1" x="1995"/>
        <item m="1" x="1996"/>
        <item m="1" x="1997"/>
        <item m="1" x="2054"/>
        <item m="1" x="1998"/>
        <item m="1" x="2055"/>
        <item m="1" x="1999"/>
        <item m="1" x="2056"/>
        <item m="1" x="2057"/>
        <item m="1" x="2058"/>
        <item m="1" x="2059"/>
        <item m="1" x="2000"/>
        <item m="1" x="2060"/>
        <item m="1" x="2061"/>
        <item m="1" x="2001"/>
        <item m="1" x="2062"/>
        <item m="1" x="2063"/>
        <item m="1" x="2002"/>
        <item m="1" x="2064"/>
        <item m="1" x="2065"/>
        <item m="1" x="2066"/>
        <item m="1" x="2067"/>
        <item m="1" x="2068"/>
        <item m="1" x="2003"/>
        <item m="1" x="2004"/>
        <item m="1" x="2005"/>
        <item m="1" x="2069"/>
        <item m="1" x="2006"/>
        <item m="1" x="2070"/>
        <item m="1" x="2007"/>
        <item m="1" x="2071"/>
        <item m="1" x="2008"/>
        <item m="1" x="2009"/>
        <item m="1" x="2072"/>
        <item m="1" x="2073"/>
        <item m="1" x="2074"/>
        <item m="1" x="2075"/>
        <item m="1" x="2010"/>
        <item m="1" x="2011"/>
        <item m="1" x="2012"/>
        <item m="1" x="2076"/>
        <item m="1" x="2013"/>
        <item m="1" x="2077"/>
        <item m="1" x="2014"/>
        <item m="1" x="2078"/>
        <item m="1" x="2015"/>
        <item m="1" x="2016"/>
        <item m="1" x="2079"/>
        <item m="1" x="2080"/>
        <item m="1" x="2081"/>
        <item m="1" x="2082"/>
        <item m="1" x="2083"/>
        <item m="1" x="2084"/>
        <item m="1" x="2089"/>
        <item m="1" x="2085"/>
        <item m="1" x="2086"/>
        <item m="1" x="2087"/>
        <item m="1" x="2090"/>
        <item m="1" x="2091"/>
        <item m="1" x="2088"/>
        <item m="1" x="2092"/>
        <item m="1" x="2093"/>
        <item m="1" x="2094"/>
        <item m="1" x="2017"/>
        <item m="1" x="2095"/>
        <item m="1" x="2018"/>
        <item m="1" x="2096"/>
        <item m="1" x="2019"/>
        <item m="1" x="2097"/>
        <item m="1" x="2098"/>
        <item m="1" x="2020"/>
        <item m="1" x="2021"/>
        <item m="1" x="2022"/>
        <item m="1" x="2023"/>
        <item m="1" x="2099"/>
        <item m="1" x="2024"/>
        <item m="1" x="2100"/>
        <item m="1" x="2101"/>
        <item m="1" x="2102"/>
        <item m="1" x="2103"/>
        <item m="1" x="2104"/>
        <item m="1" x="2105"/>
        <item m="1" x="2025"/>
        <item m="1" x="2026"/>
        <item m="1" x="2106"/>
        <item m="1" x="2107"/>
        <item m="1" x="2108"/>
        <item m="1" x="2109"/>
        <item m="1" x="2110"/>
        <item m="1" x="2111"/>
        <item m="1" x="2112"/>
        <item m="1" x="2113"/>
        <item m="1" x="2114"/>
        <item m="1" x="2115"/>
        <item m="1" x="2116"/>
        <item m="1" x="2117"/>
        <item m="1" x="2118"/>
        <item m="1" x="2119"/>
        <item m="1" x="2120"/>
        <item m="1" x="2121"/>
        <item m="1" x="2160"/>
        <item m="1" x="2122"/>
        <item m="1" x="2123"/>
        <item m="1" x="2161"/>
        <item m="1" x="2124"/>
        <item m="1" x="2125"/>
        <item m="1" x="2126"/>
        <item m="1" x="2127"/>
        <item m="1" x="2128"/>
        <item m="1" x="2129"/>
        <item m="1" x="2162"/>
        <item m="1" x="2130"/>
        <item m="1" x="2131"/>
        <item m="1" x="2163"/>
        <item m="1" x="2132"/>
        <item m="1" x="2133"/>
        <item m="1" x="2134"/>
        <item m="1" x="2135"/>
        <item m="1" x="2136"/>
        <item m="1" x="2164"/>
        <item m="1" x="2137"/>
        <item m="1" x="2165"/>
        <item m="1" x="2166"/>
        <item m="1" x="2167"/>
        <item m="1" x="2138"/>
        <item m="1" x="2168"/>
        <item m="1" x="2169"/>
        <item m="1" x="2139"/>
        <item m="1" x="2170"/>
        <item m="1" x="2140"/>
        <item m="1" x="2141"/>
        <item m="1" x="2171"/>
        <item m="1" x="2158"/>
        <item m="1" x="2142"/>
        <item m="1" x="2159"/>
        <item m="1" x="2143"/>
        <item m="1" x="2144"/>
        <item m="1" x="2145"/>
        <item m="1" x="2146"/>
        <item m="1" x="2147"/>
        <item m="1" x="2148"/>
        <item m="1" x="2149"/>
        <item m="1" x="2150"/>
        <item m="1" x="2151"/>
        <item m="1" x="2152"/>
        <item m="1" x="2153"/>
        <item m="1" x="2154"/>
        <item m="1" x="2155"/>
        <item m="1" x="2156"/>
        <item m="1" x="2157"/>
        <item m="1" x="2709"/>
        <item m="1" x="2172"/>
        <item m="1" x="2173"/>
        <item m="1" x="2181"/>
        <item m="1" x="2182"/>
        <item m="1" x="2183"/>
        <item m="1" x="2184"/>
        <item m="1" x="2185"/>
        <item m="1" x="2186"/>
        <item m="1" x="2187"/>
        <item m="1" x="2188"/>
        <item m="1" x="2189"/>
        <item m="1" x="2190"/>
        <item m="1" x="2191"/>
        <item m="1" x="2192"/>
        <item m="1" x="2193"/>
        <item m="1" x="2194"/>
        <item m="1" x="2174"/>
        <item m="1" x="2175"/>
        <item m="1" x="2195"/>
        <item m="1" x="2196"/>
        <item m="1" x="2176"/>
        <item m="1" x="2197"/>
        <item m="1" x="2198"/>
        <item m="1" x="2199"/>
        <item m="1" x="2200"/>
        <item m="1" x="2201"/>
        <item m="1" x="2250"/>
        <item m="1" x="2177"/>
        <item m="1" x="2202"/>
        <item m="1" x="2251"/>
        <item m="1" x="2203"/>
        <item m="1" x="2252"/>
        <item m="1" x="2253"/>
        <item m="1" x="2254"/>
        <item m="1" x="2204"/>
        <item m="1" x="2255"/>
        <item m="1" x="2205"/>
        <item m="1" x="2206"/>
        <item m="1" x="2207"/>
        <item m="1" x="2208"/>
        <item m="1" x="2209"/>
        <item m="1" x="2210"/>
        <item m="1" x="2211"/>
        <item m="1" x="2212"/>
        <item m="1" x="2213"/>
        <item m="1" x="2256"/>
        <item m="1" x="2214"/>
        <item m="1" x="2215"/>
        <item m="1" x="2216"/>
        <item m="1" x="2217"/>
        <item m="1" x="2218"/>
        <item m="1" x="2257"/>
        <item m="1" x="2258"/>
        <item m="1" x="2219"/>
        <item m="1" x="2259"/>
        <item m="1" x="2260"/>
        <item m="1" x="2220"/>
        <item m="1" x="2221"/>
        <item m="1" x="2222"/>
        <item m="1" x="2223"/>
        <item m="1" x="2224"/>
        <item m="1" x="2225"/>
        <item m="1" x="2226"/>
        <item m="1" x="2178"/>
        <item m="1" x="2261"/>
        <item m="1" x="2227"/>
        <item m="1" x="2228"/>
        <item m="1" x="2229"/>
        <item m="1" x="2262"/>
        <item m="1" x="2230"/>
        <item m="1" x="2263"/>
        <item m="1" x="2231"/>
        <item m="1" x="2232"/>
        <item m="1" x="2233"/>
        <item m="1" x="2234"/>
        <item m="1" x="2235"/>
        <item m="1" x="2236"/>
        <item m="1" x="2237"/>
        <item m="1" x="2238"/>
        <item m="1" x="2239"/>
        <item m="1" x="2240"/>
        <item m="1" x="2241"/>
        <item m="1" x="2242"/>
        <item m="1" x="2264"/>
        <item m="1" x="2243"/>
        <item m="1" x="2265"/>
        <item m="1" x="2244"/>
        <item m="1" x="2245"/>
        <item m="1" x="2246"/>
        <item m="1" x="2247"/>
        <item m="1" x="2248"/>
        <item m="1" x="2249"/>
        <item m="1" x="2266"/>
        <item m="1" x="2267"/>
        <item m="1" x="2179"/>
        <item m="1" x="2180"/>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01"/>
        <item m="1" x="2337"/>
        <item m="1" x="2338"/>
        <item m="1" x="2339"/>
        <item m="1" x="2340"/>
        <item m="1" x="2341"/>
        <item m="1" x="2342"/>
        <item m="1" x="2343"/>
        <item m="1" x="2344"/>
        <item m="1" x="2345"/>
        <item m="1" x="2346"/>
        <item m="1" x="2347"/>
        <item m="1" x="2348"/>
        <item m="1" x="2349"/>
        <item m="1" x="2350"/>
        <item m="1" x="2351"/>
        <item m="1" x="2365"/>
        <item m="1" x="2366"/>
        <item m="1" x="2367"/>
        <item m="1" x="2302"/>
        <item m="1" x="2352"/>
        <item m="1" x="2353"/>
        <item m="1" x="2354"/>
        <item m="1" x="2355"/>
        <item m="1" x="2356"/>
        <item m="1" x="2357"/>
        <item m="1" x="2358"/>
        <item m="1" x="2359"/>
        <item m="1" x="2360"/>
        <item m="1" x="2361"/>
        <item m="1" x="2362"/>
        <item m="1" x="2363"/>
        <item m="1" x="2364"/>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61"/>
        <item m="1" x="2462"/>
        <item m="1" x="2463"/>
        <item m="1" x="2438"/>
        <item m="1" x="2439"/>
        <item m="1" x="2440"/>
        <item m="1" x="2441"/>
        <item m="1" x="2442"/>
        <item m="1" x="2443"/>
        <item m="1" x="2444"/>
        <item m="1" x="2465"/>
        <item m="1" x="2445"/>
        <item m="1" x="2466"/>
        <item m="1" x="2467"/>
        <item m="1" x="2446"/>
        <item m="1" x="2447"/>
        <item m="1" x="2468"/>
        <item m="1" x="2448"/>
        <item m="1" x="2449"/>
        <item m="1" x="2450"/>
        <item m="1" x="2451"/>
        <item m="1" x="2469"/>
        <item m="1" x="2452"/>
        <item m="1" x="2453"/>
        <item m="1" x="2470"/>
        <item m="1" x="2454"/>
        <item m="1" x="2455"/>
        <item m="1" x="2471"/>
        <item m="1" x="2456"/>
        <item m="1" x="2472"/>
        <item m="1" x="2473"/>
        <item m="1" x="2464"/>
        <item m="1" x="2457"/>
        <item m="1" x="2458"/>
        <item m="1" x="2459"/>
        <item m="1" x="2460"/>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33"/>
        <item m="1" x="2516"/>
        <item m="1" x="2517"/>
        <item m="1" x="2534"/>
        <item m="1" x="2518"/>
        <item m="1" x="2535"/>
        <item m="1" x="2536"/>
        <item m="1" x="2519"/>
        <item m="1" x="2520"/>
        <item m="1" x="2537"/>
        <item m="1" x="2521"/>
        <item m="1" x="2522"/>
        <item m="1" x="2523"/>
        <item m="1" x="2524"/>
        <item m="1" x="2525"/>
        <item m="1" x="2526"/>
        <item m="1" x="2527"/>
        <item m="1" x="2528"/>
        <item m="1" x="2529"/>
        <item m="1" x="2530"/>
        <item m="1" x="2531"/>
        <item m="1" x="2532"/>
        <item m="1" x="2538"/>
        <item m="1" x="2539"/>
        <item m="1" x="2540"/>
        <item m="1" x="2541"/>
        <item m="1" x="2542"/>
        <item m="1" x="2543"/>
        <item m="1" x="2544"/>
        <item m="1" x="2545"/>
        <item m="1" x="2546"/>
        <item m="1" x="2547"/>
        <item m="1" x="2548"/>
        <item m="1" x="2549"/>
        <item m="1" x="2550"/>
        <item m="1" x="2551"/>
        <item m="1" x="2552"/>
        <item m="1" x="2556"/>
        <item m="1" x="2557"/>
        <item m="1" x="2708"/>
        <item m="1" x="2558"/>
        <item m="1" x="2553"/>
        <item m="1" x="2559"/>
        <item m="1" x="2560"/>
        <item m="1" x="2561"/>
        <item m="1" x="2562"/>
        <item m="1" x="2563"/>
        <item m="1" x="2564"/>
        <item m="1" x="2565"/>
        <item m="1" x="2566"/>
        <item m="1" x="2567"/>
        <item m="1" x="2568"/>
        <item m="1" x="2569"/>
        <item m="1" x="2570"/>
        <item m="1" x="2571"/>
        <item m="1" x="2554"/>
        <item m="1" x="2572"/>
        <item m="1" x="2555"/>
        <item m="1" x="2573"/>
        <item m="1" x="2574"/>
        <item m="1" x="2575"/>
        <item m="1" x="2576"/>
        <item m="1" x="2577"/>
        <item m="1" x="2578"/>
        <item m="1" x="2579"/>
        <item m="1" x="2580"/>
        <item m="1" x="2581"/>
        <item m="1" x="2582"/>
        <item m="1" x="2583"/>
        <item m="1" x="2584"/>
        <item m="1" x="2585"/>
        <item m="1" x="2586"/>
        <item m="1" x="2587"/>
        <item m="1" x="2588"/>
        <item m="1" x="2589"/>
        <item m="1" x="2590"/>
        <item m="1" x="2614"/>
        <item m="1" x="2615"/>
        <item m="1" x="2616"/>
        <item m="1" x="2591"/>
        <item m="1" x="2592"/>
        <item m="1" x="2617"/>
        <item m="1" x="2593"/>
        <item m="1" x="2594"/>
        <item m="1" x="2595"/>
        <item m="1" x="2596"/>
        <item m="1" x="2597"/>
        <item m="1" x="2618"/>
        <item m="1" x="2619"/>
        <item m="1" x="2598"/>
        <item m="1" x="2599"/>
        <item m="1" x="2620"/>
        <item m="1" x="2621"/>
        <item m="1" x="2600"/>
        <item m="1" x="2622"/>
        <item m="1" x="2601"/>
        <item m="1" x="2602"/>
        <item m="1" x="2603"/>
        <item m="1" x="2604"/>
        <item m="1" x="2605"/>
        <item m="1" x="2606"/>
        <item m="1" x="2607"/>
        <item m="1" x="2608"/>
        <item m="1" x="2609"/>
        <item m="1" x="2623"/>
        <item m="1" x="2624"/>
        <item m="1" x="2625"/>
        <item m="1" x="2610"/>
        <item m="1" x="2611"/>
        <item m="1" x="2626"/>
        <item m="1" x="2612"/>
        <item m="1" x="2628"/>
        <item m="1" x="2627"/>
        <item m="1" x="2613"/>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3"/>
        <item m="1" x="2662"/>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6"/>
        <item m="1" x="2704"/>
        <item m="1" x="2705"/>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pivotField showAll="0"/>
    <pivotField showAll="0"/>
    <pivotField showAll="0"/>
    <pivotField showAll="0"/>
    <pivotField numFmtId="164" showAll="0"/>
    <pivotField numFmtId="165" showAll="0"/>
    <pivotField numFmtId="2" showAll="0"/>
    <pivotField showAll="0"/>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pivotField showAll="0"/>
    <pivotField numFmtId="168"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8">
    <i>
      <x/>
    </i>
    <i>
      <x v="1"/>
    </i>
    <i>
      <x v="4"/>
    </i>
    <i>
      <x v="8"/>
    </i>
    <i>
      <x v="10"/>
    </i>
    <i>
      <x v="11"/>
    </i>
    <i>
      <x v="15"/>
    </i>
    <i t="grand">
      <x/>
    </i>
  </rowItems>
  <colItems count="1">
    <i/>
  </colItems>
  <dataFields count="1">
    <dataField name="Count of CONTAINER" fld="8" subtotal="count" showDataAs="percentOfTotal" baseField="4"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EAF7887-D6B3-43BE-8208-E8D508C3EE60}" name="CARRIER % SHARE"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48:B51" firstHeaderRow="1" firstDataRow="1" firstDataCol="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axis="axisRow" showAll="0">
      <items count="10">
        <item m="1" x="2"/>
        <item x="1"/>
        <item x="0"/>
        <item m="1" x="8"/>
        <item m="1" x="3"/>
        <item m="1" x="6"/>
        <item m="1" x="7"/>
        <item m="1" x="5"/>
        <item m="1" x="4"/>
        <item t="default"/>
      </items>
    </pivotField>
    <pivotField showAll="0"/>
    <pivotField dataField="1"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35"/>
        <item m="1" x="836"/>
        <item m="1" x="854"/>
        <item m="1" x="837"/>
        <item m="1" x="838"/>
        <item m="1" x="839"/>
        <item m="1" x="840"/>
        <item m="1" x="841"/>
        <item m="1" x="842"/>
        <item m="1" x="843"/>
        <item m="1" x="844"/>
        <item m="1" x="845"/>
        <item m="1" x="846"/>
        <item m="1" x="847"/>
        <item m="1" x="848"/>
        <item m="1" x="849"/>
        <item m="1" x="850"/>
        <item m="1" x="851"/>
        <item m="1" x="852"/>
        <item m="1" x="853"/>
        <item m="1" x="855"/>
        <item m="1" x="856"/>
        <item m="1" x="857"/>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showAll="0"/>
    <pivotField showAll="0"/>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numFmtId="44" showAll="0"/>
    <pivotField showAll="0"/>
    <pivotField numFmtId="166" showAll="0"/>
    <pivotField numFmtId="166" showAll="0"/>
    <pivotField showAll="0"/>
    <pivotField showAll="0"/>
    <pivotField showAll="0"/>
    <pivotField numFmtId="170" showAll="0"/>
    <pivotField numFmtId="170" showAll="0"/>
    <pivotField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3">
    <i>
      <x v="1"/>
    </i>
    <i>
      <x v="2"/>
    </i>
    <i t="grand">
      <x/>
    </i>
  </rowItems>
  <colItems count="1">
    <i/>
  </colItems>
  <dataFields count="1">
    <dataField name="Count of CONTAINER" fld="8" subtotal="count" showDataAs="percentOfCol" baseField="5" baseItem="2" numFmtId="10"/>
  </dataFields>
  <formats count="7">
    <format dxfId="89">
      <pivotArea collapsedLevelsAreSubtotals="1" fieldPosition="0">
        <references count="1">
          <reference field="6" count="0"/>
        </references>
      </pivotArea>
    </format>
    <format dxfId="88">
      <pivotArea type="all" dataOnly="0" outline="0" fieldPosition="0"/>
    </format>
    <format dxfId="87">
      <pivotArea outline="0" collapsedLevelsAreSubtotals="1" fieldPosition="0"/>
    </format>
    <format dxfId="86">
      <pivotArea field="6" type="button" dataOnly="0" labelOnly="1" outline="0" axis="axisRow" fieldPosition="0"/>
    </format>
    <format dxfId="85">
      <pivotArea dataOnly="0" labelOnly="1" fieldPosition="0">
        <references count="1">
          <reference field="6" count="0"/>
        </references>
      </pivotArea>
    </format>
    <format dxfId="84">
      <pivotArea dataOnly="0" labelOnly="1" grandRow="1" outline="0" fieldPosition="0"/>
    </format>
    <format dxfId="83">
      <pivotArea dataOnly="0" labelOnly="1" outline="0" axis="axisValues" fieldPosition="0"/>
    </format>
  </formats>
  <chartFormats count="7">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6" count="1" selected="0">
            <x v="0"/>
          </reference>
        </references>
      </pivotArea>
    </chartFormat>
    <chartFormat chart="5" format="12">
      <pivotArea type="data" outline="0" fieldPosition="0">
        <references count="2">
          <reference field="4294967294" count="1" selected="0">
            <x v="0"/>
          </reference>
          <reference field="6" count="1" selected="0">
            <x v="1"/>
          </reference>
        </references>
      </pivotArea>
    </chartFormat>
    <chartFormat chart="5" format="13">
      <pivotArea type="data" outline="0" fieldPosition="0">
        <references count="2">
          <reference field="4294967294" count="1" selected="0">
            <x v="0"/>
          </reference>
          <reference field="6" count="1" selected="0">
            <x v="2"/>
          </reference>
        </references>
      </pivotArea>
    </chartFormat>
    <chartFormat chart="5" format="14">
      <pivotArea type="data" outline="0" fieldPosition="0">
        <references count="2">
          <reference field="4294967294" count="1" selected="0">
            <x v="0"/>
          </reference>
          <reference field="6" count="1" selected="0">
            <x v="4"/>
          </reference>
        </references>
      </pivotArea>
    </chartFormat>
    <chartFormat chart="5" format="15">
      <pivotArea type="data" outline="0" fieldPosition="0">
        <references count="2">
          <reference field="4294967294" count="1" selected="0">
            <x v="0"/>
          </reference>
          <reference field="6" count="1" selected="0">
            <x v="7"/>
          </reference>
        </references>
      </pivotArea>
    </chartFormat>
    <chartFormat chart="5" format="16">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BF9313F-B8D4-439C-B946-2E726A3B26B1}" name="Transport Cost AVG"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5">
  <location ref="W16:X23" firstHeaderRow="1" firstDataRow="1" firstDataCol="1" rowPageCount="1" colPageCount="1"/>
  <pivotFields count="57">
    <pivotField showAll="0"/>
    <pivotField showAll="0">
      <items count="8">
        <item x="3"/>
        <item m="1" x="4"/>
        <item x="0"/>
        <item m="1" x="6"/>
        <item m="1" x="5"/>
        <item x="2"/>
        <item x="1"/>
        <item t="default"/>
      </items>
    </pivotField>
    <pivotField numFmtId="164" showAll="0"/>
    <pivotField numFmtId="164" showAll="0"/>
    <pivotField axis="axisRow" showAll="0">
      <items count="17">
        <item x="0"/>
        <item m="1" x="9"/>
        <item m="1" x="10"/>
        <item m="1" x="8"/>
        <item x="2"/>
        <item m="1" x="11"/>
        <item x="3"/>
        <item x="4"/>
        <item m="1" x="12"/>
        <item m="1" x="7"/>
        <item m="1" x="13"/>
        <item m="1" x="15"/>
        <item m="1" x="14"/>
        <item x="6"/>
        <item x="1"/>
        <item x="5"/>
        <item t="default"/>
      </items>
    </pivotField>
    <pivotField showAll="0"/>
    <pivotField showAll="0"/>
    <pivotField showAll="0"/>
    <pivotField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showAll="0"/>
    <pivotField axis="axisPage" multipleItemSelectionAllowed="1" showAll="0">
      <items count="13">
        <item x="0"/>
        <item x="1"/>
        <item x="2"/>
        <item m="1" x="3"/>
        <item m="1" x="4"/>
        <item m="1" x="5"/>
        <item m="1" x="6"/>
        <item m="1" x="7"/>
        <item m="1" x="9"/>
        <item m="1" x="8"/>
        <item m="1" x="10"/>
        <item m="1" x="11"/>
        <item t="default"/>
      </items>
    </pivotField>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showAll="0"/>
    <pivotField showAll="0"/>
    <pivotField numFmtId="166" showAll="0"/>
    <pivotField numFmtId="166" showAll="0"/>
    <pivotField showAll="0"/>
    <pivotField showAll="0"/>
    <pivotField showAll="0"/>
    <pivotField showAll="0"/>
    <pivotField showAll="0"/>
    <pivotField showAll="0"/>
    <pivotField showAll="0"/>
    <pivotField dataField="1"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7">
    <i>
      <x v="4"/>
    </i>
    <i>
      <x v="6"/>
    </i>
    <i>
      <x v="7"/>
    </i>
    <i>
      <x v="13"/>
    </i>
    <i>
      <x v="14"/>
    </i>
    <i>
      <x v="15"/>
    </i>
    <i t="grand">
      <x/>
    </i>
  </rowItems>
  <colItems count="1">
    <i/>
  </colItems>
  <pageFields count="1">
    <pageField fld="18" hier="-1"/>
  </pageFields>
  <dataFields count="1">
    <dataField name="Average of TOTAL SELL" fld="51" subtotal="average" baseField="4" baseItem="0" numFmtId="169"/>
  </dataFields>
  <formats count="7">
    <format dxfId="96">
      <pivotArea outline="0" collapsedLevelsAreSubtotals="1" fieldPosition="0"/>
    </format>
    <format dxfId="95">
      <pivotArea type="all" dataOnly="0" outline="0" fieldPosition="0"/>
    </format>
    <format dxfId="94">
      <pivotArea outline="0" collapsedLevelsAreSubtotals="1" fieldPosition="0"/>
    </format>
    <format dxfId="93">
      <pivotArea field="4" type="button" dataOnly="0" labelOnly="1" outline="0" axis="axisRow" fieldPosition="0"/>
    </format>
    <format dxfId="92">
      <pivotArea dataOnly="0" labelOnly="1" fieldPosition="0">
        <references count="1">
          <reference field="4" count="0"/>
        </references>
      </pivotArea>
    </format>
    <format dxfId="91">
      <pivotArea dataOnly="0" labelOnly="1" grandRow="1" outline="0" fieldPosition="0"/>
    </format>
    <format dxfId="90">
      <pivotArea dataOnly="0" labelOnly="1" outline="0" axis="axisValues" fieldPosition="0"/>
    </format>
  </formats>
  <chartFormats count="3">
    <chartFormat chart="20" format="3"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4" count="1" selected="0">
            <x v="10"/>
          </reference>
        </references>
      </pivotArea>
    </chartFormat>
    <chartFormat chart="20" format="6">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095FD9D-1DBE-4A80-AC24-AE170C997EA8}" name="% AVAILABLE -48h"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2:B35" firstHeaderRow="1" firstDataRow="1" firstDataCol="1" rowPageCount="1" colPageCount="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dataField="1"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showAll="0"/>
    <pivotField axis="axisPage" multipleItemSelectionAllowed="1" showAll="0">
      <items count="13">
        <item x="0"/>
        <item x="1"/>
        <item x="2"/>
        <item m="1" x="3"/>
        <item m="1" x="4"/>
        <item m="1" x="5"/>
        <item m="1" x="6"/>
        <item m="1" x="7"/>
        <item m="1" x="9"/>
        <item m="1" x="8"/>
        <item m="1" x="10"/>
        <item m="1" x="11"/>
        <item t="default"/>
      </items>
    </pivotField>
    <pivotField numFmtId="164" showAll="0"/>
    <pivotField numFmtId="165" showAll="0"/>
    <pivotField numFmtId="2" showAll="0"/>
    <pivotField axis="axisRow"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numFmtId="44" showAll="0"/>
    <pivotField showAll="0"/>
    <pivotField numFmtId="166" showAll="0"/>
    <pivotField numFmtId="166" showAll="0"/>
    <pivotField showAll="0"/>
    <pivotField showAll="0"/>
    <pivotField showAll="0"/>
    <pivotField numFmtId="170" showAll="0"/>
    <pivotField numFmtId="170" showAll="0"/>
    <pivotField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22"/>
  </rowFields>
  <rowItems count="3">
    <i>
      <x/>
    </i>
    <i>
      <x v="1"/>
    </i>
    <i t="grand">
      <x/>
    </i>
  </rowItems>
  <colItems count="1">
    <i/>
  </colItems>
  <pageFields count="1">
    <pageField fld="18" hier="-1"/>
  </pageFields>
  <dataFields count="1">
    <dataField name="Count of CONTAINER" fld="8" subtotal="count" showDataAs="percentOfCol" baseField="0" baseItem="0" numFmtId="9"/>
  </dataFields>
  <formats count="7">
    <format dxfId="103">
      <pivotArea outline="0" collapsedLevelsAreSubtotals="1" fieldPosition="0"/>
    </format>
    <format dxfId="102">
      <pivotArea type="all" dataOnly="0" outline="0" fieldPosition="0"/>
    </format>
    <format dxfId="101">
      <pivotArea outline="0" collapsedLevelsAreSubtotals="1" fieldPosition="0"/>
    </format>
    <format dxfId="100">
      <pivotArea field="22" type="button" dataOnly="0" labelOnly="1" outline="0" axis="axisRow" fieldPosition="0"/>
    </format>
    <format dxfId="99">
      <pivotArea dataOnly="0" labelOnly="1" fieldPosition="0">
        <references count="1">
          <reference field="22" count="0"/>
        </references>
      </pivotArea>
    </format>
    <format dxfId="98">
      <pivotArea dataOnly="0" labelOnly="1" grandRow="1" outline="0" fieldPosition="0"/>
    </format>
    <format dxfId="97">
      <pivotArea dataOnly="0" labelOnly="1" outline="0" axis="axisValues" fieldPosition="0"/>
    </format>
  </formats>
  <chartFormats count="8">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2"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2" count="1" selected="0">
            <x v="0"/>
          </reference>
        </references>
      </pivotArea>
    </chartFormat>
    <chartFormat chart="2" format="4">
      <pivotArea type="data" outline="0" fieldPosition="0">
        <references count="2">
          <reference field="4294967294" count="1" selected="0">
            <x v="0"/>
          </reference>
          <reference field="22" count="1" selected="0">
            <x v="1"/>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22" count="1" selected="0">
            <x v="0"/>
          </reference>
        </references>
      </pivotArea>
    </chartFormat>
    <chartFormat chart="4" format="7">
      <pivotArea type="data" outline="0" fieldPosition="0">
        <references count="2">
          <reference field="4294967294" count="1" selected="0">
            <x v="0"/>
          </reference>
          <reference field="22" count="1" selected="0">
            <x v="1"/>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F0D13C6-5907-4850-92DB-885EF79B4F43}" name="AVG HAULER DELAY"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A3:AH6" firstHeaderRow="1" firstDataRow="2" firstDataCol="1"/>
  <pivotFields count="57">
    <pivotField showAll="0"/>
    <pivotField showAll="0">
      <items count="8">
        <item x="3"/>
        <item m="1" x="4"/>
        <item x="0"/>
        <item m="1" x="6"/>
        <item m="1" x="5"/>
        <item x="2"/>
        <item x="1"/>
        <item t="default"/>
      </items>
    </pivotField>
    <pivotField numFmtId="164" showAll="0"/>
    <pivotField numFmtId="164" showAll="0"/>
    <pivotField axis="axisCol" showAll="0">
      <items count="17">
        <item x="0"/>
        <item m="1" x="9"/>
        <item m="1" x="13"/>
        <item m="1" x="10"/>
        <item m="1" x="8"/>
        <item x="2"/>
        <item m="1" x="11"/>
        <item x="3"/>
        <item x="4"/>
        <item m="1" x="12"/>
        <item m="1" x="7"/>
        <item m="1" x="15"/>
        <item m="1" x="14"/>
        <item x="6"/>
        <item x="1"/>
        <item x="5"/>
        <item t="default"/>
      </items>
    </pivotField>
    <pivotField showAll="0"/>
    <pivotField showAll="0"/>
    <pivotField showAll="0"/>
    <pivotField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showAll="0"/>
    <pivotField axis="axisRow" showAll="0">
      <items count="13">
        <item x="0"/>
        <item x="1"/>
        <item x="2"/>
        <item m="1" x="3"/>
        <item m="1" x="4"/>
        <item m="1" x="5"/>
        <item m="1" x="6"/>
        <item m="1" x="7"/>
        <item m="1" x="9"/>
        <item m="1" x="8"/>
        <item m="1" x="10"/>
        <item m="1" x="11"/>
        <item t="default"/>
      </items>
    </pivotField>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dataField="1"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numFmtId="44" showAll="0"/>
    <pivotField showAll="0"/>
    <pivotField numFmtId="166" showAll="0"/>
    <pivotField numFmtId="166" showAll="0"/>
    <pivotField showAll="0"/>
    <pivotField showAll="0"/>
    <pivotField showAll="0"/>
    <pivotField numFmtId="170" showAll="0"/>
    <pivotField numFmtId="170" showAll="0"/>
    <pivotField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8"/>
  </rowFields>
  <rowItems count="2">
    <i>
      <x v="1"/>
    </i>
    <i t="grand">
      <x/>
    </i>
  </rowItems>
  <colFields count="1">
    <field x="4"/>
  </colFields>
  <colItems count="7">
    <i>
      <x v="5"/>
    </i>
    <i>
      <x v="7"/>
    </i>
    <i>
      <x v="8"/>
    </i>
    <i>
      <x v="13"/>
    </i>
    <i>
      <x v="14"/>
    </i>
    <i>
      <x v="15"/>
    </i>
    <i t="grand">
      <x/>
    </i>
  </colItems>
  <dataFields count="1">
    <dataField name="Average of PUNTUALIDAD 3" fld="30" subtotal="average" baseField="4" baseItem="0" numFmtId="2"/>
  </dataField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20B63B6-30F2-44EB-BC29-0C94F35C4AC3}" name="% cnts puntuales"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62:D64" firstHeaderRow="1" firstDataRow="2" firstDataCol="1" rowPageCount="1" colPageCount="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dataField="1"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35"/>
        <item m="1" x="836"/>
        <item m="1" x="854"/>
        <item m="1" x="837"/>
        <item m="1" x="838"/>
        <item m="1" x="839"/>
        <item m="1" x="840"/>
        <item m="1" x="841"/>
        <item m="1" x="842"/>
        <item m="1" x="843"/>
        <item m="1" x="844"/>
        <item m="1" x="845"/>
        <item m="1" x="846"/>
        <item m="1" x="847"/>
        <item m="1" x="848"/>
        <item m="1" x="849"/>
        <item m="1" x="850"/>
        <item m="1" x="851"/>
        <item m="1" x="852"/>
        <item m="1" x="853"/>
        <item m="1" x="855"/>
        <item m="1" x="856"/>
        <item m="1" x="857"/>
        <item m="1" x="858"/>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59"/>
        <item m="1" x="895"/>
        <item m="1" x="896"/>
        <item m="1" x="860"/>
        <item m="1" x="897"/>
        <item m="1" x="861"/>
        <item m="1" x="862"/>
        <item m="1" x="863"/>
        <item m="1" x="864"/>
        <item m="1" x="865"/>
        <item m="1" x="898"/>
        <item m="1" x="866"/>
        <item m="1" x="867"/>
        <item m="1" x="868"/>
        <item m="1" x="869"/>
        <item m="1" x="899"/>
        <item m="1" x="900"/>
        <item m="1" x="901"/>
        <item m="1" x="902"/>
        <item m="1" x="870"/>
        <item m="1" x="903"/>
        <item m="1" x="904"/>
        <item m="1" x="905"/>
        <item m="1" x="871"/>
        <item m="1" x="906"/>
        <item m="1" x="907"/>
        <item m="1" x="872"/>
        <item m="1" x="908"/>
        <item m="1" x="873"/>
        <item m="1" x="909"/>
        <item m="1" x="910"/>
        <item m="1" x="911"/>
        <item m="1" x="912"/>
        <item m="1" x="913"/>
        <item m="1" x="914"/>
        <item m="1" x="915"/>
        <item m="1" x="916"/>
        <item m="1" x="917"/>
        <item m="1" x="918"/>
        <item m="1" x="919"/>
        <item m="1" x="931"/>
        <item m="1" x="932"/>
        <item m="1" x="933"/>
        <item m="1" x="920"/>
        <item m="1" x="934"/>
        <item m="1" x="935"/>
        <item m="1" x="936"/>
        <item m="1" x="921"/>
        <item m="1" x="937"/>
        <item m="1" x="922"/>
        <item m="1" x="923"/>
        <item m="1" x="924"/>
        <item m="1" x="925"/>
        <item m="1" x="926"/>
        <item m="1" x="927"/>
        <item m="1" x="928"/>
        <item m="1" x="938"/>
        <item m="1" x="939"/>
        <item m="1" x="940"/>
        <item m="1" x="941"/>
        <item m="1" x="929"/>
        <item m="1" x="942"/>
        <item m="1" x="943"/>
        <item m="1" x="944"/>
        <item m="1" x="945"/>
        <item m="1" x="946"/>
        <item m="1" x="930"/>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2714"/>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63"/>
        <item m="1" x="1064"/>
        <item m="1" x="1059"/>
        <item m="1" x="1060"/>
        <item m="1" x="1065"/>
        <item m="1" x="1061"/>
        <item m="1" x="1062"/>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27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1"/>
        <item m="1" x="1560"/>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42"/>
        <item m="1" x="1643"/>
        <item m="1" x="1635"/>
        <item m="1" x="1644"/>
        <item m="1" x="1645"/>
        <item m="1" x="1646"/>
        <item m="1" x="1647"/>
        <item m="1" x="1648"/>
        <item m="1" x="1636"/>
        <item m="1" x="1649"/>
        <item m="1" x="1650"/>
        <item m="1" x="1637"/>
        <item m="1" x="1651"/>
        <item m="1" x="1638"/>
        <item m="1" x="1652"/>
        <item m="1" x="1653"/>
        <item m="1" x="1654"/>
        <item m="1" x="1655"/>
        <item m="1" x="1639"/>
        <item m="1" x="1656"/>
        <item m="1" x="1657"/>
        <item m="1" x="1658"/>
        <item m="1" x="1659"/>
        <item m="1" x="1660"/>
        <item m="1" x="1661"/>
        <item m="1" x="1662"/>
        <item m="1" x="1663"/>
        <item m="1" x="1664"/>
        <item m="1" x="1665"/>
        <item m="1" x="1666"/>
        <item m="1" x="2712"/>
        <item m="1" x="1640"/>
        <item m="1" x="1667"/>
        <item m="1" x="1641"/>
        <item m="1" x="1668"/>
        <item m="1" x="1669"/>
        <item m="1" x="1686"/>
        <item m="1" x="1670"/>
        <item m="1" x="1671"/>
        <item m="1" x="1672"/>
        <item m="1" x="1687"/>
        <item m="1" x="1673"/>
        <item m="1" x="1688"/>
        <item m="1" x="1674"/>
        <item m="1" x="1689"/>
        <item m="1" x="1675"/>
        <item m="1" x="1676"/>
        <item m="1" x="1677"/>
        <item m="1" x="1690"/>
        <item m="1" x="1691"/>
        <item m="1" x="1678"/>
        <item m="1" x="1679"/>
        <item m="1" x="1680"/>
        <item m="1" x="1681"/>
        <item m="1" x="1682"/>
        <item m="1" x="1683"/>
        <item m="1" x="1684"/>
        <item m="1" x="1692"/>
        <item m="1" x="1693"/>
        <item m="1" x="1694"/>
        <item m="1" x="1695"/>
        <item m="1" x="1696"/>
        <item m="1" x="1685"/>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66"/>
        <item m="1" x="1795"/>
        <item m="1" x="1796"/>
        <item m="1" x="1797"/>
        <item m="1" x="1798"/>
        <item m="1" x="1799"/>
        <item m="1" x="1800"/>
        <item m="1" x="1801"/>
        <item m="1" x="1802"/>
        <item m="1" x="1803"/>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showAll="0"/>
    <pivotField axis="axisPage" showAll="0">
      <items count="13">
        <item x="0"/>
        <item x="1"/>
        <item x="2"/>
        <item m="1" x="3"/>
        <item m="1" x="4"/>
        <item m="1" x="5"/>
        <item m="1" x="6"/>
        <item m="1" x="7"/>
        <item m="1" x="8"/>
        <item m="1" x="9"/>
        <item m="1" x="10"/>
        <item m="1" x="11"/>
        <item t="default"/>
      </items>
    </pivotField>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axis="axisCol" showAll="0">
      <items count="3">
        <item x="1"/>
        <item x="0"/>
        <item t="default"/>
      </items>
    </pivotField>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numFmtId="44" showAll="0"/>
    <pivotField showAll="0"/>
    <pivotField showAll="0"/>
    <pivotField numFmtId="166" showAll="0"/>
    <pivotField showAll="0"/>
    <pivotField showAll="0"/>
    <pivotField showAll="0"/>
    <pivotField numFmtId="170" showAll="0"/>
    <pivotField numFmtId="170" showAll="0"/>
    <pivotField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Items count="1">
    <i/>
  </rowItems>
  <colFields count="1">
    <field x="29"/>
  </colFields>
  <colItems count="3">
    <i>
      <x/>
    </i>
    <i>
      <x v="1"/>
    </i>
    <i t="grand">
      <x/>
    </i>
  </colItems>
  <pageFields count="1">
    <pageField fld="18" hier="-1"/>
  </pageFields>
  <dataFields count="1">
    <dataField name="Count of CONTAINER" fld="8" subtotal="count" showDataAs="percentOfTotal" baseField="29" baseItem="0" numFmtId="10"/>
  </dataField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91BB895-05B9-4D19-AD91-FBC1E89CF3A3}" name="ATA TO UNLOADING"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R3:S9" firstHeaderRow="1" firstDataRow="1" firstDataCol="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828"/>
        <item m="1" x="829"/>
        <item m="1" x="789"/>
        <item m="1" x="830"/>
        <item m="1" x="799"/>
        <item m="1" x="800"/>
        <item m="1" x="801"/>
        <item m="1" x="802"/>
        <item m="1" x="803"/>
        <item m="1" x="804"/>
        <item m="1" x="805"/>
        <item m="1" x="831"/>
        <item m="1" x="806"/>
        <item m="1" x="807"/>
        <item m="1" x="808"/>
        <item m="1" x="809"/>
        <item m="1" x="832"/>
        <item m="1" x="810"/>
        <item m="1" x="811"/>
        <item m="1" x="812"/>
        <item m="1" x="813"/>
        <item m="1" x="814"/>
        <item m="1" x="815"/>
        <item m="1" x="816"/>
        <item m="1" x="817"/>
        <item m="1" x="818"/>
        <item m="1" x="819"/>
        <item m="1" x="820"/>
        <item m="1" x="790"/>
        <item m="1" x="821"/>
        <item m="1" x="791"/>
        <item m="1" x="792"/>
        <item m="1" x="793"/>
        <item m="1" x="833"/>
        <item m="1" x="822"/>
        <item m="1" x="794"/>
        <item m="1" x="834"/>
        <item m="1" x="795"/>
        <item m="1" x="823"/>
        <item m="1" x="824"/>
        <item m="1" x="825"/>
        <item m="1" x="796"/>
        <item m="1" x="797"/>
        <item m="1" x="798"/>
        <item m="1" x="826"/>
        <item m="1" x="827"/>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axis="axisRow" showAll="0">
      <items count="50">
        <item x="0"/>
        <item x="2"/>
        <item x="1"/>
        <item x="3"/>
        <item x="4"/>
        <item x="5"/>
        <item x="6"/>
        <item x="7"/>
        <item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9"/>
        <item m="1" x="34"/>
        <item m="1" x="35"/>
        <item m="1" x="36"/>
        <item m="1" x="37"/>
        <item m="1" x="38"/>
        <item m="1" x="40"/>
        <item m="1" x="41"/>
        <item m="1" x="42"/>
        <item m="1" x="43"/>
        <item m="1" x="44"/>
        <item m="1" x="45"/>
        <item m="1" x="46"/>
        <item m="1" x="47"/>
        <item m="1" x="48"/>
        <item t="default"/>
      </items>
    </pivotField>
    <pivotField showAll="0"/>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dataField="1" numFmtId="2" showAll="0"/>
    <pivotField showAll="0">
      <items count="3">
        <item x="1"/>
        <item x="0"/>
        <item t="default"/>
      </items>
    </pivotField>
    <pivotField showAll="0"/>
    <pivotField numFmtId="168" showAll="0"/>
    <pivotField showAll="0"/>
    <pivotField showAll="0"/>
    <pivotField showAll="0"/>
    <pivotField showAll="0"/>
    <pivotField numFmtId="44" showAll="0"/>
    <pivotField showAll="0"/>
    <pivotField numFmtId="166" showAll="0"/>
    <pivotField numFmtId="166" showAll="0"/>
    <pivotField showAll="0"/>
    <pivotField showAll="0"/>
    <pivotField showAll="0"/>
    <pivotField numFmtId="170" showAll="0"/>
    <pivotField numFmtId="170" showAll="0"/>
    <pivotField showAll="0"/>
    <pivotField showAll="0"/>
    <pivotField numFmtId="170" showAll="0"/>
    <pivotField numFmtId="167" showAll="0"/>
    <pivotField numFmtId="167"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6">
    <i>
      <x v="4"/>
    </i>
    <i>
      <x v="5"/>
    </i>
    <i>
      <x v="6"/>
    </i>
    <i>
      <x v="7"/>
    </i>
    <i>
      <x v="8"/>
    </i>
    <i t="grand">
      <x/>
    </i>
  </rowItems>
  <colItems count="1">
    <i/>
  </colItems>
  <dataFields count="1">
    <dataField name="Average of ATA TO UNLOADING 2" fld="32" subtotal="average" baseField="15" baseItem="2" numFmtId="2"/>
  </dataFields>
  <formats count="6">
    <format dxfId="109">
      <pivotArea type="all" dataOnly="0" outline="0" fieldPosition="0"/>
    </format>
    <format dxfId="108">
      <pivotArea outline="0" collapsedLevelsAreSubtotals="1" fieldPosition="0"/>
    </format>
    <format dxfId="107">
      <pivotArea field="17" type="button" dataOnly="0" labelOnly="1" outline="0" axis="axisRow" fieldPosition="0"/>
    </format>
    <format dxfId="106">
      <pivotArea dataOnly="0" labelOnly="1" fieldPosition="0">
        <references count="1">
          <reference field="17" count="0"/>
        </references>
      </pivotArea>
    </format>
    <format dxfId="105">
      <pivotArea dataOnly="0" labelOnly="1" grandRow="1" outline="0" fieldPosition="0"/>
    </format>
    <format dxfId="104">
      <pivotArea dataOnly="0" labelOnly="1" outline="0" axis="axisValues" fieldPosition="0"/>
    </format>
  </format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E402EE9-6751-461D-AFC7-2FDFA7B6BABB}" name="% DELIVERIES WEEK AND WEEKEND"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W3:X8" firstHeaderRow="1" firstDataRow="1" firstDataCol="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dataField="1"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showAll="0"/>
    <pivotField showAll="0"/>
    <pivotField numFmtId="164" showAll="0"/>
    <pivotField numFmtId="165" showAll="0"/>
    <pivotField numFmtId="2" showAll="0"/>
    <pivotField showAll="0">
      <items count="3">
        <item x="1"/>
        <item x="0"/>
        <item t="default"/>
      </items>
    </pivotField>
    <pivotField numFmtId="165" showAll="0"/>
    <pivotField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showAll="0"/>
    <pivotField showAll="0"/>
    <pivotField numFmtId="166" showAll="0"/>
    <pivotField numFmtId="166" showAll="0"/>
    <pivotField showAll="0"/>
    <pivotField axis="axisRow"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5"/>
  </rowFields>
  <rowItems count="5">
    <i>
      <x/>
    </i>
    <i>
      <x v="1"/>
    </i>
    <i>
      <x v="2"/>
    </i>
    <i>
      <x v="3"/>
    </i>
    <i t="grand">
      <x/>
    </i>
  </rowItems>
  <colItems count="1">
    <i/>
  </colItems>
  <dataFields count="1">
    <dataField name="Count of CONTAINER" fld="8" subtotal="count" showDataAs="percentOfCol" baseField="45" baseItem="0" numFmtId="10"/>
  </dataFields>
  <formats count="6">
    <format dxfId="115">
      <pivotArea type="all" dataOnly="0" outline="0" fieldPosition="0"/>
    </format>
    <format dxfId="114">
      <pivotArea outline="0" collapsedLevelsAreSubtotals="1" fieldPosition="0"/>
    </format>
    <format dxfId="113">
      <pivotArea field="45" type="button" dataOnly="0" labelOnly="1" outline="0" axis="axisRow" fieldPosition="0"/>
    </format>
    <format dxfId="112">
      <pivotArea dataOnly="0" labelOnly="1" fieldPosition="0">
        <references count="1">
          <reference field="45" count="0"/>
        </references>
      </pivotArea>
    </format>
    <format dxfId="111">
      <pivotArea dataOnly="0" labelOnly="1" grandRow="1" outline="0" fieldPosition="0"/>
    </format>
    <format dxfId="110">
      <pivotArea dataOnly="0" labelOnly="1" outline="0" axis="axisValues" fieldPosition="0"/>
    </format>
  </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B33D41A-194B-4615-8CF2-36B447AABD5D}" name="AVAILABILITY TO SLOT" cacheId="9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M3:N9" firstHeaderRow="1" firstDataRow="1" firstDataCol="1"/>
  <pivotFields count="57">
    <pivotField showAll="0"/>
    <pivotField showAll="0">
      <items count="8">
        <item x="3"/>
        <item m="1" x="4"/>
        <item x="0"/>
        <item m="1" x="6"/>
        <item m="1" x="5"/>
        <item x="2"/>
        <item x="1"/>
        <item t="default"/>
      </items>
    </pivotField>
    <pivotField numFmtId="164" showAll="0"/>
    <pivotField numFmtId="164" showAll="0"/>
    <pivotField showAll="0">
      <items count="17">
        <item x="6"/>
        <item x="0"/>
        <item m="1" x="9"/>
        <item m="1" x="13"/>
        <item x="1"/>
        <item m="1" x="10"/>
        <item m="1" x="8"/>
        <item m="1" x="14"/>
        <item x="2"/>
        <item m="1" x="11"/>
        <item x="3"/>
        <item x="4"/>
        <item x="5"/>
        <item m="1" x="12"/>
        <item m="1" x="7"/>
        <item m="1" x="15"/>
        <item t="default"/>
      </items>
    </pivotField>
    <pivotField showAll="0"/>
    <pivotField showAll="0"/>
    <pivotField showAll="0"/>
    <pivotField showAll="0"/>
    <pivotField showAll="0"/>
    <pivotField numFmtId="164" showAll="0"/>
    <pivotField numFmtId="164" showAll="0">
      <items count="395">
        <item x="87"/>
        <item x="8"/>
        <item x="1"/>
        <item x="56"/>
        <item x="0"/>
        <item x="2"/>
        <item x="57"/>
        <item x="9"/>
        <item x="32"/>
        <item x="33"/>
        <item x="34"/>
        <item x="59"/>
        <item x="88"/>
        <item x="60"/>
        <item x="61"/>
        <item x="89"/>
        <item x="58"/>
        <item x="62"/>
        <item x="90"/>
        <item x="10"/>
        <item x="63"/>
        <item x="11"/>
        <item x="91"/>
        <item x="92"/>
        <item x="64"/>
        <item x="65"/>
        <item x="12"/>
        <item x="16"/>
        <item x="68"/>
        <item x="70"/>
        <item x="36"/>
        <item x="71"/>
        <item x="35"/>
        <item x="13"/>
        <item x="66"/>
        <item x="73"/>
        <item x="17"/>
        <item x="69"/>
        <item x="37"/>
        <item x="67"/>
        <item x="14"/>
        <item x="40"/>
        <item x="15"/>
        <item x="41"/>
        <item x="72"/>
        <item x="19"/>
        <item x="21"/>
        <item x="43"/>
        <item x="42"/>
        <item x="20"/>
        <item x="18"/>
        <item x="44"/>
        <item x="38"/>
        <item x="39"/>
        <item x="47"/>
        <item x="74"/>
        <item x="77"/>
        <item x="23"/>
        <item x="48"/>
        <item x="4"/>
        <item x="75"/>
        <item x="45"/>
        <item x="22"/>
        <item x="80"/>
        <item x="24"/>
        <item x="49"/>
        <item x="3"/>
        <item x="76"/>
        <item x="78"/>
        <item x="46"/>
        <item x="25"/>
        <item x="5"/>
        <item x="79"/>
        <item x="26"/>
        <item x="53"/>
        <item x="52"/>
        <item x="81"/>
        <item x="27"/>
        <item x="94"/>
        <item x="95"/>
        <item x="54"/>
        <item x="82"/>
        <item x="85"/>
        <item x="29"/>
        <item x="84"/>
        <item x="7"/>
        <item x="93"/>
        <item x="31"/>
        <item x="86"/>
        <item x="30"/>
        <item x="51"/>
        <item x="6"/>
        <item x="83"/>
        <item x="50"/>
        <item x="55"/>
        <item x="28"/>
        <item x="96"/>
        <item x="97"/>
        <item x="98"/>
        <item x="99"/>
        <item x="100"/>
        <item x="102"/>
        <item x="103"/>
        <item x="104"/>
        <item x="105"/>
        <item x="101"/>
        <item x="106"/>
        <item x="107"/>
        <item x="108"/>
        <item x="109"/>
        <item x="110"/>
        <item x="111"/>
        <item x="112"/>
        <item x="113"/>
        <item x="114"/>
        <item x="115"/>
        <item x="117"/>
        <item x="116"/>
        <item x="118"/>
        <item x="119"/>
        <item x="121"/>
        <item x="120"/>
        <item x="122"/>
        <item x="124"/>
        <item x="133"/>
        <item x="123"/>
        <item x="125"/>
        <item x="126"/>
        <item x="127"/>
        <item x="128"/>
        <item x="129"/>
        <item x="132"/>
        <item x="130"/>
        <item x="131"/>
        <item x="136"/>
        <item x="138"/>
        <item x="134"/>
        <item x="135"/>
        <item x="137"/>
        <item x="139"/>
        <item x="140"/>
        <item x="143"/>
        <item x="141"/>
        <item x="144"/>
        <item x="153"/>
        <item x="152"/>
        <item x="154"/>
        <item x="145"/>
        <item x="147"/>
        <item x="148"/>
        <item x="146"/>
        <item x="142"/>
        <item x="150"/>
        <item x="151"/>
        <item x="149"/>
        <item x="173"/>
        <item x="157"/>
        <item x="171"/>
        <item x="161"/>
        <item x="167"/>
        <item x="160"/>
        <item x="170"/>
        <item x="159"/>
        <item x="162"/>
        <item x="156"/>
        <item x="169"/>
        <item x="155"/>
        <item x="168"/>
        <item x="163"/>
        <item x="158"/>
        <item x="172"/>
        <item x="175"/>
        <item x="174"/>
        <item x="165"/>
        <item x="164"/>
        <item x="166"/>
        <item x="176"/>
        <item x="177"/>
        <item x="178"/>
        <item x="181"/>
        <item x="179"/>
        <item x="180"/>
        <item x="182"/>
        <item x="183"/>
        <item x="184"/>
        <item x="185"/>
        <item x="186"/>
        <item x="187"/>
        <item x="188"/>
        <item x="189"/>
        <item x="190"/>
        <item x="191"/>
        <item x="192"/>
        <item x="197"/>
        <item x="195"/>
        <item x="193"/>
        <item x="194"/>
        <item x="199"/>
        <item x="196"/>
        <item x="198"/>
        <item x="200"/>
        <item x="201"/>
        <item x="203"/>
        <item x="202"/>
        <item x="205"/>
        <item x="204"/>
        <item x="206"/>
        <item x="207"/>
        <item x="208"/>
        <item x="209"/>
        <item x="212"/>
        <item x="214"/>
        <item x="210"/>
        <item x="211"/>
        <item x="213"/>
        <item x="216"/>
        <item x="215"/>
        <item x="217"/>
        <item x="219"/>
        <item x="221"/>
        <item x="218"/>
        <item x="220"/>
        <item x="223"/>
        <item x="222"/>
        <item x="224"/>
        <item x="225"/>
        <item x="226"/>
        <item x="227"/>
        <item x="228"/>
        <item x="229"/>
        <item x="230"/>
        <item x="231"/>
        <item x="233"/>
        <item x="232"/>
        <item x="234"/>
        <item x="235"/>
        <item x="236"/>
        <item x="237"/>
        <item x="238"/>
        <item x="250"/>
        <item x="239"/>
        <item x="251"/>
        <item x="241"/>
        <item x="252"/>
        <item x="240"/>
        <item x="254"/>
        <item x="261"/>
        <item x="255"/>
        <item x="253"/>
        <item x="242"/>
        <item x="256"/>
        <item x="244"/>
        <item x="257"/>
        <item x="243"/>
        <item x="249"/>
        <item x="259"/>
        <item x="245"/>
        <item x="258"/>
        <item x="246"/>
        <item x="260"/>
        <item x="262"/>
        <item x="247"/>
        <item x="264"/>
        <item x="265"/>
        <item x="263"/>
        <item x="266"/>
        <item x="268"/>
        <item x="269"/>
        <item x="267"/>
        <item x="248"/>
        <item x="270"/>
        <item x="271"/>
        <item x="272"/>
        <item x="273"/>
        <item x="278"/>
        <item x="274"/>
        <item x="275"/>
        <item x="280"/>
        <item x="277"/>
        <item x="276"/>
        <item x="279"/>
        <item x="281"/>
        <item x="282"/>
        <item x="283"/>
        <item x="284"/>
        <item x="285"/>
        <item x="286"/>
        <item x="287"/>
        <item x="288"/>
        <item x="291"/>
        <item x="289"/>
        <item x="290"/>
        <item x="292"/>
        <item x="296"/>
        <item x="293"/>
        <item x="294"/>
        <item x="295"/>
        <item x="297"/>
        <item x="303"/>
        <item x="300"/>
        <item x="301"/>
        <item x="299"/>
        <item x="298"/>
        <item x="302"/>
        <item x="304"/>
        <item x="305"/>
        <item x="306"/>
        <item x="307"/>
        <item x="308"/>
        <item x="309"/>
        <item x="310"/>
        <item x="320"/>
        <item x="313"/>
        <item x="312"/>
        <item x="319"/>
        <item x="315"/>
        <item x="314"/>
        <item x="318"/>
        <item x="325"/>
        <item x="321"/>
        <item x="317"/>
        <item x="323"/>
        <item x="311"/>
        <item x="326"/>
        <item x="322"/>
        <item x="324"/>
        <item x="316"/>
        <item x="328"/>
        <item x="327"/>
        <item x="329"/>
        <item x="330"/>
        <item x="331"/>
        <item x="332"/>
        <item x="333"/>
        <item x="335"/>
        <item x="334"/>
        <item x="336"/>
        <item x="337"/>
        <item x="338"/>
        <item x="340"/>
        <item x="339"/>
        <item x="342"/>
        <item x="343"/>
        <item x="357"/>
        <item x="341"/>
        <item x="346"/>
        <item x="345"/>
        <item x="347"/>
        <item x="344"/>
        <item x="348"/>
        <item x="349"/>
        <item x="351"/>
        <item x="353"/>
        <item x="350"/>
        <item x="352"/>
        <item x="355"/>
        <item x="354"/>
        <item x="358"/>
        <item x="359"/>
        <item x="356"/>
        <item x="361"/>
        <item x="365"/>
        <item x="362"/>
        <item x="360"/>
        <item x="363"/>
        <item x="367"/>
        <item x="371"/>
        <item x="364"/>
        <item x="369"/>
        <item x="366"/>
        <item x="370"/>
        <item x="368"/>
        <item x="372"/>
        <item x="373"/>
        <item x="374"/>
        <item x="375"/>
        <item x="376"/>
        <item x="378"/>
        <item x="377"/>
        <item x="379"/>
        <item x="380"/>
        <item x="382"/>
        <item x="381"/>
        <item x="384"/>
        <item x="383"/>
        <item x="385"/>
        <item x="387"/>
        <item x="386"/>
        <item x="391"/>
        <item x="388"/>
        <item x="390"/>
        <item x="389"/>
        <item x="392"/>
        <item x="393"/>
        <item t="default"/>
      </items>
    </pivotField>
    <pivotField numFmtId="164" showAll="0">
      <items count="2716">
        <item m="1" x="299"/>
        <item m="1" x="300"/>
        <item m="1" x="301"/>
        <item m="1" x="302"/>
        <item m="1" x="303"/>
        <item m="1" x="304"/>
        <item m="1" x="305"/>
        <item m="1" x="306"/>
        <item m="1" x="307"/>
        <item m="1" x="308"/>
        <item m="1" x="309"/>
        <item m="1" x="310"/>
        <item m="1" x="314"/>
        <item m="1" x="311"/>
        <item m="1" x="312"/>
        <item m="1" x="313"/>
        <item m="1" x="315"/>
        <item m="1" x="316"/>
        <item m="1" x="317"/>
        <item m="1" x="318"/>
        <item m="1" x="320"/>
        <item m="1" x="31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53"/>
        <item m="1" x="342"/>
        <item m="1" x="343"/>
        <item m="1" x="344"/>
        <item m="1" x="345"/>
        <item m="1" x="346"/>
        <item m="1" x="347"/>
        <item m="1" x="348"/>
        <item m="1" x="349"/>
        <item m="1" x="350"/>
        <item m="1" x="351"/>
        <item m="1" x="352"/>
        <item m="1" x="354"/>
        <item m="1" x="355"/>
        <item m="1" x="356"/>
        <item m="1" x="357"/>
        <item m="1" x="358"/>
        <item m="1" x="359"/>
        <item m="1" x="360"/>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61"/>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92"/>
        <item m="1" x="493"/>
        <item m="1" x="494"/>
        <item m="1" x="495"/>
        <item m="1" x="496"/>
        <item m="1" x="487"/>
        <item m="1" x="497"/>
        <item m="1" x="498"/>
        <item m="1" x="499"/>
        <item m="1" x="500"/>
        <item m="1" x="488"/>
        <item m="1" x="501"/>
        <item m="1" x="502"/>
        <item m="1" x="503"/>
        <item m="1" x="504"/>
        <item m="1" x="489"/>
        <item m="1" x="505"/>
        <item m="1" x="490"/>
        <item m="1" x="491"/>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7"/>
        <item m="1" x="618"/>
        <item m="1" x="619"/>
        <item m="1" x="620"/>
        <item m="1" x="615"/>
        <item m="1" x="621"/>
        <item m="1" x="616"/>
        <item m="1" x="622"/>
        <item m="1" x="623"/>
        <item m="1" x="624"/>
        <item m="1" x="625"/>
        <item m="1" x="626"/>
        <item m="1" x="627"/>
        <item m="1" x="628"/>
        <item m="1" x="629"/>
        <item m="1" x="630"/>
        <item m="1" x="631"/>
        <item m="1" x="632"/>
        <item m="1" x="633"/>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35"/>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38"/>
        <item m="1" x="739"/>
        <item m="1" x="719"/>
        <item m="1" x="720"/>
        <item m="1" x="721"/>
        <item m="1" x="722"/>
        <item m="1" x="723"/>
        <item m="1" x="724"/>
        <item m="1" x="725"/>
        <item m="1" x="726"/>
        <item m="1" x="727"/>
        <item m="1" x="728"/>
        <item m="1" x="729"/>
        <item m="1" x="730"/>
        <item m="1" x="731"/>
        <item m="1" x="732"/>
        <item m="1" x="733"/>
        <item m="1" x="734"/>
        <item m="1" x="735"/>
        <item m="1" x="736"/>
        <item m="1" x="737"/>
        <item m="1" x="740"/>
        <item m="1" x="741"/>
        <item m="1" x="742"/>
        <item m="1" x="743"/>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44"/>
        <item m="1" x="74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40"/>
        <item m="1" x="836"/>
        <item m="1" x="845"/>
        <item m="1" x="850"/>
        <item m="1" x="839"/>
        <item m="1" x="835"/>
        <item m="1" x="838"/>
        <item m="1" x="847"/>
        <item m="1" x="852"/>
        <item m="1" x="837"/>
        <item m="1" x="844"/>
        <item m="1" x="848"/>
        <item m="1" x="843"/>
        <item m="1" x="851"/>
        <item m="1" x="842"/>
        <item m="1" x="841"/>
        <item m="1" x="846"/>
        <item m="1" x="853"/>
        <item m="1" x="849"/>
        <item m="1" x="854"/>
        <item m="1" x="855"/>
        <item m="1" x="857"/>
        <item m="1" x="856"/>
        <item m="1" x="858"/>
        <item m="1" x="860"/>
        <item m="1" x="867"/>
        <item m="1" x="870"/>
        <item m="1" x="866"/>
        <item m="1" x="868"/>
        <item m="1" x="864"/>
        <item m="1" x="863"/>
        <item m="1" x="869"/>
        <item m="1" x="871"/>
        <item m="1" x="872"/>
        <item m="1" x="862"/>
        <item m="1" x="861"/>
        <item m="1" x="873"/>
        <item m="1" x="865"/>
        <item m="1" x="859"/>
        <item m="1" x="905"/>
        <item m="1" x="903"/>
        <item m="1" x="892"/>
        <item m="1" x="888"/>
        <item m="1" x="876"/>
        <item m="1" x="874"/>
        <item m="1" x="877"/>
        <item m="1" x="899"/>
        <item m="1" x="881"/>
        <item m="1" x="894"/>
        <item m="1" x="907"/>
        <item m="1" x="896"/>
        <item m="1" x="904"/>
        <item m="1" x="898"/>
        <item m="1" x="891"/>
        <item m="1" x="883"/>
        <item m="1" x="879"/>
        <item m="1" x="901"/>
        <item m="1" x="900"/>
        <item m="1" x="887"/>
        <item m="1" x="893"/>
        <item m="1" x="895"/>
        <item m="1" x="890"/>
        <item m="1" x="882"/>
        <item m="1" x="889"/>
        <item m="1" x="906"/>
        <item m="1" x="886"/>
        <item m="1" x="880"/>
        <item m="1" x="902"/>
        <item m="1" x="878"/>
        <item m="1" x="875"/>
        <item m="1" x="908"/>
        <item m="1" x="884"/>
        <item m="1" x="885"/>
        <item m="1" x="897"/>
        <item m="1" x="913"/>
        <item m="1" x="910"/>
        <item m="1" x="912"/>
        <item m="1" x="911"/>
        <item m="1" x="909"/>
        <item m="1" x="930"/>
        <item m="1" x="929"/>
        <item m="1" x="915"/>
        <item m="1" x="914"/>
        <item m="1" x="916"/>
        <item m="1" x="921"/>
        <item m="1" x="923"/>
        <item m="1" x="919"/>
        <item m="1" x="917"/>
        <item m="1" x="920"/>
        <item m="1" x="928"/>
        <item m="1" x="926"/>
        <item m="1" x="924"/>
        <item m="1" x="927"/>
        <item m="1" x="925"/>
        <item m="1" x="922"/>
        <item m="1" x="918"/>
        <item m="1" x="942"/>
        <item m="1" x="932"/>
        <item m="1" x="938"/>
        <item m="1" x="934"/>
        <item m="1" x="945"/>
        <item m="1" x="943"/>
        <item m="1" x="939"/>
        <item m="1" x="936"/>
        <item m="1" x="933"/>
        <item m="1" x="935"/>
        <item m="1" x="931"/>
        <item m="1" x="946"/>
        <item m="1" x="937"/>
        <item m="1" x="941"/>
        <item m="1" x="947"/>
        <item m="1" x="940"/>
        <item m="1" x="944"/>
        <item m="1" x="952"/>
        <item m="1" x="953"/>
        <item m="1" x="957"/>
        <item m="1" x="951"/>
        <item m="1" x="948"/>
        <item m="1" x="955"/>
        <item m="1" x="949"/>
        <item m="1" x="956"/>
        <item m="1" x="954"/>
        <item m="1" x="950"/>
        <item m="1" x="964"/>
        <item m="1" x="961"/>
        <item m="1" x="966"/>
        <item m="1" x="958"/>
        <item m="1" x="977"/>
        <item m="1" x="975"/>
        <item m="1" x="963"/>
        <item m="1" x="962"/>
        <item m="1" x="970"/>
        <item m="1" x="972"/>
        <item m="1" x="959"/>
        <item m="1" x="968"/>
        <item m="1" x="976"/>
        <item m="1" x="967"/>
        <item m="1" x="980"/>
        <item m="1" x="971"/>
        <item m="1" x="978"/>
        <item m="1" x="981"/>
        <item m="1" x="973"/>
        <item m="1" x="969"/>
        <item m="1" x="979"/>
        <item m="1" x="965"/>
        <item m="1" x="974"/>
        <item m="1" x="960"/>
        <item m="1" x="988"/>
        <item m="1" x="992"/>
        <item m="1" x="982"/>
        <item m="1" x="983"/>
        <item m="1" x="989"/>
        <item m="1" x="995"/>
        <item m="1" x="985"/>
        <item m="1" x="994"/>
        <item m="1" x="991"/>
        <item m="1" x="986"/>
        <item m="1" x="990"/>
        <item m="1" x="984"/>
        <item m="1" x="987"/>
        <item m="1" x="993"/>
        <item m="1" x="1001"/>
        <item m="1" x="1002"/>
        <item m="1" x="999"/>
        <item m="1" x="1007"/>
        <item m="1" x="996"/>
        <item m="1" x="1000"/>
        <item m="1" x="1006"/>
        <item m="1" x="1003"/>
        <item m="1" x="1005"/>
        <item m="1" x="998"/>
        <item m="1" x="1004"/>
        <item m="1" x="997"/>
        <item m="1" x="1008"/>
        <item m="1" x="1014"/>
        <item m="1" x="1018"/>
        <item m="1" x="1016"/>
        <item m="1" x="1022"/>
        <item m="1" x="1023"/>
        <item m="1" x="1009"/>
        <item m="1" x="1015"/>
        <item m="1" x="1021"/>
        <item m="1" x="1011"/>
        <item m="1" x="1020"/>
        <item m="1" x="1019"/>
        <item m="1" x="1010"/>
        <item m="1" x="1017"/>
        <item m="1" x="1013"/>
        <item m="1" x="1012"/>
        <item m="1" x="1026"/>
        <item m="1" x="1028"/>
        <item m="1" x="1025"/>
        <item m="1" x="1027"/>
        <item m="1" x="1029"/>
        <item m="1" x="1024"/>
        <item m="1" x="2714"/>
        <item m="1" x="1036"/>
        <item m="1" x="1030"/>
        <item m="1" x="1037"/>
        <item m="1" x="1032"/>
        <item m="1" x="1031"/>
        <item m="1" x="1035"/>
        <item m="1" x="1034"/>
        <item m="1" x="1033"/>
        <item m="1" x="1059"/>
        <item m="1" x="1041"/>
        <item m="1" x="1054"/>
        <item m="1" x="1058"/>
        <item m="1" x="1051"/>
        <item m="1" x="1053"/>
        <item m="1" x="1061"/>
        <item m="1" x="1040"/>
        <item m="1" x="1060"/>
        <item m="1" x="1039"/>
        <item m="1" x="1048"/>
        <item m="1" x="1046"/>
        <item m="1" x="1062"/>
        <item m="1" x="1043"/>
        <item m="1" x="1045"/>
        <item m="1" x="1055"/>
        <item m="1" x="1047"/>
        <item m="1" x="1057"/>
        <item m="1" x="1049"/>
        <item m="1" x="1052"/>
        <item m="1" x="1042"/>
        <item m="1" x="1050"/>
        <item m="1" x="1038"/>
        <item m="1" x="1044"/>
        <item m="1" x="1056"/>
        <item m="1" x="1066"/>
        <item m="1" x="1063"/>
        <item m="1" x="1065"/>
        <item m="1" x="1064"/>
        <item m="1" x="1070"/>
        <item m="1" x="1073"/>
        <item m="1" x="1078"/>
        <item m="1" x="1071"/>
        <item m="1" x="1072"/>
        <item m="1" x="1077"/>
        <item m="1" x="1076"/>
        <item m="1" x="1075"/>
        <item m="1" x="1067"/>
        <item m="1" x="1069"/>
        <item m="1" x="1068"/>
        <item m="1" x="1074"/>
        <item m="1" x="1088"/>
        <item m="1" x="1082"/>
        <item m="1" x="1079"/>
        <item m="1" x="1081"/>
        <item m="1" x="1084"/>
        <item m="1" x="1087"/>
        <item m="1" x="1089"/>
        <item m="1" x="1097"/>
        <item m="1" x="1080"/>
        <item m="1" x="1094"/>
        <item m="1" x="1090"/>
        <item m="1" x="1096"/>
        <item m="1" x="1083"/>
        <item m="1" x="1095"/>
        <item m="1" x="1091"/>
        <item m="1" x="1086"/>
        <item m="1" x="1092"/>
        <item m="1" x="1085"/>
        <item m="1" x="1093"/>
        <item m="1" x="1104"/>
        <item m="1" x="1100"/>
        <item m="1" x="1099"/>
        <item m="1" x="1101"/>
        <item m="1" x="1105"/>
        <item m="1" x="1098"/>
        <item m="1" x="1102"/>
        <item m="1" x="1106"/>
        <item m="1" x="1103"/>
        <item m="1" x="1110"/>
        <item m="1" x="1113"/>
        <item m="1" x="1114"/>
        <item m="1" x="1109"/>
        <item m="1" x="1112"/>
        <item m="1" x="1107"/>
        <item m="1" x="1111"/>
        <item m="1" x="1108"/>
        <item m="1" x="1143"/>
        <item m="1" x="1116"/>
        <item m="1" x="1128"/>
        <item m="1" x="1117"/>
        <item m="1" x="1115"/>
        <item m="1" x="1126"/>
        <item m="1" x="1140"/>
        <item m="1" x="1139"/>
        <item m="1" x="1122"/>
        <item m="1" x="1134"/>
        <item m="1" x="1137"/>
        <item m="1" x="1125"/>
        <item m="1" x="1124"/>
        <item m="1" x="1144"/>
        <item m="1" x="1120"/>
        <item m="1" x="1132"/>
        <item m="1" x="1136"/>
        <item m="1" x="1119"/>
        <item m="1" x="1121"/>
        <item m="1" x="1131"/>
        <item m="1" x="1123"/>
        <item m="1" x="1129"/>
        <item m="1" x="1118"/>
        <item m="1" x="1138"/>
        <item m="1" x="1142"/>
        <item m="1" x="1127"/>
        <item m="1" x="1135"/>
        <item m="1" x="1141"/>
        <item m="1" x="1130"/>
        <item m="1" x="1133"/>
        <item m="1" x="1145"/>
        <item m="1" x="1146"/>
        <item m="1" x="1147"/>
        <item m="1" x="1148"/>
        <item m="1" x="1157"/>
        <item m="1" x="1149"/>
        <item m="1" x="1155"/>
        <item m="1" x="1150"/>
        <item m="1" x="1156"/>
        <item m="1" x="1152"/>
        <item m="1" x="1154"/>
        <item m="1" x="1153"/>
        <item m="1" x="1158"/>
        <item m="1" x="1151"/>
        <item m="1" x="1159"/>
        <item m="1" x="1160"/>
        <item m="1" x="1164"/>
        <item m="1" x="1163"/>
        <item m="1" x="1162"/>
        <item m="1" x="1166"/>
        <item m="1" x="1161"/>
        <item m="1" x="1167"/>
        <item m="1" x="1165"/>
        <item m="1" x="1169"/>
        <item m="1" x="1170"/>
        <item m="1" x="1173"/>
        <item m="1" x="1172"/>
        <item m="1" x="1174"/>
        <item m="1" x="1171"/>
        <item m="1" x="1168"/>
        <item m="1" x="1175"/>
        <item m="1" x="1180"/>
        <item m="1" x="1176"/>
        <item m="1" x="1183"/>
        <item m="1" x="1185"/>
        <item m="1" x="1178"/>
        <item m="1" x="1187"/>
        <item m="1" x="1186"/>
        <item m="1" x="1177"/>
        <item m="1" x="1184"/>
        <item m="1" x="1179"/>
        <item m="1" x="1182"/>
        <item m="1" x="1181"/>
        <item m="1" x="1188"/>
        <item m="1" x="1191"/>
        <item m="1" x="1194"/>
        <item m="1" x="1192"/>
        <item m="1" x="1193"/>
        <item m="1" x="1189"/>
        <item m="1" x="1190"/>
        <item m="1" x="1210"/>
        <item m="1" x="1203"/>
        <item m="1" x="1219"/>
        <item m="1" x="1207"/>
        <item m="1" x="1215"/>
        <item m="1" x="1204"/>
        <item m="1" x="1216"/>
        <item m="1" x="1217"/>
        <item m="1" x="1214"/>
        <item m="1" x="1205"/>
        <item m="1" x="1211"/>
        <item m="1" x="1199"/>
        <item m="1" x="1209"/>
        <item m="1" x="1196"/>
        <item m="1" x="1200"/>
        <item m="1" x="1208"/>
        <item m="1" x="1195"/>
        <item m="1" x="1198"/>
        <item m="1" x="1197"/>
        <item m="1" x="1218"/>
        <item m="1" x="1201"/>
        <item m="1" x="1213"/>
        <item m="1" x="1202"/>
        <item m="1" x="1206"/>
        <item m="1" x="1212"/>
        <item m="1" x="1220"/>
        <item m="1" x="1223"/>
        <item m="1" x="1222"/>
        <item m="1" x="1221"/>
        <item m="1" x="1227"/>
        <item m="1" x="1226"/>
        <item m="1" x="1228"/>
        <item m="1" x="1225"/>
        <item m="1" x="1230"/>
        <item m="1" x="1229"/>
        <item m="1" x="1224"/>
        <item m="1" x="1234"/>
        <item m="1" x="1235"/>
        <item m="1" x="1231"/>
        <item m="1" x="1237"/>
        <item m="1" x="1232"/>
        <item m="1" x="1241"/>
        <item m="1" x="1236"/>
        <item m="1" x="1239"/>
        <item m="1" x="1233"/>
        <item m="1" x="1240"/>
        <item m="1" x="1238"/>
        <item m="1" x="1243"/>
        <item m="1" x="1244"/>
        <item m="1" x="1242"/>
        <item m="1" x="1245"/>
        <item m="1" x="1246"/>
        <item m="1" x="1248"/>
        <item m="1" x="1255"/>
        <item m="1" x="1254"/>
        <item m="1" x="1249"/>
        <item m="1" x="1260"/>
        <item m="1" x="1247"/>
        <item m="1" x="1259"/>
        <item m="1" x="1257"/>
        <item m="1" x="1258"/>
        <item m="1" x="1250"/>
        <item m="1" x="1251"/>
        <item m="1" x="1253"/>
        <item m="1" x="1252"/>
        <item m="1" x="1261"/>
        <item m="1" x="1256"/>
        <item m="1" x="1265"/>
        <item m="1" x="1262"/>
        <item m="1" x="1263"/>
        <item m="1" x="1264"/>
        <item m="1" x="1266"/>
        <item m="1" x="1267"/>
        <item m="1" x="1268"/>
        <item m="1" x="1270"/>
        <item m="1" x="1271"/>
        <item m="1" x="1269"/>
        <item m="1" x="1276"/>
        <item m="1" x="1280"/>
        <item m="1" x="1282"/>
        <item m="1" x="1273"/>
        <item m="1" x="1274"/>
        <item m="1" x="1272"/>
        <item m="1" x="1275"/>
        <item m="1" x="1278"/>
        <item m="1" x="1277"/>
        <item m="1" x="1281"/>
        <item m="1" x="1279"/>
        <item m="1" x="1286"/>
        <item m="1" x="1283"/>
        <item m="1" x="1287"/>
        <item m="1" x="1285"/>
        <item m="1" x="1284"/>
        <item m="1" x="1288"/>
        <item m="1" x="1291"/>
        <item m="1" x="1292"/>
        <item m="1" x="1293"/>
        <item m="1" x="1290"/>
        <item m="1" x="1289"/>
        <item m="1" x="1294"/>
        <item m="1" x="1296"/>
        <item m="1" x="1295"/>
        <item m="1" x="1298"/>
        <item m="1" x="1297"/>
        <item m="1" x="1301"/>
        <item m="1" x="1305"/>
        <item m="1" x="1304"/>
        <item m="1" x="1300"/>
        <item m="1" x="1299"/>
        <item m="1" x="1302"/>
        <item m="1" x="1306"/>
        <item m="1" x="1303"/>
        <item m="1" x="1309"/>
        <item m="1" x="1307"/>
        <item m="1" x="1308"/>
        <item m="1" x="1316"/>
        <item m="1" x="1319"/>
        <item m="1" x="1310"/>
        <item m="1" x="2713"/>
        <item m="1" x="1317"/>
        <item m="1" x="1318"/>
        <item m="1" x="1311"/>
        <item m="1" x="1315"/>
        <item m="1" x="1312"/>
        <item m="1" x="1314"/>
        <item m="1" x="1313"/>
        <item m="1" x="1324"/>
        <item m="1" x="1322"/>
        <item m="1" x="1320"/>
        <item m="1" x="1321"/>
        <item m="1" x="1325"/>
        <item m="1" x="1323"/>
        <item m="1" x="1329"/>
        <item m="1" x="1332"/>
        <item m="1" x="1326"/>
        <item m="1" x="1330"/>
        <item m="1" x="1327"/>
        <item m="1" x="1331"/>
        <item m="1" x="1333"/>
        <item m="1" x="1334"/>
        <item m="1" x="1328"/>
        <item m="1" x="1335"/>
        <item m="1" x="1340"/>
        <item m="1" x="1342"/>
        <item m="1" x="1344"/>
        <item m="1" x="1338"/>
        <item m="1" x="1348"/>
        <item m="1" x="1349"/>
        <item m="1" x="1346"/>
        <item m="1" x="1336"/>
        <item m="1" x="1339"/>
        <item m="1" x="1337"/>
        <item m="1" x="1343"/>
        <item m="1" x="1345"/>
        <item m="1" x="1341"/>
        <item m="1" x="1347"/>
        <item m="1" x="1352"/>
        <item m="1" x="1350"/>
        <item m="1" x="1351"/>
        <item m="1" x="1353"/>
        <item m="1" x="1355"/>
        <item m="1" x="1354"/>
        <item m="1" x="1359"/>
        <item m="1" x="1360"/>
        <item m="1" x="1356"/>
        <item m="1" x="1357"/>
        <item m="1" x="1358"/>
        <item m="1" x="1363"/>
        <item m="1" x="1361"/>
        <item m="1" x="1364"/>
        <item m="1" x="1365"/>
        <item m="1" x="1362"/>
        <item m="1" x="1366"/>
        <item m="1" x="1370"/>
        <item m="1" x="1373"/>
        <item m="1" x="1367"/>
        <item m="1" x="1371"/>
        <item m="1" x="1369"/>
        <item m="1" x="1375"/>
        <item m="1" x="1377"/>
        <item m="1" x="1374"/>
        <item m="1" x="1376"/>
        <item m="1" x="1379"/>
        <item m="1" x="1378"/>
        <item m="1" x="1372"/>
        <item m="1" x="1368"/>
        <item m="1" x="1382"/>
        <item m="1" x="1381"/>
        <item m="1" x="1380"/>
        <item m="1" x="1384"/>
        <item m="1" x="1383"/>
        <item m="1" x="1385"/>
        <item m="1" x="1386"/>
        <item m="1" x="1388"/>
        <item m="1" x="1391"/>
        <item m="1" x="1389"/>
        <item m="1" x="1390"/>
        <item m="1" x="1387"/>
        <item m="1" x="1397"/>
        <item m="1" x="1392"/>
        <item m="1" x="1396"/>
        <item m="1" x="1393"/>
        <item m="1" x="1395"/>
        <item m="1" x="1394"/>
        <item m="1" x="1398"/>
        <item m="1" x="1399"/>
        <item m="1" x="1400"/>
        <item m="1" x="1401"/>
        <item m="1" x="1402"/>
        <item m="1" x="1403"/>
        <item m="1" x="1404"/>
        <item m="1" x="1405"/>
        <item m="1" x="1406"/>
        <item m="1" x="1407"/>
        <item m="1" x="1408"/>
        <item m="1" x="1409"/>
        <item m="1" x="1410"/>
        <item m="1" x="1417"/>
        <item m="1" x="1416"/>
        <item m="1" x="1419"/>
        <item m="1" x="1414"/>
        <item m="1" x="1418"/>
        <item m="1" x="1415"/>
        <item m="1" x="1413"/>
        <item m="1" x="1412"/>
        <item m="1" x="1411"/>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503"/>
        <item m="1" x="1511"/>
        <item m="1" x="1493"/>
        <item m="1" x="1495"/>
        <item m="1" x="1491"/>
        <item m="1" x="1492"/>
        <item m="1" x="1496"/>
        <item m="1" x="1494"/>
        <item m="1" x="1498"/>
        <item m="1" x="1499"/>
        <item m="1" x="1502"/>
        <item m="1" x="1500"/>
        <item m="1" x="1505"/>
        <item m="1" x="1509"/>
        <item m="1" x="1501"/>
        <item m="1" x="1508"/>
        <item m="1" x="1512"/>
        <item m="1" x="1497"/>
        <item m="1" x="1510"/>
        <item m="1" x="1513"/>
        <item m="1" x="1506"/>
        <item m="1" x="1504"/>
        <item m="1" x="1490"/>
        <item m="1" x="1507"/>
        <item m="1" x="1519"/>
        <item m="1" x="1518"/>
        <item m="1" x="1517"/>
        <item m="1" x="1515"/>
        <item m="1" x="1514"/>
        <item m="1" x="1516"/>
        <item m="1" x="1455"/>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600"/>
        <item m="1" x="1603"/>
        <item m="1" x="1606"/>
        <item m="1" x="1598"/>
        <item m="1" x="1599"/>
        <item m="1" x="1604"/>
        <item m="1" x="1597"/>
        <item m="1" x="1601"/>
        <item m="1" x="1602"/>
        <item m="1" x="1605"/>
        <item m="1" x="1625"/>
        <item m="1" x="1640"/>
        <item m="1" x="1634"/>
        <item m="1" x="1616"/>
        <item m="1" x="1607"/>
        <item m="1" x="1608"/>
        <item m="1" x="1623"/>
        <item m="1" x="1611"/>
        <item m="1" x="1627"/>
        <item m="1" x="1638"/>
        <item m="1" x="1618"/>
        <item m="1" x="1612"/>
        <item m="1" x="1619"/>
        <item m="1" x="1630"/>
        <item m="1" x="1609"/>
        <item m="1" x="1613"/>
        <item m="1" x="1614"/>
        <item m="1" x="1629"/>
        <item m="1" x="1617"/>
        <item m="1" x="1635"/>
        <item m="1" x="1621"/>
        <item m="1" x="1641"/>
        <item m="1" x="1615"/>
        <item m="1" x="1636"/>
        <item m="1" x="1637"/>
        <item m="1" x="1639"/>
        <item m="1" x="1632"/>
        <item m="1" x="1628"/>
        <item m="1" x="1624"/>
        <item m="1" x="1626"/>
        <item m="1" x="1610"/>
        <item m="1" x="1620"/>
        <item m="1" x="1631"/>
        <item m="1" x="1622"/>
        <item m="1" x="1657"/>
        <item m="1" x="1662"/>
        <item m="1" x="1677"/>
        <item m="1" x="1676"/>
        <item m="1" x="1643"/>
        <item m="1" x="2712"/>
        <item m="1" x="1654"/>
        <item m="1" x="1642"/>
        <item m="1" x="1659"/>
        <item m="1" x="1674"/>
        <item m="1" x="1679"/>
        <item m="1" x="1672"/>
        <item m="1" x="1680"/>
        <item m="1" x="1653"/>
        <item m="1" x="1670"/>
        <item m="1" x="1651"/>
        <item m="1" x="1647"/>
        <item m="1" x="1663"/>
        <item m="1" x="1685"/>
        <item m="1" x="1671"/>
        <item m="1" x="1648"/>
        <item m="1" x="1652"/>
        <item m="1" x="1658"/>
        <item m="1" x="1645"/>
        <item m="1" x="1682"/>
        <item m="1" x="1646"/>
        <item m="1" x="1644"/>
        <item m="1" x="1649"/>
        <item m="1" x="1681"/>
        <item m="1" x="1667"/>
        <item m="1" x="1678"/>
        <item m="1" x="1660"/>
        <item m="1" x="1668"/>
        <item m="1" x="1661"/>
        <item m="1" x="1664"/>
        <item m="1" x="1666"/>
        <item m="1" x="1673"/>
        <item m="1" x="1655"/>
        <item m="1" x="1650"/>
        <item m="1" x="1675"/>
        <item m="1" x="1656"/>
        <item m="1" x="1683"/>
        <item m="1" x="1684"/>
        <item m="1" x="1669"/>
        <item m="1" x="1686"/>
        <item m="1" x="1690"/>
        <item m="1" x="1687"/>
        <item m="1" x="1688"/>
        <item m="1" x="1691"/>
        <item m="1" x="1689"/>
        <item m="1" x="1693"/>
        <item m="1" x="1706"/>
        <item m="1" x="1697"/>
        <item m="1" x="1700"/>
        <item m="1" x="1698"/>
        <item m="1" x="1704"/>
        <item m="1" x="1702"/>
        <item m="1" x="1694"/>
        <item m="1" x="1711"/>
        <item m="1" x="1710"/>
        <item m="1" x="1709"/>
        <item m="1" x="1712"/>
        <item m="1" x="1695"/>
        <item m="1" x="1707"/>
        <item m="1" x="1708"/>
        <item m="1" x="1699"/>
        <item m="1" x="1701"/>
        <item m="1" x="1696"/>
        <item m="1" x="1714"/>
        <item m="1" x="1692"/>
        <item m="1" x="1703"/>
        <item m="1" x="1713"/>
        <item m="1" x="1705"/>
        <item m="1" x="1733"/>
        <item m="1" x="1718"/>
        <item m="1" x="1754"/>
        <item m="1" x="1715"/>
        <item m="1" x="1737"/>
        <item m="1" x="1716"/>
        <item m="1" x="1752"/>
        <item m="1" x="1735"/>
        <item m="1" x="1740"/>
        <item m="1" x="1724"/>
        <item m="1" x="1746"/>
        <item m="1" x="1732"/>
        <item m="1" x="1720"/>
        <item m="1" x="1717"/>
        <item m="1" x="1729"/>
        <item m="1" x="1730"/>
        <item m="1" x="1739"/>
        <item m="1" x="1742"/>
        <item m="1" x="1731"/>
        <item m="1" x="1734"/>
        <item m="1" x="1721"/>
        <item m="1" x="1747"/>
        <item m="1" x="1722"/>
        <item m="1" x="1736"/>
        <item m="1" x="1719"/>
        <item m="1" x="1727"/>
        <item m="1" x="1741"/>
        <item m="1" x="1756"/>
        <item m="1" x="1748"/>
        <item m="1" x="1744"/>
        <item m="1" x="1743"/>
        <item m="1" x="1728"/>
        <item m="1" x="1753"/>
        <item m="1" x="1755"/>
        <item m="1" x="1750"/>
        <item m="1" x="1723"/>
        <item m="1" x="1749"/>
        <item m="1" x="1726"/>
        <item m="1" x="1725"/>
        <item m="1" x="1738"/>
        <item m="1" x="1751"/>
        <item m="1" x="1745"/>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633"/>
        <item m="1" x="1665"/>
        <item m="1" x="1814"/>
        <item m="1" x="1816"/>
        <item m="1" x="1812"/>
        <item m="1" x="1817"/>
        <item m="1" x="1813"/>
        <item m="1" x="1815"/>
        <item m="1" x="1818"/>
        <item m="1" x="1804"/>
        <item m="1" x="1805"/>
        <item m="1" x="1806"/>
        <item m="1" x="1807"/>
        <item m="1" x="1808"/>
        <item m="1" x="1809"/>
        <item m="1" x="1810"/>
        <item m="1" x="1811"/>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2710"/>
        <item m="1" x="2711"/>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46"/>
        <item m="1" x="1947"/>
        <item m="1" x="1976"/>
        <item m="1" x="1977"/>
        <item m="1" x="1978"/>
        <item m="1" x="1979"/>
        <item m="1" x="1980"/>
        <item m="1" x="1981"/>
        <item m="1" x="1982"/>
        <item m="1" x="2027"/>
        <item m="1" x="2028"/>
        <item m="1" x="2029"/>
        <item m="1" x="2030"/>
        <item m="1" x="2033"/>
        <item m="1" x="2034"/>
        <item m="1" x="2035"/>
        <item m="1" x="2036"/>
        <item m="1" x="2037"/>
        <item m="1" x="2038"/>
        <item m="1" x="2039"/>
        <item m="1" x="2040"/>
        <item m="1" x="2041"/>
        <item m="1" x="2042"/>
        <item m="1" x="2043"/>
        <item m="1" x="2044"/>
        <item m="1" x="2045"/>
        <item m="1" x="2046"/>
        <item m="1" x="2047"/>
        <item m="1" x="2048"/>
        <item m="1" x="2049"/>
        <item m="1" x="1985"/>
        <item m="1" x="2050"/>
        <item m="1" x="1988"/>
        <item m="1" x="1989"/>
        <item m="1" x="2051"/>
        <item m="1" x="2052"/>
        <item m="1" x="2053"/>
        <item m="1" x="1992"/>
        <item m="1" x="1993"/>
        <item m="1" x="1994"/>
        <item m="1" x="1995"/>
        <item m="1" x="1996"/>
        <item m="1" x="2054"/>
        <item m="1" x="1998"/>
        <item m="1" x="2055"/>
        <item m="1" x="1999"/>
        <item m="1" x="2056"/>
        <item m="1" x="2057"/>
        <item m="1" x="2058"/>
        <item m="1" x="2059"/>
        <item m="1" x="2000"/>
        <item m="1" x="2060"/>
        <item m="1" x="2061"/>
        <item m="1" x="2001"/>
        <item m="1" x="2062"/>
        <item m="1" x="2063"/>
        <item m="1" x="2064"/>
        <item m="1" x="2065"/>
        <item m="1" x="2066"/>
        <item m="1" x="2067"/>
        <item m="1" x="2068"/>
        <item m="1" x="2004"/>
        <item m="1" x="2069"/>
        <item m="1" x="2070"/>
        <item m="1" x="2007"/>
        <item m="1" x="2071"/>
        <item m="1" x="2008"/>
        <item m="1" x="2009"/>
        <item m="1" x="2072"/>
        <item m="1" x="2073"/>
        <item m="1" x="2074"/>
        <item m="1" x="2075"/>
        <item m="1" x="2010"/>
        <item m="1" x="2076"/>
        <item m="1" x="2077"/>
        <item m="1" x="2014"/>
        <item m="1" x="2078"/>
        <item m="1" x="2079"/>
        <item m="1" x="2080"/>
        <item m="1" x="2081"/>
        <item m="1" x="2082"/>
        <item m="1" x="2083"/>
        <item m="1" x="2084"/>
        <item m="1" x="2085"/>
        <item m="1" x="2086"/>
        <item m="1" x="2087"/>
        <item m="1" x="2088"/>
        <item m="1" x="1984"/>
        <item m="1" x="1986"/>
        <item m="1" x="1987"/>
        <item m="1" x="1990"/>
        <item m="1" x="1991"/>
        <item m="1" x="1997"/>
        <item m="1" x="2002"/>
        <item m="1" x="2003"/>
        <item m="1" x="2005"/>
        <item m="1" x="2006"/>
        <item m="1" x="2011"/>
        <item m="1" x="2012"/>
        <item m="1" x="2013"/>
        <item m="1" x="2015"/>
        <item m="1" x="2016"/>
        <item m="1" x="2017"/>
        <item m="1" x="2018"/>
        <item m="1" x="2019"/>
        <item m="1" x="2020"/>
        <item m="1" x="2021"/>
        <item m="1" x="2022"/>
        <item m="1" x="2023"/>
        <item m="1" x="2024"/>
        <item m="1" x="2025"/>
        <item m="1" x="2026"/>
        <item m="1" x="1983"/>
        <item m="1" x="2032"/>
        <item m="1" x="2031"/>
        <item m="1" x="2139"/>
        <item m="1" x="2149"/>
        <item m="1" x="2132"/>
        <item m="1" x="2120"/>
        <item m="1" x="2112"/>
        <item m="1" x="2094"/>
        <item m="1" x="2119"/>
        <item m="1" x="2101"/>
        <item m="1" x="2098"/>
        <item m="1" x="2099"/>
        <item m="1" x="2090"/>
        <item m="1" x="2136"/>
        <item m="1" x="2100"/>
        <item m="1" x="2106"/>
        <item m="1" x="2124"/>
        <item m="1" x="2150"/>
        <item m="1" x="2129"/>
        <item m="1" x="2147"/>
        <item m="1" x="2126"/>
        <item m="1" x="2151"/>
        <item m="1" x="2110"/>
        <item m="1" x="2117"/>
        <item m="1" x="2131"/>
        <item m="1" x="2114"/>
        <item m="1" x="2146"/>
        <item m="1" x="2155"/>
        <item m="1" x="2093"/>
        <item m="1" x="2153"/>
        <item m="1" x="2116"/>
        <item m="1" x="2089"/>
        <item m="1" x="2137"/>
        <item m="1" x="2128"/>
        <item m="1" x="2138"/>
        <item m="1" x="2105"/>
        <item m="1" x="2144"/>
        <item m="1" x="2108"/>
        <item m="1" x="2113"/>
        <item m="1" x="2154"/>
        <item m="1" x="2102"/>
        <item m="1" x="2140"/>
        <item m="1" x="2107"/>
        <item m="1" x="2127"/>
        <item m="1" x="2091"/>
        <item m="1" x="2141"/>
        <item m="1" x="2156"/>
        <item m="1" x="2130"/>
        <item m="1" x="2123"/>
        <item m="1" x="2092"/>
        <item m="1" x="2133"/>
        <item m="1" x="2095"/>
        <item m="1" x="2104"/>
        <item m="1" x="2134"/>
        <item m="1" x="2115"/>
        <item m="1" x="2122"/>
        <item m="1" x="2143"/>
        <item m="1" x="2135"/>
        <item m="1" x="2152"/>
        <item m="1" x="2125"/>
        <item m="1" x="2111"/>
        <item m="1" x="2109"/>
        <item m="1" x="2121"/>
        <item m="1" x="2157"/>
        <item m="1" x="2145"/>
        <item m="1" x="2148"/>
        <item m="1" x="2142"/>
        <item m="1" x="2118"/>
        <item m="1" x="2096"/>
        <item m="1" x="2097"/>
        <item m="1" x="2103"/>
        <item m="1" x="2159"/>
        <item m="1" x="2709"/>
        <item m="1" x="2158"/>
        <item m="1" x="2162"/>
        <item m="1" x="2160"/>
        <item m="1" x="2164"/>
        <item m="1" x="2165"/>
        <item m="1" x="2161"/>
        <item m="1" x="2172"/>
        <item m="1" x="2166"/>
        <item m="1" x="2168"/>
        <item m="1" x="2163"/>
        <item m="1" x="2169"/>
        <item m="1" x="2167"/>
        <item m="1" x="2171"/>
        <item m="1" x="2170"/>
        <item m="1" x="2173"/>
        <item m="1" x="2174"/>
        <item m="1" x="2175"/>
        <item m="1" x="2176"/>
        <item m="1" x="2177"/>
        <item m="1" x="2178"/>
        <item m="1" x="2180"/>
        <item m="1" x="2179"/>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73"/>
        <item m="1" x="2271"/>
        <item m="1" x="2270"/>
        <item m="1" x="2269"/>
        <item m="1" x="2268"/>
        <item m="1" x="2267"/>
        <item m="1" x="2272"/>
        <item m="1" x="2266"/>
        <item m="1" x="2274"/>
        <item m="1" x="2287"/>
        <item m="1" x="2288"/>
        <item m="1" x="2294"/>
        <item m="1" x="2278"/>
        <item m="1" x="2281"/>
        <item m="1" x="2277"/>
        <item m="1" x="2298"/>
        <item m="1" x="2297"/>
        <item m="1" x="2290"/>
        <item m="1" x="2292"/>
        <item m="1" x="2284"/>
        <item m="1" x="2276"/>
        <item m="1" x="2280"/>
        <item m="1" x="2291"/>
        <item m="1" x="2289"/>
        <item m="1" x="2286"/>
        <item m="1" x="2282"/>
        <item m="1" x="2283"/>
        <item m="1" x="2296"/>
        <item m="1" x="2285"/>
        <item m="1" x="2293"/>
        <item m="1" x="2295"/>
        <item m="1" x="2275"/>
        <item m="1" x="2279"/>
        <item m="1" x="2300"/>
        <item m="1" x="2299"/>
        <item m="1" x="2301"/>
        <item m="1" x="2302"/>
        <item m="1" x="2362"/>
        <item m="1" x="2314"/>
        <item m="1" x="2317"/>
        <item m="1" x="2316"/>
        <item m="1" x="2344"/>
        <item m="1" x="2333"/>
        <item m="1" x="2318"/>
        <item m="1" x="2324"/>
        <item m="1" x="2332"/>
        <item m="1" x="2315"/>
        <item m="1" x="2357"/>
        <item m="1" x="2348"/>
        <item m="1" x="2334"/>
        <item m="1" x="2358"/>
        <item m="1" x="2335"/>
        <item m="1" x="2356"/>
        <item m="1" x="2308"/>
        <item m="1" x="2363"/>
        <item m="1" x="2328"/>
        <item m="1" x="2305"/>
        <item m="1" x="2322"/>
        <item m="1" x="2352"/>
        <item m="1" x="2336"/>
        <item m="1" x="2349"/>
        <item m="1" x="2350"/>
        <item m="1" x="2326"/>
        <item m="1" x="2359"/>
        <item m="1" x="2325"/>
        <item m="1" x="2342"/>
        <item m="1" x="2303"/>
        <item m="1" x="2353"/>
        <item m="1" x="2355"/>
        <item m="1" x="2309"/>
        <item m="1" x="2354"/>
        <item m="1" x="2330"/>
        <item m="1" x="2311"/>
        <item m="1" x="2313"/>
        <item m="1" x="2310"/>
        <item m="1" x="2341"/>
        <item m="1" x="2320"/>
        <item m="1" x="2307"/>
        <item m="1" x="2343"/>
        <item m="1" x="2306"/>
        <item m="1" x="2337"/>
        <item m="1" x="2351"/>
        <item m="1" x="2312"/>
        <item m="1" x="2338"/>
        <item m="1" x="2331"/>
        <item m="1" x="2360"/>
        <item m="1" x="2304"/>
        <item m="1" x="2319"/>
        <item m="1" x="2361"/>
        <item m="1" x="2346"/>
        <item m="1" x="2323"/>
        <item m="1" x="2364"/>
        <item m="1" x="2321"/>
        <item m="1" x="2329"/>
        <item m="1" x="2347"/>
        <item m="1" x="2327"/>
        <item m="1" x="2339"/>
        <item m="1" x="2345"/>
        <item m="1" x="2340"/>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4"/>
        <item m="1" x="2397"/>
        <item m="1" x="2393"/>
        <item m="1" x="2392"/>
        <item m="1" x="2395"/>
        <item m="1" x="2396"/>
        <item m="1" x="2398"/>
        <item m="1" x="2400"/>
        <item m="1" x="2399"/>
        <item m="1" x="2401"/>
        <item m="1" x="2402"/>
        <item m="1" x="2404"/>
        <item m="1" x="2403"/>
        <item m="1" x="2405"/>
        <item m="1" x="2406"/>
        <item m="1" x="2407"/>
        <item m="1" x="2408"/>
        <item m="1" x="2410"/>
        <item m="1" x="2409"/>
        <item m="1" x="2411"/>
        <item m="1" x="2412"/>
        <item m="1" x="2413"/>
        <item m="1" x="2414"/>
        <item m="1" x="2418"/>
        <item m="1" x="2415"/>
        <item m="1" x="2419"/>
        <item m="1" x="2420"/>
        <item m="1" x="2421"/>
        <item m="1" x="2416"/>
        <item m="1" x="2422"/>
        <item m="1" x="2417"/>
        <item m="1" x="2423"/>
        <item m="1" x="2424"/>
        <item m="1" x="2425"/>
        <item m="1" x="2427"/>
        <item m="1" x="2426"/>
        <item m="1" x="2429"/>
        <item m="1" x="2430"/>
        <item m="1" x="2428"/>
        <item m="1" x="2433"/>
        <item m="1" x="2431"/>
        <item m="1" x="2434"/>
        <item m="1" x="2432"/>
        <item m="1" x="2436"/>
        <item m="1" x="2435"/>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60"/>
        <item m="1" x="2459"/>
        <item m="1" x="2463"/>
        <item m="1" x="2464"/>
        <item m="1" x="2462"/>
        <item m="1" x="2461"/>
        <item m="1" x="2467"/>
        <item m="1" x="2466"/>
        <item m="1" x="2470"/>
        <item m="1" x="2472"/>
        <item m="1" x="2465"/>
        <item m="1" x="2468"/>
        <item m="1" x="2473"/>
        <item m="1" x="2469"/>
        <item m="1" x="2471"/>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708"/>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21"/>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553"/>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x="69"/>
        <item x="1"/>
        <item x="8"/>
        <item x="2"/>
        <item x="51"/>
        <item x="0"/>
        <item x="52"/>
        <item x="9"/>
        <item x="32"/>
        <item x="33"/>
        <item x="34"/>
        <item x="70"/>
        <item x="53"/>
        <item x="54"/>
        <item x="71"/>
        <item x="55"/>
        <item x="72"/>
        <item x="10"/>
        <item x="56"/>
        <item x="57"/>
        <item x="11"/>
        <item x="58"/>
        <item x="12"/>
        <item x="59"/>
        <item x="35"/>
        <item x="13"/>
        <item x="36"/>
        <item x="37"/>
        <item x="14"/>
        <item x="38"/>
        <item x="39"/>
        <item x="15"/>
        <item x="16"/>
        <item x="60"/>
        <item x="61"/>
        <item x="40"/>
        <item x="62"/>
        <item x="63"/>
        <item x="17"/>
        <item x="18"/>
        <item x="19"/>
        <item x="20"/>
        <item x="41"/>
        <item x="42"/>
        <item x="43"/>
        <item x="21"/>
        <item x="22"/>
        <item x="3"/>
        <item x="64"/>
        <item x="65"/>
        <item x="4"/>
        <item x="66"/>
        <item x="44"/>
        <item x="23"/>
        <item x="5"/>
        <item x="24"/>
        <item x="45"/>
        <item x="67"/>
        <item x="68"/>
        <item x="25"/>
        <item x="26"/>
        <item x="46"/>
        <item x="31"/>
        <item x="27"/>
        <item x="49"/>
        <item x="47"/>
        <item x="28"/>
        <item x="29"/>
        <item x="48"/>
        <item x="30"/>
        <item x="50"/>
        <item x="7"/>
        <item x="73"/>
        <item x="6"/>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7"/>
        <item x="118"/>
        <item x="119"/>
        <item x="120"/>
        <item x="121"/>
        <item x="122"/>
        <item x="123"/>
        <item x="124"/>
        <item x="125"/>
        <item x="126"/>
        <item x="127"/>
        <item x="128"/>
        <item x="129"/>
        <item x="130"/>
        <item x="131"/>
        <item x="116"/>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m="1" x="298"/>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176"/>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t="default"/>
      </items>
    </pivotField>
    <pivotField numFmtId="164" showAll="0"/>
    <pivotField showAll="0">
      <items count="5">
        <item m="1" x="1"/>
        <item m="1" x="2"/>
        <item x="0"/>
        <item m="1" x="3"/>
        <item t="default"/>
      </items>
    </pivotField>
    <pivotField showAll="0"/>
    <pivotField showAll="0"/>
    <pivotField axis="axisRow" showAll="0">
      <items count="50">
        <item x="0"/>
        <item x="2"/>
        <item x="1"/>
        <item x="3"/>
        <item x="4"/>
        <item x="5"/>
        <item x="6"/>
        <item x="7"/>
        <item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9"/>
        <item m="1" x="34"/>
        <item m="1" x="35"/>
        <item m="1" x="36"/>
        <item m="1" x="37"/>
        <item m="1" x="38"/>
        <item m="1" x="40"/>
        <item m="1" x="41"/>
        <item m="1" x="42"/>
        <item m="1" x="43"/>
        <item m="1" x="44"/>
        <item m="1" x="45"/>
        <item m="1" x="46"/>
        <item m="1" x="47"/>
        <item m="1" x="48"/>
        <item t="default"/>
      </items>
    </pivotField>
    <pivotField showAll="0"/>
    <pivotField numFmtId="164" showAll="0"/>
    <pivotField numFmtId="165" showAll="0"/>
    <pivotField numFmtId="2" showAll="0"/>
    <pivotField showAll="0">
      <items count="3">
        <item x="1"/>
        <item x="0"/>
        <item t="default"/>
      </items>
    </pivotField>
    <pivotField numFmtId="165" showAll="0"/>
    <pivotField dataField="1" numFmtId="2" showAll="0"/>
    <pivotField showAll="0"/>
    <pivotField numFmtId="165" showAll="0"/>
    <pivotField numFmtId="2" showAll="0"/>
    <pivotField numFmtId="165" showAll="0"/>
    <pivotField showAll="0"/>
    <pivotField numFmtId="2" showAll="0"/>
    <pivotField numFmtId="165" showAll="0"/>
    <pivotField numFmtId="2" showAll="0"/>
    <pivotField showAll="0">
      <items count="3">
        <item x="1"/>
        <item x="0"/>
        <item t="default"/>
      </items>
    </pivotField>
    <pivotField showAll="0"/>
    <pivotField numFmtId="168" showAll="0"/>
    <pivotField showAll="0"/>
    <pivotField showAll="0"/>
    <pivotField showAll="0"/>
    <pivotField showAll="0"/>
    <pivotField showAll="0"/>
    <pivotField showAll="0"/>
    <pivotField numFmtId="166"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6">
    <i>
      <x v="4"/>
    </i>
    <i>
      <x v="5"/>
    </i>
    <i>
      <x v="6"/>
    </i>
    <i>
      <x v="7"/>
    </i>
    <i>
      <x v="8"/>
    </i>
    <i t="grand">
      <x/>
    </i>
  </rowItems>
  <colItems count="1">
    <i/>
  </colItems>
  <dataFields count="1">
    <dataField name="Average of DEL. AVAILABLE A SLOT 2" fld="24" subtotal="average" baseField="0" baseItem="0" numFmtId="2"/>
  </dataFields>
  <formats count="6">
    <format dxfId="121">
      <pivotArea type="all" dataOnly="0" outline="0" fieldPosition="0"/>
    </format>
    <format dxfId="120">
      <pivotArea outline="0" collapsedLevelsAreSubtotals="1" fieldPosition="0"/>
    </format>
    <format dxfId="119">
      <pivotArea field="17" type="button" dataOnly="0" labelOnly="1" outline="0" axis="axisRow" fieldPosition="0"/>
    </format>
    <format dxfId="118">
      <pivotArea dataOnly="0" labelOnly="1" fieldPosition="0">
        <references count="1">
          <reference field="17" count="0"/>
        </references>
      </pivotArea>
    </format>
    <format dxfId="117">
      <pivotArea dataOnly="0" labelOnly="1" grandRow="1" outline="0" fieldPosition="0"/>
    </format>
    <format dxfId="116">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dateBetween" evalOrder="-1" id="35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ILITY___48H" xr10:uid="{2ED7A5B6-120D-48EB-9C31-439EB8F2DCED}" sourceName="AVAILABILITY  -48H">
  <pivotTables>
    <pivotTable tabId="15" name="NUMBER OF CNTS"/>
    <pivotTable tabId="15" name="AVAILABILITY TO SLOT"/>
    <pivotTable tabId="15" name="ETA TO AVAILABILITY"/>
    <pivotTable tabId="15" name="Transport Cost AVG"/>
    <pivotTable tabId="15" name="WT COSTS"/>
    <pivotTable tabId="15" name="% transport mode"/>
    <pivotTable tabId="15" name="% AVAILABLE -48h"/>
    <pivotTable tabId="15" name="% delivered -48h"/>
    <pivotTable tabId="15" name="ATA TO UNLOADING"/>
    <pivotTable tabId="15" name="AVG HAULER DELAY"/>
    <pivotTable tabId="15" name="% DELIVERIES WEEK AND WEEKEND"/>
    <pivotTable tabId="15" name="% cnts puntuales"/>
    <pivotTable tabId="15" name="CARRIER % SHARE"/>
    <pivotTable tabId="15" name="EXTRA STOPS AND GOH CLEANINGS"/>
  </pivotTables>
  <data>
    <tabular pivotCacheId="355593818">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ULER" xr10:uid="{CB917B16-83F6-48DE-A3DF-87144F76F682}" sourceName="HAULER">
  <pivotTables>
    <pivotTable tabId="15" name="NUMBER OF CNTS"/>
    <pivotTable tabId="15" name="AVAILABILITY TO SLOT"/>
    <pivotTable tabId="15" name="ETA TO AVAILABILITY"/>
    <pivotTable tabId="15" name="Transport Cost AVG"/>
    <pivotTable tabId="15" name="WT COSTS"/>
    <pivotTable tabId="15" name="% AVAILABLE -48h"/>
    <pivotTable tabId="15" name="% transport mode"/>
    <pivotTable tabId="15" name="% delivered -48h"/>
    <pivotTable tabId="15" name="ATA TO UNLOADING"/>
    <pivotTable tabId="15" name="AVG HAULER DELAY"/>
    <pivotTable tabId="15" name="% DELIVERIES WEEK AND WEEKEND"/>
    <pivotTable tabId="15" name="% cnts puntuales"/>
    <pivotTable tabId="15" name="CARRIER % SHARE"/>
    <pivotTable tabId="15" name="EXTRA STOPS AND GOH CLEANINGS"/>
  </pivotTables>
  <data>
    <tabular pivotCacheId="355593818">
      <items count="16">
        <i x="6" s="1"/>
        <i x="1" s="1"/>
        <i x="2" s="1"/>
        <i x="3" s="1"/>
        <i x="4" s="1"/>
        <i x="5" s="1"/>
        <i x="0" s="1" nd="1"/>
        <i x="9" s="1" nd="1"/>
        <i x="13" s="1" nd="1"/>
        <i x="10" s="1" nd="1"/>
        <i x="8" s="1" nd="1"/>
        <i x="14" s="1" nd="1"/>
        <i x="11" s="1" nd="1"/>
        <i x="12" s="1" nd="1"/>
        <i x="7" s="1" nd="1"/>
        <i x="1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PORT_MODE" xr10:uid="{AC263D40-A7BB-45D3-836A-71CD44A6544B}" sourceName="TRANSPORT MODE">
  <pivotTables>
    <pivotTable tabId="15" name="NUMBER OF CNTS"/>
    <pivotTable tabId="15" name="AVAILABILITY TO SLOT"/>
    <pivotTable tabId="15" name="ETA TO AVAILABILITY"/>
    <pivotTable tabId="15" name="Transport Cost AVG"/>
    <pivotTable tabId="15" name="WT COSTS"/>
    <pivotTable tabId="15" name="% AVAILABLE -48h"/>
    <pivotTable tabId="15" name="% transport mode"/>
    <pivotTable tabId="15" name="% delivered -48h"/>
    <pivotTable tabId="15" name="ATA TO UNLOADING"/>
    <pivotTable tabId="15" name="AVG HAULER DELAY"/>
    <pivotTable tabId="15" name="% DELIVERIES WEEK AND WEEKEND"/>
    <pivotTable tabId="15" name="% cnts puntuales"/>
    <pivotTable tabId="15" name="CARRIER % SHARE"/>
    <pivotTable tabId="15" name="EXTRA STOPS AND GOH CLEANINGS"/>
  </pivotTables>
  <data>
    <tabular pivotCacheId="355593818">
      <items count="4">
        <i x="0" s="1"/>
        <i x="1" s="1" nd="1"/>
        <i x="2"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ED_IN__48H" xr10:uid="{0C69C5D4-8D0E-4B1C-A26B-02B8BEBAA20C}" sourceName="DELIVERED IN -48H">
  <pivotTables>
    <pivotTable tabId="15" name="NUMBER OF CNTS"/>
    <pivotTable tabId="15" name="AVAILABILITY TO SLOT"/>
    <pivotTable tabId="15" name="ETA TO AVAILABILITY"/>
    <pivotTable tabId="15" name="Transport Cost AVG"/>
    <pivotTable tabId="15" name="WT COSTS"/>
    <pivotTable tabId="15" name="% AVAILABLE -48h"/>
    <pivotTable tabId="15" name="% transport mode"/>
    <pivotTable tabId="15" name="% delivered -48h"/>
    <pivotTable tabId="15" name="ATA TO UNLOADING"/>
    <pivotTable tabId="15" name="AVG HAULER DELAY"/>
    <pivotTable tabId="15" name="% DELIVERIES WEEK AND WEEKEND"/>
    <pivotTable tabId="15" name="% cnts puntuales"/>
    <pivotTable tabId="15" name="CARRIER % SHARE"/>
    <pivotTable tabId="15" name="EXTRA STOPS AND GOH CLEANINGS"/>
  </pivotTables>
  <data>
    <tabular pivotCacheId="355593818">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RMINAL" xr10:uid="{C785DA1F-9032-4068-88C6-69207B1C4CC3}" sourceName="TERMINAL">
  <pivotTables>
    <pivotTable tabId="15" name="ETA TO AVAILABILITY"/>
    <pivotTable tabId="15" name="% delivered -48h"/>
    <pivotTable tabId="15" name="% AVAILABLE -48h"/>
    <pivotTable tabId="15" name="% transport mode"/>
    <pivotTable tabId="15" name="AVAILABILITY TO SLOT"/>
    <pivotTable tabId="15" name="ATA TO UNLOADING"/>
    <pivotTable tabId="15" name="AVG HAULER DELAY"/>
    <pivotTable tabId="15" name="NUMBER OF CNTS"/>
    <pivotTable tabId="15" name="Transport Cost AVG"/>
    <pivotTable tabId="15" name="WT COSTS"/>
    <pivotTable tabId="15" name="% DELIVERIES WEEK AND WEEKEND"/>
    <pivotTable tabId="15" name="% cnts puntuales"/>
    <pivotTable tabId="15" name="CARRIER % SHARE"/>
    <pivotTable tabId="15" name="EXTRA STOPS AND GOH CLEANINGS"/>
  </pivotTables>
  <data>
    <tabular pivotCacheId="355593818">
      <items count="7">
        <i x="3" s="1"/>
        <i x="0" s="1"/>
        <i x="2" s="1"/>
        <i x="1" s="1"/>
        <i x="4" s="1" nd="1"/>
        <i x="6" s="1" nd="1"/>
        <i x="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VAILABLE -48H" xr10:uid="{23AA4D2A-9F2B-43E9-A042-8DBF826462C5}" cache="Slicer_AVAILABILITY___48H" caption="AVAILABLE -48H" rowHeight="225425"/>
  <slicer name="HAULER" xr10:uid="{AF360137-F2C2-4DBE-9686-A032BB9EFB1C}" cache="Slicer_HAULER" caption="HAULER" rowHeight="225425"/>
  <slicer name="TRANSPORT MODE" xr10:uid="{0A5CBEC3-DEC6-4A06-BB31-F38AC28E70DE}" cache="Slicer_TRANSPORT_MODE" caption="TRANSPORT MODE" rowHeight="225425"/>
  <slicer name="DELIVERED IN -48H" xr10:uid="{270D3F57-2354-4AD2-9BE4-D8F1DE184B3B}" cache="Slicer_DELIVERED_IN__48H" caption="DELIVERED -48H" rowHeight="225425"/>
  <slicer name="TERMINAL" xr10:uid="{B1A19E45-569D-46E6-8FA5-B363DBF7DD02}" cache="Slicer_TERMINAL" caption="TERMINAL"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04287F-2692-4C63-A623-C364BBAFC64D}" name="Table2" displayName="Table2" ref="A1:BC455" totalsRowShown="0" tableBorderDxfId="177">
  <autoFilter ref="A1:BC455" xr:uid="{1504287F-2692-4C63-A623-C364BBAFC64D}"/>
  <tableColumns count="55">
    <tableColumn id="1" xr3:uid="{F20F5DEC-9335-4275-B5C6-FA9B61C8135D}" name="VESSEL" dataDxfId="176"/>
    <tableColumn id="2" xr3:uid="{4209CEE9-E454-4941-B284-25817C622449}" name="TERMINAL" dataDxfId="175"/>
    <tableColumn id="3" xr3:uid="{BB5DF9DA-B335-4C94-827E-8539FA388C4D}" name="ATA" dataDxfId="174"/>
    <tableColumn id="4" xr3:uid="{8CA1682C-A373-435A-8E67-A1D290F27C67}" name="ETA" dataDxfId="173"/>
    <tableColumn id="5" xr3:uid="{DABEFB0F-2F5F-400D-B7F8-E30593122E8A}" name="HAULER" dataDxfId="172"/>
    <tableColumn id="54" xr3:uid="{C91D74C0-3218-46D5-A173-7A494C7B957E}" name="MASTER BL" dataDxfId="171"/>
    <tableColumn id="6" xr3:uid="{A685F3BB-0934-4CB9-B4D5-FE2ED35A77FF}" name="CARRIER" dataDxfId="170"/>
    <tableColumn id="55" xr3:uid="{337DAE05-C1CD-4B45-BEA1-65DE5FA71F1B}" name="PUERTO ORIGEN" dataDxfId="169"/>
    <tableColumn id="7" xr3:uid="{87623DC6-B440-45FE-B1AA-C519971FA16F}" name="CONTAINER" dataDxfId="168"/>
    <tableColumn id="8" xr3:uid="{96F82F37-872A-4FC1-ADC1-4C0B8EA25147}" name="WAREHOUSE" dataDxfId="167"/>
    <tableColumn id="9" xr3:uid="{2E2AD7F5-665D-40F6-AF7E-B5C3DADCEF75}" name="DELIVERY AVAILABLE SINCE" dataDxfId="166"/>
    <tableColumn id="10" xr3:uid="{ADA8D34A-40A0-4BFC-9722-3BF3B267C353}" name="TRUCK SHOW UP" dataDxfId="165"/>
    <tableColumn id="11" xr3:uid="{8E353229-E22F-4259-B21C-DF957133327E}" name="TIMESLOT" dataDxfId="164"/>
    <tableColumn id="12" xr3:uid="{AC04EFB0-8E49-4D92-B89F-FBDBDBA804E9}" name="DC start date" dataDxfId="163"/>
    <tableColumn id="13" xr3:uid="{DCE533F8-FE09-4B37-8E7D-60AF6C712158}" name="TRANSPORT MODE" dataDxfId="162"/>
    <tableColumn id="14" xr3:uid="{6B8C8DDE-56D3-4289-8581-1F3481D28670}" name="CLEANING" dataDxfId="161"/>
    <tableColumn id="15" xr3:uid="{A6350DA9-487C-41E7-9BF7-BA4EE5D1169A}" name="EXTRA STOP" dataDxfId="160"/>
    <tableColumn id="16" xr3:uid="{DAFCF769-9EE3-4923-905E-33B5541692E5}" name="WEEK" dataDxfId="159">
      <calculatedColumnFormula>IF(M2="","",WEEKNUM(T2,2))</calculatedColumnFormula>
    </tableColumn>
    <tableColumn id="17" xr3:uid="{F4172E5F-37E9-4B7A-9A2A-F6E5D0E15DE6}" name="MONTH" dataDxfId="158">
      <calculatedColumnFormula>IF(M2="","",MONTH(T2))</calculatedColumnFormula>
    </tableColumn>
    <tableColumn id="18" xr3:uid="{A1EED98B-9FC1-4124-8494-EB9EA56E0474}" name="HORA DE LLEGADA CONT" dataDxfId="157">
      <calculatedColumnFormula>IF(ISBLANK(L2),IF(ISBLANK(N2),"00:00",N2),L2)</calculatedColumnFormula>
    </tableColumn>
    <tableColumn id="19" xr3:uid="{05BA88AE-D328-4B96-A5F9-AF7B7B9D9585}" name="ATA A OFRECIMIENTO" dataDxfId="156">
      <calculatedColumnFormula>(K2-C2)</calculatedColumnFormula>
    </tableColumn>
    <tableColumn id="48" xr3:uid="{580DF50E-DDBF-49E7-B8EE-87DE846D5AA0}" name="ATA A OFRECIMIENTO 2" dataDxfId="155">
      <calculatedColumnFormula>Table2[[#This Row],[ATA A OFRECIMIENTO]]*24</calculatedColumnFormula>
    </tableColumn>
    <tableColumn id="20" xr3:uid="{CF9445EE-3E5A-4CC8-913A-D574B18DEA21}" name="AVAILABILITY  -48H" dataDxfId="154">
      <calculatedColumnFormula>IF(U2="","",IF(U2&lt;=2,"YES","NO"))</calculatedColumnFormula>
    </tableColumn>
    <tableColumn id="21" xr3:uid="{C427476F-FAD0-4596-9F28-E1EB1E9AC125}" name="DEL. AVAILABLE A SLOT" dataDxfId="153">
      <calculatedColumnFormula>(M2-K2)</calculatedColumnFormula>
    </tableColumn>
    <tableColumn id="49" xr3:uid="{C2867B2F-6FF8-4F92-ABAE-3AB7E17B64D6}" name="DEL. AVAILABLE A SLOT 2" dataDxfId="152">
      <calculatedColumnFormula>Table2[[#This Row],[DEL. AVAILABLE A SLOT]]*24</calculatedColumnFormula>
    </tableColumn>
    <tableColumn id="22" xr3:uid="{A87F151F-7287-41AA-9C89-5B898E13E7BE}" name="TIMESLOT MENOS DE 24H " dataDxfId="151">
      <calculatedColumnFormula>IF(X2="","",IF(X2&lt;=1,"SI","NO"))</calculatedColumnFormula>
    </tableColumn>
    <tableColumn id="23" xr3:uid="{6900C550-AF6A-4798-9819-7963C76EDA61}" name="ATA A TIMESLOT" dataDxfId="150">
      <calculatedColumnFormula>(M2-C2)</calculatedColumnFormula>
    </tableColumn>
    <tableColumn id="50" xr3:uid="{84EDC237-B1CB-4B17-BCAF-ABFEACE7C1C0}" name="ATA A TIMESLOT 2" dataDxfId="149">
      <calculatedColumnFormula>Table2[[#This Row],[ATA A TIMESLOT]]*24</calculatedColumnFormula>
    </tableColumn>
    <tableColumn id="24" xr3:uid="{5C2FC324-C2F9-4970-BDEA-A64CD10013C1}" name="PUNTUALIDAD (H)" dataDxfId="148">
      <calculatedColumnFormula>IF(T2&lt; M2, TIME(0,0,0), T2-M2)</calculatedColumnFormula>
    </tableColumn>
    <tableColumn id="25" xr3:uid="{00740E80-3626-455C-86FB-40390A05E15B}" name="PUNTUALIDAD 2" dataDxfId="147">
      <calculatedColumnFormula>IF(AC2&gt;TIME(0,40,0),"NO","SI")</calculatedColumnFormula>
    </tableColumn>
    <tableColumn id="51" xr3:uid="{7FC8E4A0-DAC7-444D-85C4-83D05F2621E6}" name="PUNTUALIDAD 3" dataDxfId="146">
      <calculatedColumnFormula>Table2[[#This Row],[PUNTUALIDAD (H)]]*24</calculatedColumnFormula>
    </tableColumn>
    <tableColumn id="26" xr3:uid="{4374C282-E635-4EE7-9957-79E20D501ECC}" name="ATA TO UNLOADING" dataDxfId="145">
      <calculatedColumnFormula>(N2-C2)</calculatedColumnFormula>
    </tableColumn>
    <tableColumn id="52" xr3:uid="{EA523154-472C-49CC-B943-050EFD15CAC7}" name="ATA TO UNLOADING 2" dataDxfId="144">
      <calculatedColumnFormula>Table2[[#This Row],[ATA TO UNLOADING]]*24</calculatedColumnFormula>
    </tableColumn>
    <tableColumn id="53" xr3:uid="{0B14CD97-48BC-4DB5-8B20-0DA943E7170E}" name="DELIVERED IN -48H" dataDxfId="143">
      <calculatedColumnFormula>IF(Table2[[#This Row],[ATA TO UNLOADING 2]]&lt;=48,"YES","NO")</calculatedColumnFormula>
    </tableColumn>
    <tableColumn id="27" xr3:uid="{B29598BA-82FD-4205-B3CB-41801ABC249F}" name="COMMENTS FOR LATE DELIVERY AND FOR DELAYS" dataDxfId="142"/>
    <tableColumn id="28" xr3:uid="{6175A05D-4303-4D2C-9DD9-D70102CE61F8}" name="HOUR" dataDxfId="141">
      <calculatedColumnFormula>MOD(M2,1)</calculatedColumnFormula>
    </tableColumn>
    <tableColumn id="29" xr3:uid="{1F1DC960-F9F1-4774-9543-8B017E355707}" name="NIGHT" dataDxfId="140"/>
    <tableColumn id="30" xr3:uid="{006CF495-6CAC-4C23-91FD-58367DD0EFA7}" name="WEEK2" dataDxfId="139">
      <calculatedColumnFormula>IF(M2="","",_xlfn.ISOWEEKNUM(M2)&amp;"/"&amp;RIGHT(YEAR(M2),2))</calculatedColumnFormula>
    </tableColumn>
    <tableColumn id="31" xr3:uid="{33F62D77-7F48-4A51-AF2C-D951880181F0}" name="CONTAINER4" dataDxfId="138">
      <calculatedColumnFormula>I2</calculatedColumnFormula>
    </tableColumn>
    <tableColumn id="32" xr3:uid="{D719741E-24EE-4138-9E84-2255449FCE72}" name="VENDOR" dataDxfId="137">
      <calculatedColumnFormula>E2</calculatedColumnFormula>
    </tableColumn>
    <tableColumn id="33" xr3:uid="{D276CB65-584E-431C-9F03-8B080160C67C}" name="COST" dataDxfId="136">
      <calculatedColumnFormula>IF($O2="TRUCK",
VLOOKUP($AU2,Invoicing!$A$16:$B$56,MATCH($AO$1,Invoicing!$A$16:$B$16,0),FALSE)+IF(OR($B2="DCD",$B2="HPD2"),23.5,0),
VLOOKUP($AU2,Invoicing!$N$15:$O$19,MATCH($AO$1,Invoicing!$N$15:$O$15,0),FALSE)+IF(OR($B2="DCD",$B2="HPD2"),23.5,0))</calculatedColumnFormula>
    </tableColumn>
    <tableColumn id="34" xr3:uid="{11E1703B-F9C8-4E00-9E79-C4F4AA3AB851}" name="CLEANING5" dataDxfId="135">
      <calculatedColumnFormula>VLOOKUP($E2,Invoicing!$A$1:$H$12,MATCH(TRACKER!$P2,Invoicing!$A$1:$H$1,0),FALSE)</calculatedColumnFormula>
    </tableColumn>
    <tableColumn id="35" xr3:uid="{0A670E6E-ABD0-4E84-A8A0-3C196BA5049F}" name="E.S. COST" dataDxfId="134">
      <calculatedColumnFormula>VLOOKUP($E2,Invoicing!$A$1:$H$12,MATCH(TRACKER!$Q$1,Invoicing!$A$1:$H$1,0),FALSE)</calculatedColumnFormula>
    </tableColumn>
    <tableColumn id="36" xr3:uid="{A5C32D6A-C6CE-42A4-9EE2-4B330528AE35}" name="EXTRA STOP TOTAL" dataDxfId="133">
      <calculatedColumnFormula>IF($Q2&lt;&gt;0,$Q2*$AQ2,0)</calculatedColumnFormula>
    </tableColumn>
    <tableColumn id="37" xr3:uid="{824DC631-EB31-4986-9A4F-56DFD5B90D2F}" name="WEEKDAY" dataDxfId="132">
      <calculatedColumnFormula>WEEKDAY(M2,2)</calculatedColumnFormula>
    </tableColumn>
    <tableColumn id="38" xr3:uid="{0EA932E1-C4CE-4DD1-A491-8F8B2E402FD1}" name="DELIVERED AT" dataDxfId="131">
      <calculatedColumnFormula>IF(AK2="NIGHT","NIGHT",IF(AS2&lt;=5,"WEEK",IF(AS2=7,"SUNDAY",IF(AS2=6,"SATURDAY","SUNDAY"))))</calculatedColumnFormula>
    </tableColumn>
    <tableColumn id="39" xr3:uid="{2C764644-DC27-407D-ACB8-55F76B47C37D}" name="VENDOR+BASECOST" dataDxfId="130">
      <calculatedColumnFormula>AN2&amp;AT2</calculatedColumnFormula>
    </tableColumn>
    <tableColumn id="40" xr3:uid="{5F7A9033-E70E-4BD5-87C7-5841904CBD73}" name="TOTAL COST" dataDxfId="129">
      <calculatedColumnFormula>IF(ISNA(AP2),AO2+AR2,SUM($AO2,$AR2,IFERROR($AP2,"0")))</calculatedColumnFormula>
    </tableColumn>
    <tableColumn id="41" xr3:uid="{69F4ED0F-64C1-4C81-976F-B3501426688D}" name="ADMIN FEE" dataDxfId="128">
      <calculatedColumnFormula>VLOOKUP(AN2,Invoicing!A:K,11,FALSE)</calculatedColumnFormula>
    </tableColumn>
    <tableColumn id="45" xr3:uid="{D4D6AB5C-8C91-4541-92F1-6F711B5BEACC}" name="WAITING TIMES" dataDxfId="127"/>
    <tableColumn id="46" xr3:uid="{B74F75E2-917C-4402-9CCF-1BC3DC9862F8}" name="WAITING TIMES (HOURS)" dataDxfId="126"/>
    <tableColumn id="42" xr3:uid="{2FE26F87-C086-48BA-879C-C25FD7C170F8}" name="TOTAL SELL" dataDxfId="125">
      <calculatedColumnFormula>AV2+AW2</calculatedColumnFormula>
    </tableColumn>
    <tableColumn id="43" xr3:uid="{79A8F3E9-F3F1-4C12-9DCB-E9304B7265F8}" name="MANAGEMENT FEE" dataDxfId="124">
      <calculatedColumnFormula>VLOOKUP(AN2,Invoicing!A:J,10,FALSE)</calculatedColumnFormula>
    </tableColumn>
    <tableColumn id="44" xr3:uid="{A15ADB21-868F-4FFD-A5C5-AF1DF495EC2A}" name="ALTIA" dataDxfId="123">
      <calculatedColumnFormula>VLOOKUP(AN2,Invoicing!A:L,12,FALSE)</calculatedColumnFormula>
    </tableColumn>
    <tableColumn id="47" xr3:uid="{FFE53927-A069-42E7-B3B4-65739909B186}" name="ESTIMATION COMPLETED ON" dataDxfId="1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59CAC4-68E3-49C2-9338-C85CF482DEE1}" name="Table3" displayName="Table3" ref="AV1:AY73" totalsRowShown="0" headerRowDxfId="16">
  <autoFilter ref="AV1:AY73" xr:uid="{1759CAC4-68E3-49C2-9338-C85CF482DEE1}"/>
  <sortState xmlns:xlrd2="http://schemas.microsoft.com/office/spreadsheetml/2017/richdata2" ref="AV2:AY65">
    <sortCondition ref="AV2:AV65"/>
    <sortCondition ref="AW2:AW65"/>
    <sortCondition ref="AY2:AY65"/>
  </sortState>
  <tableColumns count="4">
    <tableColumn id="1" xr3:uid="{AF5B2D42-19E8-405A-946F-C36CEAA2AEC9}" name="YEAR" dataDxfId="15"/>
    <tableColumn id="2" xr3:uid="{B21E210A-4911-49A2-B918-03C8D324C51D}" name="MONTH"/>
    <tableColumn id="3" xr3:uid="{6C1A63F6-7117-40F1-BA88-C2DE441B2F13}" name="CNTR"/>
    <tableColumn id="4" xr3:uid="{6C8FD988-F7C8-4E79-BC5E-177A81EAEA90}" name="TIPO DA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D84AEF-58F5-4095-8E83-D9F6AA3B7A75}" name="RatesTruck" displayName="RatesTruck" ref="A1:L11" totalsRowShown="0" headerRowDxfId="14" headerRowBorderDxfId="13" tableBorderDxfId="12" totalsRowBorderDxfId="11">
  <autoFilter ref="A1:L11" xr:uid="{A8D84AEF-58F5-4095-8E83-D9F6AA3B7A75}"/>
  <tableColumns count="12">
    <tableColumn id="1" xr3:uid="{8BACDABA-D527-4966-BDBB-0214D48FF267}" name="VENDOR"/>
    <tableColumn id="2" xr3:uid="{AA109F8B-5D91-42DF-84E4-85110402FA0F}" name="BARGE"/>
    <tableColumn id="3" xr3:uid="{86A1833C-FD3B-4D36-82C7-9A38F18B89F9}" name="WEEK"/>
    <tableColumn id="4" xr3:uid="{ADB10CFF-D7E4-4152-865F-07BBE2046D19}" name="NIGHT"/>
    <tableColumn id="5" xr3:uid="{B8E92206-8198-4ADF-A850-75736BDE11FE}" name="SATURDAY"/>
    <tableColumn id="6" xr3:uid="{515057BE-8CBA-403F-9F89-EA2775AB5A55}" name="SUNDAY"/>
    <tableColumn id="7" xr3:uid="{6836819C-8C82-4937-9D5C-94D1143B7B1B}" name="EXTRA STOP"/>
    <tableColumn id="8" xr3:uid="{F162AF3B-0258-429F-9841-0935A3F4619C}" name="CLEANING"/>
    <tableColumn id="9" xr3:uid="{09508F8E-30C4-4495-A02C-55864951F2D3}" name="EXTRA HOUR"/>
    <tableColumn id="10" xr3:uid="{6A4EF5DB-268E-4D35-BA4A-F6632486D3EA}" name="MAERSK ADMIN FEE"/>
    <tableColumn id="11" xr3:uid="{D2CFD300-F5AE-4789-ACBF-C4F18A7B545B}" name="MANAGEMENT FEE"/>
    <tableColumn id="12" xr3:uid="{691FB588-70D2-4468-A803-E34652A32EA6}" name="ALTI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FDCAB80-965E-4FB5-A765-0A82797AB8FA}" name="RatesBarge" displayName="RatesBarge" ref="N1:V3" totalsRowShown="0" headerRowDxfId="10" dataDxfId="9" tableBorderDxfId="8">
  <autoFilter ref="N1:V3" xr:uid="{4FDCAB80-965E-4FB5-A765-0A82797AB8FA}"/>
  <tableColumns count="9">
    <tableColumn id="1" xr3:uid="{3E574D2C-A0C6-4253-9126-30F04BAD0159}" name="VENDOR RATES SUMMARISED"/>
    <tableColumn id="2" xr3:uid="{0F60E449-FBE7-4961-87C2-602EAD00C5A2}" name="BARGE" dataDxfId="7"/>
    <tableColumn id="3" xr3:uid="{B0D0CA9D-02DB-475B-9F63-9CD1FD093BB9}" name="WEEK" dataDxfId="6"/>
    <tableColumn id="4" xr3:uid="{B3A3D35E-2FA4-4A99-9189-71EF60C0DF68}" name="NIGHT" dataDxfId="5"/>
    <tableColumn id="5" xr3:uid="{BD0D25DD-56D6-45B0-A63D-C8DEA170F5E0}" name="SATURDAY" dataDxfId="4"/>
    <tableColumn id="6" xr3:uid="{7AED6F84-7C6B-4C07-9A92-E28AAA102C02}" name="SUNDAY" dataDxfId="3"/>
    <tableColumn id="7" xr3:uid="{005A8EAC-4280-4847-A4AB-D50A23B9BD1B}" name="EXTRA STOP" dataDxfId="2"/>
    <tableColumn id="8" xr3:uid="{9D324D4A-951D-4209-A660-3D873F5E5F13}" name="CLEANING" dataDxfId="1"/>
    <tableColumn id="9" xr3:uid="{7E9C9641-39F4-420D-8871-DA0E689C4966}" name="EXTRA HOUR"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RUCK_SHOW_UP" xr10:uid="{462B1BB4-EF71-41FE-9CE4-1BE366D8C07D}" sourceName="TRUCK SHOW UP">
  <pivotTables>
    <pivotTable tabId="15" name="AVAILABILITY TO SLOT"/>
    <pivotTable tabId="15" name="% delivered -48h"/>
    <pivotTable tabId="15" name="% AVAILABLE -48h"/>
    <pivotTable tabId="15" name="% transport mode"/>
    <pivotTable tabId="15" name="ATA TO UNLOADING"/>
    <pivotTable tabId="15" name="AVG HAULER DELAY"/>
    <pivotTable tabId="15" name="CARRIER % SHARE"/>
    <pivotTable tabId="15" name="ETA TO AVAILABILITY"/>
    <pivotTable tabId="15" name="NUMBER OF CNTS"/>
    <pivotTable tabId="15" name="% DELIVERIES WEEK AND WEEKEND"/>
    <pivotTable tabId="15" name="EXTRA STOPS AND GOH CLEANINGS"/>
    <pivotTable tabId="15" name="Transport Cost AVG"/>
    <pivotTable tabId="15" name="WT COSTS"/>
    <pivotTable tabId="15" name="% cnts puntuales"/>
  </pivotTables>
  <state minimalRefreshVersion="6" lastRefreshVersion="6" pivotCacheId="355593818" filterType="dateBetween">
    <selection startDate="2026-02-01T00:00:00" endDate="2026-02-28T00:00:00"/>
    <bounds startDate="2026-01-01T07:40:00" endDate="2027-01-01T18:29: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UCK SHOW UP" xr10:uid="{C705AE25-1800-4CDC-A348-F85C03FD0734}" cache="NativeTimeline_TRUCK_SHOW_UP" caption="TRUCK SHOW UP" level="2" selectionLevel="2" scrollPosition="2026-01-01T00:00:00"/>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table" Target="../tables/table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79998168889431442"/>
  </sheetPr>
  <dimension ref="A1:BC455"/>
  <sheetViews>
    <sheetView zoomScaleNormal="100" workbookViewId="0">
      <pane ySplit="1" topLeftCell="A420" activePane="bottomLeft" state="frozen"/>
      <selection pane="bottomLeft" activeCell="L455" activeCellId="1" sqref="N455 L455"/>
    </sheetView>
  </sheetViews>
  <sheetFormatPr defaultColWidth="35.42578125" defaultRowHeight="12.75"/>
  <cols>
    <col min="1" max="1" width="28.7109375" style="2" bestFit="1" customWidth="1"/>
    <col min="2" max="2" width="15.42578125" style="2" bestFit="1" customWidth="1"/>
    <col min="3" max="3" width="18.140625" style="2" bestFit="1" customWidth="1"/>
    <col min="4" max="4" width="14.140625" style="2" bestFit="1" customWidth="1"/>
    <col min="5" max="5" width="22" style="2" bestFit="1" customWidth="1"/>
    <col min="6" max="6" width="21.28515625" style="2" bestFit="1" customWidth="1"/>
    <col min="7" max="7" width="14.28515625" style="2" bestFit="1" customWidth="1"/>
    <col min="8" max="8" width="30.28515625" style="2" bestFit="1" customWidth="1"/>
    <col min="9" max="9" width="16.7109375" style="2" bestFit="1" customWidth="1"/>
    <col min="10" max="10" width="22.85546875" style="2" bestFit="1" customWidth="1"/>
    <col min="11" max="11" width="32.28515625" style="2" bestFit="1" customWidth="1"/>
    <col min="12" max="12" width="21.85546875" style="2" bestFit="1" customWidth="1"/>
    <col min="13" max="13" width="15" style="2" customWidth="1"/>
    <col min="14" max="14" width="17.85546875" style="2" customWidth="1"/>
    <col min="15" max="15" width="23.42578125" style="2" customWidth="1"/>
    <col min="16" max="16" width="15.28515625" style="9" customWidth="1"/>
    <col min="17" max="17" width="17.7109375" style="2" customWidth="1"/>
    <col min="18" max="19" width="13.42578125" style="2" customWidth="1"/>
    <col min="20" max="20" width="29.28515625" style="2" customWidth="1"/>
    <col min="21" max="21" width="26" style="2" customWidth="1"/>
    <col min="22" max="22" width="27.5703125" style="47" customWidth="1"/>
    <col min="23" max="23" width="23.5703125" style="2" customWidth="1"/>
    <col min="24" max="24" width="28.5703125" style="2" customWidth="1"/>
    <col min="25" max="25" width="30.28515625" style="47" customWidth="1"/>
    <col min="26" max="26" width="30.28515625" style="2" customWidth="1"/>
    <col min="27" max="27" width="21.28515625" style="2" customWidth="1"/>
    <col min="28" max="28" width="22.85546875" style="47" customWidth="1"/>
    <col min="29" max="29" width="22.140625" style="2" customWidth="1"/>
    <col min="30" max="30" width="20.7109375" style="2" customWidth="1"/>
    <col min="31" max="31" width="20.7109375" style="47" customWidth="1"/>
    <col min="32" max="32" width="24.28515625" style="2" customWidth="1"/>
    <col min="33" max="33" width="26" style="47" customWidth="1"/>
    <col min="34" max="34" width="23.140625" style="2" customWidth="1"/>
    <col min="35" max="35" width="65.85546875" style="2" customWidth="1"/>
    <col min="36" max="36" width="10.85546875" style="2" bestFit="1" customWidth="1"/>
    <col min="37" max="37" width="11.28515625" style="2" bestFit="1" customWidth="1"/>
    <col min="38" max="38" width="12" style="2" bestFit="1" customWidth="1"/>
    <col min="39" max="39" width="17.28515625" style="2" bestFit="1" customWidth="1"/>
    <col min="40" max="40" width="22" style="2" customWidth="1"/>
    <col min="41" max="41" width="12.28515625" style="2" customWidth="1"/>
    <col min="42" max="42" width="16" style="2" bestFit="1" customWidth="1"/>
    <col min="43" max="43" width="14.85546875" style="2" hidden="1" customWidth="1"/>
    <col min="44" max="44" width="24.42578125" style="2" bestFit="1" customWidth="1"/>
    <col min="45" max="45" width="14.7109375" style="2" hidden="1" customWidth="1"/>
    <col min="46" max="46" width="19" style="2" bestFit="1" customWidth="1"/>
    <col min="47" max="47" width="32.28515625" style="2" hidden="1" customWidth="1"/>
    <col min="48" max="49" width="19.42578125" style="48" customWidth="1"/>
    <col min="50" max="50" width="20.140625" style="48" bestFit="1" customWidth="1"/>
    <col min="51" max="51" width="57.7109375" style="2" customWidth="1"/>
    <col min="52" max="52" width="17" style="48" bestFit="1" customWidth="1"/>
    <col min="53" max="53" width="23" style="2" bestFit="1" customWidth="1"/>
    <col min="54" max="54" width="11" style="2" bestFit="1" customWidth="1"/>
    <col min="55" max="55" width="94.7109375" bestFit="1" customWidth="1"/>
    <col min="56" max="56" width="74.85546875" style="2" bestFit="1" customWidth="1"/>
    <col min="57" max="57" width="21.140625" style="2" bestFit="1" customWidth="1"/>
    <col min="58" max="58" width="15.5703125" style="2" bestFit="1" customWidth="1"/>
    <col min="59" max="59" width="16" style="2" bestFit="1" customWidth="1"/>
    <col min="60" max="71" width="7.5703125" style="2" bestFit="1" customWidth="1"/>
    <col min="72" max="105" width="8.5703125" style="2" bestFit="1" customWidth="1"/>
    <col min="106" max="106" width="12.28515625" style="2" bestFit="1" customWidth="1"/>
    <col min="107" max="16384" width="35.42578125" style="2"/>
  </cols>
  <sheetData>
    <row r="1" spans="1:55" s="1" customFormat="1">
      <c r="A1" s="6" t="s">
        <v>0</v>
      </c>
      <c r="B1" s="6" t="s">
        <v>1</v>
      </c>
      <c r="C1" s="6" t="s">
        <v>2</v>
      </c>
      <c r="D1" s="6" t="s">
        <v>3</v>
      </c>
      <c r="E1" s="6" t="s">
        <v>4</v>
      </c>
      <c r="F1" s="6" t="s">
        <v>5</v>
      </c>
      <c r="G1" s="6" t="s">
        <v>6</v>
      </c>
      <c r="H1" s="6" t="s">
        <v>7</v>
      </c>
      <c r="I1" s="6" t="s">
        <v>8</v>
      </c>
      <c r="J1" s="6" t="s">
        <v>9</v>
      </c>
      <c r="K1" s="6" t="s">
        <v>10</v>
      </c>
      <c r="L1" s="6" t="s">
        <v>11</v>
      </c>
      <c r="M1" s="152" t="s">
        <v>12</v>
      </c>
      <c r="N1" s="6" t="s">
        <v>13</v>
      </c>
      <c r="O1" s="6" t="s">
        <v>14</v>
      </c>
      <c r="P1" s="6" t="s">
        <v>15</v>
      </c>
      <c r="Q1" s="6" t="s">
        <v>16</v>
      </c>
      <c r="R1" s="52" t="s">
        <v>17</v>
      </c>
      <c r="S1" s="52" t="s">
        <v>18</v>
      </c>
      <c r="T1" s="52" t="s">
        <v>19</v>
      </c>
      <c r="U1" s="52" t="s">
        <v>20</v>
      </c>
      <c r="V1" s="53" t="s">
        <v>21</v>
      </c>
      <c r="W1" s="52" t="s">
        <v>22</v>
      </c>
      <c r="X1" s="52" t="s">
        <v>23</v>
      </c>
      <c r="Y1" s="53" t="s">
        <v>24</v>
      </c>
      <c r="Z1" s="52" t="s">
        <v>25</v>
      </c>
      <c r="AA1" s="52" t="s">
        <v>26</v>
      </c>
      <c r="AB1" s="53" t="s">
        <v>27</v>
      </c>
      <c r="AC1" s="52" t="s">
        <v>28</v>
      </c>
      <c r="AD1" s="52" t="s">
        <v>29</v>
      </c>
      <c r="AE1" s="54" t="s">
        <v>30</v>
      </c>
      <c r="AF1" s="54" t="s">
        <v>31</v>
      </c>
      <c r="AG1" s="51" t="s">
        <v>32</v>
      </c>
      <c r="AH1" s="43" t="s">
        <v>33</v>
      </c>
      <c r="AI1" s="8" t="s">
        <v>34</v>
      </c>
      <c r="AJ1" s="55" t="s">
        <v>35</v>
      </c>
      <c r="AK1" s="55" t="s">
        <v>36</v>
      </c>
      <c r="AL1" s="56" t="s">
        <v>37</v>
      </c>
      <c r="AM1" s="56" t="s">
        <v>38</v>
      </c>
      <c r="AN1" s="56" t="s">
        <v>39</v>
      </c>
      <c r="AO1" s="56" t="s">
        <v>40</v>
      </c>
      <c r="AP1" s="56" t="s">
        <v>41</v>
      </c>
      <c r="AQ1" s="56" t="s">
        <v>42</v>
      </c>
      <c r="AR1" s="56" t="s">
        <v>43</v>
      </c>
      <c r="AS1" s="57" t="s">
        <v>44</v>
      </c>
      <c r="AT1" s="56" t="s">
        <v>45</v>
      </c>
      <c r="AU1" s="56" t="s">
        <v>46</v>
      </c>
      <c r="AV1" s="58" t="s">
        <v>47</v>
      </c>
      <c r="AW1" s="58" t="s">
        <v>48</v>
      </c>
      <c r="AX1" s="58" t="s">
        <v>49</v>
      </c>
      <c r="AY1" s="58" t="s">
        <v>50</v>
      </c>
      <c r="AZ1" s="58" t="s">
        <v>51</v>
      </c>
      <c r="BA1" s="56" t="s">
        <v>52</v>
      </c>
      <c r="BB1" s="56" t="s">
        <v>53</v>
      </c>
      <c r="BC1" s="58" t="s">
        <v>54</v>
      </c>
    </row>
    <row r="2" spans="1:55">
      <c r="A2" s="38" t="s">
        <v>55</v>
      </c>
      <c r="B2" s="3" t="s">
        <v>56</v>
      </c>
      <c r="C2" s="11">
        <v>46020.486805555556</v>
      </c>
      <c r="D2" s="11">
        <v>46020.5</v>
      </c>
      <c r="E2" s="11" t="s">
        <v>57</v>
      </c>
      <c r="F2" s="11" t="s">
        <v>58</v>
      </c>
      <c r="G2" s="11" t="s">
        <v>59</v>
      </c>
      <c r="H2" s="11" t="s">
        <v>60</v>
      </c>
      <c r="I2" s="86" t="s">
        <v>61</v>
      </c>
      <c r="J2" s="86" t="s">
        <v>62</v>
      </c>
      <c r="K2" s="11">
        <v>46021.708333333336</v>
      </c>
      <c r="L2" s="12">
        <v>46024.447916666664</v>
      </c>
      <c r="M2" s="12">
        <v>46024.375</v>
      </c>
      <c r="N2" s="12">
        <v>46024.451388888891</v>
      </c>
      <c r="O2" s="12" t="s">
        <v>63</v>
      </c>
      <c r="P2" s="85" t="s">
        <v>64</v>
      </c>
      <c r="Q2" s="91">
        <v>0</v>
      </c>
      <c r="R2" s="1">
        <f t="shared" ref="R2:R65" si="0">IF(M2="","",WEEKNUM(T2,2))</f>
        <v>1</v>
      </c>
      <c r="S2" s="1">
        <f t="shared" ref="S2:S65" si="1">IF(M2="","",MONTH(T2))</f>
        <v>1</v>
      </c>
      <c r="T2" s="126">
        <f t="shared" ref="T2:T65" si="2">IF(ISBLANK(L2),IF(ISBLANK(N2),"00:00",N2),L2)</f>
        <v>46024.447916666664</v>
      </c>
      <c r="U2" s="127">
        <f t="shared" ref="U2:U65" si="3">(K2-C2)</f>
        <v>1.2215277777795563</v>
      </c>
      <c r="V2" s="128">
        <f>Table2[[#This Row],[ATA A OFRECIMIENTO]]*24</f>
        <v>29.316666666709352</v>
      </c>
      <c r="W2" s="1" t="str">
        <f t="shared" ref="W2:W65" si="4">IF(U2="","",IF(U2&lt;=2,"YES","NO"))</f>
        <v>YES</v>
      </c>
      <c r="X2" s="127">
        <f t="shared" ref="X2:X65" si="5">(M2-K2)</f>
        <v>2.6666666666642413</v>
      </c>
      <c r="Y2" s="128">
        <f>Table2[[#This Row],[DEL. AVAILABLE A SLOT]]*24</f>
        <v>63.999999999941792</v>
      </c>
      <c r="Z2" s="1" t="str">
        <f t="shared" ref="Z2:Z65" si="6">IF(X2="","",IF(X2&lt;=1,"SI","NO"))</f>
        <v>NO</v>
      </c>
      <c r="AA2" s="127">
        <f t="shared" ref="AA2:AA65" si="7">(M2-C2)</f>
        <v>3.8881944444437977</v>
      </c>
      <c r="AB2" s="128">
        <f>Table2[[#This Row],[ATA A TIMESLOT]]*24</f>
        <v>93.316666666651145</v>
      </c>
      <c r="AC2" s="127">
        <f t="shared" ref="AC2:AC65" si="8">IF(T2&lt; M2, TIME(0,0,0), T2-M2)</f>
        <v>7.2916666664241347E-2</v>
      </c>
      <c r="AD2" s="127" t="str">
        <f t="shared" ref="AD2:AD65" si="9">IF(AC2&gt;TIME(0,40,0),"NO","SI")</f>
        <v>NO</v>
      </c>
      <c r="AE2" s="128">
        <f>Table2[[#This Row],[PUNTUALIDAD (H)]]*24</f>
        <v>1.7499999999417923</v>
      </c>
      <c r="AF2" s="127">
        <f t="shared" ref="AF2:AF65" si="10">(N2-C2)</f>
        <v>3.9645833333343035</v>
      </c>
      <c r="AG2" s="128">
        <f>Table2[[#This Row],[ATA TO UNLOADING]]*24</f>
        <v>95.150000000023283</v>
      </c>
      <c r="AH2" s="128" t="str">
        <f>IF(Table2[[#This Row],[ATA TO UNLOADING 2]]&lt;=48,"YES","NO")</f>
        <v>NO</v>
      </c>
      <c r="AI2" s="2" t="s">
        <v>65</v>
      </c>
      <c r="AJ2" s="129">
        <f t="shared" ref="AJ2:AJ65" si="11">MOD(M2,1)</f>
        <v>0.375</v>
      </c>
      <c r="AK2" s="2" t="s">
        <v>64</v>
      </c>
      <c r="AL2" s="2" t="str">
        <f t="shared" ref="AL2:AL65" si="12">IF(M2="","",_xlfn.ISOWEEKNUM(M2)&amp;"/"&amp;RIGHT(YEAR(M2),2))</f>
        <v>1/26</v>
      </c>
      <c r="AM2" s="2" t="str">
        <f t="shared" ref="AM2:AM65" si="13">I2</f>
        <v>FFAU5311224</v>
      </c>
      <c r="AN2" s="130" t="str">
        <f t="shared" ref="AN2:AN65" si="14">E2</f>
        <v>CTK TRANSPORT</v>
      </c>
      <c r="AO2" s="50">
        <f>IF($O2="TRUCK",
VLOOKUP($AU2,Invoicing!$A$16:$B$56,MATCH($AO$1,Invoicing!$A$16:$B$16,0),FALSE)+IF(OR($B2="DCD",$B2="HPD2"),23.5,0),
VLOOKUP($AU2,Invoicing!$N$15:$O$19,MATCH($AO$1,Invoicing!$N$15:$O$15,0),FALSE)+IF(OR($B2="DCD",$B2="HPD2"),23.5,0))</f>
        <v>550</v>
      </c>
      <c r="AP2" s="131" t="e">
        <f>VLOOKUP($E2,Invoicing!$A$1:$H$12,MATCH(TRACKER!$P3,Invoicing!$A$1:$H$1,0),FALSE)</f>
        <v>#N/A</v>
      </c>
      <c r="AQ2" s="131">
        <f>VLOOKUP($E2,Invoicing!$A$1:$H$12,MATCH(TRACKER!$Q$1,Invoicing!$A$1:$H$1,0),FALSE)</f>
        <v>50</v>
      </c>
      <c r="AR2" s="131">
        <f t="shared" ref="AR2:AR33" si="15">IF($Q2&lt;&gt;0,$Q2*$AQ2,0)</f>
        <v>0</v>
      </c>
      <c r="AS2" s="2">
        <f t="shared" ref="AS2:AS65" si="16">WEEKDAY(M2,2)</f>
        <v>5</v>
      </c>
      <c r="AT2" s="2" t="str">
        <f t="shared" ref="AT2:AT33" si="17">IF(AS2=7,"SUNDAY",IF(AS2=6,"SATURDAY",IF(AK2="NIGHT","NIGHT",IF(AS2&lt;=5,"WEEK","SUNDAY"))))</f>
        <v>WEEK</v>
      </c>
      <c r="AU2" s="2" t="str">
        <f t="shared" ref="AU2:AU65" si="18">AN2&amp;AT2</f>
        <v>CTK TRANSPORTWEEK</v>
      </c>
      <c r="AV2" s="94">
        <f>(IF(ISNA(AP2),AO2+AR2,SUM($AO2,$AR2,IFERROR($AP2,"0"))))+Table2[[#This Row],[WAITING TIMES]]</f>
        <v>550</v>
      </c>
      <c r="AW2" s="48">
        <f>VLOOKUP(AN2,Invoicing!A:K,11,FALSE)</f>
        <v>20</v>
      </c>
      <c r="AY2" s="48"/>
      <c r="AZ2" s="48">
        <f t="shared" ref="AZ2:AZ65" si="19">AV2+AW2</f>
        <v>570</v>
      </c>
      <c r="BA2" s="132">
        <f>VLOOKUP(AN2,Invoicing!A:J,10,FALSE)</f>
        <v>70</v>
      </c>
      <c r="BB2" s="132">
        <f>VLOOKUP(AN2,Invoicing!A:L,12,FALSE)</f>
        <v>1</v>
      </c>
      <c r="BC2" s="2" t="s">
        <v>66</v>
      </c>
    </row>
    <row r="3" spans="1:55">
      <c r="A3" s="38" t="s">
        <v>55</v>
      </c>
      <c r="B3" s="3" t="s">
        <v>56</v>
      </c>
      <c r="C3" s="11">
        <v>46020.486805555556</v>
      </c>
      <c r="D3" s="11">
        <v>46020.5</v>
      </c>
      <c r="E3" s="11" t="s">
        <v>57</v>
      </c>
      <c r="F3" s="11" t="s">
        <v>67</v>
      </c>
      <c r="G3" s="11" t="s">
        <v>59</v>
      </c>
      <c r="H3" s="11" t="s">
        <v>68</v>
      </c>
      <c r="I3" s="86" t="s">
        <v>69</v>
      </c>
      <c r="J3" s="86" t="s">
        <v>62</v>
      </c>
      <c r="K3" s="11">
        <v>46021.708333333336</v>
      </c>
      <c r="L3" s="12">
        <v>46026.361111111109</v>
      </c>
      <c r="M3" s="12">
        <v>46026.291666666664</v>
      </c>
      <c r="N3" s="12">
        <v>46026.364583333336</v>
      </c>
      <c r="O3" s="12" t="s">
        <v>63</v>
      </c>
      <c r="P3" s="85" t="s">
        <v>64</v>
      </c>
      <c r="Q3" s="91">
        <v>1</v>
      </c>
      <c r="R3" s="1">
        <f t="shared" si="0"/>
        <v>1</v>
      </c>
      <c r="S3" s="1">
        <f t="shared" si="1"/>
        <v>1</v>
      </c>
      <c r="T3" s="126">
        <f t="shared" si="2"/>
        <v>46026.361111111109</v>
      </c>
      <c r="U3" s="127">
        <f t="shared" si="3"/>
        <v>1.2215277777795563</v>
      </c>
      <c r="V3" s="128">
        <f>Table2[[#This Row],[ATA A OFRECIMIENTO]]*24</f>
        <v>29.316666666709352</v>
      </c>
      <c r="W3" s="1" t="str">
        <f t="shared" si="4"/>
        <v>YES</v>
      </c>
      <c r="X3" s="127">
        <f t="shared" si="5"/>
        <v>4.5833333333284827</v>
      </c>
      <c r="Y3" s="128">
        <f>Table2[[#This Row],[DEL. AVAILABLE A SLOT]]*24</f>
        <v>109.99999999988358</v>
      </c>
      <c r="Z3" s="1" t="str">
        <f t="shared" si="6"/>
        <v>NO</v>
      </c>
      <c r="AA3" s="127">
        <f t="shared" si="7"/>
        <v>5.804861111108039</v>
      </c>
      <c r="AB3" s="128">
        <f>Table2[[#This Row],[ATA A TIMESLOT]]*24</f>
        <v>139.31666666659294</v>
      </c>
      <c r="AC3" s="127">
        <f t="shared" si="8"/>
        <v>6.9444444445252884E-2</v>
      </c>
      <c r="AD3" s="127" t="str">
        <f t="shared" si="9"/>
        <v>NO</v>
      </c>
      <c r="AE3" s="128">
        <f>Table2[[#This Row],[PUNTUALIDAD (H)]]*24</f>
        <v>1.6666666666860692</v>
      </c>
      <c r="AF3" s="127">
        <f t="shared" si="10"/>
        <v>5.8777777777795563</v>
      </c>
      <c r="AG3" s="128">
        <f>Table2[[#This Row],[ATA TO UNLOADING]]*24</f>
        <v>141.06666666670935</v>
      </c>
      <c r="AH3" s="128" t="str">
        <f>IF(Table2[[#This Row],[ATA TO UNLOADING 2]]&lt;=48,"YES","NO")</f>
        <v>NO</v>
      </c>
      <c r="AI3" s="2" t="s">
        <v>70</v>
      </c>
      <c r="AJ3" s="129">
        <f t="shared" si="11"/>
        <v>0.29166666666424135</v>
      </c>
      <c r="AK3" s="2" t="s">
        <v>64</v>
      </c>
      <c r="AL3" s="2" t="str">
        <f t="shared" si="12"/>
        <v>1/26</v>
      </c>
      <c r="AM3" s="2" t="str">
        <f t="shared" si="13"/>
        <v>CAAU5146701</v>
      </c>
      <c r="AN3" s="130" t="str">
        <f t="shared" si="14"/>
        <v>CTK TRANSPORT</v>
      </c>
      <c r="AO3" s="50">
        <f>IF($O3="TRUCK",
VLOOKUP($AU3,Invoicing!$A$16:$B$56,MATCH($AO$1,Invoicing!$A$16:$B$16,0),FALSE)+IF(OR($B3="DCD",$B3="HPD2"),23.5,0),
VLOOKUP($AU3,Invoicing!$N$15:$O$19,MATCH($AO$1,Invoicing!$N$15:$O$15,0),FALSE)+IF(OR($B3="DCD",$B3="HPD2"),23.5,0))</f>
        <v>625</v>
      </c>
      <c r="AP3" s="131" t="e">
        <f>VLOOKUP($E3,Invoicing!$A$1:$H$12,MATCH(TRACKER!$P5,Invoicing!$A$1:$H$1,0),FALSE)</f>
        <v>#N/A</v>
      </c>
      <c r="AQ3" s="131">
        <f>VLOOKUP($E3,Invoicing!$A$1:$H$12,MATCH(TRACKER!$Q$1,Invoicing!$A$1:$H$1,0),FALSE)</f>
        <v>50</v>
      </c>
      <c r="AR3" s="131">
        <f t="shared" si="15"/>
        <v>50</v>
      </c>
      <c r="AS3" s="2">
        <f t="shared" si="16"/>
        <v>7</v>
      </c>
      <c r="AT3" s="2" t="str">
        <f t="shared" si="17"/>
        <v>SUNDAY</v>
      </c>
      <c r="AU3" s="2" t="str">
        <f t="shared" si="18"/>
        <v>CTK TRANSPORTSUNDAY</v>
      </c>
      <c r="AV3" s="94">
        <f>(IF(ISNA(AP3),AO3+AR3,SUM($AO3,$AR3,IFERROR($AP3,"0"))))+Table2[[#This Row],[WAITING TIMES]]</f>
        <v>675</v>
      </c>
      <c r="AW3" s="48">
        <f>VLOOKUP(AN3,Invoicing!A:K,11,FALSE)</f>
        <v>20</v>
      </c>
      <c r="AY3" s="48"/>
      <c r="AZ3" s="48">
        <f t="shared" si="19"/>
        <v>695</v>
      </c>
      <c r="BA3" s="132">
        <f>VLOOKUP(AN3,Invoicing!A:J,10,FALSE)</f>
        <v>70</v>
      </c>
      <c r="BB3" s="132">
        <f>VLOOKUP(AN3,Invoicing!A:L,12,FALSE)</f>
        <v>1</v>
      </c>
      <c r="BC3" s="2" t="s">
        <v>66</v>
      </c>
    </row>
    <row r="4" spans="1:55">
      <c r="A4" s="38" t="s">
        <v>55</v>
      </c>
      <c r="B4" s="3" t="s">
        <v>56</v>
      </c>
      <c r="C4" s="11">
        <v>46020.486805555556</v>
      </c>
      <c r="D4" s="11">
        <v>46020.5</v>
      </c>
      <c r="E4" s="11" t="s">
        <v>71</v>
      </c>
      <c r="F4" s="11" t="s">
        <v>67</v>
      </c>
      <c r="G4" s="11" t="s">
        <v>59</v>
      </c>
      <c r="H4" s="11" t="s">
        <v>68</v>
      </c>
      <c r="I4" s="86" t="s">
        <v>72</v>
      </c>
      <c r="J4" s="86" t="s">
        <v>62</v>
      </c>
      <c r="K4" s="11">
        <v>46021.708333333336</v>
      </c>
      <c r="L4" s="12">
        <v>46024.34097222222</v>
      </c>
      <c r="M4" s="12">
        <v>46024.458333333336</v>
      </c>
      <c r="N4" s="12">
        <v>46024.625</v>
      </c>
      <c r="O4" s="12" t="s">
        <v>63</v>
      </c>
      <c r="P4" s="85" t="s">
        <v>64</v>
      </c>
      <c r="Q4" s="91">
        <v>0</v>
      </c>
      <c r="R4" s="1">
        <f t="shared" si="0"/>
        <v>1</v>
      </c>
      <c r="S4" s="1">
        <f t="shared" si="1"/>
        <v>1</v>
      </c>
      <c r="T4" s="126">
        <f t="shared" si="2"/>
        <v>46024.34097222222</v>
      </c>
      <c r="U4" s="127">
        <f t="shared" si="3"/>
        <v>1.2215277777795563</v>
      </c>
      <c r="V4" s="128">
        <f>Table2[[#This Row],[ATA A OFRECIMIENTO]]*24</f>
        <v>29.316666666709352</v>
      </c>
      <c r="W4" s="1" t="str">
        <f t="shared" si="4"/>
        <v>YES</v>
      </c>
      <c r="X4" s="127">
        <f t="shared" si="5"/>
        <v>2.75</v>
      </c>
      <c r="Y4" s="128">
        <f>Table2[[#This Row],[DEL. AVAILABLE A SLOT]]*24</f>
        <v>66</v>
      </c>
      <c r="Z4" s="1" t="str">
        <f t="shared" si="6"/>
        <v>NO</v>
      </c>
      <c r="AA4" s="127">
        <f t="shared" si="7"/>
        <v>3.9715277777795563</v>
      </c>
      <c r="AB4" s="128">
        <f>Table2[[#This Row],[ATA A TIMESLOT]]*24</f>
        <v>95.316666666709352</v>
      </c>
      <c r="AC4" s="127">
        <f t="shared" si="8"/>
        <v>0</v>
      </c>
      <c r="AD4" s="127" t="str">
        <f t="shared" si="9"/>
        <v>SI</v>
      </c>
      <c r="AE4" s="128">
        <f>Table2[[#This Row],[PUNTUALIDAD (H)]]*24</f>
        <v>0</v>
      </c>
      <c r="AF4" s="127">
        <f t="shared" si="10"/>
        <v>4.1381944444437977</v>
      </c>
      <c r="AG4" s="128">
        <f>Table2[[#This Row],[ATA TO UNLOADING]]*24</f>
        <v>99.316666666651145</v>
      </c>
      <c r="AH4" s="128" t="str">
        <f>IF(Table2[[#This Row],[ATA TO UNLOADING 2]]&lt;=48,"YES","NO")</f>
        <v>NO</v>
      </c>
      <c r="AI4" s="2" t="s">
        <v>65</v>
      </c>
      <c r="AJ4" s="129">
        <f t="shared" si="11"/>
        <v>0.45833333333575865</v>
      </c>
      <c r="AK4" s="2" t="s">
        <v>64</v>
      </c>
      <c r="AL4" s="2" t="str">
        <f t="shared" si="12"/>
        <v>1/26</v>
      </c>
      <c r="AM4" s="2" t="str">
        <f t="shared" si="13"/>
        <v>GCXU5601183</v>
      </c>
      <c r="AN4" s="130" t="str">
        <f t="shared" si="14"/>
        <v>LOGIX</v>
      </c>
      <c r="AO4" s="50">
        <f>IF($O4="TRUCK",
VLOOKUP($AU4,Invoicing!$A$16:$B$56,MATCH($AO$1,Invoicing!$A$16:$B$16,0),FALSE)+IF(OR($B4="DCD",$B4="HPD2"),23.5,0),
VLOOKUP($AU4,Invoicing!$N$15:$O$19,MATCH($AO$1,Invoicing!$N$15:$O$15,0),FALSE)+IF(OR($B4="DCD",$B4="HPD2"),23.5,0))</f>
        <v>550</v>
      </c>
      <c r="AP4" s="131" t="e">
        <f>VLOOKUP($E4,Invoicing!$A$1:$H$12,MATCH(TRACKER!$P10,Invoicing!$A$1:$H$1,0),FALSE)</f>
        <v>#N/A</v>
      </c>
      <c r="AQ4" s="131">
        <f>VLOOKUP($E4,Invoicing!$A$1:$H$12,MATCH(TRACKER!$Q$1,Invoicing!$A$1:$H$1,0),FALSE)</f>
        <v>50</v>
      </c>
      <c r="AR4" s="131">
        <f t="shared" si="15"/>
        <v>0</v>
      </c>
      <c r="AS4" s="2">
        <f t="shared" si="16"/>
        <v>5</v>
      </c>
      <c r="AT4" s="2" t="str">
        <f t="shared" si="17"/>
        <v>WEEK</v>
      </c>
      <c r="AU4" s="2" t="str">
        <f t="shared" si="18"/>
        <v>LOGIXWEEK</v>
      </c>
      <c r="AV4" s="94">
        <f>(IF(ISNA(AP4),AO4+AR4,SUM($AO4,$AR4,IFERROR($AP4,"0"))))+Table2[[#This Row],[WAITING TIMES]]</f>
        <v>550</v>
      </c>
      <c r="AW4" s="48">
        <f>VLOOKUP(AN4,Invoicing!A:K,11,FALSE)</f>
        <v>20</v>
      </c>
      <c r="AY4" s="48"/>
      <c r="AZ4" s="48">
        <f t="shared" si="19"/>
        <v>570</v>
      </c>
      <c r="BA4" s="132">
        <f>VLOOKUP(AN4,Invoicing!A:J,10,FALSE)</f>
        <v>70</v>
      </c>
      <c r="BB4" s="132">
        <f>VLOOKUP(AN4,Invoicing!A:L,12,FALSE)</f>
        <v>1</v>
      </c>
      <c r="BC4" s="49" t="s">
        <v>66</v>
      </c>
    </row>
    <row r="5" spans="1:55">
      <c r="A5" s="87" t="s">
        <v>55</v>
      </c>
      <c r="B5" s="91" t="s">
        <v>56</v>
      </c>
      <c r="C5" s="89">
        <v>46020.486805555556</v>
      </c>
      <c r="D5" s="89">
        <v>46020.5</v>
      </c>
      <c r="E5" s="89" t="s">
        <v>73</v>
      </c>
      <c r="F5" s="89" t="s">
        <v>74</v>
      </c>
      <c r="G5" s="89" t="s">
        <v>59</v>
      </c>
      <c r="H5" s="89" t="s">
        <v>60</v>
      </c>
      <c r="I5" s="88" t="s">
        <v>75</v>
      </c>
      <c r="J5" s="88" t="s">
        <v>62</v>
      </c>
      <c r="K5" s="89">
        <v>46021.708333333336</v>
      </c>
      <c r="L5" s="90">
        <v>46024.319444444445</v>
      </c>
      <c r="M5" s="90">
        <v>46024.291666666664</v>
      </c>
      <c r="N5" s="90">
        <v>46024.322916666664</v>
      </c>
      <c r="O5" s="90" t="s">
        <v>63</v>
      </c>
      <c r="P5" s="93" t="s">
        <v>64</v>
      </c>
      <c r="Q5" s="91">
        <v>0</v>
      </c>
      <c r="R5" s="1">
        <f t="shared" si="0"/>
        <v>1</v>
      </c>
      <c r="S5" s="1">
        <f t="shared" si="1"/>
        <v>1</v>
      </c>
      <c r="T5" s="126">
        <f t="shared" si="2"/>
        <v>46024.319444444445</v>
      </c>
      <c r="U5" s="127">
        <f t="shared" si="3"/>
        <v>1.2215277777795563</v>
      </c>
      <c r="V5" s="128">
        <f>Table2[[#This Row],[ATA A OFRECIMIENTO]]*24</f>
        <v>29.316666666709352</v>
      </c>
      <c r="W5" s="1" t="str">
        <f t="shared" si="4"/>
        <v>YES</v>
      </c>
      <c r="X5" s="127">
        <f t="shared" si="5"/>
        <v>2.5833333333284827</v>
      </c>
      <c r="Y5" s="128">
        <f>Table2[[#This Row],[DEL. AVAILABLE A SLOT]]*24</f>
        <v>61.999999999883585</v>
      </c>
      <c r="Z5" s="1" t="str">
        <f t="shared" si="6"/>
        <v>NO</v>
      </c>
      <c r="AA5" s="127">
        <f t="shared" si="7"/>
        <v>3.804861111108039</v>
      </c>
      <c r="AB5" s="128">
        <f>Table2[[#This Row],[ATA A TIMESLOT]]*24</f>
        <v>91.316666666592937</v>
      </c>
      <c r="AC5" s="127">
        <f t="shared" si="8"/>
        <v>2.7777777781011537E-2</v>
      </c>
      <c r="AD5" s="127" t="str">
        <f t="shared" si="9"/>
        <v>NO</v>
      </c>
      <c r="AE5" s="128">
        <f>Table2[[#This Row],[PUNTUALIDAD (H)]]*24</f>
        <v>0.66666666674427688</v>
      </c>
      <c r="AF5" s="127">
        <f t="shared" si="10"/>
        <v>3.836111111108039</v>
      </c>
      <c r="AG5" s="128">
        <f>Table2[[#This Row],[ATA TO UNLOADING]]*24</f>
        <v>92.066666666592937</v>
      </c>
      <c r="AH5" s="128" t="str">
        <f>IF(Table2[[#This Row],[ATA TO UNLOADING 2]]&lt;=48,"YES","NO")</f>
        <v>NO</v>
      </c>
      <c r="AI5" s="2" t="s">
        <v>65</v>
      </c>
      <c r="AJ5" s="129">
        <f t="shared" si="11"/>
        <v>0.29166666666424135</v>
      </c>
      <c r="AK5" s="2" t="s">
        <v>64</v>
      </c>
      <c r="AL5" s="2" t="str">
        <f t="shared" si="12"/>
        <v>1/26</v>
      </c>
      <c r="AM5" s="2" t="str">
        <f t="shared" si="13"/>
        <v>MSKU4784246</v>
      </c>
      <c r="AN5" s="130" t="str">
        <f t="shared" si="14"/>
        <v>OTL</v>
      </c>
      <c r="AO5" s="50">
        <f>IF($O5="TRUCK",
VLOOKUP($AU5,Invoicing!$A$16:$B$56,MATCH($AO$1,Invoicing!$A$16:$B$16,0),FALSE)+IF(OR($B5="DCD",$B5="HPD2"),23.5,0),
VLOOKUP($AU5,Invoicing!$N$15:$O$19,MATCH($AO$1,Invoicing!$N$15:$O$15,0),FALSE)+IF(OR($B5="DCD",$B5="HPD2"),23.5,0))</f>
        <v>530</v>
      </c>
      <c r="AP5" s="131" t="e">
        <f>VLOOKUP($E5,Invoicing!$A$1:$H$12,MATCH(TRACKER!$P90,Invoicing!$A$1:$H$1,0),FALSE)</f>
        <v>#N/A</v>
      </c>
      <c r="AQ5" s="131">
        <f>VLOOKUP($E5,Invoicing!$A$1:$H$12,MATCH(TRACKER!$Q$1,Invoicing!$A$1:$H$1,0),FALSE)</f>
        <v>60</v>
      </c>
      <c r="AR5" s="131">
        <f t="shared" si="15"/>
        <v>0</v>
      </c>
      <c r="AS5" s="2">
        <f t="shared" si="16"/>
        <v>5</v>
      </c>
      <c r="AT5" s="2" t="str">
        <f t="shared" si="17"/>
        <v>WEEK</v>
      </c>
      <c r="AU5" s="2" t="str">
        <f t="shared" si="18"/>
        <v>OTLWEEK</v>
      </c>
      <c r="AV5" s="94">
        <f>(IF(ISNA(AP5),AO5+AR5,SUM($AO5,$AR5,IFERROR($AP5,"0"))))+Table2[[#This Row],[WAITING TIMES]]</f>
        <v>530</v>
      </c>
      <c r="AW5" s="48">
        <f>VLOOKUP(AN5,Invoicing!A:K,11,FALSE)</f>
        <v>20</v>
      </c>
      <c r="AY5" s="48"/>
      <c r="AZ5" s="48">
        <f t="shared" si="19"/>
        <v>550</v>
      </c>
      <c r="BA5" s="132">
        <f>VLOOKUP(AN5,Invoicing!A:J,10,FALSE)</f>
        <v>70</v>
      </c>
      <c r="BB5" s="132">
        <f>VLOOKUP(AN5,Invoicing!A:L,12,FALSE)</f>
        <v>1</v>
      </c>
      <c r="BC5" s="2" t="s">
        <v>66</v>
      </c>
    </row>
    <row r="6" spans="1:55">
      <c r="A6" s="38" t="s">
        <v>76</v>
      </c>
      <c r="B6" s="3" t="s">
        <v>77</v>
      </c>
      <c r="C6" s="11">
        <v>46023.656944444447</v>
      </c>
      <c r="D6" s="11">
        <v>46023.5</v>
      </c>
      <c r="E6" s="11" t="s">
        <v>78</v>
      </c>
      <c r="F6" s="11" t="s">
        <v>79</v>
      </c>
      <c r="G6" s="11" t="s">
        <v>59</v>
      </c>
      <c r="H6" s="11" t="s">
        <v>80</v>
      </c>
      <c r="I6" s="86" t="s">
        <v>81</v>
      </c>
      <c r="J6" s="3" t="s">
        <v>82</v>
      </c>
      <c r="K6" s="11">
        <v>46024.875</v>
      </c>
      <c r="L6" s="12">
        <v>46025.330555555556</v>
      </c>
      <c r="M6" s="12">
        <v>46025.333333333336</v>
      </c>
      <c r="N6" s="12">
        <v>46025.350694444445</v>
      </c>
      <c r="O6" s="12" t="s">
        <v>63</v>
      </c>
      <c r="P6" s="85" t="s">
        <v>64</v>
      </c>
      <c r="Q6" s="3">
        <v>0</v>
      </c>
      <c r="R6" s="1">
        <f t="shared" si="0"/>
        <v>1</v>
      </c>
      <c r="S6" s="1">
        <f t="shared" si="1"/>
        <v>1</v>
      </c>
      <c r="T6" s="126">
        <f t="shared" si="2"/>
        <v>46025.330555555556</v>
      </c>
      <c r="U6" s="127">
        <f t="shared" si="3"/>
        <v>1.2180555555532919</v>
      </c>
      <c r="V6" s="128">
        <f>Table2[[#This Row],[ATA A OFRECIMIENTO]]*24</f>
        <v>29.233333333279006</v>
      </c>
      <c r="W6" s="1" t="str">
        <f t="shared" si="4"/>
        <v>YES</v>
      </c>
      <c r="X6" s="127">
        <f t="shared" si="5"/>
        <v>0.45833333333575865</v>
      </c>
      <c r="Y6" s="128">
        <f>Table2[[#This Row],[DEL. AVAILABLE A SLOT]]*24</f>
        <v>11.000000000058208</v>
      </c>
      <c r="Z6" s="1" t="str">
        <f t="shared" si="6"/>
        <v>SI</v>
      </c>
      <c r="AA6" s="127">
        <f t="shared" si="7"/>
        <v>1.6763888888890506</v>
      </c>
      <c r="AB6" s="128">
        <f>Table2[[#This Row],[ATA A TIMESLOT]]*24</f>
        <v>40.233333333337214</v>
      </c>
      <c r="AC6" s="127">
        <f t="shared" si="8"/>
        <v>0</v>
      </c>
      <c r="AD6" s="127" t="str">
        <f t="shared" si="9"/>
        <v>SI</v>
      </c>
      <c r="AE6" s="128">
        <f>Table2[[#This Row],[PUNTUALIDAD (H)]]*24</f>
        <v>0</v>
      </c>
      <c r="AF6" s="127">
        <f t="shared" si="10"/>
        <v>1.6937499999985448</v>
      </c>
      <c r="AG6" s="128">
        <f>Table2[[#This Row],[ATA TO UNLOADING]]*24</f>
        <v>40.649999999965075</v>
      </c>
      <c r="AH6" s="128" t="str">
        <f>IF(Table2[[#This Row],[ATA TO UNLOADING 2]]&lt;=48,"YES","NO")</f>
        <v>YES</v>
      </c>
      <c r="AJ6" s="129">
        <f t="shared" si="11"/>
        <v>0.33333333333575865</v>
      </c>
      <c r="AK6" s="2" t="s">
        <v>64</v>
      </c>
      <c r="AL6" s="2" t="str">
        <f t="shared" si="12"/>
        <v>1/26</v>
      </c>
      <c r="AM6" s="2" t="str">
        <f t="shared" si="13"/>
        <v>TLLU4893839</v>
      </c>
      <c r="AN6" s="130" t="str">
        <f t="shared" si="14"/>
        <v>AZOIA LOGISTICS</v>
      </c>
      <c r="AO6" s="50">
        <f>IF($O6="TRUCK",
VLOOKUP($AU6,Invoicing!$A$16:$B$56,MATCH($AO$1,Invoicing!$A$16:$B$16,0),FALSE)+IF(OR($B6="DCD",$B6="HPD2"),23.5,0),
VLOOKUP($AU6,Invoicing!$N$15:$O$19,MATCH($AO$1,Invoicing!$N$15:$O$15,0),FALSE)+IF(OR($B6="DCD",$B6="HPD2"),23.5,0))</f>
        <v>623.5</v>
      </c>
      <c r="AP6" s="131" t="e">
        <f>VLOOKUP($E6,Invoicing!$A$1:$H$12,MATCH(TRACKER!$P7,Invoicing!$A$1:$H$1,0),FALSE)</f>
        <v>#N/A</v>
      </c>
      <c r="AQ6" s="131">
        <f>VLOOKUP($E6,Invoicing!$A$1:$H$12,MATCH(TRACKER!$Q$1,Invoicing!$A$1:$H$1,0),FALSE)</f>
        <v>45</v>
      </c>
      <c r="AR6" s="131">
        <f t="shared" si="15"/>
        <v>0</v>
      </c>
      <c r="AS6" s="2">
        <f t="shared" si="16"/>
        <v>6</v>
      </c>
      <c r="AT6" s="2" t="str">
        <f t="shared" si="17"/>
        <v>SATURDAY</v>
      </c>
      <c r="AU6" s="2" t="str">
        <f t="shared" si="18"/>
        <v>AZOIA LOGISTICSSATURDAY</v>
      </c>
      <c r="AV6" s="94">
        <f>(IF(ISNA(AP6),AO6+AR6,SUM($AO6,$AR6,IFERROR($AP6,"0"))))+Table2[[#This Row],[WAITING TIMES]]</f>
        <v>623.5</v>
      </c>
      <c r="AW6" s="94">
        <f>VLOOKUP(AN6,Invoicing!A:K,11,FALSE)</f>
        <v>20</v>
      </c>
      <c r="AY6" s="48"/>
      <c r="AZ6" s="94">
        <f t="shared" si="19"/>
        <v>643.5</v>
      </c>
      <c r="BA6" s="133">
        <f>VLOOKUP(AN6,Invoicing!A:J,10,FALSE)</f>
        <v>70</v>
      </c>
      <c r="BB6" s="133">
        <f>VLOOKUP(AN6,Invoicing!A:L,12,FALSE)</f>
        <v>1</v>
      </c>
      <c r="BC6" s="49" t="s">
        <v>66</v>
      </c>
    </row>
    <row r="7" spans="1:55">
      <c r="A7" s="38" t="s">
        <v>76</v>
      </c>
      <c r="B7" s="3" t="s">
        <v>77</v>
      </c>
      <c r="C7" s="11">
        <v>46023.656944444447</v>
      </c>
      <c r="D7" s="11">
        <v>46023.5</v>
      </c>
      <c r="E7" s="11" t="s">
        <v>83</v>
      </c>
      <c r="F7" s="11" t="s">
        <v>79</v>
      </c>
      <c r="G7" s="11" t="s">
        <v>59</v>
      </c>
      <c r="H7" s="11" t="s">
        <v>80</v>
      </c>
      <c r="I7" s="86" t="s">
        <v>84</v>
      </c>
      <c r="J7" s="3" t="s">
        <v>82</v>
      </c>
      <c r="K7" s="11">
        <v>46024.875</v>
      </c>
      <c r="L7" s="12">
        <v>46024.914583333331</v>
      </c>
      <c r="M7" s="12">
        <v>46024.875</v>
      </c>
      <c r="N7" s="12">
        <v>46024.930555555555</v>
      </c>
      <c r="O7" s="12" t="s">
        <v>63</v>
      </c>
      <c r="P7" s="85" t="s">
        <v>64</v>
      </c>
      <c r="Q7" s="3">
        <v>0</v>
      </c>
      <c r="R7" s="1">
        <f t="shared" si="0"/>
        <v>1</v>
      </c>
      <c r="S7" s="1">
        <f t="shared" si="1"/>
        <v>1</v>
      </c>
      <c r="T7" s="126">
        <f t="shared" si="2"/>
        <v>46024.914583333331</v>
      </c>
      <c r="U7" s="127">
        <f t="shared" si="3"/>
        <v>1.2180555555532919</v>
      </c>
      <c r="V7" s="128">
        <f>Table2[[#This Row],[ATA A OFRECIMIENTO]]*24</f>
        <v>29.233333333279006</v>
      </c>
      <c r="W7" s="1" t="str">
        <f t="shared" si="4"/>
        <v>YES</v>
      </c>
      <c r="X7" s="127">
        <f t="shared" si="5"/>
        <v>0</v>
      </c>
      <c r="Y7" s="128">
        <f>Table2[[#This Row],[DEL. AVAILABLE A SLOT]]*24</f>
        <v>0</v>
      </c>
      <c r="Z7" s="1" t="str">
        <f t="shared" si="6"/>
        <v>SI</v>
      </c>
      <c r="AA7" s="127">
        <f t="shared" si="7"/>
        <v>1.2180555555532919</v>
      </c>
      <c r="AB7" s="128">
        <f>Table2[[#This Row],[ATA A TIMESLOT]]*24</f>
        <v>29.233333333279006</v>
      </c>
      <c r="AC7" s="127">
        <f t="shared" si="8"/>
        <v>3.9583333331393078E-2</v>
      </c>
      <c r="AD7" s="127" t="str">
        <f t="shared" si="9"/>
        <v>NO</v>
      </c>
      <c r="AE7" s="128">
        <f>Table2[[#This Row],[PUNTUALIDAD (H)]]*24</f>
        <v>0.94999999995343387</v>
      </c>
      <c r="AF7" s="127">
        <f t="shared" si="10"/>
        <v>1.273611111108039</v>
      </c>
      <c r="AG7" s="128">
        <f>Table2[[#This Row],[ATA TO UNLOADING]]*24</f>
        <v>30.566666666592937</v>
      </c>
      <c r="AH7" s="128" t="str">
        <f>IF(Table2[[#This Row],[ATA TO UNLOADING 2]]&lt;=48,"YES","NO")</f>
        <v>YES</v>
      </c>
      <c r="AJ7" s="129">
        <f t="shared" si="11"/>
        <v>0.875</v>
      </c>
      <c r="AK7" s="49" t="s">
        <v>36</v>
      </c>
      <c r="AL7" s="2" t="str">
        <f t="shared" si="12"/>
        <v>1/26</v>
      </c>
      <c r="AM7" s="2" t="str">
        <f t="shared" si="13"/>
        <v>MRKU5779509</v>
      </c>
      <c r="AN7" s="130" t="str">
        <f t="shared" si="14"/>
        <v>OM TRANSPORT</v>
      </c>
      <c r="AO7" s="50">
        <f>IF($O7="TRUCK",
VLOOKUP($AU7,Invoicing!$A$16:$B$56,MATCH($AO$1,Invoicing!$A$16:$B$16,0),FALSE)+IF(OR($B7="DCD",$B7="HPD2"),23.5,0),
VLOOKUP($AU7,Invoicing!$N$15:$O$19,MATCH($AO$1,Invoicing!$N$15:$O$15,0),FALSE)+IF(OR($B7="DCD",$B7="HPD2"),23.5,0))</f>
        <v>498.5</v>
      </c>
      <c r="AP7" s="131" t="e">
        <f>VLOOKUP($E7,Invoicing!$A$1:$H$12,MATCH(TRACKER!$P58,Invoicing!$A$1:$H$1,0),FALSE)</f>
        <v>#N/A</v>
      </c>
      <c r="AQ7" s="131">
        <f>VLOOKUP($E7,Invoicing!$A$1:$H$12,MATCH(TRACKER!$Q$1,Invoicing!$A$1:$H$1,0),FALSE)</f>
        <v>50</v>
      </c>
      <c r="AR7" s="131">
        <f t="shared" si="15"/>
        <v>0</v>
      </c>
      <c r="AS7" s="2">
        <f t="shared" si="16"/>
        <v>5</v>
      </c>
      <c r="AT7" s="2" t="str">
        <f t="shared" si="17"/>
        <v>NIGHT</v>
      </c>
      <c r="AU7" s="2" t="str">
        <f t="shared" si="18"/>
        <v>OM TRANSPORTNIGHT</v>
      </c>
      <c r="AV7" s="94">
        <f>(IF(ISNA(AP7),AO7+AR7,SUM($AO7,$AR7,IFERROR($AP7,"0"))))+Table2[[#This Row],[WAITING TIMES]]</f>
        <v>611</v>
      </c>
      <c r="AW7" s="94">
        <f>VLOOKUP(AN7,Invoicing!A:K,11,FALSE)</f>
        <v>20</v>
      </c>
      <c r="AX7" s="48">
        <v>112.5</v>
      </c>
      <c r="AY7" s="48" t="s">
        <v>85</v>
      </c>
      <c r="AZ7" s="94">
        <f t="shared" si="19"/>
        <v>631</v>
      </c>
      <c r="BA7" s="133">
        <f>VLOOKUP(AN7,Invoicing!A:J,10,FALSE)</f>
        <v>70</v>
      </c>
      <c r="BB7" s="133">
        <f>VLOOKUP(AN7,Invoicing!A:L,12,FALSE)</f>
        <v>1</v>
      </c>
      <c r="BC7" s="49" t="s">
        <v>66</v>
      </c>
    </row>
    <row r="8" spans="1:55">
      <c r="A8" s="38" t="s">
        <v>76</v>
      </c>
      <c r="B8" s="3" t="s">
        <v>77</v>
      </c>
      <c r="C8" s="11">
        <v>46023.656944444447</v>
      </c>
      <c r="D8" s="11">
        <v>46023.5</v>
      </c>
      <c r="E8" s="11" t="s">
        <v>83</v>
      </c>
      <c r="F8" s="11" t="s">
        <v>86</v>
      </c>
      <c r="G8" s="11" t="s">
        <v>59</v>
      </c>
      <c r="H8" s="11" t="s">
        <v>80</v>
      </c>
      <c r="I8" s="86" t="s">
        <v>87</v>
      </c>
      <c r="J8" s="3" t="s">
        <v>82</v>
      </c>
      <c r="K8" s="11">
        <v>46024.875</v>
      </c>
      <c r="L8" s="12">
        <v>46027.038888888892</v>
      </c>
      <c r="M8" s="12">
        <v>46027.041666666664</v>
      </c>
      <c r="N8" s="12">
        <v>46027.059027777781</v>
      </c>
      <c r="O8" s="12" t="s">
        <v>63</v>
      </c>
      <c r="P8" s="85" t="s">
        <v>64</v>
      </c>
      <c r="Q8" s="3">
        <v>0</v>
      </c>
      <c r="R8" s="1">
        <f t="shared" si="0"/>
        <v>2</v>
      </c>
      <c r="S8" s="1">
        <f t="shared" si="1"/>
        <v>1</v>
      </c>
      <c r="T8" s="126">
        <f t="shared" si="2"/>
        <v>46027.038888888892</v>
      </c>
      <c r="U8" s="127">
        <f t="shared" si="3"/>
        <v>1.2180555555532919</v>
      </c>
      <c r="V8" s="128">
        <f>Table2[[#This Row],[ATA A OFRECIMIENTO]]*24</f>
        <v>29.233333333279006</v>
      </c>
      <c r="W8" s="1" t="str">
        <f t="shared" si="4"/>
        <v>YES</v>
      </c>
      <c r="X8" s="127">
        <f t="shared" si="5"/>
        <v>2.1666666666642413</v>
      </c>
      <c r="Y8" s="128">
        <f>Table2[[#This Row],[DEL. AVAILABLE A SLOT]]*24</f>
        <v>51.999999999941792</v>
      </c>
      <c r="Z8" s="1" t="str">
        <f t="shared" si="6"/>
        <v>NO</v>
      </c>
      <c r="AA8" s="127">
        <f t="shared" si="7"/>
        <v>3.3847222222175333</v>
      </c>
      <c r="AB8" s="128">
        <f>Table2[[#This Row],[ATA A TIMESLOT]]*24</f>
        <v>81.233333333220799</v>
      </c>
      <c r="AC8" s="127">
        <f t="shared" si="8"/>
        <v>0</v>
      </c>
      <c r="AD8" s="127" t="str">
        <f t="shared" si="9"/>
        <v>SI</v>
      </c>
      <c r="AE8" s="128">
        <f>Table2[[#This Row],[PUNTUALIDAD (H)]]*24</f>
        <v>0</v>
      </c>
      <c r="AF8" s="127">
        <f t="shared" si="10"/>
        <v>3.4020833333343035</v>
      </c>
      <c r="AG8" s="128">
        <f>Table2[[#This Row],[ATA TO UNLOADING]]*24</f>
        <v>81.650000000023283</v>
      </c>
      <c r="AH8" s="128" t="str">
        <f>IF(Table2[[#This Row],[ATA TO UNLOADING 2]]&lt;=48,"YES","NO")</f>
        <v>NO</v>
      </c>
      <c r="AI8" s="49" t="s">
        <v>88</v>
      </c>
      <c r="AJ8" s="129">
        <f t="shared" si="11"/>
        <v>4.1666666664241347E-2</v>
      </c>
      <c r="AK8" s="49" t="s">
        <v>36</v>
      </c>
      <c r="AL8" s="2" t="str">
        <f t="shared" si="12"/>
        <v>2/26</v>
      </c>
      <c r="AM8" s="2" t="str">
        <f t="shared" si="13"/>
        <v>FCIU4197243</v>
      </c>
      <c r="AN8" s="130" t="str">
        <f t="shared" si="14"/>
        <v>OM TRANSPORT</v>
      </c>
      <c r="AO8" s="50">
        <f>IF($O8="TRUCK",
VLOOKUP($AU8,Invoicing!$A$16:$B$56,MATCH($AO$1,Invoicing!$A$16:$B$16,0),FALSE)+IF(OR($B8="DCD",$B8="HPD2"),23.5,0),
VLOOKUP($AU8,Invoicing!$N$15:$O$19,MATCH($AO$1,Invoicing!$N$15:$O$15,0),FALSE)+IF(OR($B8="DCD",$B8="HPD2"),23.5,0))</f>
        <v>498.5</v>
      </c>
      <c r="AP8" s="131" t="e">
        <f>VLOOKUP($E8,Invoicing!$A$1:$H$12,MATCH(TRACKER!$P59,Invoicing!$A$1:$H$1,0),FALSE)</f>
        <v>#N/A</v>
      </c>
      <c r="AQ8" s="131">
        <f>VLOOKUP($E8,Invoicing!$A$1:$H$12,MATCH(TRACKER!$Q$1,Invoicing!$A$1:$H$1,0),FALSE)</f>
        <v>50</v>
      </c>
      <c r="AR8" s="131">
        <f t="shared" si="15"/>
        <v>0</v>
      </c>
      <c r="AS8" s="2">
        <f t="shared" si="16"/>
        <v>1</v>
      </c>
      <c r="AT8" s="2" t="str">
        <f t="shared" si="17"/>
        <v>NIGHT</v>
      </c>
      <c r="AU8" s="2" t="str">
        <f t="shared" si="18"/>
        <v>OM TRANSPORTNIGHT</v>
      </c>
      <c r="AV8" s="94">
        <f>(IF(ISNA(AP8),AO8+AR8,SUM($AO8,$AR8,IFERROR($AP8,"0"))))+Table2[[#This Row],[WAITING TIMES]]</f>
        <v>498.5</v>
      </c>
      <c r="AW8" s="94">
        <f>VLOOKUP(AN8,Invoicing!A:K,11,FALSE)</f>
        <v>20</v>
      </c>
      <c r="AY8" s="48"/>
      <c r="AZ8" s="94">
        <f t="shared" si="19"/>
        <v>518.5</v>
      </c>
      <c r="BA8" s="133">
        <f>VLOOKUP(AN8,Invoicing!A:J,10,FALSE)</f>
        <v>70</v>
      </c>
      <c r="BB8" s="133">
        <f>VLOOKUP(AN8,Invoicing!A:L,12,FALSE)</f>
        <v>1</v>
      </c>
      <c r="BC8" s="2" t="s">
        <v>66</v>
      </c>
    </row>
    <row r="9" spans="1:55">
      <c r="A9" s="38" t="s">
        <v>89</v>
      </c>
      <c r="B9" s="3" t="s">
        <v>77</v>
      </c>
      <c r="C9" s="11">
        <v>46026.916666666664</v>
      </c>
      <c r="D9" s="11">
        <v>46025.833333333336</v>
      </c>
      <c r="E9" s="11" t="s">
        <v>71</v>
      </c>
      <c r="F9" s="11" t="s">
        <v>90</v>
      </c>
      <c r="G9" s="11" t="s">
        <v>59</v>
      </c>
      <c r="H9" s="11" t="s">
        <v>91</v>
      </c>
      <c r="I9" s="86" t="s">
        <v>92</v>
      </c>
      <c r="J9" s="3" t="s">
        <v>82</v>
      </c>
      <c r="K9" s="11">
        <v>46027.333333333336</v>
      </c>
      <c r="L9" s="12">
        <v>46027.375</v>
      </c>
      <c r="M9" s="12">
        <v>46027.333333333336</v>
      </c>
      <c r="N9" s="12">
        <v>46027.375</v>
      </c>
      <c r="O9" s="12" t="s">
        <v>63</v>
      </c>
      <c r="P9" s="85" t="s">
        <v>64</v>
      </c>
      <c r="Q9" s="3">
        <v>0</v>
      </c>
      <c r="R9" s="1">
        <f t="shared" si="0"/>
        <v>2</v>
      </c>
      <c r="S9" s="1">
        <f t="shared" si="1"/>
        <v>1</v>
      </c>
      <c r="T9" s="126">
        <f t="shared" si="2"/>
        <v>46027.375</v>
      </c>
      <c r="U9" s="127">
        <f t="shared" si="3"/>
        <v>0.41666666667151731</v>
      </c>
      <c r="V9" s="128">
        <f>Table2[[#This Row],[ATA A OFRECIMIENTO]]*24</f>
        <v>10.000000000116415</v>
      </c>
      <c r="W9" s="1" t="str">
        <f t="shared" si="4"/>
        <v>YES</v>
      </c>
      <c r="X9" s="127">
        <f t="shared" si="5"/>
        <v>0</v>
      </c>
      <c r="Y9" s="128">
        <f>Table2[[#This Row],[DEL. AVAILABLE A SLOT]]*24</f>
        <v>0</v>
      </c>
      <c r="Z9" s="1" t="str">
        <f t="shared" si="6"/>
        <v>SI</v>
      </c>
      <c r="AA9" s="127">
        <f t="shared" si="7"/>
        <v>0.41666666667151731</v>
      </c>
      <c r="AB9" s="128">
        <f>Table2[[#This Row],[ATA A TIMESLOT]]*24</f>
        <v>10.000000000116415</v>
      </c>
      <c r="AC9" s="127">
        <f t="shared" si="8"/>
        <v>4.1666666664241347E-2</v>
      </c>
      <c r="AD9" s="127" t="str">
        <f t="shared" si="9"/>
        <v>NO</v>
      </c>
      <c r="AE9" s="128">
        <f>Table2[[#This Row],[PUNTUALIDAD (H)]]*24</f>
        <v>0.99999999994179234</v>
      </c>
      <c r="AF9" s="127">
        <f t="shared" si="10"/>
        <v>0.45833333333575865</v>
      </c>
      <c r="AG9" s="128">
        <f>Table2[[#This Row],[ATA TO UNLOADING]]*24</f>
        <v>11.000000000058208</v>
      </c>
      <c r="AH9" s="128" t="str">
        <f>IF(Table2[[#This Row],[ATA TO UNLOADING 2]]&lt;=48,"YES","NO")</f>
        <v>YES</v>
      </c>
      <c r="AJ9" s="129">
        <f t="shared" si="11"/>
        <v>0.33333333333575865</v>
      </c>
      <c r="AK9" s="2" t="s">
        <v>64</v>
      </c>
      <c r="AL9" s="2" t="str">
        <f t="shared" si="12"/>
        <v>2/26</v>
      </c>
      <c r="AM9" s="2" t="str">
        <f t="shared" si="13"/>
        <v>TCLU8157186</v>
      </c>
      <c r="AN9" s="130" t="str">
        <f t="shared" si="14"/>
        <v>LOGIX</v>
      </c>
      <c r="AO9" s="50">
        <f>IF($O9="TRUCK",
VLOOKUP($AU9,Invoicing!$A$16:$B$56,MATCH($AO$1,Invoicing!$A$16:$B$16,0),FALSE)+IF(OR($B9="DCD",$B9="HPD2"),23.5,0),
VLOOKUP($AU9,Invoicing!$N$15:$O$19,MATCH($AO$1,Invoicing!$N$15:$O$15,0),FALSE)+IF(OR($B9="DCD",$B9="HPD2"),23.5,0))</f>
        <v>573.5</v>
      </c>
      <c r="AP9" s="131" t="e">
        <f>VLOOKUP($E9,Invoicing!$A$1:$H$12,MATCH(TRACKER!$P11,Invoicing!$A$1:$H$1,0),FALSE)</f>
        <v>#N/A</v>
      </c>
      <c r="AQ9" s="131">
        <f>VLOOKUP($E9,Invoicing!$A$1:$H$12,MATCH(TRACKER!$Q$1,Invoicing!$A$1:$H$1,0),FALSE)</f>
        <v>50</v>
      </c>
      <c r="AR9" s="131">
        <f t="shared" si="15"/>
        <v>0</v>
      </c>
      <c r="AS9" s="2">
        <f t="shared" si="16"/>
        <v>1</v>
      </c>
      <c r="AT9" s="2" t="str">
        <f t="shared" si="17"/>
        <v>WEEK</v>
      </c>
      <c r="AU9" s="2" t="str">
        <f t="shared" si="18"/>
        <v>LOGIXWEEK</v>
      </c>
      <c r="AV9" s="94">
        <f>(IF(ISNA(AP9),AO9+AR9,SUM($AO9,$AR9,IFERROR($AP9,"0"))))+Table2[[#This Row],[WAITING TIMES]]</f>
        <v>573.5</v>
      </c>
      <c r="AW9" s="94">
        <f>VLOOKUP(AN9,Invoicing!A:K,11,FALSE)</f>
        <v>20</v>
      </c>
      <c r="AY9" s="48"/>
      <c r="AZ9" s="94">
        <f t="shared" si="19"/>
        <v>593.5</v>
      </c>
      <c r="BA9" s="133">
        <f>VLOOKUP(AN9,Invoicing!A:J,10,FALSE)</f>
        <v>70</v>
      </c>
      <c r="BB9" s="133">
        <f>VLOOKUP(AN9,Invoicing!A:L,12,FALSE)</f>
        <v>1</v>
      </c>
      <c r="BC9" s="2" t="s">
        <v>66</v>
      </c>
    </row>
    <row r="10" spans="1:55">
      <c r="A10" s="38" t="s">
        <v>89</v>
      </c>
      <c r="B10" s="3" t="s">
        <v>77</v>
      </c>
      <c r="C10" s="11">
        <v>46026.916666666664</v>
      </c>
      <c r="D10" s="11">
        <v>46025.833333333336</v>
      </c>
      <c r="E10" s="11" t="s">
        <v>71</v>
      </c>
      <c r="F10" s="11" t="s">
        <v>90</v>
      </c>
      <c r="G10" s="11" t="s">
        <v>59</v>
      </c>
      <c r="H10" s="11" t="s">
        <v>91</v>
      </c>
      <c r="I10" s="86" t="s">
        <v>93</v>
      </c>
      <c r="J10" s="3" t="s">
        <v>82</v>
      </c>
      <c r="K10" s="11">
        <v>46027.333333333336</v>
      </c>
      <c r="L10" s="12">
        <v>46028.522916666669</v>
      </c>
      <c r="M10" s="12">
        <v>46028.583333333336</v>
      </c>
      <c r="N10" s="12">
        <v>46028.554166666669</v>
      </c>
      <c r="O10" s="12" t="s">
        <v>63</v>
      </c>
      <c r="P10" s="85" t="s">
        <v>64</v>
      </c>
      <c r="Q10" s="3">
        <v>0</v>
      </c>
      <c r="R10" s="1">
        <f t="shared" si="0"/>
        <v>2</v>
      </c>
      <c r="S10" s="1">
        <f t="shared" si="1"/>
        <v>1</v>
      </c>
      <c r="T10" s="126">
        <f t="shared" si="2"/>
        <v>46028.522916666669</v>
      </c>
      <c r="U10" s="127">
        <f t="shared" si="3"/>
        <v>0.41666666667151731</v>
      </c>
      <c r="V10" s="128">
        <f>Table2[[#This Row],[ATA A OFRECIMIENTO]]*24</f>
        <v>10.000000000116415</v>
      </c>
      <c r="W10" s="1" t="str">
        <f t="shared" si="4"/>
        <v>YES</v>
      </c>
      <c r="X10" s="127">
        <f t="shared" si="5"/>
        <v>1.25</v>
      </c>
      <c r="Y10" s="128">
        <f>Table2[[#This Row],[DEL. AVAILABLE A SLOT]]*24</f>
        <v>30</v>
      </c>
      <c r="Z10" s="1" t="str">
        <f t="shared" si="6"/>
        <v>NO</v>
      </c>
      <c r="AA10" s="127">
        <f t="shared" si="7"/>
        <v>1.6666666666715173</v>
      </c>
      <c r="AB10" s="128">
        <f>Table2[[#This Row],[ATA A TIMESLOT]]*24</f>
        <v>40.000000000116415</v>
      </c>
      <c r="AC10" s="127">
        <f t="shared" si="8"/>
        <v>0</v>
      </c>
      <c r="AD10" s="127" t="str">
        <f t="shared" si="9"/>
        <v>SI</v>
      </c>
      <c r="AE10" s="128">
        <f>Table2[[#This Row],[PUNTUALIDAD (H)]]*24</f>
        <v>0</v>
      </c>
      <c r="AF10" s="127">
        <f t="shared" si="10"/>
        <v>1.6375000000043656</v>
      </c>
      <c r="AG10" s="128">
        <f>Table2[[#This Row],[ATA TO UNLOADING]]*24</f>
        <v>39.300000000104774</v>
      </c>
      <c r="AH10" s="128" t="str">
        <f>IF(Table2[[#This Row],[ATA TO UNLOADING 2]]&lt;=48,"YES","NO")</f>
        <v>YES</v>
      </c>
      <c r="AJ10" s="129">
        <f t="shared" si="11"/>
        <v>0.58333333333575865</v>
      </c>
      <c r="AK10" s="2" t="s">
        <v>64</v>
      </c>
      <c r="AL10" s="2" t="str">
        <f t="shared" si="12"/>
        <v>2/26</v>
      </c>
      <c r="AM10" s="2" t="str">
        <f t="shared" si="13"/>
        <v>MRKU6156890</v>
      </c>
      <c r="AN10" s="130" t="str">
        <f t="shared" si="14"/>
        <v>LOGIX</v>
      </c>
      <c r="AO10" s="50">
        <f>IF($O10="TRUCK",
VLOOKUP($AU10,Invoicing!$A$16:$B$56,MATCH($AO$1,Invoicing!$A$16:$B$16,0),FALSE)+IF(OR($B10="DCD",$B10="HPD2"),23.5,0),
VLOOKUP($AU10,Invoicing!$N$15:$O$19,MATCH($AO$1,Invoicing!$N$15:$O$15,0),FALSE)+IF(OR($B10="DCD",$B10="HPD2"),23.5,0))</f>
        <v>573.5</v>
      </c>
      <c r="AP10" s="131">
        <f>VLOOKUP($E10,Invoicing!$A$1:$H$12,MATCH(TRACKER!$P12,Invoicing!$A$1:$H$1,0),FALSE)</f>
        <v>100</v>
      </c>
      <c r="AQ10" s="131">
        <f>VLOOKUP($E10,Invoicing!$A$1:$H$12,MATCH(TRACKER!$Q$1,Invoicing!$A$1:$H$1,0),FALSE)</f>
        <v>50</v>
      </c>
      <c r="AR10" s="131">
        <f t="shared" si="15"/>
        <v>0</v>
      </c>
      <c r="AS10" s="2">
        <f t="shared" si="16"/>
        <v>2</v>
      </c>
      <c r="AT10" s="2" t="str">
        <f t="shared" si="17"/>
        <v>WEEK</v>
      </c>
      <c r="AU10" s="2" t="str">
        <f t="shared" si="18"/>
        <v>LOGIXWEEK</v>
      </c>
      <c r="AV10" s="94">
        <f>(IF(ISNA(AP10),AO10+AR10,SUM($AO10,$AR10,IFERROR($AP10,"0"))))+Table2[[#This Row],[WAITING TIMES]]</f>
        <v>673.5</v>
      </c>
      <c r="AW10" s="94">
        <f>VLOOKUP(AN10,Invoicing!A:K,11,FALSE)</f>
        <v>20</v>
      </c>
      <c r="AY10" s="48"/>
      <c r="AZ10" s="94">
        <f t="shared" si="19"/>
        <v>693.5</v>
      </c>
      <c r="BA10" s="133">
        <f>VLOOKUP(AN10,Invoicing!A:J,10,FALSE)</f>
        <v>70</v>
      </c>
      <c r="BB10" s="133">
        <f>VLOOKUP(AN10,Invoicing!A:L,12,FALSE)</f>
        <v>1</v>
      </c>
      <c r="BC10" s="2" t="s">
        <v>66</v>
      </c>
    </row>
    <row r="11" spans="1:55">
      <c r="A11" s="38" t="s">
        <v>89</v>
      </c>
      <c r="B11" s="3" t="s">
        <v>77</v>
      </c>
      <c r="C11" s="11">
        <v>46026.916666666664</v>
      </c>
      <c r="D11" s="11">
        <v>46025.833333333336</v>
      </c>
      <c r="E11" s="11" t="s">
        <v>71</v>
      </c>
      <c r="F11" s="11" t="s">
        <v>94</v>
      </c>
      <c r="G11" s="11" t="s">
        <v>59</v>
      </c>
      <c r="H11" s="11" t="s">
        <v>91</v>
      </c>
      <c r="I11" s="86" t="s">
        <v>95</v>
      </c>
      <c r="J11" s="3" t="s">
        <v>82</v>
      </c>
      <c r="K11" s="11">
        <v>46027.333333333336</v>
      </c>
      <c r="L11" s="12">
        <v>46028.604166666664</v>
      </c>
      <c r="M11" s="12">
        <v>46028.708333333336</v>
      </c>
      <c r="N11" s="12">
        <v>46028.625</v>
      </c>
      <c r="O11" s="12" t="s">
        <v>63</v>
      </c>
      <c r="P11" s="85" t="s">
        <v>64</v>
      </c>
      <c r="Q11" s="3">
        <v>0</v>
      </c>
      <c r="R11" s="1">
        <f t="shared" si="0"/>
        <v>2</v>
      </c>
      <c r="S11" s="1">
        <f t="shared" si="1"/>
        <v>1</v>
      </c>
      <c r="T11" s="126">
        <f t="shared" si="2"/>
        <v>46028.604166666664</v>
      </c>
      <c r="U11" s="127">
        <f t="shared" si="3"/>
        <v>0.41666666667151731</v>
      </c>
      <c r="V11" s="128">
        <f>Table2[[#This Row],[ATA A OFRECIMIENTO]]*24</f>
        <v>10.000000000116415</v>
      </c>
      <c r="W11" s="1" t="str">
        <f t="shared" si="4"/>
        <v>YES</v>
      </c>
      <c r="X11" s="127">
        <f t="shared" si="5"/>
        <v>1.375</v>
      </c>
      <c r="Y11" s="128">
        <f>Table2[[#This Row],[DEL. AVAILABLE A SLOT]]*24</f>
        <v>33</v>
      </c>
      <c r="Z11" s="1" t="str">
        <f t="shared" si="6"/>
        <v>NO</v>
      </c>
      <c r="AA11" s="127">
        <f t="shared" si="7"/>
        <v>1.7916666666715173</v>
      </c>
      <c r="AB11" s="128">
        <f>Table2[[#This Row],[ATA A TIMESLOT]]*24</f>
        <v>43.000000000116415</v>
      </c>
      <c r="AC11" s="127">
        <f t="shared" si="8"/>
        <v>0</v>
      </c>
      <c r="AD11" s="127" t="str">
        <f t="shared" si="9"/>
        <v>SI</v>
      </c>
      <c r="AE11" s="128">
        <f>Table2[[#This Row],[PUNTUALIDAD (H)]]*24</f>
        <v>0</v>
      </c>
      <c r="AF11" s="127">
        <f t="shared" si="10"/>
        <v>1.7083333333357587</v>
      </c>
      <c r="AG11" s="128">
        <f>Table2[[#This Row],[ATA TO UNLOADING]]*24</f>
        <v>41.000000000058208</v>
      </c>
      <c r="AH11" s="128" t="str">
        <f>IF(Table2[[#This Row],[ATA TO UNLOADING 2]]&lt;=48,"YES","NO")</f>
        <v>YES</v>
      </c>
      <c r="AJ11" s="129">
        <f t="shared" si="11"/>
        <v>0.70833333333575865</v>
      </c>
      <c r="AK11" s="2" t="s">
        <v>64</v>
      </c>
      <c r="AL11" s="2" t="str">
        <f t="shared" si="12"/>
        <v>2/26</v>
      </c>
      <c r="AM11" s="2" t="str">
        <f t="shared" si="13"/>
        <v>MRSU5088161</v>
      </c>
      <c r="AN11" s="130" t="str">
        <f t="shared" si="14"/>
        <v>LOGIX</v>
      </c>
      <c r="AO11" s="50">
        <f>IF($O11="TRUCK",
VLOOKUP($AU11,Invoicing!$A$16:$B$56,MATCH($AO$1,Invoicing!$A$16:$B$16,0),FALSE)+IF(OR($B11="DCD",$B11="HPD2"),23.5,0),
VLOOKUP($AU11,Invoicing!$N$15:$O$19,MATCH($AO$1,Invoicing!$N$15:$O$15,0),FALSE)+IF(OR($B11="DCD",$B11="HPD2"),23.5,0))</f>
        <v>573.5</v>
      </c>
      <c r="AP11" s="131" t="e">
        <f>VLOOKUP($E11,Invoicing!$A$1:$H$12,MATCH(TRACKER!$P13,Invoicing!$A$1:$H$1,0),FALSE)</f>
        <v>#N/A</v>
      </c>
      <c r="AQ11" s="131">
        <f>VLOOKUP($E11,Invoicing!$A$1:$H$12,MATCH(TRACKER!$Q$1,Invoicing!$A$1:$H$1,0),FALSE)</f>
        <v>50</v>
      </c>
      <c r="AR11" s="131">
        <f t="shared" si="15"/>
        <v>0</v>
      </c>
      <c r="AS11" s="2">
        <f t="shared" si="16"/>
        <v>2</v>
      </c>
      <c r="AT11" s="2" t="str">
        <f t="shared" si="17"/>
        <v>WEEK</v>
      </c>
      <c r="AU11" s="2" t="str">
        <f t="shared" si="18"/>
        <v>LOGIXWEEK</v>
      </c>
      <c r="AV11" s="94">
        <f>(IF(ISNA(AP11),AO11+AR11,SUM($AO11,$AR11,IFERROR($AP11,"0"))))+Table2[[#This Row],[WAITING TIMES]]</f>
        <v>573.5</v>
      </c>
      <c r="AW11" s="94">
        <f>VLOOKUP(AN11,Invoicing!A:K,11,FALSE)</f>
        <v>20</v>
      </c>
      <c r="AY11" s="48"/>
      <c r="AZ11" s="94">
        <f t="shared" si="19"/>
        <v>593.5</v>
      </c>
      <c r="BA11" s="133">
        <f>VLOOKUP(AN11,Invoicing!A:J,10,FALSE)</f>
        <v>70</v>
      </c>
      <c r="BB11" s="133">
        <f>VLOOKUP(AN11,Invoicing!A:L,12,FALSE)</f>
        <v>1</v>
      </c>
      <c r="BC11" s="2" t="s">
        <v>66</v>
      </c>
    </row>
    <row r="12" spans="1:55">
      <c r="A12" s="38" t="s">
        <v>89</v>
      </c>
      <c r="B12" s="3" t="s">
        <v>77</v>
      </c>
      <c r="C12" s="11">
        <v>46026.916666666664</v>
      </c>
      <c r="D12" s="11">
        <v>46025.833333333336</v>
      </c>
      <c r="E12" s="11" t="s">
        <v>71</v>
      </c>
      <c r="F12" s="11" t="s">
        <v>96</v>
      </c>
      <c r="G12" s="11" t="s">
        <v>59</v>
      </c>
      <c r="H12" s="11" t="s">
        <v>91</v>
      </c>
      <c r="I12" s="86" t="s">
        <v>97</v>
      </c>
      <c r="J12" s="3" t="s">
        <v>82</v>
      </c>
      <c r="K12" s="11">
        <v>46027.333333333336</v>
      </c>
      <c r="L12" s="12">
        <v>46028.859722222223</v>
      </c>
      <c r="M12" s="12">
        <v>46028.833333333336</v>
      </c>
      <c r="N12" s="12">
        <v>46028.892361111109</v>
      </c>
      <c r="O12" s="12" t="s">
        <v>63</v>
      </c>
      <c r="P12" s="85" t="s">
        <v>15</v>
      </c>
      <c r="Q12" s="3">
        <v>0</v>
      </c>
      <c r="R12" s="1">
        <f t="shared" si="0"/>
        <v>2</v>
      </c>
      <c r="S12" s="1">
        <f t="shared" si="1"/>
        <v>1</v>
      </c>
      <c r="T12" s="126">
        <f t="shared" si="2"/>
        <v>46028.859722222223</v>
      </c>
      <c r="U12" s="127">
        <f t="shared" si="3"/>
        <v>0.41666666667151731</v>
      </c>
      <c r="V12" s="128">
        <f>Table2[[#This Row],[ATA A OFRECIMIENTO]]*24</f>
        <v>10.000000000116415</v>
      </c>
      <c r="W12" s="1" t="str">
        <f t="shared" si="4"/>
        <v>YES</v>
      </c>
      <c r="X12" s="127">
        <f t="shared" si="5"/>
        <v>1.5</v>
      </c>
      <c r="Y12" s="128">
        <f>Table2[[#This Row],[DEL. AVAILABLE A SLOT]]*24</f>
        <v>36</v>
      </c>
      <c r="Z12" s="1" t="str">
        <f t="shared" si="6"/>
        <v>NO</v>
      </c>
      <c r="AA12" s="127">
        <f t="shared" si="7"/>
        <v>1.9166666666715173</v>
      </c>
      <c r="AB12" s="128">
        <f>Table2[[#This Row],[ATA A TIMESLOT]]*24</f>
        <v>46.000000000116415</v>
      </c>
      <c r="AC12" s="127">
        <f t="shared" si="8"/>
        <v>2.6388888887595385E-2</v>
      </c>
      <c r="AD12" s="127" t="str">
        <f t="shared" si="9"/>
        <v>SI</v>
      </c>
      <c r="AE12" s="128">
        <f>Table2[[#This Row],[PUNTUALIDAD (H)]]*24</f>
        <v>0.63333333330228925</v>
      </c>
      <c r="AF12" s="127">
        <f t="shared" si="10"/>
        <v>1.9756944444452529</v>
      </c>
      <c r="AG12" s="128">
        <f>Table2[[#This Row],[ATA TO UNLOADING]]*24</f>
        <v>47.416666666686069</v>
      </c>
      <c r="AH12" s="128" t="str">
        <f>IF(Table2[[#This Row],[ATA TO UNLOADING 2]]&lt;=48,"YES","NO")</f>
        <v>YES</v>
      </c>
      <c r="AJ12" s="129">
        <f t="shared" si="11"/>
        <v>0.83333333333575865</v>
      </c>
      <c r="AK12" s="49" t="s">
        <v>36</v>
      </c>
      <c r="AL12" s="2" t="str">
        <f t="shared" si="12"/>
        <v>2/26</v>
      </c>
      <c r="AM12" s="2" t="str">
        <f t="shared" si="13"/>
        <v>MRSU7901394</v>
      </c>
      <c r="AN12" s="130" t="str">
        <f t="shared" si="14"/>
        <v>LOGIX</v>
      </c>
      <c r="AO12" s="50">
        <f>IF($O12="TRUCK",
VLOOKUP($AU12,Invoicing!$A$16:$B$56,MATCH($AO$1,Invoicing!$A$16:$B$16,0),FALSE)+IF(OR($B12="DCD",$B12="HPD2"),23.5,0),
VLOOKUP($AU12,Invoicing!$N$15:$O$19,MATCH($AO$1,Invoicing!$N$15:$O$15,0),FALSE)+IF(OR($B12="DCD",$B12="HPD2"),23.5,0))</f>
        <v>573.5</v>
      </c>
      <c r="AP12" s="131" t="e">
        <f>VLOOKUP($E12,Invoicing!$A$1:$H$12,MATCH(TRACKER!$P14,Invoicing!$A$1:$H$1,0),FALSE)</f>
        <v>#N/A</v>
      </c>
      <c r="AQ12" s="131">
        <f>VLOOKUP($E12,Invoicing!$A$1:$H$12,MATCH(TRACKER!$Q$1,Invoicing!$A$1:$H$1,0),FALSE)</f>
        <v>50</v>
      </c>
      <c r="AR12" s="131">
        <f t="shared" si="15"/>
        <v>0</v>
      </c>
      <c r="AS12" s="2">
        <f t="shared" si="16"/>
        <v>2</v>
      </c>
      <c r="AT12" s="2" t="str">
        <f t="shared" si="17"/>
        <v>NIGHT</v>
      </c>
      <c r="AU12" s="2" t="str">
        <f t="shared" si="18"/>
        <v>LOGIXNIGHT</v>
      </c>
      <c r="AV12" s="94">
        <f>(IF(ISNA(AP12),AO12+AR12,SUM($AO12,$AR12,IFERROR($AP12,"0"))))+Table2[[#This Row],[WAITING TIMES]]</f>
        <v>573.5</v>
      </c>
      <c r="AW12" s="94">
        <f>VLOOKUP(AN12,Invoicing!A:K,11,FALSE)</f>
        <v>20</v>
      </c>
      <c r="AY12" s="48"/>
      <c r="AZ12" s="94">
        <f t="shared" si="19"/>
        <v>593.5</v>
      </c>
      <c r="BA12" s="133">
        <f>VLOOKUP(AN12,Invoicing!A:J,10,FALSE)</f>
        <v>70</v>
      </c>
      <c r="BB12" s="133">
        <f>VLOOKUP(AN12,Invoicing!A:L,12,FALSE)</f>
        <v>1</v>
      </c>
      <c r="BC12" s="2" t="s">
        <v>66</v>
      </c>
    </row>
    <row r="13" spans="1:55">
      <c r="A13" s="38" t="s">
        <v>89</v>
      </c>
      <c r="B13" s="3" t="s">
        <v>77</v>
      </c>
      <c r="C13" s="11">
        <v>46026.916666666664</v>
      </c>
      <c r="D13" s="11">
        <v>46025.833333333336</v>
      </c>
      <c r="E13" s="11" t="s">
        <v>98</v>
      </c>
      <c r="F13" s="11" t="s">
        <v>94</v>
      </c>
      <c r="G13" s="11" t="s">
        <v>59</v>
      </c>
      <c r="H13" s="11" t="s">
        <v>91</v>
      </c>
      <c r="I13" s="86" t="s">
        <v>99</v>
      </c>
      <c r="J13" s="3" t="s">
        <v>100</v>
      </c>
      <c r="K13" s="11">
        <v>46027.333333333336</v>
      </c>
      <c r="L13" s="12">
        <v>46027.457638888889</v>
      </c>
      <c r="M13" s="12">
        <v>46027.479166666664</v>
      </c>
      <c r="N13" s="12">
        <v>46027.466666666667</v>
      </c>
      <c r="O13" s="12" t="s">
        <v>63</v>
      </c>
      <c r="P13" s="85" t="s">
        <v>64</v>
      </c>
      <c r="Q13" s="3">
        <v>1</v>
      </c>
      <c r="R13" s="1">
        <f t="shared" si="0"/>
        <v>2</v>
      </c>
      <c r="S13" s="1">
        <f t="shared" si="1"/>
        <v>1</v>
      </c>
      <c r="T13" s="126">
        <f t="shared" si="2"/>
        <v>46027.457638888889</v>
      </c>
      <c r="U13" s="127">
        <f t="shared" si="3"/>
        <v>0.41666666667151731</v>
      </c>
      <c r="V13" s="128">
        <f>Table2[[#This Row],[ATA A OFRECIMIENTO]]*24</f>
        <v>10.000000000116415</v>
      </c>
      <c r="W13" s="1" t="str">
        <f t="shared" si="4"/>
        <v>YES</v>
      </c>
      <c r="X13" s="127">
        <f t="shared" si="5"/>
        <v>0.14583333332848269</v>
      </c>
      <c r="Y13" s="128">
        <f>Table2[[#This Row],[DEL. AVAILABLE A SLOT]]*24</f>
        <v>3.4999999998835847</v>
      </c>
      <c r="Z13" s="1" t="str">
        <f t="shared" si="6"/>
        <v>SI</v>
      </c>
      <c r="AA13" s="127">
        <f t="shared" si="7"/>
        <v>0.5625</v>
      </c>
      <c r="AB13" s="128">
        <f>Table2[[#This Row],[ATA A TIMESLOT]]*24</f>
        <v>13.5</v>
      </c>
      <c r="AC13" s="127">
        <f t="shared" si="8"/>
        <v>0</v>
      </c>
      <c r="AD13" s="127" t="str">
        <f t="shared" si="9"/>
        <v>SI</v>
      </c>
      <c r="AE13" s="128">
        <f>Table2[[#This Row],[PUNTUALIDAD (H)]]*24</f>
        <v>0</v>
      </c>
      <c r="AF13" s="127">
        <f t="shared" si="10"/>
        <v>0.55000000000291038</v>
      </c>
      <c r="AG13" s="128">
        <f>Table2[[#This Row],[ATA TO UNLOADING]]*24</f>
        <v>13.200000000069849</v>
      </c>
      <c r="AH13" s="128" t="str">
        <f>IF(Table2[[#This Row],[ATA TO UNLOADING 2]]&lt;=48,"YES","NO")</f>
        <v>YES</v>
      </c>
      <c r="AJ13" s="129">
        <f t="shared" si="11"/>
        <v>0.47916666666424135</v>
      </c>
      <c r="AK13" s="2" t="s">
        <v>64</v>
      </c>
      <c r="AL13" s="2" t="str">
        <f t="shared" si="12"/>
        <v>2/26</v>
      </c>
      <c r="AM13" s="2" t="str">
        <f t="shared" si="13"/>
        <v>MRKU5625592</v>
      </c>
      <c r="AN13" s="130" t="str">
        <f t="shared" si="14"/>
        <v>MSI</v>
      </c>
      <c r="AO13" s="50">
        <f>IF($O13="TRUCK",
VLOOKUP($AU13,Invoicing!$A$16:$B$56,MATCH($AO$1,Invoicing!$A$16:$B$16,0),FALSE)+IF(OR($B13="DCD",$B13="HPD2"),23.5,0),
VLOOKUP($AU13,Invoicing!$N$15:$O$19,MATCH($AO$1,Invoicing!$N$15:$O$15,0),FALSE)+IF(OR($B13="DCD",$B13="HPD2"),23.5,0))</f>
        <v>503.5</v>
      </c>
      <c r="AP13" s="131" t="e">
        <f>VLOOKUP($E13,Invoicing!$A$1:$H$12,MATCH(TRACKER!$P34,Invoicing!$A$1:$H$1,0),FALSE)</f>
        <v>#N/A</v>
      </c>
      <c r="AQ13" s="131">
        <f>VLOOKUP($E13,Invoicing!$A$1:$H$12,MATCH(TRACKER!$Q$1,Invoicing!$A$1:$H$1,0),FALSE)</f>
        <v>50</v>
      </c>
      <c r="AR13" s="131">
        <f t="shared" si="15"/>
        <v>50</v>
      </c>
      <c r="AS13" s="2">
        <f t="shared" si="16"/>
        <v>1</v>
      </c>
      <c r="AT13" s="2" t="str">
        <f t="shared" si="17"/>
        <v>WEEK</v>
      </c>
      <c r="AU13" s="2" t="str">
        <f t="shared" si="18"/>
        <v>MSIWEEK</v>
      </c>
      <c r="AV13" s="94">
        <f>(IF(ISNA(AP13),AO13+AR13,SUM($AO13,$AR13,IFERROR($AP13,"0"))))+Table2[[#This Row],[WAITING TIMES]]</f>
        <v>553.5</v>
      </c>
      <c r="AW13" s="94">
        <f>VLOOKUP(AN13,Invoicing!A:K,11,FALSE)</f>
        <v>20</v>
      </c>
      <c r="AY13" s="48"/>
      <c r="AZ13" s="94">
        <f t="shared" si="19"/>
        <v>573.5</v>
      </c>
      <c r="BA13" s="133">
        <f>VLOOKUP(AN13,Invoicing!A:J,10,FALSE)</f>
        <v>70</v>
      </c>
      <c r="BB13" s="133">
        <f>VLOOKUP(AN13,Invoicing!A:L,12,FALSE)</f>
        <v>1</v>
      </c>
      <c r="BC13" s="2" t="s">
        <v>66</v>
      </c>
    </row>
    <row r="14" spans="1:55">
      <c r="A14" s="38" t="s">
        <v>89</v>
      </c>
      <c r="B14" s="3" t="s">
        <v>77</v>
      </c>
      <c r="C14" s="11">
        <v>46026.916666666664</v>
      </c>
      <c r="D14" s="11">
        <v>46025.833333333336</v>
      </c>
      <c r="E14" s="11" t="s">
        <v>98</v>
      </c>
      <c r="F14" s="11" t="s">
        <v>90</v>
      </c>
      <c r="G14" s="11" t="s">
        <v>59</v>
      </c>
      <c r="H14" s="11" t="s">
        <v>91</v>
      </c>
      <c r="I14" s="86" t="s">
        <v>101</v>
      </c>
      <c r="J14" s="3" t="s">
        <v>62</v>
      </c>
      <c r="K14" s="11">
        <v>46027.333333333336</v>
      </c>
      <c r="L14" s="12">
        <v>46027.513888888891</v>
      </c>
      <c r="M14" s="12">
        <v>46027.5</v>
      </c>
      <c r="N14" s="12">
        <v>46027.583333333336</v>
      </c>
      <c r="O14" s="12" t="s">
        <v>63</v>
      </c>
      <c r="P14" s="85" t="s">
        <v>64</v>
      </c>
      <c r="Q14" s="3">
        <v>0</v>
      </c>
      <c r="R14" s="1">
        <f t="shared" si="0"/>
        <v>2</v>
      </c>
      <c r="S14" s="1">
        <f t="shared" si="1"/>
        <v>1</v>
      </c>
      <c r="T14" s="126">
        <f t="shared" si="2"/>
        <v>46027.513888888891</v>
      </c>
      <c r="U14" s="127">
        <f t="shared" si="3"/>
        <v>0.41666666667151731</v>
      </c>
      <c r="V14" s="128">
        <f>Table2[[#This Row],[ATA A OFRECIMIENTO]]*24</f>
        <v>10.000000000116415</v>
      </c>
      <c r="W14" s="1" t="str">
        <f t="shared" si="4"/>
        <v>YES</v>
      </c>
      <c r="X14" s="127">
        <f t="shared" si="5"/>
        <v>0.16666666666424135</v>
      </c>
      <c r="Y14" s="128">
        <f>Table2[[#This Row],[DEL. AVAILABLE A SLOT]]*24</f>
        <v>3.9999999999417923</v>
      </c>
      <c r="Z14" s="1" t="str">
        <f t="shared" si="6"/>
        <v>SI</v>
      </c>
      <c r="AA14" s="127">
        <f t="shared" si="7"/>
        <v>0.58333333333575865</v>
      </c>
      <c r="AB14" s="128">
        <f>Table2[[#This Row],[ATA A TIMESLOT]]*24</f>
        <v>14.000000000058208</v>
      </c>
      <c r="AC14" s="127">
        <f t="shared" si="8"/>
        <v>1.3888888890505768E-2</v>
      </c>
      <c r="AD14" s="127" t="str">
        <f t="shared" si="9"/>
        <v>SI</v>
      </c>
      <c r="AE14" s="128">
        <f>Table2[[#This Row],[PUNTUALIDAD (H)]]*24</f>
        <v>0.33333333337213844</v>
      </c>
      <c r="AF14" s="127">
        <f t="shared" si="10"/>
        <v>0.66666666667151731</v>
      </c>
      <c r="AG14" s="128">
        <f>Table2[[#This Row],[ATA TO UNLOADING]]*24</f>
        <v>16.000000000116415</v>
      </c>
      <c r="AH14" s="128" t="str">
        <f>IF(Table2[[#This Row],[ATA TO UNLOADING 2]]&lt;=48,"YES","NO")</f>
        <v>YES</v>
      </c>
      <c r="AJ14" s="129">
        <f t="shared" si="11"/>
        <v>0.5</v>
      </c>
      <c r="AK14" s="2" t="s">
        <v>64</v>
      </c>
      <c r="AL14" s="2" t="str">
        <f t="shared" si="12"/>
        <v>2/26</v>
      </c>
      <c r="AM14" s="2" t="str">
        <f t="shared" si="13"/>
        <v>TCNU5285410</v>
      </c>
      <c r="AN14" s="130" t="str">
        <f t="shared" si="14"/>
        <v>MSI</v>
      </c>
      <c r="AO14" s="50">
        <f>IF($O14="TRUCK",
VLOOKUP($AU14,Invoicing!$A$16:$B$56,MATCH($AO$1,Invoicing!$A$16:$B$16,0),FALSE)+IF(OR($B14="DCD",$B14="HPD2"),23.5,0),
VLOOKUP($AU14,Invoicing!$N$15:$O$19,MATCH($AO$1,Invoicing!$N$15:$O$15,0),FALSE)+IF(OR($B14="DCD",$B14="HPD2"),23.5,0))</f>
        <v>503.5</v>
      </c>
      <c r="AP14" s="131" t="e">
        <f>VLOOKUP($E14,Invoicing!$A$1:$H$12,MATCH(TRACKER!$P35,Invoicing!$A$1:$H$1,0),FALSE)</f>
        <v>#N/A</v>
      </c>
      <c r="AQ14" s="131">
        <f>VLOOKUP($E14,Invoicing!$A$1:$H$12,MATCH(TRACKER!$Q$1,Invoicing!$A$1:$H$1,0),FALSE)</f>
        <v>50</v>
      </c>
      <c r="AR14" s="131">
        <f t="shared" si="15"/>
        <v>0</v>
      </c>
      <c r="AS14" s="2">
        <f t="shared" si="16"/>
        <v>1</v>
      </c>
      <c r="AT14" s="2" t="str">
        <f t="shared" si="17"/>
        <v>WEEK</v>
      </c>
      <c r="AU14" s="2" t="str">
        <f t="shared" si="18"/>
        <v>MSIWEEK</v>
      </c>
      <c r="AV14" s="94">
        <f>(IF(ISNA(AP14),AO14+AR14,SUM($AO14,$AR14,IFERROR($AP14,"0"))))+Table2[[#This Row],[WAITING TIMES]]</f>
        <v>578.5</v>
      </c>
      <c r="AW14" s="94">
        <f>VLOOKUP(AN14,Invoicing!A:K,11,FALSE)</f>
        <v>20</v>
      </c>
      <c r="AX14" s="48">
        <v>75</v>
      </c>
      <c r="AY14" s="94" t="s">
        <v>102</v>
      </c>
      <c r="AZ14" s="94">
        <f t="shared" si="19"/>
        <v>598.5</v>
      </c>
      <c r="BA14" s="133">
        <f>VLOOKUP(AN14,Invoicing!A:J,10,FALSE)</f>
        <v>70</v>
      </c>
      <c r="BB14" s="133">
        <f>VLOOKUP(AN14,Invoicing!A:L,12,FALSE)</f>
        <v>1</v>
      </c>
      <c r="BC14" s="2" t="s">
        <v>66</v>
      </c>
    </row>
    <row r="15" spans="1:55">
      <c r="A15" s="38" t="s">
        <v>89</v>
      </c>
      <c r="B15" s="3" t="s">
        <v>77</v>
      </c>
      <c r="C15" s="11">
        <v>46026.916666666664</v>
      </c>
      <c r="D15" s="11">
        <v>46025.833333333336</v>
      </c>
      <c r="E15" s="11" t="s">
        <v>98</v>
      </c>
      <c r="F15" s="11" t="s">
        <v>96</v>
      </c>
      <c r="G15" s="11" t="s">
        <v>59</v>
      </c>
      <c r="H15" s="11" t="s">
        <v>91</v>
      </c>
      <c r="I15" s="86" t="s">
        <v>103</v>
      </c>
      <c r="J15" s="3" t="s">
        <v>82</v>
      </c>
      <c r="K15" s="11">
        <v>46027.333333333336</v>
      </c>
      <c r="L15" s="12">
        <v>46027.575694444444</v>
      </c>
      <c r="M15" s="12">
        <v>46027.583333333336</v>
      </c>
      <c r="N15" s="12">
        <v>46027.611111111109</v>
      </c>
      <c r="O15" s="12" t="s">
        <v>63</v>
      </c>
      <c r="P15" s="85" t="s">
        <v>15</v>
      </c>
      <c r="Q15" s="3">
        <v>0</v>
      </c>
      <c r="R15" s="1">
        <f t="shared" si="0"/>
        <v>2</v>
      </c>
      <c r="S15" s="1">
        <f t="shared" si="1"/>
        <v>1</v>
      </c>
      <c r="T15" s="126">
        <f t="shared" si="2"/>
        <v>46027.575694444444</v>
      </c>
      <c r="U15" s="127">
        <f t="shared" si="3"/>
        <v>0.41666666667151731</v>
      </c>
      <c r="V15" s="128">
        <f>Table2[[#This Row],[ATA A OFRECIMIENTO]]*24</f>
        <v>10.000000000116415</v>
      </c>
      <c r="W15" s="1" t="str">
        <f t="shared" si="4"/>
        <v>YES</v>
      </c>
      <c r="X15" s="127">
        <f t="shared" si="5"/>
        <v>0.25</v>
      </c>
      <c r="Y15" s="128">
        <f>Table2[[#This Row],[DEL. AVAILABLE A SLOT]]*24</f>
        <v>6</v>
      </c>
      <c r="Z15" s="1" t="str">
        <f t="shared" si="6"/>
        <v>SI</v>
      </c>
      <c r="AA15" s="127">
        <f t="shared" si="7"/>
        <v>0.66666666667151731</v>
      </c>
      <c r="AB15" s="128">
        <f>Table2[[#This Row],[ATA A TIMESLOT]]*24</f>
        <v>16.000000000116415</v>
      </c>
      <c r="AC15" s="127">
        <f t="shared" si="8"/>
        <v>0</v>
      </c>
      <c r="AD15" s="127" t="str">
        <f t="shared" si="9"/>
        <v>SI</v>
      </c>
      <c r="AE15" s="128">
        <f>Table2[[#This Row],[PUNTUALIDAD (H)]]*24</f>
        <v>0</v>
      </c>
      <c r="AF15" s="127">
        <f t="shared" si="10"/>
        <v>0.69444444444525288</v>
      </c>
      <c r="AG15" s="128">
        <f>Table2[[#This Row],[ATA TO UNLOADING]]*24</f>
        <v>16.666666666686069</v>
      </c>
      <c r="AH15" s="128" t="str">
        <f>IF(Table2[[#This Row],[ATA TO UNLOADING 2]]&lt;=48,"YES","NO")</f>
        <v>YES</v>
      </c>
      <c r="AJ15" s="129">
        <f t="shared" si="11"/>
        <v>0.58333333333575865</v>
      </c>
      <c r="AK15" s="2" t="s">
        <v>64</v>
      </c>
      <c r="AL15" s="2" t="str">
        <f t="shared" si="12"/>
        <v>2/26</v>
      </c>
      <c r="AM15" s="2" t="str">
        <f t="shared" si="13"/>
        <v>MRSU5828587</v>
      </c>
      <c r="AN15" s="130" t="str">
        <f t="shared" si="14"/>
        <v>MSI</v>
      </c>
      <c r="AO15" s="50">
        <f>IF($O15="TRUCK",
VLOOKUP($AU15,Invoicing!$A$16:$B$56,MATCH($AO$1,Invoicing!$A$16:$B$16,0),FALSE)+IF(OR($B15="DCD",$B15="HPD2"),23.5,0),
VLOOKUP($AU15,Invoicing!$N$15:$O$19,MATCH($AO$1,Invoicing!$N$15:$O$15,0),FALSE)+IF(OR($B15="DCD",$B15="HPD2"),23.5,0))</f>
        <v>503.5</v>
      </c>
      <c r="AP15" s="131" t="e">
        <f>VLOOKUP($E15,Invoicing!$A$1:$H$12,MATCH(TRACKER!$P36,Invoicing!$A$1:$H$1,0),FALSE)</f>
        <v>#N/A</v>
      </c>
      <c r="AQ15" s="131">
        <f>VLOOKUP($E15,Invoicing!$A$1:$H$12,MATCH(TRACKER!$Q$1,Invoicing!$A$1:$H$1,0),FALSE)</f>
        <v>50</v>
      </c>
      <c r="AR15" s="131">
        <f t="shared" si="15"/>
        <v>0</v>
      </c>
      <c r="AS15" s="2">
        <f t="shared" si="16"/>
        <v>1</v>
      </c>
      <c r="AT15" s="2" t="str">
        <f t="shared" si="17"/>
        <v>WEEK</v>
      </c>
      <c r="AU15" s="2" t="str">
        <f t="shared" si="18"/>
        <v>MSIWEEK</v>
      </c>
      <c r="AV15" s="94">
        <f>(IF(ISNA(AP15),AO15+AR15,SUM($AO15,$AR15,IFERROR($AP15,"0"))))+Table2[[#This Row],[WAITING TIMES]]</f>
        <v>668.5</v>
      </c>
      <c r="AW15" s="94">
        <f>VLOOKUP(AN15,Invoicing!A:K,11,FALSE)</f>
        <v>20</v>
      </c>
      <c r="AX15" s="48">
        <v>165</v>
      </c>
      <c r="AY15" s="94" t="s">
        <v>104</v>
      </c>
      <c r="AZ15" s="94">
        <f t="shared" si="19"/>
        <v>688.5</v>
      </c>
      <c r="BA15" s="133">
        <f>VLOOKUP(AN15,Invoicing!A:J,10,FALSE)</f>
        <v>70</v>
      </c>
      <c r="BB15" s="133">
        <f>VLOOKUP(AN15,Invoicing!A:L,12,FALSE)</f>
        <v>1</v>
      </c>
      <c r="BC15" s="2" t="s">
        <v>66</v>
      </c>
    </row>
    <row r="16" spans="1:55">
      <c r="A16" s="38" t="s">
        <v>89</v>
      </c>
      <c r="B16" s="3" t="s">
        <v>77</v>
      </c>
      <c r="C16" s="11">
        <v>46026.916666666664</v>
      </c>
      <c r="D16" s="11">
        <v>46025.833333333336</v>
      </c>
      <c r="E16" s="11" t="s">
        <v>83</v>
      </c>
      <c r="F16" s="11" t="s">
        <v>96</v>
      </c>
      <c r="G16" s="11" t="s">
        <v>59</v>
      </c>
      <c r="H16" s="11" t="s">
        <v>91</v>
      </c>
      <c r="I16" s="86" t="s">
        <v>105</v>
      </c>
      <c r="J16" s="3" t="s">
        <v>82</v>
      </c>
      <c r="K16" s="11">
        <v>46027.333333333336</v>
      </c>
      <c r="L16" s="12">
        <v>46028.277083333334</v>
      </c>
      <c r="M16" s="12">
        <v>46027.333333333336</v>
      </c>
      <c r="N16" s="12">
        <v>46028.3125</v>
      </c>
      <c r="O16" s="12" t="s">
        <v>63</v>
      </c>
      <c r="P16" s="85" t="s">
        <v>15</v>
      </c>
      <c r="Q16" s="3">
        <v>0</v>
      </c>
      <c r="R16" s="1">
        <f t="shared" si="0"/>
        <v>2</v>
      </c>
      <c r="S16" s="1">
        <f t="shared" si="1"/>
        <v>1</v>
      </c>
      <c r="T16" s="126">
        <f t="shared" si="2"/>
        <v>46028.277083333334</v>
      </c>
      <c r="U16" s="127">
        <f t="shared" si="3"/>
        <v>0.41666666667151731</v>
      </c>
      <c r="V16" s="128">
        <f>Table2[[#This Row],[ATA A OFRECIMIENTO]]*24</f>
        <v>10.000000000116415</v>
      </c>
      <c r="W16" s="1" t="str">
        <f t="shared" si="4"/>
        <v>YES</v>
      </c>
      <c r="X16" s="127">
        <f t="shared" si="5"/>
        <v>0</v>
      </c>
      <c r="Y16" s="128">
        <f>Table2[[#This Row],[DEL. AVAILABLE A SLOT]]*24</f>
        <v>0</v>
      </c>
      <c r="Z16" s="1" t="str">
        <f t="shared" si="6"/>
        <v>SI</v>
      </c>
      <c r="AA16" s="127">
        <f t="shared" si="7"/>
        <v>0.41666666667151731</v>
      </c>
      <c r="AB16" s="128">
        <f>Table2[[#This Row],[ATA A TIMESLOT]]*24</f>
        <v>10.000000000116415</v>
      </c>
      <c r="AC16" s="127">
        <f t="shared" si="8"/>
        <v>0.94374999999854481</v>
      </c>
      <c r="AD16" s="127" t="str">
        <f t="shared" si="9"/>
        <v>NO</v>
      </c>
      <c r="AE16" s="128">
        <f>Table2[[#This Row],[PUNTUALIDAD (H)]]*24</f>
        <v>22.649999999965075</v>
      </c>
      <c r="AF16" s="127">
        <f t="shared" si="10"/>
        <v>1.3958333333357587</v>
      </c>
      <c r="AG16" s="128">
        <f>Table2[[#This Row],[ATA TO UNLOADING]]*24</f>
        <v>33.500000000058208</v>
      </c>
      <c r="AH16" s="128" t="str">
        <f>IF(Table2[[#This Row],[ATA TO UNLOADING 2]]&lt;=48,"YES","NO")</f>
        <v>YES</v>
      </c>
      <c r="AJ16" s="129">
        <f t="shared" si="11"/>
        <v>0.33333333333575865</v>
      </c>
      <c r="AK16" s="2" t="s">
        <v>64</v>
      </c>
      <c r="AL16" s="2" t="str">
        <f t="shared" si="12"/>
        <v>2/26</v>
      </c>
      <c r="AM16" s="2" t="str">
        <f t="shared" si="13"/>
        <v>FFAU7213016</v>
      </c>
      <c r="AN16" s="130" t="str">
        <f t="shared" si="14"/>
        <v>OM TRANSPORT</v>
      </c>
      <c r="AO16" s="50">
        <f>IF($O16="TRUCK",
VLOOKUP($AU16,Invoicing!$A$16:$B$56,MATCH($AO$1,Invoicing!$A$16:$B$16,0),FALSE)+IF(OR($B16="DCD",$B16="HPD2"),23.5,0),
VLOOKUP($AU16,Invoicing!$N$15:$O$19,MATCH($AO$1,Invoicing!$N$15:$O$15,0),FALSE)+IF(OR($B16="DCD",$B16="HPD2"),23.5,0))</f>
        <v>498.5</v>
      </c>
      <c r="AP16" s="131" t="e">
        <f>VLOOKUP($E16,Invoicing!$A$1:$H$12,MATCH(TRACKER!$P60,Invoicing!$A$1:$H$1,0),FALSE)</f>
        <v>#N/A</v>
      </c>
      <c r="AQ16" s="131">
        <f>VLOOKUP($E16,Invoicing!$A$1:$H$12,MATCH(TRACKER!$Q$1,Invoicing!$A$1:$H$1,0),FALSE)</f>
        <v>50</v>
      </c>
      <c r="AR16" s="131">
        <f t="shared" si="15"/>
        <v>0</v>
      </c>
      <c r="AS16" s="2">
        <f t="shared" si="16"/>
        <v>1</v>
      </c>
      <c r="AT16" s="2" t="str">
        <f t="shared" si="17"/>
        <v>WEEK</v>
      </c>
      <c r="AU16" s="2" t="str">
        <f t="shared" si="18"/>
        <v>OM TRANSPORTWEEK</v>
      </c>
      <c r="AV16" s="94">
        <f>(IF(ISNA(AP16),AO16+AR16,SUM($AO16,$AR16,IFERROR($AP16,"0"))))+Table2[[#This Row],[WAITING TIMES]]</f>
        <v>543.5</v>
      </c>
      <c r="AW16" s="94">
        <f>VLOOKUP(AN16,Invoicing!A:K,11,FALSE)</f>
        <v>20</v>
      </c>
      <c r="AX16" s="48">
        <v>45</v>
      </c>
      <c r="AY16" s="48" t="s">
        <v>106</v>
      </c>
      <c r="AZ16" s="94">
        <f t="shared" si="19"/>
        <v>563.5</v>
      </c>
      <c r="BA16" s="133">
        <f>VLOOKUP(AN16,Invoicing!A:J,10,FALSE)</f>
        <v>70</v>
      </c>
      <c r="BB16" s="133">
        <f>VLOOKUP(AN16,Invoicing!A:L,12,FALSE)</f>
        <v>1</v>
      </c>
      <c r="BC16" s="2" t="s">
        <v>66</v>
      </c>
    </row>
    <row r="17" spans="1:55">
      <c r="A17" s="38" t="s">
        <v>89</v>
      </c>
      <c r="B17" s="3" t="s">
        <v>77</v>
      </c>
      <c r="C17" s="11">
        <v>46026.916666666664</v>
      </c>
      <c r="D17" s="11">
        <v>46025.833333333336</v>
      </c>
      <c r="E17" s="11" t="s">
        <v>83</v>
      </c>
      <c r="F17" s="11" t="s">
        <v>94</v>
      </c>
      <c r="G17" s="11" t="s">
        <v>59</v>
      </c>
      <c r="H17" s="11" t="s">
        <v>91</v>
      </c>
      <c r="I17" s="86" t="s">
        <v>107</v>
      </c>
      <c r="J17" s="3" t="s">
        <v>82</v>
      </c>
      <c r="K17" s="11">
        <v>46027.333333333336</v>
      </c>
      <c r="L17" s="12">
        <v>46027.583333333336</v>
      </c>
      <c r="M17" s="12">
        <v>46027.583333333336</v>
      </c>
      <c r="N17" s="12">
        <v>46027.625</v>
      </c>
      <c r="O17" s="12" t="s">
        <v>63</v>
      </c>
      <c r="P17" s="85" t="s">
        <v>64</v>
      </c>
      <c r="Q17" s="3">
        <v>0</v>
      </c>
      <c r="R17" s="1">
        <f t="shared" si="0"/>
        <v>2</v>
      </c>
      <c r="S17" s="1">
        <f t="shared" si="1"/>
        <v>1</v>
      </c>
      <c r="T17" s="126">
        <f t="shared" si="2"/>
        <v>46027.583333333336</v>
      </c>
      <c r="U17" s="127">
        <f t="shared" si="3"/>
        <v>0.41666666667151731</v>
      </c>
      <c r="V17" s="128">
        <f>Table2[[#This Row],[ATA A OFRECIMIENTO]]*24</f>
        <v>10.000000000116415</v>
      </c>
      <c r="W17" s="1" t="str">
        <f t="shared" si="4"/>
        <v>YES</v>
      </c>
      <c r="X17" s="127">
        <f t="shared" si="5"/>
        <v>0.25</v>
      </c>
      <c r="Y17" s="128">
        <f>Table2[[#This Row],[DEL. AVAILABLE A SLOT]]*24</f>
        <v>6</v>
      </c>
      <c r="Z17" s="1" t="str">
        <f t="shared" si="6"/>
        <v>SI</v>
      </c>
      <c r="AA17" s="127">
        <f t="shared" si="7"/>
        <v>0.66666666667151731</v>
      </c>
      <c r="AB17" s="128">
        <f>Table2[[#This Row],[ATA A TIMESLOT]]*24</f>
        <v>16.000000000116415</v>
      </c>
      <c r="AC17" s="127">
        <f t="shared" si="8"/>
        <v>0</v>
      </c>
      <c r="AD17" s="127" t="str">
        <f t="shared" si="9"/>
        <v>SI</v>
      </c>
      <c r="AE17" s="128">
        <f>Table2[[#This Row],[PUNTUALIDAD (H)]]*24</f>
        <v>0</v>
      </c>
      <c r="AF17" s="127">
        <f t="shared" si="10"/>
        <v>0.70833333333575865</v>
      </c>
      <c r="AG17" s="128">
        <f>Table2[[#This Row],[ATA TO UNLOADING]]*24</f>
        <v>17.000000000058208</v>
      </c>
      <c r="AH17" s="128" t="str">
        <f>IF(Table2[[#This Row],[ATA TO UNLOADING 2]]&lt;=48,"YES","NO")</f>
        <v>YES</v>
      </c>
      <c r="AJ17" s="129">
        <f t="shared" si="11"/>
        <v>0.58333333333575865</v>
      </c>
      <c r="AK17" s="2" t="s">
        <v>64</v>
      </c>
      <c r="AL17" s="2" t="str">
        <f t="shared" si="12"/>
        <v>2/26</v>
      </c>
      <c r="AM17" s="2" t="str">
        <f t="shared" si="13"/>
        <v>CAAU4532989</v>
      </c>
      <c r="AN17" s="130" t="str">
        <f t="shared" si="14"/>
        <v>OM TRANSPORT</v>
      </c>
      <c r="AO17" s="50">
        <f>IF($O17="TRUCK",
VLOOKUP($AU17,Invoicing!$A$16:$B$56,MATCH($AO$1,Invoicing!$A$16:$B$16,0),FALSE)+IF(OR($B17="DCD",$B17="HPD2"),23.5,0),
VLOOKUP($AU17,Invoicing!$N$15:$O$19,MATCH($AO$1,Invoicing!$N$15:$O$15,0),FALSE)+IF(OR($B17="DCD",$B17="HPD2"),23.5,0))</f>
        <v>498.5</v>
      </c>
      <c r="AP17" s="131" t="e">
        <f>VLOOKUP($E17,Invoicing!$A$1:$H$12,MATCH(TRACKER!$P61,Invoicing!$A$1:$H$1,0),FALSE)</f>
        <v>#N/A</v>
      </c>
      <c r="AQ17" s="131">
        <f>VLOOKUP($E17,Invoicing!$A$1:$H$12,MATCH(TRACKER!$Q$1,Invoicing!$A$1:$H$1,0),FALSE)</f>
        <v>50</v>
      </c>
      <c r="AR17" s="131">
        <f t="shared" si="15"/>
        <v>0</v>
      </c>
      <c r="AS17" s="2">
        <f t="shared" si="16"/>
        <v>1</v>
      </c>
      <c r="AT17" s="2" t="str">
        <f t="shared" si="17"/>
        <v>WEEK</v>
      </c>
      <c r="AU17" s="2" t="str">
        <f t="shared" si="18"/>
        <v>OM TRANSPORTWEEK</v>
      </c>
      <c r="AV17" s="94">
        <f>(IF(ISNA(AP17),AO17+AR17,SUM($AO17,$AR17,IFERROR($AP17,"0"))))+Table2[[#This Row],[WAITING TIMES]]</f>
        <v>813.5</v>
      </c>
      <c r="AW17" s="94">
        <f>VLOOKUP(AN17,Invoicing!A:K,11,FALSE)</f>
        <v>20</v>
      </c>
      <c r="AX17" s="48">
        <v>315</v>
      </c>
      <c r="AY17" s="48" t="s">
        <v>108</v>
      </c>
      <c r="AZ17" s="94">
        <f t="shared" si="19"/>
        <v>833.5</v>
      </c>
      <c r="BA17" s="133">
        <f>VLOOKUP(AN17,Invoicing!A:J,10,FALSE)</f>
        <v>70</v>
      </c>
      <c r="BB17" s="133">
        <f>VLOOKUP(AN17,Invoicing!A:L,12,FALSE)</f>
        <v>1</v>
      </c>
      <c r="BC17" s="2" t="s">
        <v>66</v>
      </c>
    </row>
    <row r="18" spans="1:55">
      <c r="A18" s="38" t="s">
        <v>89</v>
      </c>
      <c r="B18" s="3" t="s">
        <v>77</v>
      </c>
      <c r="C18" s="11">
        <v>46026.916666666664</v>
      </c>
      <c r="D18" s="11">
        <v>46025.833333333336</v>
      </c>
      <c r="E18" s="11" t="s">
        <v>83</v>
      </c>
      <c r="F18" s="11" t="s">
        <v>94</v>
      </c>
      <c r="G18" s="11" t="s">
        <v>59</v>
      </c>
      <c r="H18" s="11" t="s">
        <v>91</v>
      </c>
      <c r="I18" s="86" t="s">
        <v>109</v>
      </c>
      <c r="J18" s="3" t="s">
        <v>100</v>
      </c>
      <c r="K18" s="11">
        <v>46027.333333333336</v>
      </c>
      <c r="L18" s="12">
        <v>46027.763888888891</v>
      </c>
      <c r="M18" s="12">
        <v>46027.75</v>
      </c>
      <c r="N18" s="12">
        <v>46027.770833333336</v>
      </c>
      <c r="O18" s="12" t="s">
        <v>63</v>
      </c>
      <c r="P18" s="85" t="s">
        <v>64</v>
      </c>
      <c r="Q18" s="3">
        <v>0</v>
      </c>
      <c r="R18" s="1">
        <f t="shared" si="0"/>
        <v>2</v>
      </c>
      <c r="S18" s="1">
        <f t="shared" si="1"/>
        <v>1</v>
      </c>
      <c r="T18" s="126">
        <f t="shared" si="2"/>
        <v>46027.763888888891</v>
      </c>
      <c r="U18" s="127">
        <f t="shared" si="3"/>
        <v>0.41666666667151731</v>
      </c>
      <c r="V18" s="128">
        <f>Table2[[#This Row],[ATA A OFRECIMIENTO]]*24</f>
        <v>10.000000000116415</v>
      </c>
      <c r="W18" s="1" t="str">
        <f t="shared" si="4"/>
        <v>YES</v>
      </c>
      <c r="X18" s="127">
        <f t="shared" si="5"/>
        <v>0.41666666666424135</v>
      </c>
      <c r="Y18" s="128">
        <f>Table2[[#This Row],[DEL. AVAILABLE A SLOT]]*24</f>
        <v>9.9999999999417923</v>
      </c>
      <c r="Z18" s="1" t="str">
        <f t="shared" si="6"/>
        <v>SI</v>
      </c>
      <c r="AA18" s="127">
        <f t="shared" si="7"/>
        <v>0.83333333333575865</v>
      </c>
      <c r="AB18" s="128">
        <f>Table2[[#This Row],[ATA A TIMESLOT]]*24</f>
        <v>20.000000000058208</v>
      </c>
      <c r="AC18" s="127">
        <f t="shared" si="8"/>
        <v>1.3888888890505768E-2</v>
      </c>
      <c r="AD18" s="127" t="str">
        <f t="shared" si="9"/>
        <v>SI</v>
      </c>
      <c r="AE18" s="128">
        <f>Table2[[#This Row],[PUNTUALIDAD (H)]]*24</f>
        <v>0.33333333337213844</v>
      </c>
      <c r="AF18" s="127">
        <f t="shared" si="10"/>
        <v>0.85416666667151731</v>
      </c>
      <c r="AG18" s="128">
        <f>Table2[[#This Row],[ATA TO UNLOADING]]*24</f>
        <v>20.500000000116415</v>
      </c>
      <c r="AH18" s="128" t="str">
        <f>IF(Table2[[#This Row],[ATA TO UNLOADING 2]]&lt;=48,"YES","NO")</f>
        <v>YES</v>
      </c>
      <c r="AJ18" s="129">
        <f t="shared" si="11"/>
        <v>0.75</v>
      </c>
      <c r="AK18" s="2" t="s">
        <v>64</v>
      </c>
      <c r="AL18" s="2" t="str">
        <f t="shared" si="12"/>
        <v>2/26</v>
      </c>
      <c r="AM18" s="2" t="str">
        <f t="shared" si="13"/>
        <v>GCXU5666040</v>
      </c>
      <c r="AN18" s="130" t="str">
        <f t="shared" si="14"/>
        <v>OM TRANSPORT</v>
      </c>
      <c r="AO18" s="50">
        <f>IF($O18="TRUCK",
VLOOKUP($AU18,Invoicing!$A$16:$B$56,MATCH($AO$1,Invoicing!$A$16:$B$16,0),FALSE)+IF(OR($B18="DCD",$B18="HPD2"),23.5,0),
VLOOKUP($AU18,Invoicing!$N$15:$O$19,MATCH($AO$1,Invoicing!$N$15:$O$15,0),FALSE)+IF(OR($B18="DCD",$B18="HPD2"),23.5,0))</f>
        <v>498.5</v>
      </c>
      <c r="AP18" s="131" t="e">
        <f>VLOOKUP($E18,Invoicing!$A$1:$H$12,MATCH(TRACKER!$P62,Invoicing!$A$1:$H$1,0),FALSE)</f>
        <v>#N/A</v>
      </c>
      <c r="AQ18" s="131">
        <f>VLOOKUP($E18,Invoicing!$A$1:$H$12,MATCH(TRACKER!$Q$1,Invoicing!$A$1:$H$1,0),FALSE)</f>
        <v>50</v>
      </c>
      <c r="AR18" s="131">
        <f t="shared" si="15"/>
        <v>0</v>
      </c>
      <c r="AS18" s="2">
        <f t="shared" si="16"/>
        <v>1</v>
      </c>
      <c r="AT18" s="2" t="str">
        <f t="shared" si="17"/>
        <v>WEEK</v>
      </c>
      <c r="AU18" s="2" t="str">
        <f t="shared" si="18"/>
        <v>OM TRANSPORTWEEK</v>
      </c>
      <c r="AV18" s="94">
        <f>(IF(ISNA(AP18),AO18+AR18,SUM($AO18,$AR18,IFERROR($AP18,"0"))))+Table2[[#This Row],[WAITING TIMES]]</f>
        <v>498.5</v>
      </c>
      <c r="AW18" s="94">
        <f>VLOOKUP(AN18,Invoicing!A:K,11,FALSE)</f>
        <v>20</v>
      </c>
      <c r="AY18" s="48"/>
      <c r="AZ18" s="94">
        <f t="shared" si="19"/>
        <v>518.5</v>
      </c>
      <c r="BA18" s="133">
        <f>VLOOKUP(AN18,Invoicing!A:J,10,FALSE)</f>
        <v>70</v>
      </c>
      <c r="BB18" s="133">
        <f>VLOOKUP(AN18,Invoicing!A:L,12,FALSE)</f>
        <v>1</v>
      </c>
      <c r="BC18" s="2" t="s">
        <v>66</v>
      </c>
    </row>
    <row r="19" spans="1:55">
      <c r="A19" s="38" t="s">
        <v>89</v>
      </c>
      <c r="B19" s="3" t="s">
        <v>77</v>
      </c>
      <c r="C19" s="11">
        <v>46026.916666666664</v>
      </c>
      <c r="D19" s="11">
        <v>46025.833333333336</v>
      </c>
      <c r="E19" s="11" t="s">
        <v>83</v>
      </c>
      <c r="F19" s="11" t="s">
        <v>96</v>
      </c>
      <c r="G19" s="11" t="s">
        <v>59</v>
      </c>
      <c r="H19" s="11" t="s">
        <v>91</v>
      </c>
      <c r="I19" s="86" t="s">
        <v>110</v>
      </c>
      <c r="J19" s="3" t="s">
        <v>82</v>
      </c>
      <c r="K19" s="11">
        <v>46027.333333333336</v>
      </c>
      <c r="L19" s="12">
        <v>46027.820138888892</v>
      </c>
      <c r="M19" s="12">
        <v>46027.875</v>
      </c>
      <c r="N19" s="12">
        <v>46027.864583333336</v>
      </c>
      <c r="O19" s="12" t="s">
        <v>63</v>
      </c>
      <c r="P19" s="85" t="s">
        <v>15</v>
      </c>
      <c r="Q19" s="3">
        <v>0</v>
      </c>
      <c r="R19" s="1">
        <f t="shared" si="0"/>
        <v>2</v>
      </c>
      <c r="S19" s="1">
        <f t="shared" si="1"/>
        <v>1</v>
      </c>
      <c r="T19" s="126">
        <f t="shared" si="2"/>
        <v>46027.820138888892</v>
      </c>
      <c r="U19" s="127">
        <f t="shared" si="3"/>
        <v>0.41666666667151731</v>
      </c>
      <c r="V19" s="128">
        <f>Table2[[#This Row],[ATA A OFRECIMIENTO]]*24</f>
        <v>10.000000000116415</v>
      </c>
      <c r="W19" s="1" t="str">
        <f t="shared" si="4"/>
        <v>YES</v>
      </c>
      <c r="X19" s="127">
        <f t="shared" si="5"/>
        <v>0.54166666666424135</v>
      </c>
      <c r="Y19" s="128">
        <f>Table2[[#This Row],[DEL. AVAILABLE A SLOT]]*24</f>
        <v>12.999999999941792</v>
      </c>
      <c r="Z19" s="1" t="str">
        <f t="shared" si="6"/>
        <v>SI</v>
      </c>
      <c r="AA19" s="127">
        <f t="shared" si="7"/>
        <v>0.95833333333575865</v>
      </c>
      <c r="AB19" s="128">
        <f>Table2[[#This Row],[ATA A TIMESLOT]]*24</f>
        <v>23.000000000058208</v>
      </c>
      <c r="AC19" s="127">
        <f t="shared" si="8"/>
        <v>0</v>
      </c>
      <c r="AD19" s="127" t="str">
        <f t="shared" si="9"/>
        <v>SI</v>
      </c>
      <c r="AE19" s="128">
        <f>Table2[[#This Row],[PUNTUALIDAD (H)]]*24</f>
        <v>0</v>
      </c>
      <c r="AF19" s="127">
        <f t="shared" si="10"/>
        <v>0.94791666667151731</v>
      </c>
      <c r="AG19" s="128">
        <f>Table2[[#This Row],[ATA TO UNLOADING]]*24</f>
        <v>22.750000000116415</v>
      </c>
      <c r="AH19" s="128" t="str">
        <f>IF(Table2[[#This Row],[ATA TO UNLOADING 2]]&lt;=48,"YES","NO")</f>
        <v>YES</v>
      </c>
      <c r="AJ19" s="129">
        <f t="shared" si="11"/>
        <v>0.875</v>
      </c>
      <c r="AK19" s="49" t="s">
        <v>36</v>
      </c>
      <c r="AL19" s="2" t="str">
        <f t="shared" si="12"/>
        <v>2/26</v>
      </c>
      <c r="AM19" s="2" t="str">
        <f t="shared" si="13"/>
        <v>CAAU4800150</v>
      </c>
      <c r="AN19" s="130" t="str">
        <f t="shared" si="14"/>
        <v>OM TRANSPORT</v>
      </c>
      <c r="AO19" s="50">
        <f>IF($O19="TRUCK",
VLOOKUP($AU19,Invoicing!$A$16:$B$56,MATCH($AO$1,Invoicing!$A$16:$B$16,0),FALSE)+IF(OR($B19="DCD",$B19="HPD2"),23.5,0),
VLOOKUP($AU19,Invoicing!$N$15:$O$19,MATCH($AO$1,Invoicing!$N$15:$O$15,0),FALSE)+IF(OR($B19="DCD",$B19="HPD2"),23.5,0))</f>
        <v>498.5</v>
      </c>
      <c r="AP19" s="131" t="e">
        <f>VLOOKUP($E19,Invoicing!$A$1:$H$12,MATCH(TRACKER!$P63,Invoicing!$A$1:$H$1,0),FALSE)</f>
        <v>#N/A</v>
      </c>
      <c r="AQ19" s="131">
        <f>VLOOKUP($E19,Invoicing!$A$1:$H$12,MATCH(TRACKER!$Q$1,Invoicing!$A$1:$H$1,0),FALSE)</f>
        <v>50</v>
      </c>
      <c r="AR19" s="131">
        <f t="shared" si="15"/>
        <v>0</v>
      </c>
      <c r="AS19" s="2">
        <f t="shared" si="16"/>
        <v>1</v>
      </c>
      <c r="AT19" s="2" t="str">
        <f t="shared" si="17"/>
        <v>NIGHT</v>
      </c>
      <c r="AU19" s="2" t="str">
        <f t="shared" si="18"/>
        <v>OM TRANSPORTNIGHT</v>
      </c>
      <c r="AV19" s="94">
        <f>(IF(ISNA(AP19),AO19+AR19,SUM($AO19,$AR19,IFERROR($AP19,"0"))))+Table2[[#This Row],[WAITING TIMES]]</f>
        <v>543.5</v>
      </c>
      <c r="AW19" s="94">
        <f>VLOOKUP(AN19,Invoicing!A:K,11,FALSE)</f>
        <v>20</v>
      </c>
      <c r="AX19" s="48">
        <v>45</v>
      </c>
      <c r="AY19" s="48" t="s">
        <v>111</v>
      </c>
      <c r="AZ19" s="94">
        <f t="shared" si="19"/>
        <v>563.5</v>
      </c>
      <c r="BA19" s="133">
        <f>VLOOKUP(AN19,Invoicing!A:J,10,FALSE)</f>
        <v>70</v>
      </c>
      <c r="BB19" s="133">
        <f>VLOOKUP(AN19,Invoicing!A:L,12,FALSE)</f>
        <v>1</v>
      </c>
      <c r="BC19" s="2" t="s">
        <v>66</v>
      </c>
    </row>
    <row r="20" spans="1:55">
      <c r="A20" s="38" t="s">
        <v>89</v>
      </c>
      <c r="B20" s="3" t="s">
        <v>77</v>
      </c>
      <c r="C20" s="11">
        <v>46026.916666666664</v>
      </c>
      <c r="D20" s="11">
        <v>46025.833333333336</v>
      </c>
      <c r="E20" s="11" t="s">
        <v>83</v>
      </c>
      <c r="F20" s="11" t="s">
        <v>96</v>
      </c>
      <c r="G20" s="11" t="s">
        <v>59</v>
      </c>
      <c r="H20" s="11" t="s">
        <v>91</v>
      </c>
      <c r="I20" s="86" t="s">
        <v>112</v>
      </c>
      <c r="J20" s="3" t="s">
        <v>82</v>
      </c>
      <c r="K20" s="11">
        <v>46027.333333333336</v>
      </c>
      <c r="L20" s="12">
        <v>46028.407638888886</v>
      </c>
      <c r="M20" s="12">
        <v>46028.416666666664</v>
      </c>
      <c r="N20" s="12">
        <v>46028.427083333336</v>
      </c>
      <c r="O20" s="12" t="s">
        <v>63</v>
      </c>
      <c r="P20" s="85" t="s">
        <v>15</v>
      </c>
      <c r="Q20" s="3">
        <v>0</v>
      </c>
      <c r="R20" s="1">
        <f t="shared" si="0"/>
        <v>2</v>
      </c>
      <c r="S20" s="1">
        <f t="shared" si="1"/>
        <v>1</v>
      </c>
      <c r="T20" s="126">
        <f t="shared" si="2"/>
        <v>46028.407638888886</v>
      </c>
      <c r="U20" s="127">
        <f t="shared" si="3"/>
        <v>0.41666666667151731</v>
      </c>
      <c r="V20" s="128">
        <f>Table2[[#This Row],[ATA A OFRECIMIENTO]]*24</f>
        <v>10.000000000116415</v>
      </c>
      <c r="W20" s="1" t="str">
        <f t="shared" si="4"/>
        <v>YES</v>
      </c>
      <c r="X20" s="127">
        <f t="shared" si="5"/>
        <v>1.0833333333284827</v>
      </c>
      <c r="Y20" s="128">
        <f>Table2[[#This Row],[DEL. AVAILABLE A SLOT]]*24</f>
        <v>25.999999999883585</v>
      </c>
      <c r="Z20" s="1" t="str">
        <f t="shared" si="6"/>
        <v>NO</v>
      </c>
      <c r="AA20" s="127">
        <f t="shared" si="7"/>
        <v>1.5</v>
      </c>
      <c r="AB20" s="128">
        <f>Table2[[#This Row],[ATA A TIMESLOT]]*24</f>
        <v>36</v>
      </c>
      <c r="AC20" s="127">
        <f t="shared" si="8"/>
        <v>0</v>
      </c>
      <c r="AD20" s="127" t="str">
        <f t="shared" si="9"/>
        <v>SI</v>
      </c>
      <c r="AE20" s="128">
        <f>Table2[[#This Row],[PUNTUALIDAD (H)]]*24</f>
        <v>0</v>
      </c>
      <c r="AF20" s="127">
        <f t="shared" si="10"/>
        <v>1.5104166666715173</v>
      </c>
      <c r="AG20" s="128">
        <f>Table2[[#This Row],[ATA TO UNLOADING]]*24</f>
        <v>36.250000000116415</v>
      </c>
      <c r="AH20" s="128" t="str">
        <f>IF(Table2[[#This Row],[ATA TO UNLOADING 2]]&lt;=48,"YES","NO")</f>
        <v>YES</v>
      </c>
      <c r="AJ20" s="129">
        <f t="shared" si="11"/>
        <v>0.41666666666424135</v>
      </c>
      <c r="AK20" s="2" t="s">
        <v>64</v>
      </c>
      <c r="AL20" s="2" t="str">
        <f t="shared" si="12"/>
        <v>2/26</v>
      </c>
      <c r="AM20" s="2" t="str">
        <f t="shared" si="13"/>
        <v>CIPU5009538</v>
      </c>
      <c r="AN20" s="130" t="str">
        <f t="shared" si="14"/>
        <v>OM TRANSPORT</v>
      </c>
      <c r="AO20" s="50">
        <f>IF($O20="TRUCK",
VLOOKUP($AU20,Invoicing!$A$16:$B$56,MATCH($AO$1,Invoicing!$A$16:$B$16,0),FALSE)+IF(OR($B20="DCD",$B20="HPD2"),23.5,0),
VLOOKUP($AU20,Invoicing!$N$15:$O$19,MATCH($AO$1,Invoicing!$N$15:$O$15,0),FALSE)+IF(OR($B20="DCD",$B20="HPD2"),23.5,0))</f>
        <v>498.5</v>
      </c>
      <c r="AP20" s="131" t="e">
        <f>VLOOKUP($E20,Invoicing!$A$1:$H$12,MATCH(TRACKER!$P64,Invoicing!$A$1:$H$1,0),FALSE)</f>
        <v>#N/A</v>
      </c>
      <c r="AQ20" s="131">
        <f>VLOOKUP($E20,Invoicing!$A$1:$H$12,MATCH(TRACKER!$Q$1,Invoicing!$A$1:$H$1,0),FALSE)</f>
        <v>50</v>
      </c>
      <c r="AR20" s="131">
        <f t="shared" si="15"/>
        <v>0</v>
      </c>
      <c r="AS20" s="2">
        <f t="shared" si="16"/>
        <v>2</v>
      </c>
      <c r="AT20" s="2" t="str">
        <f t="shared" si="17"/>
        <v>WEEK</v>
      </c>
      <c r="AU20" s="2" t="str">
        <f t="shared" si="18"/>
        <v>OM TRANSPORTWEEK</v>
      </c>
      <c r="AV20" s="94">
        <f>(IF(ISNA(AP20),AO20+AR20,SUM($AO20,$AR20,IFERROR($AP20,"0"))))+Table2[[#This Row],[WAITING TIMES]]</f>
        <v>656</v>
      </c>
      <c r="AW20" s="94">
        <f>VLOOKUP(AN20,Invoicing!A:K,11,FALSE)</f>
        <v>20</v>
      </c>
      <c r="AX20" s="48">
        <v>157.5</v>
      </c>
      <c r="AY20" s="48" t="s">
        <v>113</v>
      </c>
      <c r="AZ20" s="94">
        <f t="shared" si="19"/>
        <v>676</v>
      </c>
      <c r="BA20" s="133">
        <f>VLOOKUP(AN20,Invoicing!A:J,10,FALSE)</f>
        <v>70</v>
      </c>
      <c r="BB20" s="133">
        <f>VLOOKUP(AN20,Invoicing!A:L,12,FALSE)</f>
        <v>1</v>
      </c>
      <c r="BC20" s="2" t="s">
        <v>66</v>
      </c>
    </row>
    <row r="21" spans="1:55">
      <c r="A21" s="38" t="s">
        <v>89</v>
      </c>
      <c r="B21" s="3" t="s">
        <v>77</v>
      </c>
      <c r="C21" s="11">
        <v>46026.916666666664</v>
      </c>
      <c r="D21" s="11">
        <v>46025.833333333336</v>
      </c>
      <c r="E21" s="11" t="s">
        <v>83</v>
      </c>
      <c r="F21" s="11" t="s">
        <v>94</v>
      </c>
      <c r="G21" s="11" t="s">
        <v>59</v>
      </c>
      <c r="H21" s="11" t="s">
        <v>91</v>
      </c>
      <c r="I21" s="86" t="s">
        <v>114</v>
      </c>
      <c r="J21" s="3" t="s">
        <v>100</v>
      </c>
      <c r="K21" s="11">
        <v>46027.333333333336</v>
      </c>
      <c r="L21" s="12">
        <v>46028.597222222219</v>
      </c>
      <c r="M21" s="12">
        <v>46028.604166666664</v>
      </c>
      <c r="N21" s="12">
        <v>46028.604166666664</v>
      </c>
      <c r="O21" s="12" t="s">
        <v>63</v>
      </c>
      <c r="P21" s="85" t="s">
        <v>64</v>
      </c>
      <c r="Q21" s="3">
        <v>0</v>
      </c>
      <c r="R21" s="1">
        <f t="shared" si="0"/>
        <v>2</v>
      </c>
      <c r="S21" s="1">
        <f t="shared" si="1"/>
        <v>1</v>
      </c>
      <c r="T21" s="126">
        <f t="shared" si="2"/>
        <v>46028.597222222219</v>
      </c>
      <c r="U21" s="127">
        <f t="shared" si="3"/>
        <v>0.41666666667151731</v>
      </c>
      <c r="V21" s="128">
        <f>Table2[[#This Row],[ATA A OFRECIMIENTO]]*24</f>
        <v>10.000000000116415</v>
      </c>
      <c r="W21" s="1" t="str">
        <f t="shared" si="4"/>
        <v>YES</v>
      </c>
      <c r="X21" s="127">
        <f t="shared" si="5"/>
        <v>1.2708333333284827</v>
      </c>
      <c r="Y21" s="128">
        <f>Table2[[#This Row],[DEL. AVAILABLE A SLOT]]*24</f>
        <v>30.499999999883585</v>
      </c>
      <c r="Z21" s="1" t="str">
        <f t="shared" si="6"/>
        <v>NO</v>
      </c>
      <c r="AA21" s="127">
        <f t="shared" si="7"/>
        <v>1.6875</v>
      </c>
      <c r="AB21" s="128">
        <f>Table2[[#This Row],[ATA A TIMESLOT]]*24</f>
        <v>40.5</v>
      </c>
      <c r="AC21" s="127">
        <f t="shared" si="8"/>
        <v>0</v>
      </c>
      <c r="AD21" s="127" t="str">
        <f t="shared" si="9"/>
        <v>SI</v>
      </c>
      <c r="AE21" s="128">
        <f>Table2[[#This Row],[PUNTUALIDAD (H)]]*24</f>
        <v>0</v>
      </c>
      <c r="AF21" s="127">
        <f t="shared" si="10"/>
        <v>1.6875</v>
      </c>
      <c r="AG21" s="128">
        <f>Table2[[#This Row],[ATA TO UNLOADING]]*24</f>
        <v>40.5</v>
      </c>
      <c r="AH21" s="128" t="str">
        <f>IF(Table2[[#This Row],[ATA TO UNLOADING 2]]&lt;=48,"YES","NO")</f>
        <v>YES</v>
      </c>
      <c r="AJ21" s="129">
        <f t="shared" si="11"/>
        <v>0.60416666666424135</v>
      </c>
      <c r="AK21" s="2" t="s">
        <v>64</v>
      </c>
      <c r="AL21" s="2" t="str">
        <f t="shared" si="12"/>
        <v>2/26</v>
      </c>
      <c r="AM21" s="2" t="str">
        <f t="shared" si="13"/>
        <v>TCKU7086558</v>
      </c>
      <c r="AN21" s="130" t="str">
        <f t="shared" si="14"/>
        <v>OM TRANSPORT</v>
      </c>
      <c r="AO21" s="50">
        <f>IF($O21="TRUCK",
VLOOKUP($AU21,Invoicing!$A$16:$B$56,MATCH($AO$1,Invoicing!$A$16:$B$16,0),FALSE)+IF(OR($B21="DCD",$B21="HPD2"),23.5,0),
VLOOKUP($AU21,Invoicing!$N$15:$O$19,MATCH($AO$1,Invoicing!$N$15:$O$15,0),FALSE)+IF(OR($B21="DCD",$B21="HPD2"),23.5,0))</f>
        <v>498.5</v>
      </c>
      <c r="AP21" s="131">
        <f>VLOOKUP($E21,Invoicing!$A$1:$H$12,MATCH(TRACKER!$P65,Invoicing!$A$1:$H$1,0),FALSE)</f>
        <v>110</v>
      </c>
      <c r="AQ21" s="131">
        <f>VLOOKUP($E21,Invoicing!$A$1:$H$12,MATCH(TRACKER!$Q$1,Invoicing!$A$1:$H$1,0),FALSE)</f>
        <v>50</v>
      </c>
      <c r="AR21" s="131">
        <f t="shared" si="15"/>
        <v>0</v>
      </c>
      <c r="AS21" s="2">
        <f t="shared" si="16"/>
        <v>2</v>
      </c>
      <c r="AT21" s="2" t="str">
        <f t="shared" si="17"/>
        <v>WEEK</v>
      </c>
      <c r="AU21" s="2" t="str">
        <f t="shared" si="18"/>
        <v>OM TRANSPORTWEEK</v>
      </c>
      <c r="AV21" s="94">
        <f>(IF(ISNA(AP21),AO21+AR21,SUM($AO21,$AR21,IFERROR($AP21,"0"))))+Table2[[#This Row],[WAITING TIMES]]</f>
        <v>608.5</v>
      </c>
      <c r="AW21" s="94">
        <f>VLOOKUP(AN21,Invoicing!A:K,11,FALSE)</f>
        <v>20</v>
      </c>
      <c r="AY21" s="48"/>
      <c r="AZ21" s="94">
        <f t="shared" si="19"/>
        <v>628.5</v>
      </c>
      <c r="BA21" s="133">
        <f>VLOOKUP(AN21,Invoicing!A:J,10,FALSE)</f>
        <v>70</v>
      </c>
      <c r="BB21" s="133">
        <f>VLOOKUP(AN21,Invoicing!A:L,12,FALSE)</f>
        <v>1</v>
      </c>
      <c r="BC21" s="2" t="s">
        <v>66</v>
      </c>
    </row>
    <row r="22" spans="1:55">
      <c r="A22" s="38" t="s">
        <v>89</v>
      </c>
      <c r="B22" s="3" t="s">
        <v>77</v>
      </c>
      <c r="C22" s="11">
        <v>46026.916666666664</v>
      </c>
      <c r="D22" s="11">
        <v>46025.833333333336</v>
      </c>
      <c r="E22" s="11" t="s">
        <v>83</v>
      </c>
      <c r="F22" s="11" t="s">
        <v>96</v>
      </c>
      <c r="G22" s="11" t="s">
        <v>59</v>
      </c>
      <c r="H22" s="11" t="s">
        <v>91</v>
      </c>
      <c r="I22" s="86" t="s">
        <v>115</v>
      </c>
      <c r="J22" s="3" t="s">
        <v>82</v>
      </c>
      <c r="K22" s="11">
        <v>46027.333333333336</v>
      </c>
      <c r="L22" s="12">
        <v>46028.69027777778</v>
      </c>
      <c r="M22" s="12">
        <v>46028.666666666664</v>
      </c>
      <c r="N22" s="12">
        <v>46028.743055555555</v>
      </c>
      <c r="O22" s="12" t="s">
        <v>63</v>
      </c>
      <c r="P22" s="85" t="s">
        <v>15</v>
      </c>
      <c r="Q22" s="3">
        <v>0</v>
      </c>
      <c r="R22" s="1">
        <f t="shared" si="0"/>
        <v>2</v>
      </c>
      <c r="S22" s="1">
        <f t="shared" si="1"/>
        <v>1</v>
      </c>
      <c r="T22" s="126">
        <f t="shared" si="2"/>
        <v>46028.69027777778</v>
      </c>
      <c r="U22" s="127">
        <f t="shared" si="3"/>
        <v>0.41666666667151731</v>
      </c>
      <c r="V22" s="128">
        <f>Table2[[#This Row],[ATA A OFRECIMIENTO]]*24</f>
        <v>10.000000000116415</v>
      </c>
      <c r="W22" s="1" t="str">
        <f t="shared" si="4"/>
        <v>YES</v>
      </c>
      <c r="X22" s="127">
        <f t="shared" si="5"/>
        <v>1.3333333333284827</v>
      </c>
      <c r="Y22" s="128">
        <f>Table2[[#This Row],[DEL. AVAILABLE A SLOT]]*24</f>
        <v>31.999999999883585</v>
      </c>
      <c r="Z22" s="1" t="str">
        <f t="shared" si="6"/>
        <v>NO</v>
      </c>
      <c r="AA22" s="127">
        <f t="shared" si="7"/>
        <v>1.75</v>
      </c>
      <c r="AB22" s="128">
        <f>Table2[[#This Row],[ATA A TIMESLOT]]*24</f>
        <v>42</v>
      </c>
      <c r="AC22" s="127">
        <f t="shared" si="8"/>
        <v>2.3611111115314998E-2</v>
      </c>
      <c r="AD22" s="127" t="str">
        <f t="shared" si="9"/>
        <v>SI</v>
      </c>
      <c r="AE22" s="128">
        <f>Table2[[#This Row],[PUNTUALIDAD (H)]]*24</f>
        <v>0.56666666676755995</v>
      </c>
      <c r="AF22" s="127">
        <f t="shared" si="10"/>
        <v>1.8263888888905058</v>
      </c>
      <c r="AG22" s="128">
        <f>Table2[[#This Row],[ATA TO UNLOADING]]*24</f>
        <v>43.833333333372138</v>
      </c>
      <c r="AH22" s="128" t="str">
        <f>IF(Table2[[#This Row],[ATA TO UNLOADING 2]]&lt;=48,"YES","NO")</f>
        <v>YES</v>
      </c>
      <c r="AJ22" s="129">
        <f t="shared" si="11"/>
        <v>0.66666666666424135</v>
      </c>
      <c r="AK22" s="2" t="s">
        <v>64</v>
      </c>
      <c r="AL22" s="2" t="str">
        <f t="shared" si="12"/>
        <v>2/26</v>
      </c>
      <c r="AM22" s="2" t="str">
        <f t="shared" si="13"/>
        <v>MRSU4870880</v>
      </c>
      <c r="AN22" s="130" t="str">
        <f t="shared" si="14"/>
        <v>OM TRANSPORT</v>
      </c>
      <c r="AO22" s="50">
        <f>IF($O22="TRUCK",
VLOOKUP($AU22,Invoicing!$A$16:$B$56,MATCH($AO$1,Invoicing!$A$16:$B$16,0),FALSE)+IF(OR($B22="DCD",$B22="HPD2"),23.5,0),
VLOOKUP($AU22,Invoicing!$N$15:$O$19,MATCH($AO$1,Invoicing!$N$15:$O$15,0),FALSE)+IF(OR($B22="DCD",$B22="HPD2"),23.5,0))</f>
        <v>498.5</v>
      </c>
      <c r="AP22" s="131">
        <f>VLOOKUP($E22,Invoicing!$A$1:$H$12,MATCH(TRACKER!$P66,Invoicing!$A$1:$H$1,0),FALSE)</f>
        <v>110</v>
      </c>
      <c r="AQ22" s="131">
        <f>VLOOKUP($E22,Invoicing!$A$1:$H$12,MATCH(TRACKER!$Q$1,Invoicing!$A$1:$H$1,0),FALSE)</f>
        <v>50</v>
      </c>
      <c r="AR22" s="131">
        <f t="shared" si="15"/>
        <v>0</v>
      </c>
      <c r="AS22" s="2">
        <f t="shared" si="16"/>
        <v>2</v>
      </c>
      <c r="AT22" s="2" t="str">
        <f t="shared" si="17"/>
        <v>WEEK</v>
      </c>
      <c r="AU22" s="2" t="str">
        <f t="shared" si="18"/>
        <v>OM TRANSPORTWEEK</v>
      </c>
      <c r="AV22" s="94">
        <f>(IF(ISNA(AP22),AO22+AR22,SUM($AO22,$AR22,IFERROR($AP22,"0"))))+Table2[[#This Row],[WAITING TIMES]]</f>
        <v>766</v>
      </c>
      <c r="AW22" s="94">
        <f>VLOOKUP(AN22,Invoicing!A:K,11,FALSE)</f>
        <v>20</v>
      </c>
      <c r="AX22" s="48">
        <v>157.5</v>
      </c>
      <c r="AY22" s="48" t="s">
        <v>116</v>
      </c>
      <c r="AZ22" s="94">
        <f t="shared" si="19"/>
        <v>786</v>
      </c>
      <c r="BA22" s="133">
        <f>VLOOKUP(AN22,Invoicing!A:J,10,FALSE)</f>
        <v>70</v>
      </c>
      <c r="BB22" s="133">
        <f>VLOOKUP(AN22,Invoicing!A:L,12,FALSE)</f>
        <v>1</v>
      </c>
      <c r="BC22" s="2" t="s">
        <v>66</v>
      </c>
    </row>
    <row r="23" spans="1:55">
      <c r="A23" s="38" t="s">
        <v>89</v>
      </c>
      <c r="B23" s="3" t="s">
        <v>77</v>
      </c>
      <c r="C23" s="11">
        <v>46026.916666666664</v>
      </c>
      <c r="D23" s="11">
        <v>46025.833333333336</v>
      </c>
      <c r="E23" s="11" t="s">
        <v>83</v>
      </c>
      <c r="F23" s="11" t="s">
        <v>96</v>
      </c>
      <c r="G23" s="11" t="s">
        <v>59</v>
      </c>
      <c r="H23" s="11" t="s">
        <v>91</v>
      </c>
      <c r="I23" s="86" t="s">
        <v>117</v>
      </c>
      <c r="J23" s="3" t="s">
        <v>82</v>
      </c>
      <c r="K23" s="11">
        <v>46027.333333333336</v>
      </c>
      <c r="L23" s="12">
        <v>46028.833333333336</v>
      </c>
      <c r="M23" s="12">
        <v>46028.791666666664</v>
      </c>
      <c r="N23" s="12">
        <v>46028.861111111109</v>
      </c>
      <c r="O23" s="12" t="s">
        <v>63</v>
      </c>
      <c r="P23" s="85" t="s">
        <v>15</v>
      </c>
      <c r="Q23" s="3">
        <v>0</v>
      </c>
      <c r="R23" s="1">
        <f t="shared" si="0"/>
        <v>2</v>
      </c>
      <c r="S23" s="1">
        <f t="shared" si="1"/>
        <v>1</v>
      </c>
      <c r="T23" s="126">
        <f t="shared" si="2"/>
        <v>46028.833333333336</v>
      </c>
      <c r="U23" s="127">
        <f t="shared" si="3"/>
        <v>0.41666666667151731</v>
      </c>
      <c r="V23" s="128">
        <f>Table2[[#This Row],[ATA A OFRECIMIENTO]]*24</f>
        <v>10.000000000116415</v>
      </c>
      <c r="W23" s="1" t="str">
        <f t="shared" si="4"/>
        <v>YES</v>
      </c>
      <c r="X23" s="127">
        <f t="shared" si="5"/>
        <v>1.4583333333284827</v>
      </c>
      <c r="Y23" s="128">
        <f>Table2[[#This Row],[DEL. AVAILABLE A SLOT]]*24</f>
        <v>34.999999999883585</v>
      </c>
      <c r="Z23" s="1" t="str">
        <f t="shared" si="6"/>
        <v>NO</v>
      </c>
      <c r="AA23" s="127">
        <f t="shared" si="7"/>
        <v>1.875</v>
      </c>
      <c r="AB23" s="128">
        <f>Table2[[#This Row],[ATA A TIMESLOT]]*24</f>
        <v>45</v>
      </c>
      <c r="AC23" s="127">
        <f t="shared" si="8"/>
        <v>4.1666666671517305E-2</v>
      </c>
      <c r="AD23" s="127" t="str">
        <f t="shared" si="9"/>
        <v>NO</v>
      </c>
      <c r="AE23" s="128">
        <f>Table2[[#This Row],[PUNTUALIDAD (H)]]*24</f>
        <v>1.0000000001164153</v>
      </c>
      <c r="AF23" s="127">
        <f t="shared" si="10"/>
        <v>1.9444444444452529</v>
      </c>
      <c r="AG23" s="128">
        <f>Table2[[#This Row],[ATA TO UNLOADING]]*24</f>
        <v>46.666666666686069</v>
      </c>
      <c r="AH23" s="128" t="str">
        <f>IF(Table2[[#This Row],[ATA TO UNLOADING 2]]&lt;=48,"YES","NO")</f>
        <v>YES</v>
      </c>
      <c r="AJ23" s="129">
        <f t="shared" si="11"/>
        <v>0.79166666666424135</v>
      </c>
      <c r="AK23" s="2" t="s">
        <v>64</v>
      </c>
      <c r="AL23" s="2" t="str">
        <f t="shared" si="12"/>
        <v>2/26</v>
      </c>
      <c r="AM23" s="2" t="str">
        <f t="shared" si="13"/>
        <v>TCKU7619889</v>
      </c>
      <c r="AN23" s="130" t="str">
        <f t="shared" si="14"/>
        <v>OM TRANSPORT</v>
      </c>
      <c r="AO23" s="50">
        <f>IF($O23="TRUCK",
VLOOKUP($AU23,Invoicing!$A$16:$B$56,MATCH($AO$1,Invoicing!$A$16:$B$16,0),FALSE)+IF(OR($B23="DCD",$B23="HPD2"),23.5,0),
VLOOKUP($AU23,Invoicing!$N$15:$O$19,MATCH($AO$1,Invoicing!$N$15:$O$15,0),FALSE)+IF(OR($B23="DCD",$B23="HPD2"),23.5,0))</f>
        <v>498.5</v>
      </c>
      <c r="AP23" s="131">
        <f>VLOOKUP($E23,Invoicing!$A$1:$H$12,MATCH(TRACKER!$P67,Invoicing!$A$1:$H$1,0),FALSE)</f>
        <v>110</v>
      </c>
      <c r="AQ23" s="131">
        <f>VLOOKUP($E23,Invoicing!$A$1:$H$12,MATCH(TRACKER!$Q$1,Invoicing!$A$1:$H$1,0),FALSE)</f>
        <v>50</v>
      </c>
      <c r="AR23" s="131">
        <f t="shared" si="15"/>
        <v>0</v>
      </c>
      <c r="AS23" s="2">
        <f t="shared" si="16"/>
        <v>2</v>
      </c>
      <c r="AT23" s="2" t="str">
        <f t="shared" si="17"/>
        <v>WEEK</v>
      </c>
      <c r="AU23" s="2" t="str">
        <f t="shared" si="18"/>
        <v>OM TRANSPORTWEEK</v>
      </c>
      <c r="AV23" s="94">
        <f>(IF(ISNA(AP23),AO23+AR23,SUM($AO23,$AR23,IFERROR($AP23,"0"))))+Table2[[#This Row],[WAITING TIMES]]</f>
        <v>743.5</v>
      </c>
      <c r="AW23" s="94">
        <f>VLOOKUP(AN23,Invoicing!A:K,11,FALSE)</f>
        <v>20</v>
      </c>
      <c r="AX23" s="48">
        <v>135</v>
      </c>
      <c r="AY23" s="48" t="s">
        <v>118</v>
      </c>
      <c r="AZ23" s="94">
        <f t="shared" si="19"/>
        <v>763.5</v>
      </c>
      <c r="BA23" s="133">
        <f>VLOOKUP(AN23,Invoicing!A:J,10,FALSE)</f>
        <v>70</v>
      </c>
      <c r="BB23" s="133">
        <f>VLOOKUP(AN23,Invoicing!A:L,12,FALSE)</f>
        <v>1</v>
      </c>
      <c r="BC23" s="2" t="s">
        <v>66</v>
      </c>
    </row>
    <row r="24" spans="1:55">
      <c r="A24" s="38" t="s">
        <v>89</v>
      </c>
      <c r="B24" s="3" t="s">
        <v>77</v>
      </c>
      <c r="C24" s="11">
        <v>46026.916666666664</v>
      </c>
      <c r="D24" s="11">
        <v>46025.833333333336</v>
      </c>
      <c r="E24" s="11" t="s">
        <v>73</v>
      </c>
      <c r="F24" s="11" t="s">
        <v>94</v>
      </c>
      <c r="G24" s="11" t="s">
        <v>59</v>
      </c>
      <c r="H24" s="11" t="s">
        <v>91</v>
      </c>
      <c r="I24" s="86" t="s">
        <v>119</v>
      </c>
      <c r="J24" s="3" t="s">
        <v>82</v>
      </c>
      <c r="K24" s="11">
        <v>46027.333333333336</v>
      </c>
      <c r="L24" s="12">
        <v>46027.708333333336</v>
      </c>
      <c r="M24" s="12">
        <v>46027.666666666664</v>
      </c>
      <c r="N24" s="12">
        <v>46027.708333333336</v>
      </c>
      <c r="O24" s="12" t="s">
        <v>63</v>
      </c>
      <c r="P24" s="85" t="s">
        <v>64</v>
      </c>
      <c r="Q24" s="3">
        <v>0</v>
      </c>
      <c r="R24" s="1">
        <f t="shared" si="0"/>
        <v>2</v>
      </c>
      <c r="S24" s="1">
        <f t="shared" si="1"/>
        <v>1</v>
      </c>
      <c r="T24" s="126">
        <f t="shared" si="2"/>
        <v>46027.708333333336</v>
      </c>
      <c r="U24" s="127">
        <f t="shared" si="3"/>
        <v>0.41666666667151731</v>
      </c>
      <c r="V24" s="128">
        <f>Table2[[#This Row],[ATA A OFRECIMIENTO]]*24</f>
        <v>10.000000000116415</v>
      </c>
      <c r="W24" s="1" t="str">
        <f t="shared" si="4"/>
        <v>YES</v>
      </c>
      <c r="X24" s="127">
        <f t="shared" si="5"/>
        <v>0.33333333332848269</v>
      </c>
      <c r="Y24" s="128">
        <f>Table2[[#This Row],[DEL. AVAILABLE A SLOT]]*24</f>
        <v>7.9999999998835847</v>
      </c>
      <c r="Z24" s="1" t="str">
        <f t="shared" si="6"/>
        <v>SI</v>
      </c>
      <c r="AA24" s="127">
        <f t="shared" si="7"/>
        <v>0.75</v>
      </c>
      <c r="AB24" s="128">
        <f>Table2[[#This Row],[ATA A TIMESLOT]]*24</f>
        <v>18</v>
      </c>
      <c r="AC24" s="127">
        <f t="shared" si="8"/>
        <v>4.1666666671517305E-2</v>
      </c>
      <c r="AD24" s="127" t="str">
        <f t="shared" si="9"/>
        <v>NO</v>
      </c>
      <c r="AE24" s="128">
        <f>Table2[[#This Row],[PUNTUALIDAD (H)]]*24</f>
        <v>1.0000000001164153</v>
      </c>
      <c r="AF24" s="127">
        <f t="shared" si="10"/>
        <v>0.79166666667151731</v>
      </c>
      <c r="AG24" s="128">
        <f>Table2[[#This Row],[ATA TO UNLOADING]]*24</f>
        <v>19.000000000116415</v>
      </c>
      <c r="AH24" s="128" t="str">
        <f>IF(Table2[[#This Row],[ATA TO UNLOADING 2]]&lt;=48,"YES","NO")</f>
        <v>YES</v>
      </c>
      <c r="AJ24" s="129">
        <f t="shared" si="11"/>
        <v>0.66666666666424135</v>
      </c>
      <c r="AK24" s="2" t="s">
        <v>64</v>
      </c>
      <c r="AL24" s="2" t="str">
        <f t="shared" si="12"/>
        <v>2/26</v>
      </c>
      <c r="AM24" s="2" t="str">
        <f t="shared" si="13"/>
        <v>MRSU5517414</v>
      </c>
      <c r="AN24" s="130" t="str">
        <f t="shared" si="14"/>
        <v>OTL</v>
      </c>
      <c r="AO24" s="50">
        <f>IF($O24="TRUCK",
VLOOKUP($AU24,Invoicing!$A$16:$B$56,MATCH($AO$1,Invoicing!$A$16:$B$16,0),FALSE)+IF(OR($B24="DCD",$B24="HPD2"),23.5,0),
VLOOKUP($AU24,Invoicing!$N$15:$O$19,MATCH($AO$1,Invoicing!$N$15:$O$15,0),FALSE)+IF(OR($B24="DCD",$B24="HPD2"),23.5,0))</f>
        <v>553.5</v>
      </c>
      <c r="AP24" s="131" t="e">
        <f>VLOOKUP($E24,Invoicing!$A$1:$H$12,MATCH(TRACKER!$P91,Invoicing!$A$1:$H$1,0),FALSE)</f>
        <v>#N/A</v>
      </c>
      <c r="AQ24" s="131">
        <f>VLOOKUP($E24,Invoicing!$A$1:$H$12,MATCH(TRACKER!$Q$1,Invoicing!$A$1:$H$1,0),FALSE)</f>
        <v>60</v>
      </c>
      <c r="AR24" s="131">
        <f t="shared" si="15"/>
        <v>0</v>
      </c>
      <c r="AS24" s="2">
        <f t="shared" si="16"/>
        <v>1</v>
      </c>
      <c r="AT24" s="2" t="str">
        <f t="shared" si="17"/>
        <v>WEEK</v>
      </c>
      <c r="AU24" s="2" t="str">
        <f t="shared" si="18"/>
        <v>OTLWEEK</v>
      </c>
      <c r="AV24" s="94">
        <f>(IF(ISNA(AP24),AO24+AR24,SUM($AO24,$AR24,IFERROR($AP24,"0"))))+Table2[[#This Row],[WAITING TIMES]]</f>
        <v>763.5</v>
      </c>
      <c r="AW24" s="94">
        <f>VLOOKUP(AN24,Invoicing!A:K,11,FALSE)</f>
        <v>20</v>
      </c>
      <c r="AX24" s="48">
        <v>210</v>
      </c>
      <c r="AY24" s="48" t="s">
        <v>120</v>
      </c>
      <c r="AZ24" s="94">
        <f t="shared" si="19"/>
        <v>783.5</v>
      </c>
      <c r="BA24" s="133">
        <f>VLOOKUP(AN24,Invoicing!A:J,10,FALSE)</f>
        <v>70</v>
      </c>
      <c r="BB24" s="133">
        <f>VLOOKUP(AN24,Invoicing!A:L,12,FALSE)</f>
        <v>1</v>
      </c>
      <c r="BC24" s="2" t="s">
        <v>66</v>
      </c>
    </row>
    <row r="25" spans="1:55">
      <c r="A25" s="38" t="s">
        <v>89</v>
      </c>
      <c r="B25" s="3" t="s">
        <v>77</v>
      </c>
      <c r="C25" s="11">
        <v>46026.916666666664</v>
      </c>
      <c r="D25" s="11">
        <v>46025.833333333336</v>
      </c>
      <c r="E25" s="11" t="s">
        <v>73</v>
      </c>
      <c r="F25" s="11" t="s">
        <v>94</v>
      </c>
      <c r="G25" s="11" t="s">
        <v>59</v>
      </c>
      <c r="H25" s="11" t="s">
        <v>91</v>
      </c>
      <c r="I25" s="86" t="s">
        <v>121</v>
      </c>
      <c r="J25" s="3" t="s">
        <v>82</v>
      </c>
      <c r="K25" s="11">
        <v>46027.333333333336</v>
      </c>
      <c r="L25" s="12">
        <v>46028.041666666664</v>
      </c>
      <c r="M25" s="12">
        <v>46028</v>
      </c>
      <c r="N25" s="12">
        <v>46028.041666666664</v>
      </c>
      <c r="O25" s="12" t="s">
        <v>63</v>
      </c>
      <c r="P25" s="85" t="s">
        <v>64</v>
      </c>
      <c r="Q25" s="3">
        <v>0</v>
      </c>
      <c r="R25" s="1">
        <f t="shared" si="0"/>
        <v>2</v>
      </c>
      <c r="S25" s="1">
        <f t="shared" si="1"/>
        <v>1</v>
      </c>
      <c r="T25" s="126">
        <f t="shared" si="2"/>
        <v>46028.041666666664</v>
      </c>
      <c r="U25" s="127">
        <f t="shared" si="3"/>
        <v>0.41666666667151731</v>
      </c>
      <c r="V25" s="128">
        <f>Table2[[#This Row],[ATA A OFRECIMIENTO]]*24</f>
        <v>10.000000000116415</v>
      </c>
      <c r="W25" s="1" t="str">
        <f t="shared" si="4"/>
        <v>YES</v>
      </c>
      <c r="X25" s="127">
        <f t="shared" si="5"/>
        <v>0.66666666666424135</v>
      </c>
      <c r="Y25" s="128">
        <f>Table2[[#This Row],[DEL. AVAILABLE A SLOT]]*24</f>
        <v>15.999999999941792</v>
      </c>
      <c r="Z25" s="1" t="str">
        <f t="shared" si="6"/>
        <v>SI</v>
      </c>
      <c r="AA25" s="127">
        <f t="shared" si="7"/>
        <v>1.0833333333357587</v>
      </c>
      <c r="AB25" s="128">
        <f>Table2[[#This Row],[ATA A TIMESLOT]]*24</f>
        <v>26.000000000058208</v>
      </c>
      <c r="AC25" s="127">
        <f t="shared" si="8"/>
        <v>4.1666666664241347E-2</v>
      </c>
      <c r="AD25" s="127" t="str">
        <f t="shared" si="9"/>
        <v>NO</v>
      </c>
      <c r="AE25" s="128">
        <f>Table2[[#This Row],[PUNTUALIDAD (H)]]*24</f>
        <v>0.99999999994179234</v>
      </c>
      <c r="AF25" s="127">
        <f t="shared" si="10"/>
        <v>1.125</v>
      </c>
      <c r="AG25" s="128">
        <f>Table2[[#This Row],[ATA TO UNLOADING]]*24</f>
        <v>27</v>
      </c>
      <c r="AH25" s="128" t="str">
        <f>IF(Table2[[#This Row],[ATA TO UNLOADING 2]]&lt;=48,"YES","NO")</f>
        <v>YES</v>
      </c>
      <c r="AJ25" s="129">
        <f t="shared" si="11"/>
        <v>0</v>
      </c>
      <c r="AK25" s="49" t="s">
        <v>36</v>
      </c>
      <c r="AL25" s="2" t="str">
        <f t="shared" si="12"/>
        <v>2/26</v>
      </c>
      <c r="AM25" s="2" t="str">
        <f t="shared" si="13"/>
        <v>MRKU5674350</v>
      </c>
      <c r="AN25" s="130" t="str">
        <f t="shared" si="14"/>
        <v>OTL</v>
      </c>
      <c r="AO25" s="50">
        <f>IF($O25="TRUCK",
VLOOKUP($AU25,Invoicing!$A$16:$B$56,MATCH($AO$1,Invoicing!$A$16:$B$16,0),FALSE)+IF(OR($B25="DCD",$B25="HPD2"),23.5,0),
VLOOKUP($AU25,Invoicing!$N$15:$O$19,MATCH($AO$1,Invoicing!$N$15:$O$15,0),FALSE)+IF(OR($B25="DCD",$B25="HPD2"),23.5,0))</f>
        <v>553.5</v>
      </c>
      <c r="AP25" s="131" t="e">
        <f>VLOOKUP($E25,Invoicing!$A$1:$H$12,MATCH(TRACKER!$P92,Invoicing!$A$1:$H$1,0),FALSE)</f>
        <v>#N/A</v>
      </c>
      <c r="AQ25" s="131">
        <f>VLOOKUP($E25,Invoicing!$A$1:$H$12,MATCH(TRACKER!$Q$1,Invoicing!$A$1:$H$1,0),FALSE)</f>
        <v>60</v>
      </c>
      <c r="AR25" s="131">
        <f t="shared" si="15"/>
        <v>0</v>
      </c>
      <c r="AS25" s="2">
        <f t="shared" si="16"/>
        <v>2</v>
      </c>
      <c r="AT25" s="2" t="str">
        <f t="shared" si="17"/>
        <v>NIGHT</v>
      </c>
      <c r="AU25" s="2" t="str">
        <f t="shared" si="18"/>
        <v>OTLNIGHT</v>
      </c>
      <c r="AV25" s="94">
        <f>(IF(ISNA(AP25),AO25+AR25,SUM($AO25,$AR25,IFERROR($AP25,"0"))))+Table2[[#This Row],[WAITING TIMES]]</f>
        <v>553.5</v>
      </c>
      <c r="AW25" s="94">
        <f>VLOOKUP(AN25,Invoicing!A:K,11,FALSE)</f>
        <v>20</v>
      </c>
      <c r="AY25" s="48"/>
      <c r="AZ25" s="94">
        <f t="shared" si="19"/>
        <v>573.5</v>
      </c>
      <c r="BA25" s="133">
        <f>VLOOKUP(AN25,Invoicing!A:J,10,FALSE)</f>
        <v>70</v>
      </c>
      <c r="BB25" s="133">
        <f>VLOOKUP(AN25,Invoicing!A:L,12,FALSE)</f>
        <v>1</v>
      </c>
      <c r="BC25" s="2" t="s">
        <v>66</v>
      </c>
    </row>
    <row r="26" spans="1:55">
      <c r="A26" s="38" t="s">
        <v>89</v>
      </c>
      <c r="B26" s="3" t="s">
        <v>77</v>
      </c>
      <c r="C26" s="11">
        <v>46026.916666666664</v>
      </c>
      <c r="D26" s="11">
        <v>46025.833333333336</v>
      </c>
      <c r="E26" s="11" t="s">
        <v>73</v>
      </c>
      <c r="F26" s="11" t="s">
        <v>94</v>
      </c>
      <c r="G26" s="11" t="s">
        <v>59</v>
      </c>
      <c r="H26" s="11" t="s">
        <v>91</v>
      </c>
      <c r="I26" s="86" t="s">
        <v>122</v>
      </c>
      <c r="J26" s="3" t="s">
        <v>100</v>
      </c>
      <c r="K26" s="11">
        <v>46027.333333333336</v>
      </c>
      <c r="L26" s="12">
        <v>46028.46875</v>
      </c>
      <c r="M26" s="12">
        <v>46028.458333333336</v>
      </c>
      <c r="N26" s="12">
        <v>46028.527777777781</v>
      </c>
      <c r="O26" s="12" t="s">
        <v>63</v>
      </c>
      <c r="P26" s="85" t="s">
        <v>64</v>
      </c>
      <c r="Q26" s="3">
        <v>0</v>
      </c>
      <c r="R26" s="1">
        <f t="shared" si="0"/>
        <v>2</v>
      </c>
      <c r="S26" s="1">
        <f t="shared" si="1"/>
        <v>1</v>
      </c>
      <c r="T26" s="126">
        <f t="shared" si="2"/>
        <v>46028.46875</v>
      </c>
      <c r="U26" s="127">
        <f t="shared" si="3"/>
        <v>0.41666666667151731</v>
      </c>
      <c r="V26" s="128">
        <f>Table2[[#This Row],[ATA A OFRECIMIENTO]]*24</f>
        <v>10.000000000116415</v>
      </c>
      <c r="W26" s="1" t="str">
        <f t="shared" si="4"/>
        <v>YES</v>
      </c>
      <c r="X26" s="127">
        <f t="shared" si="5"/>
        <v>1.125</v>
      </c>
      <c r="Y26" s="128">
        <f>Table2[[#This Row],[DEL. AVAILABLE A SLOT]]*24</f>
        <v>27</v>
      </c>
      <c r="Z26" s="1" t="str">
        <f t="shared" si="6"/>
        <v>NO</v>
      </c>
      <c r="AA26" s="127">
        <f t="shared" si="7"/>
        <v>1.5416666666715173</v>
      </c>
      <c r="AB26" s="128">
        <f>Table2[[#This Row],[ATA A TIMESLOT]]*24</f>
        <v>37.000000000116415</v>
      </c>
      <c r="AC26" s="127">
        <f t="shared" si="8"/>
        <v>1.0416666664241347E-2</v>
      </c>
      <c r="AD26" s="127" t="str">
        <f t="shared" si="9"/>
        <v>SI</v>
      </c>
      <c r="AE26" s="128">
        <f>Table2[[#This Row],[PUNTUALIDAD (H)]]*24</f>
        <v>0.24999999994179234</v>
      </c>
      <c r="AF26" s="127">
        <f t="shared" si="10"/>
        <v>1.6111111111167702</v>
      </c>
      <c r="AG26" s="128">
        <f>Table2[[#This Row],[ATA TO UNLOADING]]*24</f>
        <v>38.666666666802485</v>
      </c>
      <c r="AH26" s="128" t="str">
        <f>IF(Table2[[#This Row],[ATA TO UNLOADING 2]]&lt;=48,"YES","NO")</f>
        <v>YES</v>
      </c>
      <c r="AJ26" s="129">
        <f t="shared" si="11"/>
        <v>0.45833333333575865</v>
      </c>
      <c r="AK26" s="2" t="s">
        <v>64</v>
      </c>
      <c r="AL26" s="2" t="str">
        <f t="shared" si="12"/>
        <v>2/26</v>
      </c>
      <c r="AM26" s="2" t="str">
        <f t="shared" si="13"/>
        <v>SUDU8785373</v>
      </c>
      <c r="AN26" s="130" t="str">
        <f t="shared" si="14"/>
        <v>OTL</v>
      </c>
      <c r="AO26" s="50">
        <f>IF($O26="TRUCK",
VLOOKUP($AU26,Invoicing!$A$16:$B$56,MATCH($AO$1,Invoicing!$A$16:$B$16,0),FALSE)+IF(OR($B26="DCD",$B26="HPD2"),23.5,0),
VLOOKUP($AU26,Invoicing!$N$15:$O$19,MATCH($AO$1,Invoicing!$N$15:$O$15,0),FALSE)+IF(OR($B26="DCD",$B26="HPD2"),23.5,0))</f>
        <v>553.5</v>
      </c>
      <c r="AP26" s="131" t="e">
        <f>VLOOKUP($E26,Invoicing!$A$1:$H$12,MATCH(TRACKER!$P93,Invoicing!$A$1:$H$1,0),FALSE)</f>
        <v>#N/A</v>
      </c>
      <c r="AQ26" s="131">
        <f>VLOOKUP($E26,Invoicing!$A$1:$H$12,MATCH(TRACKER!$Q$1,Invoicing!$A$1:$H$1,0),FALSE)</f>
        <v>60</v>
      </c>
      <c r="AR26" s="131">
        <f t="shared" si="15"/>
        <v>0</v>
      </c>
      <c r="AS26" s="2">
        <f t="shared" si="16"/>
        <v>2</v>
      </c>
      <c r="AT26" s="2" t="str">
        <f t="shared" si="17"/>
        <v>WEEK</v>
      </c>
      <c r="AU26" s="2" t="str">
        <f t="shared" si="18"/>
        <v>OTLWEEK</v>
      </c>
      <c r="AV26" s="94">
        <f>(IF(ISNA(AP26),AO26+AR26,SUM($AO26,$AR26,IFERROR($AP26,"0"))))+Table2[[#This Row],[WAITING TIMES]]</f>
        <v>553.5</v>
      </c>
      <c r="AW26" s="94">
        <f>VLOOKUP(AN26,Invoicing!A:K,11,FALSE)</f>
        <v>20</v>
      </c>
      <c r="AY26" s="48"/>
      <c r="AZ26" s="94">
        <f t="shared" si="19"/>
        <v>573.5</v>
      </c>
      <c r="BA26" s="133">
        <f>VLOOKUP(AN26,Invoicing!A:J,10,FALSE)</f>
        <v>70</v>
      </c>
      <c r="BB26" s="133">
        <f>VLOOKUP(AN26,Invoicing!A:L,12,FALSE)</f>
        <v>1</v>
      </c>
      <c r="BC26" s="2" t="s">
        <v>66</v>
      </c>
    </row>
    <row r="27" spans="1:55">
      <c r="A27" s="38" t="s">
        <v>89</v>
      </c>
      <c r="B27" s="3" t="s">
        <v>77</v>
      </c>
      <c r="C27" s="11">
        <v>46026.916666666664</v>
      </c>
      <c r="D27" s="11">
        <v>46025.833333333336</v>
      </c>
      <c r="E27" s="11" t="s">
        <v>73</v>
      </c>
      <c r="F27" s="11" t="s">
        <v>94</v>
      </c>
      <c r="G27" s="11" t="s">
        <v>59</v>
      </c>
      <c r="H27" s="11" t="s">
        <v>91</v>
      </c>
      <c r="I27" s="86" t="s">
        <v>123</v>
      </c>
      <c r="J27" s="3" t="s">
        <v>100</v>
      </c>
      <c r="K27" s="11">
        <v>46027.333333333336</v>
      </c>
      <c r="L27" s="12">
        <v>46028.677083333336</v>
      </c>
      <c r="M27" s="12">
        <v>46028.666666666664</v>
      </c>
      <c r="N27" s="12">
        <v>46028.684027777781</v>
      </c>
      <c r="O27" s="12" t="s">
        <v>63</v>
      </c>
      <c r="P27" s="85" t="s">
        <v>64</v>
      </c>
      <c r="Q27" s="3">
        <v>1</v>
      </c>
      <c r="R27" s="1">
        <f t="shared" si="0"/>
        <v>2</v>
      </c>
      <c r="S27" s="1">
        <f t="shared" si="1"/>
        <v>1</v>
      </c>
      <c r="T27" s="126">
        <f t="shared" si="2"/>
        <v>46028.677083333336</v>
      </c>
      <c r="U27" s="127">
        <f t="shared" si="3"/>
        <v>0.41666666667151731</v>
      </c>
      <c r="V27" s="128">
        <f>Table2[[#This Row],[ATA A OFRECIMIENTO]]*24</f>
        <v>10.000000000116415</v>
      </c>
      <c r="W27" s="1" t="str">
        <f t="shared" si="4"/>
        <v>YES</v>
      </c>
      <c r="X27" s="127">
        <f t="shared" si="5"/>
        <v>1.3333333333284827</v>
      </c>
      <c r="Y27" s="128">
        <f>Table2[[#This Row],[DEL. AVAILABLE A SLOT]]*24</f>
        <v>31.999999999883585</v>
      </c>
      <c r="Z27" s="1" t="str">
        <f t="shared" si="6"/>
        <v>NO</v>
      </c>
      <c r="AA27" s="127">
        <f t="shared" si="7"/>
        <v>1.75</v>
      </c>
      <c r="AB27" s="128">
        <f>Table2[[#This Row],[ATA A TIMESLOT]]*24</f>
        <v>42</v>
      </c>
      <c r="AC27" s="127">
        <f t="shared" si="8"/>
        <v>1.0416666671517305E-2</v>
      </c>
      <c r="AD27" s="127" t="str">
        <f t="shared" si="9"/>
        <v>SI</v>
      </c>
      <c r="AE27" s="128">
        <f>Table2[[#This Row],[PUNTUALIDAD (H)]]*24</f>
        <v>0.25000000011641532</v>
      </c>
      <c r="AF27" s="127">
        <f t="shared" si="10"/>
        <v>1.7673611111167702</v>
      </c>
      <c r="AG27" s="128">
        <f>Table2[[#This Row],[ATA TO UNLOADING]]*24</f>
        <v>42.416666666802485</v>
      </c>
      <c r="AH27" s="128" t="str">
        <f>IF(Table2[[#This Row],[ATA TO UNLOADING 2]]&lt;=48,"YES","NO")</f>
        <v>YES</v>
      </c>
      <c r="AJ27" s="129">
        <f t="shared" si="11"/>
        <v>0.66666666666424135</v>
      </c>
      <c r="AK27" s="2" t="s">
        <v>64</v>
      </c>
      <c r="AL27" s="2" t="str">
        <f t="shared" si="12"/>
        <v>2/26</v>
      </c>
      <c r="AM27" s="2" t="str">
        <f t="shared" si="13"/>
        <v>TCLU3479976</v>
      </c>
      <c r="AN27" s="130" t="str">
        <f t="shared" si="14"/>
        <v>OTL</v>
      </c>
      <c r="AO27" s="50">
        <f>IF($O27="TRUCK",
VLOOKUP($AU27,Invoicing!$A$16:$B$56,MATCH($AO$1,Invoicing!$A$16:$B$16,0),FALSE)+IF(OR($B27="DCD",$B27="HPD2"),23.5,0),
VLOOKUP($AU27,Invoicing!$N$15:$O$19,MATCH($AO$1,Invoicing!$N$15:$O$15,0),FALSE)+IF(OR($B27="DCD",$B27="HPD2"),23.5,0))</f>
        <v>553.5</v>
      </c>
      <c r="AP27" s="131" t="e">
        <f>VLOOKUP($E27,Invoicing!$A$1:$H$12,MATCH(TRACKER!$P94,Invoicing!$A$1:$H$1,0),FALSE)</f>
        <v>#N/A</v>
      </c>
      <c r="AQ27" s="131">
        <f>VLOOKUP($E27,Invoicing!$A$1:$H$12,MATCH(TRACKER!$Q$1,Invoicing!$A$1:$H$1,0),FALSE)</f>
        <v>60</v>
      </c>
      <c r="AR27" s="131">
        <f t="shared" si="15"/>
        <v>60</v>
      </c>
      <c r="AS27" s="2">
        <f t="shared" si="16"/>
        <v>2</v>
      </c>
      <c r="AT27" s="2" t="str">
        <f t="shared" si="17"/>
        <v>WEEK</v>
      </c>
      <c r="AU27" s="2" t="str">
        <f t="shared" si="18"/>
        <v>OTLWEEK</v>
      </c>
      <c r="AV27" s="94">
        <f>(IF(ISNA(AP27),AO27+AR27,SUM($AO27,$AR27,IFERROR($AP27,"0"))))+Table2[[#This Row],[WAITING TIMES]]</f>
        <v>613.5</v>
      </c>
      <c r="AW27" s="94">
        <f>VLOOKUP(AN27,Invoicing!A:K,11,FALSE)</f>
        <v>20</v>
      </c>
      <c r="AY27" s="48"/>
      <c r="AZ27" s="94">
        <f t="shared" si="19"/>
        <v>633.5</v>
      </c>
      <c r="BA27" s="133">
        <f>VLOOKUP(AN27,Invoicing!A:J,10,FALSE)</f>
        <v>70</v>
      </c>
      <c r="BB27" s="133">
        <f>VLOOKUP(AN27,Invoicing!A:L,12,FALSE)</f>
        <v>1</v>
      </c>
      <c r="BC27" s="2" t="s">
        <v>66</v>
      </c>
    </row>
    <row r="28" spans="1:55">
      <c r="A28" s="87" t="s">
        <v>89</v>
      </c>
      <c r="B28" s="91" t="s">
        <v>77</v>
      </c>
      <c r="C28" s="89">
        <v>46026.916666666664</v>
      </c>
      <c r="D28" s="89">
        <v>46025.833333333336</v>
      </c>
      <c r="E28" s="89" t="s">
        <v>73</v>
      </c>
      <c r="F28" s="89" t="s">
        <v>90</v>
      </c>
      <c r="G28" s="89" t="s">
        <v>59</v>
      </c>
      <c r="H28" s="89" t="s">
        <v>91</v>
      </c>
      <c r="I28" s="88" t="s">
        <v>124</v>
      </c>
      <c r="J28" s="91" t="s">
        <v>82</v>
      </c>
      <c r="K28" s="89">
        <v>46027.333333333336</v>
      </c>
      <c r="L28" s="90">
        <v>46028.6875</v>
      </c>
      <c r="M28" s="90">
        <v>46028.666666666664</v>
      </c>
      <c r="N28" s="90">
        <v>46028.729166666664</v>
      </c>
      <c r="O28" s="90" t="s">
        <v>63</v>
      </c>
      <c r="P28" s="93" t="s">
        <v>64</v>
      </c>
      <c r="Q28" s="91">
        <v>0</v>
      </c>
      <c r="R28" s="1">
        <f t="shared" si="0"/>
        <v>2</v>
      </c>
      <c r="S28" s="1">
        <f t="shared" si="1"/>
        <v>1</v>
      </c>
      <c r="T28" s="126">
        <f t="shared" si="2"/>
        <v>46028.6875</v>
      </c>
      <c r="U28" s="127">
        <f t="shared" si="3"/>
        <v>0.41666666667151731</v>
      </c>
      <c r="V28" s="128">
        <f>Table2[[#This Row],[ATA A OFRECIMIENTO]]*24</f>
        <v>10.000000000116415</v>
      </c>
      <c r="W28" s="1" t="str">
        <f t="shared" si="4"/>
        <v>YES</v>
      </c>
      <c r="X28" s="127">
        <f t="shared" si="5"/>
        <v>1.3333333333284827</v>
      </c>
      <c r="Y28" s="128">
        <f>Table2[[#This Row],[DEL. AVAILABLE A SLOT]]*24</f>
        <v>31.999999999883585</v>
      </c>
      <c r="Z28" s="1" t="str">
        <f t="shared" si="6"/>
        <v>NO</v>
      </c>
      <c r="AA28" s="127">
        <f t="shared" si="7"/>
        <v>1.75</v>
      </c>
      <c r="AB28" s="128">
        <f>Table2[[#This Row],[ATA A TIMESLOT]]*24</f>
        <v>42</v>
      </c>
      <c r="AC28" s="127">
        <f t="shared" si="8"/>
        <v>2.0833333335758653E-2</v>
      </c>
      <c r="AD28" s="127" t="str">
        <f t="shared" si="9"/>
        <v>SI</v>
      </c>
      <c r="AE28" s="128">
        <f>Table2[[#This Row],[PUNTUALIDAD (H)]]*24</f>
        <v>0.50000000005820766</v>
      </c>
      <c r="AF28" s="127">
        <f t="shared" si="10"/>
        <v>1.8125</v>
      </c>
      <c r="AG28" s="128">
        <f>Table2[[#This Row],[ATA TO UNLOADING]]*24</f>
        <v>43.5</v>
      </c>
      <c r="AH28" s="128" t="str">
        <f>IF(Table2[[#This Row],[ATA TO UNLOADING 2]]&lt;=48,"YES","NO")</f>
        <v>YES</v>
      </c>
      <c r="AJ28" s="129">
        <f t="shared" si="11"/>
        <v>0.66666666666424135</v>
      </c>
      <c r="AK28" s="2" t="s">
        <v>64</v>
      </c>
      <c r="AL28" s="2" t="str">
        <f t="shared" si="12"/>
        <v>2/26</v>
      </c>
      <c r="AM28" s="2" t="str">
        <f t="shared" si="13"/>
        <v>HASU4818331</v>
      </c>
      <c r="AN28" s="130" t="str">
        <f t="shared" si="14"/>
        <v>OTL</v>
      </c>
      <c r="AO28" s="50">
        <f>IF($O28="TRUCK",
VLOOKUP($AU28,Invoicing!$A$16:$B$56,MATCH($AO$1,Invoicing!$A$16:$B$16,0),FALSE)+IF(OR($B28="DCD",$B28="HPD2"),23.5,0),
VLOOKUP($AU28,Invoicing!$N$15:$O$19,MATCH($AO$1,Invoicing!$N$15:$O$15,0),FALSE)+IF(OR($B28="DCD",$B28="HPD2"),23.5,0))</f>
        <v>553.5</v>
      </c>
      <c r="AP28" s="131" t="e">
        <f>VLOOKUP($E28,Invoicing!$A$1:$H$12,MATCH(TRACKER!$P95,Invoicing!$A$1:$H$1,0),FALSE)</f>
        <v>#N/A</v>
      </c>
      <c r="AQ28" s="131">
        <f>VLOOKUP($E28,Invoicing!$A$1:$H$12,MATCH(TRACKER!$Q$1,Invoicing!$A$1:$H$1,0),FALSE)</f>
        <v>60</v>
      </c>
      <c r="AR28" s="131">
        <f t="shared" si="15"/>
        <v>0</v>
      </c>
      <c r="AS28" s="2">
        <f t="shared" si="16"/>
        <v>2</v>
      </c>
      <c r="AT28" s="2" t="str">
        <f t="shared" si="17"/>
        <v>WEEK</v>
      </c>
      <c r="AU28" s="2" t="str">
        <f t="shared" si="18"/>
        <v>OTLWEEK</v>
      </c>
      <c r="AV28" s="94">
        <f>(IF(ISNA(AP28),AO28+AR28,SUM($AO28,$AR28,IFERROR($AP28,"0"))))+Table2[[#This Row],[WAITING TIMES]]</f>
        <v>553.5</v>
      </c>
      <c r="AW28" s="94">
        <f>VLOOKUP(AN28,Invoicing!A:K,11,FALSE)</f>
        <v>20</v>
      </c>
      <c r="AY28" s="48"/>
      <c r="AZ28" s="94">
        <f t="shared" si="19"/>
        <v>573.5</v>
      </c>
      <c r="BA28" s="133">
        <f>VLOOKUP(AN28,Invoicing!A:J,10,FALSE)</f>
        <v>70</v>
      </c>
      <c r="BB28" s="133">
        <f>VLOOKUP(AN28,Invoicing!A:L,12,FALSE)</f>
        <v>1</v>
      </c>
      <c r="BC28" s="2" t="s">
        <v>66</v>
      </c>
    </row>
    <row r="29" spans="1:55">
      <c r="A29" s="134" t="s">
        <v>125</v>
      </c>
      <c r="B29" s="86" t="s">
        <v>56</v>
      </c>
      <c r="C29" s="11">
        <v>46028.779166666667</v>
      </c>
      <c r="D29" s="11">
        <v>46028.583333333336</v>
      </c>
      <c r="E29" s="11" t="s">
        <v>71</v>
      </c>
      <c r="F29" s="11" t="s">
        <v>126</v>
      </c>
      <c r="G29" s="11" t="s">
        <v>59</v>
      </c>
      <c r="H29" s="11" t="s">
        <v>60</v>
      </c>
      <c r="I29" s="86" t="s">
        <v>127</v>
      </c>
      <c r="J29" s="86" t="s">
        <v>100</v>
      </c>
      <c r="K29" s="11">
        <v>46030</v>
      </c>
      <c r="L29" s="12">
        <v>46030.416666666664</v>
      </c>
      <c r="M29" s="12">
        <v>46030.375</v>
      </c>
      <c r="N29" s="12">
        <v>46030.427083333336</v>
      </c>
      <c r="O29" s="12" t="s">
        <v>63</v>
      </c>
      <c r="P29" s="135" t="s">
        <v>64</v>
      </c>
      <c r="Q29" s="86">
        <v>0</v>
      </c>
      <c r="R29" s="1">
        <f t="shared" si="0"/>
        <v>2</v>
      </c>
      <c r="S29" s="1">
        <f t="shared" si="1"/>
        <v>1</v>
      </c>
      <c r="T29" s="126">
        <f t="shared" si="2"/>
        <v>46030.416666666664</v>
      </c>
      <c r="U29" s="127">
        <f t="shared" si="3"/>
        <v>1.2208333333328483</v>
      </c>
      <c r="V29" s="128">
        <f>Table2[[#This Row],[ATA A OFRECIMIENTO]]*24</f>
        <v>29.299999999988358</v>
      </c>
      <c r="W29" s="1" t="str">
        <f t="shared" si="4"/>
        <v>YES</v>
      </c>
      <c r="X29" s="127">
        <f t="shared" si="5"/>
        <v>0.375</v>
      </c>
      <c r="Y29" s="128">
        <f>Table2[[#This Row],[DEL. AVAILABLE A SLOT]]*24</f>
        <v>9</v>
      </c>
      <c r="Z29" s="1" t="str">
        <f t="shared" si="6"/>
        <v>SI</v>
      </c>
      <c r="AA29" s="127">
        <f t="shared" si="7"/>
        <v>1.5958333333328483</v>
      </c>
      <c r="AB29" s="128">
        <f>Table2[[#This Row],[ATA A TIMESLOT]]*24</f>
        <v>38.299999999988358</v>
      </c>
      <c r="AC29" s="127">
        <f t="shared" si="8"/>
        <v>4.1666666664241347E-2</v>
      </c>
      <c r="AD29" s="127" t="str">
        <f t="shared" si="9"/>
        <v>NO</v>
      </c>
      <c r="AE29" s="128">
        <f>Table2[[#This Row],[PUNTUALIDAD (H)]]*24</f>
        <v>0.99999999994179234</v>
      </c>
      <c r="AF29" s="127">
        <f t="shared" si="10"/>
        <v>1.6479166666686069</v>
      </c>
      <c r="AG29" s="128">
        <f>Table2[[#This Row],[ATA TO UNLOADING]]*24</f>
        <v>39.550000000046566</v>
      </c>
      <c r="AH29" s="128" t="str">
        <f>IF(Table2[[#This Row],[ATA TO UNLOADING 2]]&lt;=48,"YES","NO")</f>
        <v>YES</v>
      </c>
      <c r="AJ29" s="129">
        <f t="shared" si="11"/>
        <v>0.375</v>
      </c>
      <c r="AK29" s="2" t="s">
        <v>64</v>
      </c>
      <c r="AL29" s="2" t="str">
        <f t="shared" si="12"/>
        <v>2/26</v>
      </c>
      <c r="AM29" s="2" t="str">
        <f t="shared" si="13"/>
        <v>MAEU9283402</v>
      </c>
      <c r="AN29" s="130" t="str">
        <f t="shared" si="14"/>
        <v>LOGIX</v>
      </c>
      <c r="AO29" s="50">
        <f>IF($O29="TRUCK",
VLOOKUP($AU29,Invoicing!$A$16:$B$56,MATCH($AO$1,Invoicing!$A$16:$B$16,0),FALSE)+IF(OR($B29="DCD",$B29="HPD2"),23.5,0),
VLOOKUP($AU29,Invoicing!$N$15:$O$19,MATCH($AO$1,Invoicing!$N$15:$O$15,0),FALSE)+IF(OR($B29="DCD",$B29="HPD2"),23.5,0))</f>
        <v>550</v>
      </c>
      <c r="AP29" s="131">
        <f>VLOOKUP($E29,Invoicing!$A$1:$H$12,MATCH(TRACKER!$P15,Invoicing!$A$1:$H$1,0),FALSE)</f>
        <v>100</v>
      </c>
      <c r="AQ29" s="131">
        <f>VLOOKUP($E29,Invoicing!$A$1:$H$12,MATCH(TRACKER!$Q$1,Invoicing!$A$1:$H$1,0),FALSE)</f>
        <v>50</v>
      </c>
      <c r="AR29" s="131">
        <f t="shared" si="15"/>
        <v>0</v>
      </c>
      <c r="AS29" s="2">
        <f t="shared" si="16"/>
        <v>4</v>
      </c>
      <c r="AT29" s="2" t="str">
        <f t="shared" si="17"/>
        <v>WEEK</v>
      </c>
      <c r="AU29" s="2" t="str">
        <f t="shared" si="18"/>
        <v>LOGIXWEEK</v>
      </c>
      <c r="AV29" s="94">
        <f>(IF(ISNA(AP29),AO29+AR29,SUM($AO29,$AR29,IFERROR($AP29,"0"))))+Table2[[#This Row],[WAITING TIMES]]</f>
        <v>650</v>
      </c>
      <c r="AW29" s="94">
        <f>VLOOKUP(AN29,Invoicing!A:K,11,FALSE)</f>
        <v>20</v>
      </c>
      <c r="AY29" s="48"/>
      <c r="AZ29" s="94">
        <f t="shared" si="19"/>
        <v>670</v>
      </c>
      <c r="BA29" s="133">
        <f>VLOOKUP(AN29,Invoicing!A:J,10,FALSE)</f>
        <v>70</v>
      </c>
      <c r="BB29" s="133">
        <f>VLOOKUP(AN29,Invoicing!A:L,12,FALSE)</f>
        <v>1</v>
      </c>
      <c r="BC29" s="2" t="s">
        <v>66</v>
      </c>
    </row>
    <row r="30" spans="1:55">
      <c r="A30" s="134" t="s">
        <v>125</v>
      </c>
      <c r="B30" s="86" t="s">
        <v>56</v>
      </c>
      <c r="C30" s="11">
        <v>46028.779166666667</v>
      </c>
      <c r="D30" s="11">
        <v>46028.583333333336</v>
      </c>
      <c r="E30" s="11" t="s">
        <v>71</v>
      </c>
      <c r="F30" s="11" t="s">
        <v>128</v>
      </c>
      <c r="G30" s="11" t="s">
        <v>59</v>
      </c>
      <c r="H30" s="11" t="s">
        <v>68</v>
      </c>
      <c r="I30" s="86" t="s">
        <v>129</v>
      </c>
      <c r="J30" s="86" t="s">
        <v>100</v>
      </c>
      <c r="K30" s="11">
        <v>46030</v>
      </c>
      <c r="L30" s="12">
        <v>46030.725694444445</v>
      </c>
      <c r="M30" s="12">
        <v>46030.708333333336</v>
      </c>
      <c r="N30" s="12">
        <v>46030.732638888891</v>
      </c>
      <c r="O30" s="12" t="s">
        <v>63</v>
      </c>
      <c r="P30" s="135" t="s">
        <v>64</v>
      </c>
      <c r="Q30" s="86">
        <v>0</v>
      </c>
      <c r="R30" s="1">
        <f t="shared" si="0"/>
        <v>2</v>
      </c>
      <c r="S30" s="1">
        <f t="shared" si="1"/>
        <v>1</v>
      </c>
      <c r="T30" s="126">
        <f t="shared" si="2"/>
        <v>46030.725694444445</v>
      </c>
      <c r="U30" s="127">
        <f t="shared" si="3"/>
        <v>1.2208333333328483</v>
      </c>
      <c r="V30" s="128">
        <f>Table2[[#This Row],[ATA A OFRECIMIENTO]]*24</f>
        <v>29.299999999988358</v>
      </c>
      <c r="W30" s="1" t="str">
        <f t="shared" si="4"/>
        <v>YES</v>
      </c>
      <c r="X30" s="127">
        <f t="shared" si="5"/>
        <v>0.70833333333575865</v>
      </c>
      <c r="Y30" s="128">
        <f>Table2[[#This Row],[DEL. AVAILABLE A SLOT]]*24</f>
        <v>17.000000000058208</v>
      </c>
      <c r="Z30" s="1" t="str">
        <f t="shared" si="6"/>
        <v>SI</v>
      </c>
      <c r="AA30" s="127">
        <f t="shared" si="7"/>
        <v>1.9291666666686069</v>
      </c>
      <c r="AB30" s="128">
        <f>Table2[[#This Row],[ATA A TIMESLOT]]*24</f>
        <v>46.300000000046566</v>
      </c>
      <c r="AC30" s="127">
        <f t="shared" si="8"/>
        <v>1.7361111109494232E-2</v>
      </c>
      <c r="AD30" s="127" t="str">
        <f t="shared" si="9"/>
        <v>SI</v>
      </c>
      <c r="AE30" s="128">
        <f>Table2[[#This Row],[PUNTUALIDAD (H)]]*24</f>
        <v>0.41666666662786156</v>
      </c>
      <c r="AF30" s="127">
        <f t="shared" si="10"/>
        <v>1.953472222223354</v>
      </c>
      <c r="AG30" s="128">
        <f>Table2[[#This Row],[ATA TO UNLOADING]]*24</f>
        <v>46.883333333360497</v>
      </c>
      <c r="AH30" s="128" t="str">
        <f>IF(Table2[[#This Row],[ATA TO UNLOADING 2]]&lt;=48,"YES","NO")</f>
        <v>YES</v>
      </c>
      <c r="AJ30" s="129">
        <f t="shared" si="11"/>
        <v>0.70833333333575865</v>
      </c>
      <c r="AK30" s="2" t="s">
        <v>64</v>
      </c>
      <c r="AL30" s="2" t="str">
        <f t="shared" si="12"/>
        <v>2/26</v>
      </c>
      <c r="AM30" s="2" t="str">
        <f t="shared" si="13"/>
        <v>MRSU3879055</v>
      </c>
      <c r="AN30" s="130" t="str">
        <f t="shared" si="14"/>
        <v>LOGIX</v>
      </c>
      <c r="AO30" s="50">
        <f>IF($O30="TRUCK",
VLOOKUP($AU30,Invoicing!$A$16:$B$56,MATCH($AO$1,Invoicing!$A$16:$B$16,0),FALSE)+IF(OR($B30="DCD",$B30="HPD2"),23.5,0),
VLOOKUP($AU30,Invoicing!$N$15:$O$19,MATCH($AO$1,Invoicing!$N$15:$O$15,0),FALSE)+IF(OR($B30="DCD",$B30="HPD2"),23.5,0))</f>
        <v>550</v>
      </c>
      <c r="AP30" s="131">
        <f>VLOOKUP($E30,Invoicing!$A$1:$H$12,MATCH(TRACKER!$P16,Invoicing!$A$1:$H$1,0),FALSE)</f>
        <v>100</v>
      </c>
      <c r="AQ30" s="131">
        <f>VLOOKUP($E30,Invoicing!$A$1:$H$12,MATCH(TRACKER!$Q$1,Invoicing!$A$1:$H$1,0),FALSE)</f>
        <v>50</v>
      </c>
      <c r="AR30" s="131">
        <f t="shared" si="15"/>
        <v>0</v>
      </c>
      <c r="AS30" s="2">
        <f t="shared" si="16"/>
        <v>4</v>
      </c>
      <c r="AT30" s="2" t="str">
        <f t="shared" si="17"/>
        <v>WEEK</v>
      </c>
      <c r="AU30" s="2" t="str">
        <f t="shared" si="18"/>
        <v>LOGIXWEEK</v>
      </c>
      <c r="AV30" s="94">
        <f>(IF(ISNA(AP30),AO30+AR30,SUM($AO30,$AR30,IFERROR($AP30,"0"))))+Table2[[#This Row],[WAITING TIMES]]</f>
        <v>650</v>
      </c>
      <c r="AW30" s="94">
        <f>VLOOKUP(AN30,Invoicing!A:K,11,FALSE)</f>
        <v>20</v>
      </c>
      <c r="AY30" s="48"/>
      <c r="AZ30" s="94">
        <f t="shared" si="19"/>
        <v>670</v>
      </c>
      <c r="BA30" s="133">
        <f>VLOOKUP(AN30,Invoicing!A:J,10,FALSE)</f>
        <v>70</v>
      </c>
      <c r="BB30" s="133">
        <f>VLOOKUP(AN30,Invoicing!A:L,12,FALSE)</f>
        <v>1</v>
      </c>
      <c r="BC30" s="2" t="s">
        <v>66</v>
      </c>
    </row>
    <row r="31" spans="1:55">
      <c r="A31" s="134" t="s">
        <v>125</v>
      </c>
      <c r="B31" s="86" t="s">
        <v>56</v>
      </c>
      <c r="C31" s="11">
        <v>46028.779166666667</v>
      </c>
      <c r="D31" s="11">
        <v>46028.583333333336</v>
      </c>
      <c r="E31" s="11" t="s">
        <v>71</v>
      </c>
      <c r="F31" s="11" t="s">
        <v>128</v>
      </c>
      <c r="G31" s="11" t="s">
        <v>59</v>
      </c>
      <c r="H31" s="11" t="s">
        <v>68</v>
      </c>
      <c r="I31" s="86" t="s">
        <v>130</v>
      </c>
      <c r="J31" s="86" t="s">
        <v>62</v>
      </c>
      <c r="K31" s="11">
        <v>46030</v>
      </c>
      <c r="L31" s="12">
        <v>46030.791666666664</v>
      </c>
      <c r="M31" s="12">
        <v>46030.791666666664</v>
      </c>
      <c r="N31" s="12">
        <v>46030.809027777781</v>
      </c>
      <c r="O31" s="12" t="s">
        <v>63</v>
      </c>
      <c r="P31" s="135" t="s">
        <v>64</v>
      </c>
      <c r="Q31" s="86">
        <v>0</v>
      </c>
      <c r="R31" s="1">
        <f t="shared" si="0"/>
        <v>2</v>
      </c>
      <c r="S31" s="1">
        <f t="shared" si="1"/>
        <v>1</v>
      </c>
      <c r="T31" s="126">
        <f t="shared" si="2"/>
        <v>46030.791666666664</v>
      </c>
      <c r="U31" s="127">
        <f t="shared" si="3"/>
        <v>1.2208333333328483</v>
      </c>
      <c r="V31" s="128">
        <f>Table2[[#This Row],[ATA A OFRECIMIENTO]]*24</f>
        <v>29.299999999988358</v>
      </c>
      <c r="W31" s="1" t="str">
        <f t="shared" si="4"/>
        <v>YES</v>
      </c>
      <c r="X31" s="127">
        <f t="shared" si="5"/>
        <v>0.79166666666424135</v>
      </c>
      <c r="Y31" s="128">
        <f>Table2[[#This Row],[DEL. AVAILABLE A SLOT]]*24</f>
        <v>18.999999999941792</v>
      </c>
      <c r="Z31" s="1" t="str">
        <f t="shared" si="6"/>
        <v>SI</v>
      </c>
      <c r="AA31" s="127">
        <f t="shared" si="7"/>
        <v>2.0124999999970896</v>
      </c>
      <c r="AB31" s="128">
        <f>Table2[[#This Row],[ATA A TIMESLOT]]*24</f>
        <v>48.299999999930151</v>
      </c>
      <c r="AC31" s="127">
        <f t="shared" si="8"/>
        <v>0</v>
      </c>
      <c r="AD31" s="127" t="str">
        <f t="shared" si="9"/>
        <v>SI</v>
      </c>
      <c r="AE31" s="128">
        <f>Table2[[#This Row],[PUNTUALIDAD (H)]]*24</f>
        <v>0</v>
      </c>
      <c r="AF31" s="127">
        <f t="shared" si="10"/>
        <v>2.0298611111138598</v>
      </c>
      <c r="AG31" s="128">
        <f>Table2[[#This Row],[ATA TO UNLOADING]]*24</f>
        <v>48.716666666732635</v>
      </c>
      <c r="AH31" s="128" t="str">
        <f>IF(Table2[[#This Row],[ATA TO UNLOADING 2]]&lt;=48,"YES","NO")</f>
        <v>NO</v>
      </c>
      <c r="AJ31" s="129">
        <f t="shared" si="11"/>
        <v>0.79166666666424135</v>
      </c>
      <c r="AK31" s="2" t="s">
        <v>64</v>
      </c>
      <c r="AL31" s="2" t="str">
        <f t="shared" si="12"/>
        <v>2/26</v>
      </c>
      <c r="AM31" s="2" t="str">
        <f t="shared" si="13"/>
        <v>MRSU7360767</v>
      </c>
      <c r="AN31" s="130" t="str">
        <f t="shared" si="14"/>
        <v>LOGIX</v>
      </c>
      <c r="AO31" s="50">
        <f>IF($O31="TRUCK",
VLOOKUP($AU31,Invoicing!$A$16:$B$56,MATCH($AO$1,Invoicing!$A$16:$B$16,0),FALSE)+IF(OR($B31="DCD",$B31="HPD2"),23.5,0),
VLOOKUP($AU31,Invoicing!$N$15:$O$19,MATCH($AO$1,Invoicing!$N$15:$O$15,0),FALSE)+IF(OR($B31="DCD",$B31="HPD2"),23.5,0))</f>
        <v>550</v>
      </c>
      <c r="AP31" s="131" t="e">
        <f>VLOOKUP($E31,Invoicing!$A$1:$H$12,MATCH(TRACKER!$P17,Invoicing!$A$1:$H$1,0),FALSE)</f>
        <v>#N/A</v>
      </c>
      <c r="AQ31" s="131">
        <f>VLOOKUP($E31,Invoicing!$A$1:$H$12,MATCH(TRACKER!$Q$1,Invoicing!$A$1:$H$1,0),FALSE)</f>
        <v>50</v>
      </c>
      <c r="AR31" s="131">
        <f t="shared" si="15"/>
        <v>0</v>
      </c>
      <c r="AS31" s="2">
        <f t="shared" si="16"/>
        <v>4</v>
      </c>
      <c r="AT31" s="2" t="str">
        <f t="shared" si="17"/>
        <v>WEEK</v>
      </c>
      <c r="AU31" s="2" t="str">
        <f t="shared" si="18"/>
        <v>LOGIXWEEK</v>
      </c>
      <c r="AV31" s="94">
        <f>(IF(ISNA(AP31),AO31+AR31,SUM($AO31,$AR31,IFERROR($AP31,"0"))))+Table2[[#This Row],[WAITING TIMES]]</f>
        <v>550</v>
      </c>
      <c r="AW31" s="94">
        <f>VLOOKUP(AN31,Invoicing!A:K,11,FALSE)</f>
        <v>20</v>
      </c>
      <c r="AY31" s="48"/>
      <c r="AZ31" s="94">
        <f t="shared" si="19"/>
        <v>570</v>
      </c>
      <c r="BA31" s="133">
        <f>VLOOKUP(AN31,Invoicing!A:J,10,FALSE)</f>
        <v>70</v>
      </c>
      <c r="BB31" s="133">
        <f>VLOOKUP(AN31,Invoicing!A:L,12,FALSE)</f>
        <v>1</v>
      </c>
      <c r="BC31" s="2" t="s">
        <v>66</v>
      </c>
    </row>
    <row r="32" spans="1:55">
      <c r="A32" s="134" t="s">
        <v>125</v>
      </c>
      <c r="B32" s="86" t="s">
        <v>56</v>
      </c>
      <c r="C32" s="11">
        <v>46028.779166666667</v>
      </c>
      <c r="D32" s="11">
        <v>46028.583333333336</v>
      </c>
      <c r="E32" s="11" t="s">
        <v>71</v>
      </c>
      <c r="F32" s="11" t="s">
        <v>128</v>
      </c>
      <c r="G32" s="11" t="s">
        <v>59</v>
      </c>
      <c r="H32" s="11" t="s">
        <v>68</v>
      </c>
      <c r="I32" s="86" t="s">
        <v>131</v>
      </c>
      <c r="J32" s="86" t="s">
        <v>100</v>
      </c>
      <c r="K32" s="11">
        <v>46030</v>
      </c>
      <c r="L32" s="12">
        <v>46030.251388888886</v>
      </c>
      <c r="M32" s="12">
        <v>46030.25</v>
      </c>
      <c r="N32" s="12">
        <v>46030.256944444445</v>
      </c>
      <c r="O32" s="12" t="s">
        <v>63</v>
      </c>
      <c r="P32" s="135" t="s">
        <v>64</v>
      </c>
      <c r="Q32" s="86">
        <v>1</v>
      </c>
      <c r="R32" s="1">
        <f t="shared" si="0"/>
        <v>2</v>
      </c>
      <c r="S32" s="1">
        <f t="shared" si="1"/>
        <v>1</v>
      </c>
      <c r="T32" s="126">
        <f t="shared" si="2"/>
        <v>46030.251388888886</v>
      </c>
      <c r="U32" s="127">
        <f t="shared" si="3"/>
        <v>1.2208333333328483</v>
      </c>
      <c r="V32" s="128">
        <f>Table2[[#This Row],[ATA A OFRECIMIENTO]]*24</f>
        <v>29.299999999988358</v>
      </c>
      <c r="W32" s="1" t="str">
        <f t="shared" si="4"/>
        <v>YES</v>
      </c>
      <c r="X32" s="127">
        <f t="shared" si="5"/>
        <v>0.25</v>
      </c>
      <c r="Y32" s="128">
        <f>Table2[[#This Row],[DEL. AVAILABLE A SLOT]]*24</f>
        <v>6</v>
      </c>
      <c r="Z32" s="1" t="str">
        <f t="shared" si="6"/>
        <v>SI</v>
      </c>
      <c r="AA32" s="127">
        <f t="shared" si="7"/>
        <v>1.4708333333328483</v>
      </c>
      <c r="AB32" s="128">
        <f>Table2[[#This Row],[ATA A TIMESLOT]]*24</f>
        <v>35.299999999988358</v>
      </c>
      <c r="AC32" s="127">
        <f t="shared" si="8"/>
        <v>1.3888888861401938E-3</v>
      </c>
      <c r="AD32" s="127" t="str">
        <f t="shared" si="9"/>
        <v>SI</v>
      </c>
      <c r="AE32" s="128">
        <f>Table2[[#This Row],[PUNTUALIDAD (H)]]*24</f>
        <v>3.3333333267364651E-2</v>
      </c>
      <c r="AF32" s="127">
        <f t="shared" si="10"/>
        <v>1.4777777777781012</v>
      </c>
      <c r="AG32" s="128">
        <f>Table2[[#This Row],[ATA TO UNLOADING]]*24</f>
        <v>35.466666666674428</v>
      </c>
      <c r="AH32" s="128" t="str">
        <f>IF(Table2[[#This Row],[ATA TO UNLOADING 2]]&lt;=48,"YES","NO")</f>
        <v>YES</v>
      </c>
      <c r="AJ32" s="129">
        <f t="shared" si="11"/>
        <v>0.25</v>
      </c>
      <c r="AK32" s="2" t="s">
        <v>64</v>
      </c>
      <c r="AL32" s="2" t="str">
        <f t="shared" si="12"/>
        <v>2/26</v>
      </c>
      <c r="AM32" s="2" t="str">
        <f t="shared" si="13"/>
        <v>MRSU8147376</v>
      </c>
      <c r="AN32" s="130" t="str">
        <f t="shared" si="14"/>
        <v>LOGIX</v>
      </c>
      <c r="AO32" s="50">
        <f>IF($O32="TRUCK",
VLOOKUP($AU32,Invoicing!$A$16:$B$56,MATCH($AO$1,Invoicing!$A$16:$B$16,0),FALSE)+IF(OR($B32="DCD",$B32="HPD2"),23.5,0),
VLOOKUP($AU32,Invoicing!$N$15:$O$19,MATCH($AO$1,Invoicing!$N$15:$O$15,0),FALSE)+IF(OR($B32="DCD",$B32="HPD2"),23.5,0))</f>
        <v>550</v>
      </c>
      <c r="AP32" s="131" t="e">
        <f>VLOOKUP($E32,Invoicing!$A$1:$H$12,MATCH(TRACKER!$P18,Invoicing!$A$1:$H$1,0),FALSE)</f>
        <v>#N/A</v>
      </c>
      <c r="AQ32" s="131">
        <f>VLOOKUP($E32,Invoicing!$A$1:$H$12,MATCH(TRACKER!$Q$1,Invoicing!$A$1:$H$1,0),FALSE)</f>
        <v>50</v>
      </c>
      <c r="AR32" s="131">
        <f t="shared" si="15"/>
        <v>50</v>
      </c>
      <c r="AS32" s="2">
        <f t="shared" si="16"/>
        <v>4</v>
      </c>
      <c r="AT32" s="2" t="str">
        <f t="shared" si="17"/>
        <v>WEEK</v>
      </c>
      <c r="AU32" s="2" t="str">
        <f t="shared" si="18"/>
        <v>LOGIXWEEK</v>
      </c>
      <c r="AV32" s="94">
        <f>(IF(ISNA(AP32),AO32+AR32,SUM($AO32,$AR32,IFERROR($AP32,"0"))))+Table2[[#This Row],[WAITING TIMES]]</f>
        <v>600</v>
      </c>
      <c r="AW32" s="94">
        <f>VLOOKUP(AN32,Invoicing!A:K,11,FALSE)</f>
        <v>20</v>
      </c>
      <c r="AY32" s="48"/>
      <c r="AZ32" s="94">
        <f t="shared" si="19"/>
        <v>620</v>
      </c>
      <c r="BA32" s="133">
        <f>VLOOKUP(AN32,Invoicing!A:J,10,FALSE)</f>
        <v>70</v>
      </c>
      <c r="BB32" s="133">
        <f>VLOOKUP(AN32,Invoicing!A:L,12,FALSE)</f>
        <v>1</v>
      </c>
      <c r="BC32" s="2" t="s">
        <v>66</v>
      </c>
    </row>
    <row r="33" spans="1:55">
      <c r="A33" s="134" t="s">
        <v>125</v>
      </c>
      <c r="B33" s="86" t="s">
        <v>56</v>
      </c>
      <c r="C33" s="11">
        <v>46028.779166666667</v>
      </c>
      <c r="D33" s="11">
        <v>46028.583333333336</v>
      </c>
      <c r="E33" s="11" t="s">
        <v>71</v>
      </c>
      <c r="F33" s="11" t="s">
        <v>132</v>
      </c>
      <c r="G33" s="11" t="s">
        <v>133</v>
      </c>
      <c r="H33" s="11" t="s">
        <v>60</v>
      </c>
      <c r="I33" s="86" t="s">
        <v>134</v>
      </c>
      <c r="J33" s="86" t="s">
        <v>100</v>
      </c>
      <c r="K33" s="11">
        <v>46030</v>
      </c>
      <c r="L33" s="12">
        <v>46030.600694444445</v>
      </c>
      <c r="M33" s="12">
        <v>46030.583333333336</v>
      </c>
      <c r="N33" s="12">
        <v>46030.607638888891</v>
      </c>
      <c r="O33" s="12" t="s">
        <v>63</v>
      </c>
      <c r="P33" s="135" t="s">
        <v>64</v>
      </c>
      <c r="Q33" s="86">
        <v>0</v>
      </c>
      <c r="R33" s="1">
        <f t="shared" si="0"/>
        <v>2</v>
      </c>
      <c r="S33" s="1">
        <f t="shared" si="1"/>
        <v>1</v>
      </c>
      <c r="T33" s="126">
        <f t="shared" si="2"/>
        <v>46030.600694444445</v>
      </c>
      <c r="U33" s="127">
        <f t="shared" si="3"/>
        <v>1.2208333333328483</v>
      </c>
      <c r="V33" s="128">
        <f>Table2[[#This Row],[ATA A OFRECIMIENTO]]*24</f>
        <v>29.299999999988358</v>
      </c>
      <c r="W33" s="1" t="str">
        <f t="shared" si="4"/>
        <v>YES</v>
      </c>
      <c r="X33" s="127">
        <f t="shared" si="5"/>
        <v>0.58333333333575865</v>
      </c>
      <c r="Y33" s="128">
        <f>Table2[[#This Row],[DEL. AVAILABLE A SLOT]]*24</f>
        <v>14.000000000058208</v>
      </c>
      <c r="Z33" s="1" t="str">
        <f t="shared" si="6"/>
        <v>SI</v>
      </c>
      <c r="AA33" s="127">
        <f t="shared" si="7"/>
        <v>1.8041666666686069</v>
      </c>
      <c r="AB33" s="128">
        <f>Table2[[#This Row],[ATA A TIMESLOT]]*24</f>
        <v>43.300000000046566</v>
      </c>
      <c r="AC33" s="127">
        <f t="shared" si="8"/>
        <v>1.7361111109494232E-2</v>
      </c>
      <c r="AD33" s="127" t="str">
        <f t="shared" si="9"/>
        <v>SI</v>
      </c>
      <c r="AE33" s="128">
        <f>Table2[[#This Row],[PUNTUALIDAD (H)]]*24</f>
        <v>0.41666666662786156</v>
      </c>
      <c r="AF33" s="127">
        <f t="shared" si="10"/>
        <v>1.828472222223354</v>
      </c>
      <c r="AG33" s="128">
        <f>Table2[[#This Row],[ATA TO UNLOADING]]*24</f>
        <v>43.883333333360497</v>
      </c>
      <c r="AH33" s="128" t="str">
        <f>IF(Table2[[#This Row],[ATA TO UNLOADING 2]]&lt;=48,"YES","NO")</f>
        <v>YES</v>
      </c>
      <c r="AJ33" s="129">
        <f t="shared" si="11"/>
        <v>0.58333333333575865</v>
      </c>
      <c r="AK33" s="2" t="s">
        <v>64</v>
      </c>
      <c r="AL33" s="2" t="str">
        <f t="shared" si="12"/>
        <v>2/26</v>
      </c>
      <c r="AM33" s="2" t="str">
        <f t="shared" si="13"/>
        <v>UACU5889557</v>
      </c>
      <c r="AN33" s="130" t="str">
        <f t="shared" si="14"/>
        <v>LOGIX</v>
      </c>
      <c r="AO33" s="50">
        <f>IF($O33="TRUCK",
VLOOKUP($AU33,Invoicing!$A$16:$B$56,MATCH($AO$1,Invoicing!$A$16:$B$16,0),FALSE)+IF(OR($B33="DCD",$B33="HPD2"),23.5,0),
VLOOKUP($AU33,Invoicing!$N$15:$O$19,MATCH($AO$1,Invoicing!$N$15:$O$15,0),FALSE)+IF(OR($B33="DCD",$B33="HPD2"),23.5,0))</f>
        <v>550</v>
      </c>
      <c r="AP33" s="131">
        <f>VLOOKUP($E33,Invoicing!$A$1:$H$12,MATCH(TRACKER!$P19,Invoicing!$A$1:$H$1,0),FALSE)</f>
        <v>100</v>
      </c>
      <c r="AQ33" s="131">
        <f>VLOOKUP($E33,Invoicing!$A$1:$H$12,MATCH(TRACKER!$Q$1,Invoicing!$A$1:$H$1,0),FALSE)</f>
        <v>50</v>
      </c>
      <c r="AR33" s="131">
        <f t="shared" si="15"/>
        <v>0</v>
      </c>
      <c r="AS33" s="2">
        <f t="shared" si="16"/>
        <v>4</v>
      </c>
      <c r="AT33" s="2" t="str">
        <f t="shared" si="17"/>
        <v>WEEK</v>
      </c>
      <c r="AU33" s="2" t="str">
        <f t="shared" si="18"/>
        <v>LOGIXWEEK</v>
      </c>
      <c r="AV33" s="94">
        <f>(IF(ISNA(AP33),AO33+AR33,SUM($AO33,$AR33,IFERROR($AP33,"0"))))+Table2[[#This Row],[WAITING TIMES]]</f>
        <v>650</v>
      </c>
      <c r="AW33" s="94">
        <f>VLOOKUP(AN33,Invoicing!A:K,11,FALSE)</f>
        <v>20</v>
      </c>
      <c r="AY33" s="48"/>
      <c r="AZ33" s="94">
        <f t="shared" si="19"/>
        <v>670</v>
      </c>
      <c r="BA33" s="133">
        <f>VLOOKUP(AN33,Invoicing!A:J,10,FALSE)</f>
        <v>70</v>
      </c>
      <c r="BB33" s="133">
        <f>VLOOKUP(AN33,Invoicing!A:L,12,FALSE)</f>
        <v>1</v>
      </c>
      <c r="BC33" s="2" t="s">
        <v>66</v>
      </c>
    </row>
    <row r="34" spans="1:55">
      <c r="A34" s="134" t="s">
        <v>125</v>
      </c>
      <c r="B34" s="86" t="s">
        <v>56</v>
      </c>
      <c r="C34" s="11">
        <v>46028.779166666667</v>
      </c>
      <c r="D34" s="11">
        <v>46028.583333333336</v>
      </c>
      <c r="E34" s="11" t="s">
        <v>98</v>
      </c>
      <c r="F34" s="11" t="s">
        <v>135</v>
      </c>
      <c r="G34" s="11" t="s">
        <v>59</v>
      </c>
      <c r="H34" s="11" t="s">
        <v>60</v>
      </c>
      <c r="I34" s="86" t="s">
        <v>136</v>
      </c>
      <c r="J34" s="86" t="s">
        <v>62</v>
      </c>
      <c r="K34" s="11">
        <v>46030</v>
      </c>
      <c r="L34" s="12">
        <v>46030.404166666667</v>
      </c>
      <c r="M34" s="12">
        <v>46030.416666666664</v>
      </c>
      <c r="N34" s="12">
        <v>46030.4375</v>
      </c>
      <c r="O34" s="12" t="s">
        <v>63</v>
      </c>
      <c r="P34" s="135" t="s">
        <v>64</v>
      </c>
      <c r="Q34" s="86">
        <v>1</v>
      </c>
      <c r="R34" s="1">
        <f t="shared" si="0"/>
        <v>2</v>
      </c>
      <c r="S34" s="1">
        <f t="shared" si="1"/>
        <v>1</v>
      </c>
      <c r="T34" s="126">
        <f t="shared" si="2"/>
        <v>46030.404166666667</v>
      </c>
      <c r="U34" s="127">
        <f t="shared" si="3"/>
        <v>1.2208333333328483</v>
      </c>
      <c r="V34" s="128">
        <f>Table2[[#This Row],[ATA A OFRECIMIENTO]]*24</f>
        <v>29.299999999988358</v>
      </c>
      <c r="W34" s="1" t="str">
        <f t="shared" si="4"/>
        <v>YES</v>
      </c>
      <c r="X34" s="127">
        <f t="shared" si="5"/>
        <v>0.41666666666424135</v>
      </c>
      <c r="Y34" s="128">
        <f>Table2[[#This Row],[DEL. AVAILABLE A SLOT]]*24</f>
        <v>9.9999999999417923</v>
      </c>
      <c r="Z34" s="1" t="str">
        <f t="shared" si="6"/>
        <v>SI</v>
      </c>
      <c r="AA34" s="127">
        <f t="shared" si="7"/>
        <v>1.6374999999970896</v>
      </c>
      <c r="AB34" s="128">
        <f>Table2[[#This Row],[ATA A TIMESLOT]]*24</f>
        <v>39.299999999930151</v>
      </c>
      <c r="AC34" s="127">
        <f t="shared" si="8"/>
        <v>0</v>
      </c>
      <c r="AD34" s="127" t="str">
        <f t="shared" si="9"/>
        <v>SI</v>
      </c>
      <c r="AE34" s="128">
        <f>Table2[[#This Row],[PUNTUALIDAD (H)]]*24</f>
        <v>0</v>
      </c>
      <c r="AF34" s="127">
        <f t="shared" si="10"/>
        <v>1.6583333333328483</v>
      </c>
      <c r="AG34" s="128">
        <f>Table2[[#This Row],[ATA TO UNLOADING]]*24</f>
        <v>39.799999999988358</v>
      </c>
      <c r="AH34" s="128" t="str">
        <f>IF(Table2[[#This Row],[ATA TO UNLOADING 2]]&lt;=48,"YES","NO")</f>
        <v>YES</v>
      </c>
      <c r="AJ34" s="129">
        <f t="shared" si="11"/>
        <v>0.41666666666424135</v>
      </c>
      <c r="AK34" s="2" t="s">
        <v>64</v>
      </c>
      <c r="AL34" s="2" t="str">
        <f t="shared" si="12"/>
        <v>2/26</v>
      </c>
      <c r="AM34" s="2" t="str">
        <f t="shared" si="13"/>
        <v>MAEU9234687</v>
      </c>
      <c r="AN34" s="130" t="str">
        <f t="shared" si="14"/>
        <v>MSI</v>
      </c>
      <c r="AO34" s="50">
        <f>IF($O34="TRUCK",
VLOOKUP($AU34,Invoicing!$A$16:$B$56,MATCH($AO$1,Invoicing!$A$16:$B$16,0),FALSE)+IF(OR($B34="DCD",$B34="HPD2"),23.5,0),
VLOOKUP($AU34,Invoicing!$N$15:$O$19,MATCH($AO$1,Invoicing!$N$15:$O$15,0),FALSE)+IF(OR($B34="DCD",$B34="HPD2"),23.5,0))</f>
        <v>480</v>
      </c>
      <c r="AP34" s="131" t="e">
        <f>VLOOKUP($E34,Invoicing!$A$1:$H$12,MATCH(TRACKER!$P37,Invoicing!$A$1:$H$1,0),FALSE)</f>
        <v>#N/A</v>
      </c>
      <c r="AQ34" s="131">
        <f>VLOOKUP($E34,Invoicing!$A$1:$H$12,MATCH(TRACKER!$Q$1,Invoicing!$A$1:$H$1,0),FALSE)</f>
        <v>50</v>
      </c>
      <c r="AR34" s="131">
        <f t="shared" ref="AR34:AR65" si="20">IF($Q34&lt;&gt;0,$Q34*$AQ34,0)</f>
        <v>50</v>
      </c>
      <c r="AS34" s="2">
        <f t="shared" si="16"/>
        <v>4</v>
      </c>
      <c r="AT34" s="2" t="str">
        <f t="shared" ref="AT34:AT65" si="21">IF(AS34=7,"SUNDAY",IF(AS34=6,"SATURDAY",IF(AK34="NIGHT","NIGHT",IF(AS34&lt;=5,"WEEK","SUNDAY"))))</f>
        <v>WEEK</v>
      </c>
      <c r="AU34" s="2" t="str">
        <f t="shared" si="18"/>
        <v>MSIWEEK</v>
      </c>
      <c r="AV34" s="94">
        <f>(IF(ISNA(AP34),AO34+AR34,SUM($AO34,$AR34,IFERROR($AP34,"0"))))+Table2[[#This Row],[WAITING TIMES]]</f>
        <v>530</v>
      </c>
      <c r="AW34" s="94">
        <f>VLOOKUP(AN34,Invoicing!A:K,11,FALSE)</f>
        <v>20</v>
      </c>
      <c r="AY34" s="48"/>
      <c r="AZ34" s="94">
        <f t="shared" si="19"/>
        <v>550</v>
      </c>
      <c r="BA34" s="133">
        <f>VLOOKUP(AN34,Invoicing!A:J,10,FALSE)</f>
        <v>70</v>
      </c>
      <c r="BB34" s="133">
        <f>VLOOKUP(AN34,Invoicing!A:L,12,FALSE)</f>
        <v>1</v>
      </c>
      <c r="BC34" s="2" t="s">
        <v>66</v>
      </c>
    </row>
    <row r="35" spans="1:55">
      <c r="A35" s="134" t="s">
        <v>125</v>
      </c>
      <c r="B35" s="86" t="s">
        <v>56</v>
      </c>
      <c r="C35" s="11">
        <v>46028.779166666667</v>
      </c>
      <c r="D35" s="11">
        <v>46028.583333333336</v>
      </c>
      <c r="E35" s="11" t="s">
        <v>98</v>
      </c>
      <c r="F35" s="11" t="s">
        <v>128</v>
      </c>
      <c r="G35" s="11" t="s">
        <v>59</v>
      </c>
      <c r="H35" s="11" t="s">
        <v>68</v>
      </c>
      <c r="I35" s="86" t="s">
        <v>137</v>
      </c>
      <c r="J35" s="86" t="s">
        <v>82</v>
      </c>
      <c r="K35" s="11">
        <v>46030</v>
      </c>
      <c r="L35" s="12">
        <v>46030.290277777778</v>
      </c>
      <c r="M35" s="12">
        <v>46030.291666666664</v>
      </c>
      <c r="N35" s="12">
        <v>46030.305555555555</v>
      </c>
      <c r="O35" s="12" t="s">
        <v>63</v>
      </c>
      <c r="P35" s="135" t="s">
        <v>64</v>
      </c>
      <c r="Q35" s="86">
        <v>0</v>
      </c>
      <c r="R35" s="1">
        <f t="shared" si="0"/>
        <v>2</v>
      </c>
      <c r="S35" s="1">
        <f t="shared" si="1"/>
        <v>1</v>
      </c>
      <c r="T35" s="126">
        <f t="shared" si="2"/>
        <v>46030.290277777778</v>
      </c>
      <c r="U35" s="127">
        <f t="shared" si="3"/>
        <v>1.2208333333328483</v>
      </c>
      <c r="V35" s="128">
        <f>Table2[[#This Row],[ATA A OFRECIMIENTO]]*24</f>
        <v>29.299999999988358</v>
      </c>
      <c r="W35" s="1" t="str">
        <f t="shared" si="4"/>
        <v>YES</v>
      </c>
      <c r="X35" s="127">
        <f t="shared" si="5"/>
        <v>0.29166666666424135</v>
      </c>
      <c r="Y35" s="128">
        <f>Table2[[#This Row],[DEL. AVAILABLE A SLOT]]*24</f>
        <v>6.9999999999417923</v>
      </c>
      <c r="Z35" s="1" t="str">
        <f t="shared" si="6"/>
        <v>SI</v>
      </c>
      <c r="AA35" s="127">
        <f t="shared" si="7"/>
        <v>1.5124999999970896</v>
      </c>
      <c r="AB35" s="128">
        <f>Table2[[#This Row],[ATA A TIMESLOT]]*24</f>
        <v>36.299999999930151</v>
      </c>
      <c r="AC35" s="127">
        <f t="shared" si="8"/>
        <v>0</v>
      </c>
      <c r="AD35" s="127" t="str">
        <f t="shared" si="9"/>
        <v>SI</v>
      </c>
      <c r="AE35" s="128">
        <f>Table2[[#This Row],[PUNTUALIDAD (H)]]*24</f>
        <v>0</v>
      </c>
      <c r="AF35" s="127">
        <f t="shared" si="10"/>
        <v>1.5263888888875954</v>
      </c>
      <c r="AG35" s="128">
        <f>Table2[[#This Row],[ATA TO UNLOADING]]*24</f>
        <v>36.633333333302289</v>
      </c>
      <c r="AH35" s="128" t="str">
        <f>IF(Table2[[#This Row],[ATA TO UNLOADING 2]]&lt;=48,"YES","NO")</f>
        <v>YES</v>
      </c>
      <c r="AJ35" s="129">
        <f t="shared" si="11"/>
        <v>0.29166666666424135</v>
      </c>
      <c r="AK35" s="2" t="s">
        <v>64</v>
      </c>
      <c r="AL35" s="2" t="str">
        <f t="shared" si="12"/>
        <v>2/26</v>
      </c>
      <c r="AM35" s="2" t="str">
        <f t="shared" si="13"/>
        <v>MRSU3342770</v>
      </c>
      <c r="AN35" s="130" t="str">
        <f t="shared" si="14"/>
        <v>MSI</v>
      </c>
      <c r="AO35" s="50">
        <f>IF($O35="TRUCK",
VLOOKUP($AU35,Invoicing!$A$16:$B$56,MATCH($AO$1,Invoicing!$A$16:$B$16,0),FALSE)+IF(OR($B35="DCD",$B35="HPD2"),23.5,0),
VLOOKUP($AU35,Invoicing!$N$15:$O$19,MATCH($AO$1,Invoicing!$N$15:$O$15,0),FALSE)+IF(OR($B35="DCD",$B35="HPD2"),23.5,0))</f>
        <v>480</v>
      </c>
      <c r="AP35" s="131" t="e">
        <f>VLOOKUP($E35,Invoicing!$A$1:$H$12,MATCH(TRACKER!$P38,Invoicing!$A$1:$H$1,0),FALSE)</f>
        <v>#N/A</v>
      </c>
      <c r="AQ35" s="131">
        <f>VLOOKUP($E35,Invoicing!$A$1:$H$12,MATCH(TRACKER!$Q$1,Invoicing!$A$1:$H$1,0),FALSE)</f>
        <v>50</v>
      </c>
      <c r="AR35" s="131">
        <f t="shared" si="20"/>
        <v>0</v>
      </c>
      <c r="AS35" s="2">
        <f t="shared" si="16"/>
        <v>4</v>
      </c>
      <c r="AT35" s="2" t="str">
        <f t="shared" si="21"/>
        <v>WEEK</v>
      </c>
      <c r="AU35" s="2" t="str">
        <f t="shared" si="18"/>
        <v>MSIWEEK</v>
      </c>
      <c r="AV35" s="94">
        <f>(IF(ISNA(AP35),AO35+AR35,SUM($AO35,$AR35,IFERROR($AP35,"0"))))+Table2[[#This Row],[WAITING TIMES]]</f>
        <v>525</v>
      </c>
      <c r="AW35" s="94">
        <f>VLOOKUP(AN35,Invoicing!A:K,11,FALSE)</f>
        <v>20</v>
      </c>
      <c r="AX35" s="48">
        <v>45</v>
      </c>
      <c r="AY35" s="94" t="s">
        <v>138</v>
      </c>
      <c r="AZ35" s="94">
        <f t="shared" si="19"/>
        <v>545</v>
      </c>
      <c r="BA35" s="133">
        <f>VLOOKUP(AN35,Invoicing!A:J,10,FALSE)</f>
        <v>70</v>
      </c>
      <c r="BB35" s="133">
        <f>VLOOKUP(AN35,Invoicing!A:L,12,FALSE)</f>
        <v>1</v>
      </c>
      <c r="BC35" s="2" t="s">
        <v>66</v>
      </c>
    </row>
    <row r="36" spans="1:55">
      <c r="A36" s="134" t="s">
        <v>125</v>
      </c>
      <c r="B36" s="86" t="s">
        <v>56</v>
      </c>
      <c r="C36" s="11">
        <v>46028.779166666667</v>
      </c>
      <c r="D36" s="11">
        <v>46028.583333333336</v>
      </c>
      <c r="E36" s="11" t="s">
        <v>98</v>
      </c>
      <c r="F36" s="11" t="s">
        <v>128</v>
      </c>
      <c r="G36" s="11" t="s">
        <v>59</v>
      </c>
      <c r="H36" s="11" t="s">
        <v>68</v>
      </c>
      <c r="I36" s="86" t="s">
        <v>139</v>
      </c>
      <c r="J36" s="86" t="s">
        <v>82</v>
      </c>
      <c r="K36" s="11">
        <v>46030</v>
      </c>
      <c r="L36" s="12">
        <v>46030.6875</v>
      </c>
      <c r="M36" s="12">
        <v>46030.6875</v>
      </c>
      <c r="N36" s="12">
        <v>46030.717361111114</v>
      </c>
      <c r="O36" s="12" t="s">
        <v>63</v>
      </c>
      <c r="P36" s="135" t="s">
        <v>64</v>
      </c>
      <c r="Q36" s="86">
        <v>0</v>
      </c>
      <c r="R36" s="1">
        <f t="shared" si="0"/>
        <v>2</v>
      </c>
      <c r="S36" s="1">
        <f t="shared" si="1"/>
        <v>1</v>
      </c>
      <c r="T36" s="126">
        <f t="shared" si="2"/>
        <v>46030.6875</v>
      </c>
      <c r="U36" s="127">
        <f t="shared" si="3"/>
        <v>1.2208333333328483</v>
      </c>
      <c r="V36" s="128">
        <f>Table2[[#This Row],[ATA A OFRECIMIENTO]]*24</f>
        <v>29.299999999988358</v>
      </c>
      <c r="W36" s="1" t="str">
        <f t="shared" si="4"/>
        <v>YES</v>
      </c>
      <c r="X36" s="127">
        <f t="shared" si="5"/>
        <v>0.6875</v>
      </c>
      <c r="Y36" s="128">
        <f>Table2[[#This Row],[DEL. AVAILABLE A SLOT]]*24</f>
        <v>16.5</v>
      </c>
      <c r="Z36" s="1" t="str">
        <f t="shared" si="6"/>
        <v>SI</v>
      </c>
      <c r="AA36" s="127">
        <f t="shared" si="7"/>
        <v>1.9083333333328483</v>
      </c>
      <c r="AB36" s="128">
        <f>Table2[[#This Row],[ATA A TIMESLOT]]*24</f>
        <v>45.799999999988358</v>
      </c>
      <c r="AC36" s="127">
        <f t="shared" si="8"/>
        <v>0</v>
      </c>
      <c r="AD36" s="127" t="str">
        <f t="shared" si="9"/>
        <v>SI</v>
      </c>
      <c r="AE36" s="128">
        <f>Table2[[#This Row],[PUNTUALIDAD (H)]]*24</f>
        <v>0</v>
      </c>
      <c r="AF36" s="127">
        <f t="shared" si="10"/>
        <v>1.9381944444467081</v>
      </c>
      <c r="AG36" s="128">
        <f>Table2[[#This Row],[ATA TO UNLOADING]]*24</f>
        <v>46.516666666720994</v>
      </c>
      <c r="AH36" s="128" t="str">
        <f>IF(Table2[[#This Row],[ATA TO UNLOADING 2]]&lt;=48,"YES","NO")</f>
        <v>YES</v>
      </c>
      <c r="AJ36" s="129">
        <f t="shared" si="11"/>
        <v>0.6875</v>
      </c>
      <c r="AK36" s="2" t="s">
        <v>64</v>
      </c>
      <c r="AL36" s="2" t="str">
        <f t="shared" si="12"/>
        <v>2/26</v>
      </c>
      <c r="AM36" s="2" t="str">
        <f t="shared" si="13"/>
        <v>MRSU3674543</v>
      </c>
      <c r="AN36" s="130" t="str">
        <f t="shared" si="14"/>
        <v>MSI</v>
      </c>
      <c r="AO36" s="50">
        <f>IF($O36="TRUCK",
VLOOKUP($AU36,Invoicing!$A$16:$B$56,MATCH($AO$1,Invoicing!$A$16:$B$16,0),FALSE)+IF(OR($B36="DCD",$B36="HPD2"),23.5,0),
VLOOKUP($AU36,Invoicing!$N$15:$O$19,MATCH($AO$1,Invoicing!$N$15:$O$15,0),FALSE)+IF(OR($B36="DCD",$B36="HPD2"),23.5,0))</f>
        <v>480</v>
      </c>
      <c r="AP36" s="131" t="e">
        <f>VLOOKUP($E36,Invoicing!$A$1:$H$12,MATCH(TRACKER!$P39,Invoicing!$A$1:$H$1,0),FALSE)</f>
        <v>#N/A</v>
      </c>
      <c r="AQ36" s="131">
        <f>VLOOKUP($E36,Invoicing!$A$1:$H$12,MATCH(TRACKER!$Q$1,Invoicing!$A$1:$H$1,0),FALSE)</f>
        <v>50</v>
      </c>
      <c r="AR36" s="131">
        <f t="shared" si="20"/>
        <v>0</v>
      </c>
      <c r="AS36" s="2">
        <f t="shared" si="16"/>
        <v>4</v>
      </c>
      <c r="AT36" s="2" t="str">
        <f t="shared" si="21"/>
        <v>WEEK</v>
      </c>
      <c r="AU36" s="2" t="str">
        <f t="shared" si="18"/>
        <v>MSIWEEK</v>
      </c>
      <c r="AV36" s="94">
        <f>(IF(ISNA(AP36),AO36+AR36,SUM($AO36,$AR36,IFERROR($AP36,"0"))))+Table2[[#This Row],[WAITING TIMES]]</f>
        <v>480</v>
      </c>
      <c r="AW36" s="94">
        <f>VLOOKUP(AN36,Invoicing!A:K,11,FALSE)</f>
        <v>20</v>
      </c>
      <c r="AY36" s="48"/>
      <c r="AZ36" s="94">
        <f t="shared" si="19"/>
        <v>500</v>
      </c>
      <c r="BA36" s="133">
        <f>VLOOKUP(AN36,Invoicing!A:J,10,FALSE)</f>
        <v>70</v>
      </c>
      <c r="BB36" s="133">
        <f>VLOOKUP(AN36,Invoicing!A:L,12,FALSE)</f>
        <v>1</v>
      </c>
      <c r="BC36" s="2" t="s">
        <v>66</v>
      </c>
    </row>
    <row r="37" spans="1:55">
      <c r="A37" s="134" t="s">
        <v>125</v>
      </c>
      <c r="B37" s="86" t="s">
        <v>56</v>
      </c>
      <c r="C37" s="11">
        <v>46028.779166666667</v>
      </c>
      <c r="D37" s="11">
        <v>46028.583333333336</v>
      </c>
      <c r="E37" s="11" t="s">
        <v>98</v>
      </c>
      <c r="F37" s="11" t="s">
        <v>135</v>
      </c>
      <c r="G37" s="11" t="s">
        <v>59</v>
      </c>
      <c r="H37" s="11" t="s">
        <v>60</v>
      </c>
      <c r="I37" s="86" t="s">
        <v>140</v>
      </c>
      <c r="J37" s="86" t="s">
        <v>100</v>
      </c>
      <c r="K37" s="11">
        <v>46030</v>
      </c>
      <c r="L37" s="12">
        <v>46033.402777777781</v>
      </c>
      <c r="M37" s="12">
        <v>46033.416666666664</v>
      </c>
      <c r="N37" s="12">
        <v>46033.402777777781</v>
      </c>
      <c r="O37" s="12" t="s">
        <v>63</v>
      </c>
      <c r="P37" s="135" t="s">
        <v>64</v>
      </c>
      <c r="Q37" s="86">
        <v>2</v>
      </c>
      <c r="R37" s="1">
        <f t="shared" si="0"/>
        <v>2</v>
      </c>
      <c r="S37" s="1">
        <f t="shared" si="1"/>
        <v>1</v>
      </c>
      <c r="T37" s="126">
        <f t="shared" si="2"/>
        <v>46033.402777777781</v>
      </c>
      <c r="U37" s="127">
        <f t="shared" si="3"/>
        <v>1.2208333333328483</v>
      </c>
      <c r="V37" s="128">
        <f>Table2[[#This Row],[ATA A OFRECIMIENTO]]*24</f>
        <v>29.299999999988358</v>
      </c>
      <c r="W37" s="1" t="str">
        <f t="shared" si="4"/>
        <v>YES</v>
      </c>
      <c r="X37" s="127">
        <f t="shared" si="5"/>
        <v>3.4166666666642413</v>
      </c>
      <c r="Y37" s="128">
        <f>Table2[[#This Row],[DEL. AVAILABLE A SLOT]]*24</f>
        <v>81.999999999941792</v>
      </c>
      <c r="Z37" s="1" t="str">
        <f t="shared" si="6"/>
        <v>NO</v>
      </c>
      <c r="AA37" s="127">
        <f t="shared" si="7"/>
        <v>4.6374999999970896</v>
      </c>
      <c r="AB37" s="128">
        <f>Table2[[#This Row],[ATA A TIMESLOT]]*24</f>
        <v>111.29999999993015</v>
      </c>
      <c r="AC37" s="127">
        <f t="shared" si="8"/>
        <v>0</v>
      </c>
      <c r="AD37" s="127" t="str">
        <f t="shared" si="9"/>
        <v>SI</v>
      </c>
      <c r="AE37" s="128">
        <f>Table2[[#This Row],[PUNTUALIDAD (H)]]*24</f>
        <v>0</v>
      </c>
      <c r="AF37" s="127">
        <f t="shared" si="10"/>
        <v>4.6236111111138598</v>
      </c>
      <c r="AG37" s="128">
        <f>Table2[[#This Row],[ATA TO UNLOADING]]*24</f>
        <v>110.96666666673264</v>
      </c>
      <c r="AH37" s="128" t="str">
        <f>IF(Table2[[#This Row],[ATA TO UNLOADING 2]]&lt;=48,"YES","NO")</f>
        <v>NO</v>
      </c>
      <c r="AI37" s="49" t="s">
        <v>141</v>
      </c>
      <c r="AJ37" s="129">
        <f t="shared" si="11"/>
        <v>0.41666666666424135</v>
      </c>
      <c r="AK37" s="2" t="s">
        <v>64</v>
      </c>
      <c r="AL37" s="2" t="str">
        <f t="shared" si="12"/>
        <v>2/26</v>
      </c>
      <c r="AM37" s="2" t="str">
        <f t="shared" si="13"/>
        <v>MRSU5781284</v>
      </c>
      <c r="AN37" s="130" t="str">
        <f t="shared" si="14"/>
        <v>MSI</v>
      </c>
      <c r="AO37" s="50">
        <f>IF($O37="TRUCK",
VLOOKUP($AU37,Invoicing!$A$16:$B$56,MATCH($AO$1,Invoicing!$A$16:$B$16,0),FALSE)+IF(OR($B37="DCD",$B37="HPD2"),23.5,0),
VLOOKUP($AU37,Invoicing!$N$15:$O$19,MATCH($AO$1,Invoicing!$N$15:$O$15,0),FALSE)+IF(OR($B37="DCD",$B37="HPD2"),23.5,0))</f>
        <v>500</v>
      </c>
      <c r="AP37" s="131" t="e">
        <f>VLOOKUP($E37,Invoicing!$A$1:$H$12,MATCH(TRACKER!$P40,Invoicing!$A$1:$H$1,0),FALSE)</f>
        <v>#N/A</v>
      </c>
      <c r="AQ37" s="131">
        <f>VLOOKUP($E37,Invoicing!$A$1:$H$12,MATCH(TRACKER!$Q$1,Invoicing!$A$1:$H$1,0),FALSE)</f>
        <v>50</v>
      </c>
      <c r="AR37" s="131">
        <f t="shared" si="20"/>
        <v>100</v>
      </c>
      <c r="AS37" s="2">
        <f t="shared" si="16"/>
        <v>7</v>
      </c>
      <c r="AT37" s="2" t="str">
        <f t="shared" si="21"/>
        <v>SUNDAY</v>
      </c>
      <c r="AU37" s="2" t="str">
        <f t="shared" si="18"/>
        <v>MSISUNDAY</v>
      </c>
      <c r="AV37" s="94">
        <f>(IF(ISNA(AP37),AO37+AR37,SUM($AO37,$AR37,IFERROR($AP37,"0"))))+Table2[[#This Row],[WAITING TIMES]]</f>
        <v>600</v>
      </c>
      <c r="AW37" s="94">
        <f>VLOOKUP(AN37,Invoicing!A:K,11,FALSE)</f>
        <v>20</v>
      </c>
      <c r="AY37" s="48"/>
      <c r="AZ37" s="94">
        <f t="shared" si="19"/>
        <v>620</v>
      </c>
      <c r="BA37" s="133">
        <f>VLOOKUP(AN37,Invoicing!A:J,10,FALSE)</f>
        <v>70</v>
      </c>
      <c r="BB37" s="133">
        <f>VLOOKUP(AN37,Invoicing!A:L,12,FALSE)</f>
        <v>1</v>
      </c>
      <c r="BC37" s="2" t="s">
        <v>66</v>
      </c>
    </row>
    <row r="38" spans="1:55">
      <c r="A38" s="134" t="s">
        <v>125</v>
      </c>
      <c r="B38" s="86" t="s">
        <v>56</v>
      </c>
      <c r="C38" s="11">
        <v>46028.779166666667</v>
      </c>
      <c r="D38" s="11">
        <v>46028.583333333336</v>
      </c>
      <c r="E38" s="11" t="s">
        <v>98</v>
      </c>
      <c r="F38" s="11" t="s">
        <v>135</v>
      </c>
      <c r="G38" s="11" t="s">
        <v>59</v>
      </c>
      <c r="H38" s="11" t="s">
        <v>60</v>
      </c>
      <c r="I38" s="86" t="s">
        <v>142</v>
      </c>
      <c r="J38" s="86" t="s">
        <v>100</v>
      </c>
      <c r="K38" s="11">
        <v>46030</v>
      </c>
      <c r="L38" s="12">
        <v>46033.479166666664</v>
      </c>
      <c r="M38" s="12">
        <v>46033.479166666664</v>
      </c>
      <c r="N38" s="12">
        <v>46033.489583333336</v>
      </c>
      <c r="O38" s="12" t="s">
        <v>63</v>
      </c>
      <c r="P38" s="135" t="s">
        <v>64</v>
      </c>
      <c r="Q38" s="86">
        <v>1</v>
      </c>
      <c r="R38" s="1">
        <f t="shared" si="0"/>
        <v>2</v>
      </c>
      <c r="S38" s="1">
        <f t="shared" si="1"/>
        <v>1</v>
      </c>
      <c r="T38" s="126">
        <f t="shared" si="2"/>
        <v>46033.479166666664</v>
      </c>
      <c r="U38" s="127">
        <f t="shared" si="3"/>
        <v>1.2208333333328483</v>
      </c>
      <c r="V38" s="128">
        <f>Table2[[#This Row],[ATA A OFRECIMIENTO]]*24</f>
        <v>29.299999999988358</v>
      </c>
      <c r="W38" s="1" t="str">
        <f t="shared" si="4"/>
        <v>YES</v>
      </c>
      <c r="X38" s="127">
        <f t="shared" si="5"/>
        <v>3.4791666666642413</v>
      </c>
      <c r="Y38" s="128">
        <f>Table2[[#This Row],[DEL. AVAILABLE A SLOT]]*24</f>
        <v>83.499999999941792</v>
      </c>
      <c r="Z38" s="1" t="str">
        <f t="shared" si="6"/>
        <v>NO</v>
      </c>
      <c r="AA38" s="127">
        <f t="shared" si="7"/>
        <v>4.6999999999970896</v>
      </c>
      <c r="AB38" s="128">
        <f>Table2[[#This Row],[ATA A TIMESLOT]]*24</f>
        <v>112.79999999993015</v>
      </c>
      <c r="AC38" s="127">
        <f t="shared" si="8"/>
        <v>0</v>
      </c>
      <c r="AD38" s="127" t="str">
        <f t="shared" si="9"/>
        <v>SI</v>
      </c>
      <c r="AE38" s="128">
        <f>Table2[[#This Row],[PUNTUALIDAD (H)]]*24</f>
        <v>0</v>
      </c>
      <c r="AF38" s="127">
        <f t="shared" si="10"/>
        <v>4.7104166666686069</v>
      </c>
      <c r="AG38" s="128">
        <f>Table2[[#This Row],[ATA TO UNLOADING]]*24</f>
        <v>113.05000000004657</v>
      </c>
      <c r="AH38" s="128" t="str">
        <f>IF(Table2[[#This Row],[ATA TO UNLOADING 2]]&lt;=48,"YES","NO")</f>
        <v>NO</v>
      </c>
      <c r="AI38" s="49" t="s">
        <v>141</v>
      </c>
      <c r="AJ38" s="129">
        <f t="shared" si="11"/>
        <v>0.47916666666424135</v>
      </c>
      <c r="AK38" s="2" t="s">
        <v>64</v>
      </c>
      <c r="AL38" s="2" t="str">
        <f t="shared" si="12"/>
        <v>2/26</v>
      </c>
      <c r="AM38" s="2" t="str">
        <f t="shared" si="13"/>
        <v>MRSU6073567</v>
      </c>
      <c r="AN38" s="130" t="str">
        <f t="shared" si="14"/>
        <v>MSI</v>
      </c>
      <c r="AO38" s="50">
        <f>IF($O38="TRUCK",
VLOOKUP($AU38,Invoicing!$A$16:$B$56,MATCH($AO$1,Invoicing!$A$16:$B$16,0),FALSE)+IF(OR($B38="DCD",$B38="HPD2"),23.5,0),
VLOOKUP($AU38,Invoicing!$N$15:$O$19,MATCH($AO$1,Invoicing!$N$15:$O$15,0),FALSE)+IF(OR($B38="DCD",$B38="HPD2"),23.5,0))</f>
        <v>500</v>
      </c>
      <c r="AP38" s="131" t="e">
        <f>VLOOKUP($E38,Invoicing!$A$1:$H$12,MATCH(TRACKER!$P41,Invoicing!$A$1:$H$1,0),FALSE)</f>
        <v>#N/A</v>
      </c>
      <c r="AQ38" s="131">
        <f>VLOOKUP($E38,Invoicing!$A$1:$H$12,MATCH(TRACKER!$Q$1,Invoicing!$A$1:$H$1,0),FALSE)</f>
        <v>50</v>
      </c>
      <c r="AR38" s="131">
        <f t="shared" si="20"/>
        <v>50</v>
      </c>
      <c r="AS38" s="2">
        <f t="shared" si="16"/>
        <v>7</v>
      </c>
      <c r="AT38" s="2" t="str">
        <f t="shared" si="21"/>
        <v>SUNDAY</v>
      </c>
      <c r="AU38" s="2" t="str">
        <f t="shared" si="18"/>
        <v>MSISUNDAY</v>
      </c>
      <c r="AV38" s="94">
        <f>(IF(ISNA(AP38),AO38+AR38,SUM($AO38,$AR38,IFERROR($AP38,"0"))))+Table2[[#This Row],[WAITING TIMES]]</f>
        <v>550</v>
      </c>
      <c r="AW38" s="94">
        <f>VLOOKUP(AN38,Invoicing!A:K,11,FALSE)</f>
        <v>20</v>
      </c>
      <c r="AY38" s="48"/>
      <c r="AZ38" s="94">
        <f t="shared" si="19"/>
        <v>570</v>
      </c>
      <c r="BA38" s="133">
        <f>VLOOKUP(AN38,Invoicing!A:J,10,FALSE)</f>
        <v>70</v>
      </c>
      <c r="BB38" s="133">
        <f>VLOOKUP(AN38,Invoicing!A:L,12,FALSE)</f>
        <v>1</v>
      </c>
      <c r="BC38" s="2" t="s">
        <v>66</v>
      </c>
    </row>
    <row r="39" spans="1:55">
      <c r="A39" s="134" t="s">
        <v>125</v>
      </c>
      <c r="B39" s="86" t="s">
        <v>56</v>
      </c>
      <c r="C39" s="11">
        <v>46028.779166666667</v>
      </c>
      <c r="D39" s="11">
        <v>46028.583333333336</v>
      </c>
      <c r="E39" s="11" t="s">
        <v>98</v>
      </c>
      <c r="F39" s="11" t="s">
        <v>143</v>
      </c>
      <c r="G39" s="11" t="s">
        <v>59</v>
      </c>
      <c r="H39" s="11" t="s">
        <v>144</v>
      </c>
      <c r="I39" s="86" t="s">
        <v>145</v>
      </c>
      <c r="J39" s="86" t="s">
        <v>100</v>
      </c>
      <c r="K39" s="11">
        <v>46030</v>
      </c>
      <c r="L39" s="12">
        <v>46030.753472222219</v>
      </c>
      <c r="M39" s="12">
        <v>46030.708333333336</v>
      </c>
      <c r="N39" s="12">
        <v>46030.760416666664</v>
      </c>
      <c r="O39" s="12" t="s">
        <v>63</v>
      </c>
      <c r="P39" s="135" t="s">
        <v>64</v>
      </c>
      <c r="Q39" s="86">
        <v>0</v>
      </c>
      <c r="R39" s="1">
        <f t="shared" si="0"/>
        <v>2</v>
      </c>
      <c r="S39" s="1">
        <f t="shared" si="1"/>
        <v>1</v>
      </c>
      <c r="T39" s="126">
        <f t="shared" si="2"/>
        <v>46030.753472222219</v>
      </c>
      <c r="U39" s="127">
        <f t="shared" si="3"/>
        <v>1.2208333333328483</v>
      </c>
      <c r="V39" s="128">
        <f>Table2[[#This Row],[ATA A OFRECIMIENTO]]*24</f>
        <v>29.299999999988358</v>
      </c>
      <c r="W39" s="1" t="str">
        <f t="shared" si="4"/>
        <v>YES</v>
      </c>
      <c r="X39" s="127">
        <f t="shared" si="5"/>
        <v>0.70833333333575865</v>
      </c>
      <c r="Y39" s="128">
        <f>Table2[[#This Row],[DEL. AVAILABLE A SLOT]]*24</f>
        <v>17.000000000058208</v>
      </c>
      <c r="Z39" s="1" t="str">
        <f t="shared" si="6"/>
        <v>SI</v>
      </c>
      <c r="AA39" s="127">
        <f t="shared" si="7"/>
        <v>1.9291666666686069</v>
      </c>
      <c r="AB39" s="128">
        <f>Table2[[#This Row],[ATA A TIMESLOT]]*24</f>
        <v>46.300000000046566</v>
      </c>
      <c r="AC39" s="127">
        <f t="shared" si="8"/>
        <v>4.5138888883229811E-2</v>
      </c>
      <c r="AD39" s="127" t="str">
        <f t="shared" si="9"/>
        <v>NO</v>
      </c>
      <c r="AE39" s="128">
        <f>Table2[[#This Row],[PUNTUALIDAD (H)]]*24</f>
        <v>1.0833333331975155</v>
      </c>
      <c r="AF39" s="127">
        <f t="shared" si="10"/>
        <v>1.9812499999970896</v>
      </c>
      <c r="AG39" s="128">
        <f>Table2[[#This Row],[ATA TO UNLOADING]]*24</f>
        <v>47.549999999930151</v>
      </c>
      <c r="AH39" s="128" t="str">
        <f>IF(Table2[[#This Row],[ATA TO UNLOADING 2]]&lt;=48,"YES","NO")</f>
        <v>YES</v>
      </c>
      <c r="AJ39" s="129">
        <f t="shared" si="11"/>
        <v>0.70833333333575865</v>
      </c>
      <c r="AK39" s="2" t="s">
        <v>64</v>
      </c>
      <c r="AL39" s="2" t="str">
        <f t="shared" si="12"/>
        <v>2/26</v>
      </c>
      <c r="AM39" s="2" t="str">
        <f t="shared" si="13"/>
        <v>MSKU5020915</v>
      </c>
      <c r="AN39" s="130" t="str">
        <f t="shared" si="14"/>
        <v>MSI</v>
      </c>
      <c r="AO39" s="50">
        <f>IF($O39="TRUCK",
VLOOKUP($AU39,Invoicing!$A$16:$B$56,MATCH($AO$1,Invoicing!$A$16:$B$16,0),FALSE)+IF(OR($B39="DCD",$B39="HPD2"),23.5,0),
VLOOKUP($AU39,Invoicing!$N$15:$O$19,MATCH($AO$1,Invoicing!$N$15:$O$15,0),FALSE)+IF(OR($B39="DCD",$B39="HPD2"),23.5,0))</f>
        <v>480</v>
      </c>
      <c r="AP39" s="131" t="e">
        <f>VLOOKUP($E39,Invoicing!$A$1:$H$12,MATCH(TRACKER!$P42,Invoicing!$A$1:$H$1,0),FALSE)</f>
        <v>#N/A</v>
      </c>
      <c r="AQ39" s="131">
        <f>VLOOKUP($E39,Invoicing!$A$1:$H$12,MATCH(TRACKER!$Q$1,Invoicing!$A$1:$H$1,0),FALSE)</f>
        <v>50</v>
      </c>
      <c r="AR39" s="131">
        <f t="shared" si="20"/>
        <v>0</v>
      </c>
      <c r="AS39" s="2">
        <f t="shared" si="16"/>
        <v>4</v>
      </c>
      <c r="AT39" s="2" t="str">
        <f t="shared" si="21"/>
        <v>WEEK</v>
      </c>
      <c r="AU39" s="2" t="str">
        <f t="shared" si="18"/>
        <v>MSIWEEK</v>
      </c>
      <c r="AV39" s="94">
        <f>(IF(ISNA(AP39),AO39+AR39,SUM($AO39,$AR39,IFERROR($AP39,"0"))))+Table2[[#This Row],[WAITING TIMES]]</f>
        <v>480</v>
      </c>
      <c r="AW39" s="94">
        <f>VLOOKUP(AN39,Invoicing!A:K,11,FALSE)</f>
        <v>20</v>
      </c>
      <c r="AY39" s="48"/>
      <c r="AZ39" s="94">
        <f t="shared" si="19"/>
        <v>500</v>
      </c>
      <c r="BA39" s="133">
        <f>VLOOKUP(AN39,Invoicing!A:J,10,FALSE)</f>
        <v>70</v>
      </c>
      <c r="BB39" s="133">
        <f>VLOOKUP(AN39,Invoicing!A:L,12,FALSE)</f>
        <v>1</v>
      </c>
      <c r="BC39" s="2" t="s">
        <v>66</v>
      </c>
    </row>
    <row r="40" spans="1:55">
      <c r="A40" s="134" t="s">
        <v>125</v>
      </c>
      <c r="B40" s="86" t="s">
        <v>56</v>
      </c>
      <c r="C40" s="11">
        <v>46028.779166666667</v>
      </c>
      <c r="D40" s="11">
        <v>46028.583333333336</v>
      </c>
      <c r="E40" s="11" t="s">
        <v>98</v>
      </c>
      <c r="F40" s="11" t="s">
        <v>128</v>
      </c>
      <c r="G40" s="11" t="s">
        <v>59</v>
      </c>
      <c r="H40" s="11" t="s">
        <v>68</v>
      </c>
      <c r="I40" s="86" t="s">
        <v>146</v>
      </c>
      <c r="J40" s="86" t="s">
        <v>82</v>
      </c>
      <c r="K40" s="11">
        <v>46030</v>
      </c>
      <c r="L40" s="12">
        <v>46031.863194444442</v>
      </c>
      <c r="M40" s="12">
        <v>46031.75</v>
      </c>
      <c r="N40" s="12">
        <v>46031.90625</v>
      </c>
      <c r="O40" s="12" t="s">
        <v>63</v>
      </c>
      <c r="P40" s="135" t="s">
        <v>64</v>
      </c>
      <c r="Q40" s="86">
        <v>0</v>
      </c>
      <c r="R40" s="1">
        <f t="shared" si="0"/>
        <v>2</v>
      </c>
      <c r="S40" s="1">
        <f t="shared" si="1"/>
        <v>1</v>
      </c>
      <c r="T40" s="126">
        <f t="shared" si="2"/>
        <v>46031.863194444442</v>
      </c>
      <c r="U40" s="127">
        <f t="shared" si="3"/>
        <v>1.2208333333328483</v>
      </c>
      <c r="V40" s="128">
        <f>Table2[[#This Row],[ATA A OFRECIMIENTO]]*24</f>
        <v>29.299999999988358</v>
      </c>
      <c r="W40" s="1" t="str">
        <f t="shared" si="4"/>
        <v>YES</v>
      </c>
      <c r="X40" s="127">
        <f t="shared" si="5"/>
        <v>1.75</v>
      </c>
      <c r="Y40" s="128">
        <f>Table2[[#This Row],[DEL. AVAILABLE A SLOT]]*24</f>
        <v>42</v>
      </c>
      <c r="Z40" s="1" t="str">
        <f t="shared" si="6"/>
        <v>NO</v>
      </c>
      <c r="AA40" s="127">
        <f t="shared" si="7"/>
        <v>2.9708333333328483</v>
      </c>
      <c r="AB40" s="128">
        <f>Table2[[#This Row],[ATA A TIMESLOT]]*24</f>
        <v>71.299999999988358</v>
      </c>
      <c r="AC40" s="127">
        <f t="shared" si="8"/>
        <v>0.1131944444423425</v>
      </c>
      <c r="AD40" s="127" t="str">
        <f t="shared" si="9"/>
        <v>NO</v>
      </c>
      <c r="AE40" s="128">
        <f>Table2[[#This Row],[PUNTUALIDAD (H)]]*24</f>
        <v>2.71666666661622</v>
      </c>
      <c r="AF40" s="127">
        <f t="shared" si="10"/>
        <v>3.1270833333328483</v>
      </c>
      <c r="AG40" s="128">
        <f>Table2[[#This Row],[ATA TO UNLOADING]]*24</f>
        <v>75.049999999988358</v>
      </c>
      <c r="AH40" s="128" t="str">
        <f>IF(Table2[[#This Row],[ATA TO UNLOADING 2]]&lt;=48,"YES","NO")</f>
        <v>NO</v>
      </c>
      <c r="AI40" s="49" t="s">
        <v>141</v>
      </c>
      <c r="AJ40" s="129">
        <f t="shared" si="11"/>
        <v>0.75</v>
      </c>
      <c r="AK40" s="2" t="s">
        <v>64</v>
      </c>
      <c r="AL40" s="2" t="str">
        <f t="shared" si="12"/>
        <v>2/26</v>
      </c>
      <c r="AM40" s="2" t="str">
        <f t="shared" si="13"/>
        <v>PONU2057947</v>
      </c>
      <c r="AN40" s="130" t="str">
        <f t="shared" si="14"/>
        <v>MSI</v>
      </c>
      <c r="AO40" s="50">
        <f>IF($O40="TRUCK",
VLOOKUP($AU40,Invoicing!$A$16:$B$56,MATCH($AO$1,Invoicing!$A$16:$B$16,0),FALSE)+IF(OR($B40="DCD",$B40="HPD2"),23.5,0),
VLOOKUP($AU40,Invoicing!$N$15:$O$19,MATCH($AO$1,Invoicing!$N$15:$O$15,0),FALSE)+IF(OR($B40="DCD",$B40="HPD2"),23.5,0))</f>
        <v>480</v>
      </c>
      <c r="AP40" s="131" t="e">
        <f>VLOOKUP($E40,Invoicing!$A$1:$H$12,MATCH(TRACKER!$P43,Invoicing!$A$1:$H$1,0),FALSE)</f>
        <v>#N/A</v>
      </c>
      <c r="AQ40" s="131">
        <f>VLOOKUP($E40,Invoicing!$A$1:$H$12,MATCH(TRACKER!$Q$1,Invoicing!$A$1:$H$1,0),FALSE)</f>
        <v>50</v>
      </c>
      <c r="AR40" s="131">
        <f t="shared" si="20"/>
        <v>0</v>
      </c>
      <c r="AS40" s="2">
        <f t="shared" si="16"/>
        <v>5</v>
      </c>
      <c r="AT40" s="2" t="str">
        <f t="shared" si="21"/>
        <v>WEEK</v>
      </c>
      <c r="AU40" s="2" t="str">
        <f t="shared" si="18"/>
        <v>MSIWEEK</v>
      </c>
      <c r="AV40" s="94">
        <f>(IF(ISNA(AP40),AO40+AR40,SUM($AO40,$AR40,IFERROR($AP40,"0"))))+Table2[[#This Row],[WAITING TIMES]]</f>
        <v>480</v>
      </c>
      <c r="AW40" s="94">
        <f>VLOOKUP(AN40,Invoicing!A:K,11,FALSE)</f>
        <v>20</v>
      </c>
      <c r="AY40" s="48"/>
      <c r="AZ40" s="94">
        <f t="shared" si="19"/>
        <v>500</v>
      </c>
      <c r="BA40" s="133">
        <f>VLOOKUP(AN40,Invoicing!A:J,10,FALSE)</f>
        <v>70</v>
      </c>
      <c r="BB40" s="133">
        <f>VLOOKUP(AN40,Invoicing!A:L,12,FALSE)</f>
        <v>1</v>
      </c>
      <c r="BC40" s="2" t="s">
        <v>66</v>
      </c>
    </row>
    <row r="41" spans="1:55">
      <c r="A41" s="134" t="s">
        <v>125</v>
      </c>
      <c r="B41" s="86" t="s">
        <v>56</v>
      </c>
      <c r="C41" s="11">
        <v>46028.779166666667</v>
      </c>
      <c r="D41" s="11">
        <v>46028.583333333336</v>
      </c>
      <c r="E41" s="11" t="s">
        <v>83</v>
      </c>
      <c r="F41" s="11" t="s">
        <v>128</v>
      </c>
      <c r="G41" s="11" t="s">
        <v>59</v>
      </c>
      <c r="H41" s="11" t="s">
        <v>68</v>
      </c>
      <c r="I41" s="86" t="s">
        <v>147</v>
      </c>
      <c r="J41" s="86" t="s">
        <v>100</v>
      </c>
      <c r="K41" s="11">
        <v>46030</v>
      </c>
      <c r="L41" s="12">
        <v>46030.436111111114</v>
      </c>
      <c r="M41" s="12">
        <v>46030.458333333336</v>
      </c>
      <c r="N41" s="12">
        <v>46030.458333333336</v>
      </c>
      <c r="O41" s="12" t="s">
        <v>63</v>
      </c>
      <c r="P41" s="135" t="s">
        <v>64</v>
      </c>
      <c r="Q41" s="86">
        <v>1</v>
      </c>
      <c r="R41" s="1">
        <f t="shared" si="0"/>
        <v>2</v>
      </c>
      <c r="S41" s="1">
        <f t="shared" si="1"/>
        <v>1</v>
      </c>
      <c r="T41" s="126">
        <f t="shared" si="2"/>
        <v>46030.436111111114</v>
      </c>
      <c r="U41" s="127">
        <f t="shared" si="3"/>
        <v>1.2208333333328483</v>
      </c>
      <c r="V41" s="128">
        <f>Table2[[#This Row],[ATA A OFRECIMIENTO]]*24</f>
        <v>29.299999999988358</v>
      </c>
      <c r="W41" s="1" t="str">
        <f t="shared" si="4"/>
        <v>YES</v>
      </c>
      <c r="X41" s="127">
        <f t="shared" si="5"/>
        <v>0.45833333333575865</v>
      </c>
      <c r="Y41" s="128">
        <f>Table2[[#This Row],[DEL. AVAILABLE A SLOT]]*24</f>
        <v>11.000000000058208</v>
      </c>
      <c r="Z41" s="1" t="str">
        <f t="shared" si="6"/>
        <v>SI</v>
      </c>
      <c r="AA41" s="127">
        <f t="shared" si="7"/>
        <v>1.6791666666686069</v>
      </c>
      <c r="AB41" s="128">
        <f>Table2[[#This Row],[ATA A TIMESLOT]]*24</f>
        <v>40.300000000046566</v>
      </c>
      <c r="AC41" s="127">
        <f t="shared" si="8"/>
        <v>0</v>
      </c>
      <c r="AD41" s="127" t="str">
        <f t="shared" si="9"/>
        <v>SI</v>
      </c>
      <c r="AE41" s="128">
        <f>Table2[[#This Row],[PUNTUALIDAD (H)]]*24</f>
        <v>0</v>
      </c>
      <c r="AF41" s="127">
        <f t="shared" si="10"/>
        <v>1.6791666666686069</v>
      </c>
      <c r="AG41" s="128">
        <f>Table2[[#This Row],[ATA TO UNLOADING]]*24</f>
        <v>40.300000000046566</v>
      </c>
      <c r="AH41" s="128" t="str">
        <f>IF(Table2[[#This Row],[ATA TO UNLOADING 2]]&lt;=48,"YES","NO")</f>
        <v>YES</v>
      </c>
      <c r="AJ41" s="129">
        <f t="shared" si="11"/>
        <v>0.45833333333575865</v>
      </c>
      <c r="AK41" s="2" t="s">
        <v>64</v>
      </c>
      <c r="AL41" s="2" t="str">
        <f t="shared" si="12"/>
        <v>2/26</v>
      </c>
      <c r="AM41" s="2" t="str">
        <f t="shared" si="13"/>
        <v>FFAU5020743</v>
      </c>
      <c r="AN41" s="130" t="str">
        <f t="shared" si="14"/>
        <v>OM TRANSPORT</v>
      </c>
      <c r="AO41" s="50">
        <f>IF($O41="TRUCK",
VLOOKUP($AU41,Invoicing!$A$16:$B$56,MATCH($AO$1,Invoicing!$A$16:$B$16,0),FALSE)+IF(OR($B41="DCD",$B41="HPD2"),23.5,0),
VLOOKUP($AU41,Invoicing!$N$15:$O$19,MATCH($AO$1,Invoicing!$N$15:$O$15,0),FALSE)+IF(OR($B41="DCD",$B41="HPD2"),23.5,0))</f>
        <v>475</v>
      </c>
      <c r="AP41" s="131">
        <f>VLOOKUP($E41,Invoicing!$A$1:$H$12,MATCH(TRACKER!$P68,Invoicing!$A$1:$H$1,0),FALSE)</f>
        <v>110</v>
      </c>
      <c r="AQ41" s="131">
        <f>VLOOKUP($E41,Invoicing!$A$1:$H$12,MATCH(TRACKER!$Q$1,Invoicing!$A$1:$H$1,0),FALSE)</f>
        <v>50</v>
      </c>
      <c r="AR41" s="131">
        <f t="shared" si="20"/>
        <v>50</v>
      </c>
      <c r="AS41" s="2">
        <f t="shared" si="16"/>
        <v>4</v>
      </c>
      <c r="AT41" s="2" t="str">
        <f t="shared" si="21"/>
        <v>WEEK</v>
      </c>
      <c r="AU41" s="2" t="str">
        <f t="shared" si="18"/>
        <v>OM TRANSPORTWEEK</v>
      </c>
      <c r="AV41" s="94">
        <f>(IF(ISNA(AP41),AO41+AR41,SUM($AO41,$AR41,IFERROR($AP41,"0"))))+Table2[[#This Row],[WAITING TIMES]]</f>
        <v>635</v>
      </c>
      <c r="AW41" s="94">
        <f>VLOOKUP(AN41,Invoicing!A:K,11,FALSE)</f>
        <v>20</v>
      </c>
      <c r="AY41" s="48"/>
      <c r="AZ41" s="94">
        <f t="shared" si="19"/>
        <v>655</v>
      </c>
      <c r="BA41" s="133">
        <f>VLOOKUP(AN41,Invoicing!A:J,10,FALSE)</f>
        <v>70</v>
      </c>
      <c r="BB41" s="133">
        <f>VLOOKUP(AN41,Invoicing!A:L,12,FALSE)</f>
        <v>1</v>
      </c>
      <c r="BC41" s="2" t="s">
        <v>66</v>
      </c>
    </row>
    <row r="42" spans="1:55">
      <c r="A42" s="134" t="s">
        <v>125</v>
      </c>
      <c r="B42" s="86" t="s">
        <v>56</v>
      </c>
      <c r="C42" s="11">
        <v>46028.779166666667</v>
      </c>
      <c r="D42" s="11">
        <v>46028.583333333336</v>
      </c>
      <c r="E42" s="11" t="s">
        <v>83</v>
      </c>
      <c r="F42" s="11" t="s">
        <v>128</v>
      </c>
      <c r="G42" s="11" t="s">
        <v>59</v>
      </c>
      <c r="H42" s="11" t="s">
        <v>68</v>
      </c>
      <c r="I42" s="86" t="s">
        <v>148</v>
      </c>
      <c r="J42" s="86" t="s">
        <v>62</v>
      </c>
      <c r="K42" s="11">
        <v>46030</v>
      </c>
      <c r="L42" s="12">
        <v>46030.694444444445</v>
      </c>
      <c r="M42" s="12">
        <v>46030.708333333336</v>
      </c>
      <c r="N42" s="12">
        <v>46030.694444444445</v>
      </c>
      <c r="O42" s="12" t="s">
        <v>63</v>
      </c>
      <c r="P42" s="135" t="s">
        <v>64</v>
      </c>
      <c r="Q42" s="86">
        <v>0</v>
      </c>
      <c r="R42" s="1">
        <f t="shared" si="0"/>
        <v>2</v>
      </c>
      <c r="S42" s="1">
        <f t="shared" si="1"/>
        <v>1</v>
      </c>
      <c r="T42" s="126">
        <f t="shared" si="2"/>
        <v>46030.694444444445</v>
      </c>
      <c r="U42" s="127">
        <f t="shared" si="3"/>
        <v>1.2208333333328483</v>
      </c>
      <c r="V42" s="128">
        <f>Table2[[#This Row],[ATA A OFRECIMIENTO]]*24</f>
        <v>29.299999999988358</v>
      </c>
      <c r="W42" s="1" t="str">
        <f t="shared" si="4"/>
        <v>YES</v>
      </c>
      <c r="X42" s="127">
        <f t="shared" si="5"/>
        <v>0.70833333333575865</v>
      </c>
      <c r="Y42" s="128">
        <f>Table2[[#This Row],[DEL. AVAILABLE A SLOT]]*24</f>
        <v>17.000000000058208</v>
      </c>
      <c r="Z42" s="1" t="str">
        <f t="shared" si="6"/>
        <v>SI</v>
      </c>
      <c r="AA42" s="127">
        <f t="shared" si="7"/>
        <v>1.9291666666686069</v>
      </c>
      <c r="AB42" s="128">
        <f>Table2[[#This Row],[ATA A TIMESLOT]]*24</f>
        <v>46.300000000046566</v>
      </c>
      <c r="AC42" s="127">
        <f t="shared" si="8"/>
        <v>0</v>
      </c>
      <c r="AD42" s="127" t="str">
        <f t="shared" si="9"/>
        <v>SI</v>
      </c>
      <c r="AE42" s="128">
        <f>Table2[[#This Row],[PUNTUALIDAD (H)]]*24</f>
        <v>0</v>
      </c>
      <c r="AF42" s="127">
        <f t="shared" si="10"/>
        <v>1.9152777777781012</v>
      </c>
      <c r="AG42" s="128">
        <f>Table2[[#This Row],[ATA TO UNLOADING]]*24</f>
        <v>45.966666666674428</v>
      </c>
      <c r="AH42" s="128" t="str">
        <f>IF(Table2[[#This Row],[ATA TO UNLOADING 2]]&lt;=48,"YES","NO")</f>
        <v>YES</v>
      </c>
      <c r="AJ42" s="129">
        <f t="shared" si="11"/>
        <v>0.70833333333575865</v>
      </c>
      <c r="AK42" s="2" t="s">
        <v>64</v>
      </c>
      <c r="AL42" s="2" t="str">
        <f t="shared" si="12"/>
        <v>2/26</v>
      </c>
      <c r="AM42" s="2" t="str">
        <f t="shared" si="13"/>
        <v>MRSU4851983</v>
      </c>
      <c r="AN42" s="130" t="str">
        <f t="shared" si="14"/>
        <v>OM TRANSPORT</v>
      </c>
      <c r="AO42" s="50">
        <f>IF($O42="TRUCK",
VLOOKUP($AU42,Invoicing!$A$16:$B$56,MATCH($AO$1,Invoicing!$A$16:$B$16,0),FALSE)+IF(OR($B42="DCD",$B42="HPD2"),23.5,0),
VLOOKUP($AU42,Invoicing!$N$15:$O$19,MATCH($AO$1,Invoicing!$N$15:$O$15,0),FALSE)+IF(OR($B42="DCD",$B42="HPD2"),23.5,0))</f>
        <v>475</v>
      </c>
      <c r="AP42" s="131">
        <f>VLOOKUP($E42,Invoicing!$A$1:$H$12,MATCH(TRACKER!$P69,Invoicing!$A$1:$H$1,0),FALSE)</f>
        <v>110</v>
      </c>
      <c r="AQ42" s="131">
        <f>VLOOKUP($E42,Invoicing!$A$1:$H$12,MATCH(TRACKER!$Q$1,Invoicing!$A$1:$H$1,0),FALSE)</f>
        <v>50</v>
      </c>
      <c r="AR42" s="131">
        <f t="shared" si="20"/>
        <v>0</v>
      </c>
      <c r="AS42" s="2">
        <f t="shared" si="16"/>
        <v>4</v>
      </c>
      <c r="AT42" s="2" t="str">
        <f t="shared" si="21"/>
        <v>WEEK</v>
      </c>
      <c r="AU42" s="2" t="str">
        <f t="shared" si="18"/>
        <v>OM TRANSPORTWEEK</v>
      </c>
      <c r="AV42" s="94">
        <f>(IF(ISNA(AP42),AO42+AR42,SUM($AO42,$AR42,IFERROR($AP42,"0"))))+Table2[[#This Row],[WAITING TIMES]]</f>
        <v>585</v>
      </c>
      <c r="AW42" s="94">
        <f>VLOOKUP(AN42,Invoicing!A:K,11,FALSE)</f>
        <v>20</v>
      </c>
      <c r="AY42" s="48"/>
      <c r="AZ42" s="94">
        <f t="shared" si="19"/>
        <v>605</v>
      </c>
      <c r="BA42" s="133">
        <f>VLOOKUP(AN42,Invoicing!A:J,10,FALSE)</f>
        <v>70</v>
      </c>
      <c r="BB42" s="133">
        <f>VLOOKUP(AN42,Invoicing!A:L,12,FALSE)</f>
        <v>1</v>
      </c>
      <c r="BC42" s="2" t="s">
        <v>66</v>
      </c>
    </row>
    <row r="43" spans="1:55">
      <c r="A43" s="134" t="s">
        <v>125</v>
      </c>
      <c r="B43" s="86" t="s">
        <v>56</v>
      </c>
      <c r="C43" s="11">
        <v>46028.779166666667</v>
      </c>
      <c r="D43" s="11">
        <v>46028.583333333336</v>
      </c>
      <c r="E43" s="11" t="s">
        <v>83</v>
      </c>
      <c r="F43" s="11" t="s">
        <v>135</v>
      </c>
      <c r="G43" s="11" t="s">
        <v>59</v>
      </c>
      <c r="H43" s="11" t="s">
        <v>60</v>
      </c>
      <c r="I43" s="86" t="s">
        <v>149</v>
      </c>
      <c r="J43" s="86" t="s">
        <v>100</v>
      </c>
      <c r="K43" s="11">
        <v>46030</v>
      </c>
      <c r="L43" s="12">
        <v>46030.268750000003</v>
      </c>
      <c r="M43" s="12">
        <v>46030.729166666664</v>
      </c>
      <c r="N43" s="12">
        <v>46030.298611111109</v>
      </c>
      <c r="O43" s="12" t="s">
        <v>63</v>
      </c>
      <c r="P43" s="135" t="s">
        <v>64</v>
      </c>
      <c r="Q43" s="86">
        <v>0</v>
      </c>
      <c r="R43" s="1">
        <f t="shared" si="0"/>
        <v>2</v>
      </c>
      <c r="S43" s="1">
        <f t="shared" si="1"/>
        <v>1</v>
      </c>
      <c r="T43" s="126">
        <f t="shared" si="2"/>
        <v>46030.268750000003</v>
      </c>
      <c r="U43" s="127">
        <f t="shared" si="3"/>
        <v>1.2208333333328483</v>
      </c>
      <c r="V43" s="128">
        <f>Table2[[#This Row],[ATA A OFRECIMIENTO]]*24</f>
        <v>29.299999999988358</v>
      </c>
      <c r="W43" s="1" t="str">
        <f t="shared" si="4"/>
        <v>YES</v>
      </c>
      <c r="X43" s="127">
        <f t="shared" si="5"/>
        <v>0.72916666666424135</v>
      </c>
      <c r="Y43" s="128">
        <f>Table2[[#This Row],[DEL. AVAILABLE A SLOT]]*24</f>
        <v>17.499999999941792</v>
      </c>
      <c r="Z43" s="1" t="str">
        <f t="shared" si="6"/>
        <v>SI</v>
      </c>
      <c r="AA43" s="127">
        <f t="shared" si="7"/>
        <v>1.9499999999970896</v>
      </c>
      <c r="AB43" s="128">
        <f>Table2[[#This Row],[ATA A TIMESLOT]]*24</f>
        <v>46.799999999930151</v>
      </c>
      <c r="AC43" s="127">
        <f t="shared" si="8"/>
        <v>0</v>
      </c>
      <c r="AD43" s="127" t="str">
        <f t="shared" si="9"/>
        <v>SI</v>
      </c>
      <c r="AE43" s="128">
        <f>Table2[[#This Row],[PUNTUALIDAD (H)]]*24</f>
        <v>0</v>
      </c>
      <c r="AF43" s="127">
        <f t="shared" si="10"/>
        <v>1.5194444444423425</v>
      </c>
      <c r="AG43" s="128">
        <f>Table2[[#This Row],[ATA TO UNLOADING]]*24</f>
        <v>36.46666666661622</v>
      </c>
      <c r="AH43" s="128" t="str">
        <f>IF(Table2[[#This Row],[ATA TO UNLOADING 2]]&lt;=48,"YES","NO")</f>
        <v>YES</v>
      </c>
      <c r="AJ43" s="129">
        <f t="shared" si="11"/>
        <v>0.72916666666424135</v>
      </c>
      <c r="AK43" s="2" t="s">
        <v>64</v>
      </c>
      <c r="AL43" s="2" t="str">
        <f t="shared" si="12"/>
        <v>2/26</v>
      </c>
      <c r="AM43" s="2" t="str">
        <f t="shared" si="13"/>
        <v>MSKU4622250</v>
      </c>
      <c r="AN43" s="130" t="str">
        <f t="shared" si="14"/>
        <v>OM TRANSPORT</v>
      </c>
      <c r="AO43" s="50">
        <f>IF($O43="TRUCK",
VLOOKUP($AU43,Invoicing!$A$16:$B$56,MATCH($AO$1,Invoicing!$A$16:$B$16,0),FALSE)+IF(OR($B43="DCD",$B43="HPD2"),23.5,0),
VLOOKUP($AU43,Invoicing!$N$15:$O$19,MATCH($AO$1,Invoicing!$N$15:$O$15,0),FALSE)+IF(OR($B43="DCD",$B43="HPD2"),23.5,0))</f>
        <v>475</v>
      </c>
      <c r="AP43" s="131" t="e">
        <f>VLOOKUP($E43,Invoicing!$A$1:$H$12,MATCH(TRACKER!$P70,Invoicing!$A$1:$H$1,0),FALSE)</f>
        <v>#N/A</v>
      </c>
      <c r="AQ43" s="131">
        <f>VLOOKUP($E43,Invoicing!$A$1:$H$12,MATCH(TRACKER!$Q$1,Invoicing!$A$1:$H$1,0),FALSE)</f>
        <v>50</v>
      </c>
      <c r="AR43" s="131">
        <f t="shared" si="20"/>
        <v>0</v>
      </c>
      <c r="AS43" s="2">
        <f t="shared" si="16"/>
        <v>4</v>
      </c>
      <c r="AT43" s="2" t="str">
        <f t="shared" si="21"/>
        <v>WEEK</v>
      </c>
      <c r="AU43" s="2" t="str">
        <f t="shared" si="18"/>
        <v>OM TRANSPORTWEEK</v>
      </c>
      <c r="AV43" s="94">
        <f>(IF(ISNA(AP43),AO43+AR43,SUM($AO43,$AR43,IFERROR($AP43,"0"))))+Table2[[#This Row],[WAITING TIMES]]</f>
        <v>497.5</v>
      </c>
      <c r="AW43" s="94">
        <f>VLOOKUP(AN43,Invoicing!A:K,11,FALSE)</f>
        <v>20</v>
      </c>
      <c r="AX43" s="48">
        <v>22.5</v>
      </c>
      <c r="AY43" s="48" t="s">
        <v>150</v>
      </c>
      <c r="AZ43" s="94">
        <f t="shared" si="19"/>
        <v>517.5</v>
      </c>
      <c r="BA43" s="133">
        <f>VLOOKUP(AN43,Invoicing!A:J,10,FALSE)</f>
        <v>70</v>
      </c>
      <c r="BB43" s="133">
        <f>VLOOKUP(AN43,Invoicing!A:L,12,FALSE)</f>
        <v>1</v>
      </c>
      <c r="BC43" s="2" t="s">
        <v>66</v>
      </c>
    </row>
    <row r="44" spans="1:55">
      <c r="A44" s="134" t="s">
        <v>125</v>
      </c>
      <c r="B44" s="86" t="s">
        <v>56</v>
      </c>
      <c r="C44" s="11">
        <v>46028.779166666667</v>
      </c>
      <c r="D44" s="11">
        <v>46028.583333333336</v>
      </c>
      <c r="E44" s="11" t="s">
        <v>83</v>
      </c>
      <c r="F44" s="11" t="s">
        <v>135</v>
      </c>
      <c r="G44" s="11" t="s">
        <v>59</v>
      </c>
      <c r="H44" s="11" t="s">
        <v>60</v>
      </c>
      <c r="I44" s="86" t="s">
        <v>151</v>
      </c>
      <c r="J44" s="86" t="s">
        <v>62</v>
      </c>
      <c r="K44" s="11">
        <v>46030</v>
      </c>
      <c r="L44" s="12">
        <v>46030.625</v>
      </c>
      <c r="M44" s="12">
        <v>46030.625</v>
      </c>
      <c r="N44" s="12">
        <v>46030.625</v>
      </c>
      <c r="O44" s="12" t="s">
        <v>63</v>
      </c>
      <c r="P44" s="135" t="s">
        <v>64</v>
      </c>
      <c r="Q44" s="86">
        <v>0</v>
      </c>
      <c r="R44" s="1">
        <f t="shared" si="0"/>
        <v>2</v>
      </c>
      <c r="S44" s="1">
        <f t="shared" si="1"/>
        <v>1</v>
      </c>
      <c r="T44" s="126">
        <f t="shared" si="2"/>
        <v>46030.625</v>
      </c>
      <c r="U44" s="127">
        <f t="shared" si="3"/>
        <v>1.2208333333328483</v>
      </c>
      <c r="V44" s="128">
        <f>Table2[[#This Row],[ATA A OFRECIMIENTO]]*24</f>
        <v>29.299999999988358</v>
      </c>
      <c r="W44" s="1" t="str">
        <f t="shared" si="4"/>
        <v>YES</v>
      </c>
      <c r="X44" s="127">
        <f t="shared" si="5"/>
        <v>0.625</v>
      </c>
      <c r="Y44" s="128">
        <f>Table2[[#This Row],[DEL. AVAILABLE A SLOT]]*24</f>
        <v>15</v>
      </c>
      <c r="Z44" s="1" t="str">
        <f t="shared" si="6"/>
        <v>SI</v>
      </c>
      <c r="AA44" s="127">
        <f t="shared" si="7"/>
        <v>1.8458333333328483</v>
      </c>
      <c r="AB44" s="128">
        <f>Table2[[#This Row],[ATA A TIMESLOT]]*24</f>
        <v>44.299999999988358</v>
      </c>
      <c r="AC44" s="127">
        <f t="shared" si="8"/>
        <v>0</v>
      </c>
      <c r="AD44" s="127" t="str">
        <f t="shared" si="9"/>
        <v>SI</v>
      </c>
      <c r="AE44" s="128">
        <f>Table2[[#This Row],[PUNTUALIDAD (H)]]*24</f>
        <v>0</v>
      </c>
      <c r="AF44" s="127">
        <f t="shared" si="10"/>
        <v>1.8458333333328483</v>
      </c>
      <c r="AG44" s="128">
        <f>Table2[[#This Row],[ATA TO UNLOADING]]*24</f>
        <v>44.299999999988358</v>
      </c>
      <c r="AH44" s="128" t="str">
        <f>IF(Table2[[#This Row],[ATA TO UNLOADING 2]]&lt;=48,"YES","NO")</f>
        <v>YES</v>
      </c>
      <c r="AJ44" s="129">
        <f t="shared" si="11"/>
        <v>0.625</v>
      </c>
      <c r="AK44" s="2" t="s">
        <v>64</v>
      </c>
      <c r="AL44" s="2" t="str">
        <f t="shared" si="12"/>
        <v>2/26</v>
      </c>
      <c r="AM44" s="2" t="str">
        <f t="shared" si="13"/>
        <v>MSKU4747659</v>
      </c>
      <c r="AN44" s="130" t="str">
        <f t="shared" si="14"/>
        <v>OM TRANSPORT</v>
      </c>
      <c r="AO44" s="50">
        <f>IF($O44="TRUCK",
VLOOKUP($AU44,Invoicing!$A$16:$B$56,MATCH($AO$1,Invoicing!$A$16:$B$16,0),FALSE)+IF(OR($B44="DCD",$B44="HPD2"),23.5,0),
VLOOKUP($AU44,Invoicing!$N$15:$O$19,MATCH($AO$1,Invoicing!$N$15:$O$15,0),FALSE)+IF(OR($B44="DCD",$B44="HPD2"),23.5,0))</f>
        <v>475</v>
      </c>
      <c r="AP44" s="131" t="e">
        <f>VLOOKUP($E44,Invoicing!$A$1:$H$12,MATCH(TRACKER!$P71,Invoicing!$A$1:$H$1,0),FALSE)</f>
        <v>#N/A</v>
      </c>
      <c r="AQ44" s="131">
        <f>VLOOKUP($E44,Invoicing!$A$1:$H$12,MATCH(TRACKER!$Q$1,Invoicing!$A$1:$H$1,0),FALSE)</f>
        <v>50</v>
      </c>
      <c r="AR44" s="131">
        <f t="shared" si="20"/>
        <v>0</v>
      </c>
      <c r="AS44" s="2">
        <f t="shared" si="16"/>
        <v>4</v>
      </c>
      <c r="AT44" s="2" t="str">
        <f t="shared" si="21"/>
        <v>WEEK</v>
      </c>
      <c r="AU44" s="2" t="str">
        <f t="shared" si="18"/>
        <v>OM TRANSPORTWEEK</v>
      </c>
      <c r="AV44" s="94">
        <f>(IF(ISNA(AP44),AO44+AR44,SUM($AO44,$AR44,IFERROR($AP44,"0"))))+Table2[[#This Row],[WAITING TIMES]]</f>
        <v>475</v>
      </c>
      <c r="AW44" s="94">
        <f>VLOOKUP(AN44,Invoicing!A:K,11,FALSE)</f>
        <v>20</v>
      </c>
      <c r="AY44" s="48"/>
      <c r="AZ44" s="94">
        <f t="shared" si="19"/>
        <v>495</v>
      </c>
      <c r="BA44" s="133">
        <f>VLOOKUP(AN44,Invoicing!A:J,10,FALSE)</f>
        <v>70</v>
      </c>
      <c r="BB44" s="133">
        <f>VLOOKUP(AN44,Invoicing!A:L,12,FALSE)</f>
        <v>1</v>
      </c>
      <c r="BC44" s="2" t="s">
        <v>66</v>
      </c>
    </row>
    <row r="45" spans="1:55">
      <c r="A45" s="134" t="s">
        <v>125</v>
      </c>
      <c r="B45" s="86" t="s">
        <v>56</v>
      </c>
      <c r="C45" s="11">
        <v>46028.779166666667</v>
      </c>
      <c r="D45" s="11">
        <v>46028.583333333336</v>
      </c>
      <c r="E45" s="11" t="s">
        <v>83</v>
      </c>
      <c r="F45" s="11" t="s">
        <v>135</v>
      </c>
      <c r="G45" s="11" t="s">
        <v>59</v>
      </c>
      <c r="H45" s="11" t="s">
        <v>60</v>
      </c>
      <c r="I45" s="86" t="s">
        <v>152</v>
      </c>
      <c r="J45" s="86" t="s">
        <v>100</v>
      </c>
      <c r="K45" s="11">
        <v>46030</v>
      </c>
      <c r="L45" s="12">
        <v>46030.275694444441</v>
      </c>
      <c r="M45" s="12">
        <v>46030.291666666664</v>
      </c>
      <c r="N45" s="12">
        <v>46030.286111111112</v>
      </c>
      <c r="O45" s="12" t="s">
        <v>63</v>
      </c>
      <c r="P45" s="135" t="s">
        <v>64</v>
      </c>
      <c r="Q45" s="86">
        <v>1</v>
      </c>
      <c r="R45" s="1">
        <f t="shared" si="0"/>
        <v>2</v>
      </c>
      <c r="S45" s="1">
        <f t="shared" si="1"/>
        <v>1</v>
      </c>
      <c r="T45" s="126">
        <f t="shared" si="2"/>
        <v>46030.275694444441</v>
      </c>
      <c r="U45" s="127">
        <f t="shared" si="3"/>
        <v>1.2208333333328483</v>
      </c>
      <c r="V45" s="128">
        <f>Table2[[#This Row],[ATA A OFRECIMIENTO]]*24</f>
        <v>29.299999999988358</v>
      </c>
      <c r="W45" s="1" t="str">
        <f t="shared" si="4"/>
        <v>YES</v>
      </c>
      <c r="X45" s="127">
        <f t="shared" si="5"/>
        <v>0.29166666666424135</v>
      </c>
      <c r="Y45" s="128">
        <f>Table2[[#This Row],[DEL. AVAILABLE A SLOT]]*24</f>
        <v>6.9999999999417923</v>
      </c>
      <c r="Z45" s="1" t="str">
        <f t="shared" si="6"/>
        <v>SI</v>
      </c>
      <c r="AA45" s="127">
        <f t="shared" si="7"/>
        <v>1.5124999999970896</v>
      </c>
      <c r="AB45" s="128">
        <f>Table2[[#This Row],[ATA A TIMESLOT]]*24</f>
        <v>36.299999999930151</v>
      </c>
      <c r="AC45" s="127">
        <f t="shared" si="8"/>
        <v>0</v>
      </c>
      <c r="AD45" s="127" t="str">
        <f t="shared" si="9"/>
        <v>SI</v>
      </c>
      <c r="AE45" s="128">
        <f>Table2[[#This Row],[PUNTUALIDAD (H)]]*24</f>
        <v>0</v>
      </c>
      <c r="AF45" s="127">
        <f t="shared" si="10"/>
        <v>1.5069444444452529</v>
      </c>
      <c r="AG45" s="128">
        <f>Table2[[#This Row],[ATA TO UNLOADING]]*24</f>
        <v>36.166666666686069</v>
      </c>
      <c r="AH45" s="128" t="str">
        <f>IF(Table2[[#This Row],[ATA TO UNLOADING 2]]&lt;=48,"YES","NO")</f>
        <v>YES</v>
      </c>
      <c r="AJ45" s="129">
        <f t="shared" si="11"/>
        <v>0.29166666666424135</v>
      </c>
      <c r="AK45" s="2" t="s">
        <v>64</v>
      </c>
      <c r="AL45" s="2" t="str">
        <f t="shared" si="12"/>
        <v>2/26</v>
      </c>
      <c r="AM45" s="2" t="str">
        <f t="shared" si="13"/>
        <v>MSKU4774470</v>
      </c>
      <c r="AN45" s="130" t="str">
        <f t="shared" si="14"/>
        <v>OM TRANSPORT</v>
      </c>
      <c r="AO45" s="50">
        <f>IF($O45="TRUCK",
VLOOKUP($AU45,Invoicing!$A$16:$B$56,MATCH($AO$1,Invoicing!$A$16:$B$16,0),FALSE)+IF(OR($B45="DCD",$B45="HPD2"),23.5,0),
VLOOKUP($AU45,Invoicing!$N$15:$O$19,MATCH($AO$1,Invoicing!$N$15:$O$15,0),FALSE)+IF(OR($B45="DCD",$B45="HPD2"),23.5,0))</f>
        <v>475</v>
      </c>
      <c r="AP45" s="131" t="e">
        <f>VLOOKUP($E45,Invoicing!$A$1:$H$12,MATCH(TRACKER!$P72,Invoicing!$A$1:$H$1,0),FALSE)</f>
        <v>#N/A</v>
      </c>
      <c r="AQ45" s="131">
        <f>VLOOKUP($E45,Invoicing!$A$1:$H$12,MATCH(TRACKER!$Q$1,Invoicing!$A$1:$H$1,0),FALSE)</f>
        <v>50</v>
      </c>
      <c r="AR45" s="131">
        <f t="shared" si="20"/>
        <v>50</v>
      </c>
      <c r="AS45" s="2">
        <f t="shared" si="16"/>
        <v>4</v>
      </c>
      <c r="AT45" s="2" t="str">
        <f t="shared" si="21"/>
        <v>WEEK</v>
      </c>
      <c r="AU45" s="2" t="str">
        <f t="shared" si="18"/>
        <v>OM TRANSPORTWEEK</v>
      </c>
      <c r="AV45" s="94">
        <f>(IF(ISNA(AP45),AO45+AR45,SUM($AO45,$AR45,IFERROR($AP45,"0"))))+Table2[[#This Row],[WAITING TIMES]]</f>
        <v>570</v>
      </c>
      <c r="AW45" s="94">
        <f>VLOOKUP(AN45,Invoicing!A:K,11,FALSE)</f>
        <v>20</v>
      </c>
      <c r="AX45" s="48">
        <v>45</v>
      </c>
      <c r="AY45" s="48" t="s">
        <v>153</v>
      </c>
      <c r="AZ45" s="94">
        <f t="shared" si="19"/>
        <v>590</v>
      </c>
      <c r="BA45" s="133">
        <f>VLOOKUP(AN45,Invoicing!A:J,10,FALSE)</f>
        <v>70</v>
      </c>
      <c r="BB45" s="133">
        <f>VLOOKUP(AN45,Invoicing!A:L,12,FALSE)</f>
        <v>1</v>
      </c>
      <c r="BC45" s="2" t="s">
        <v>66</v>
      </c>
    </row>
    <row r="46" spans="1:55">
      <c r="A46" s="134" t="s">
        <v>125</v>
      </c>
      <c r="B46" s="86" t="s">
        <v>56</v>
      </c>
      <c r="C46" s="11">
        <v>46028.779166666667</v>
      </c>
      <c r="D46" s="11">
        <v>46028.583333333336</v>
      </c>
      <c r="E46" s="11" t="s">
        <v>83</v>
      </c>
      <c r="F46" s="11" t="s">
        <v>135</v>
      </c>
      <c r="G46" s="11" t="s">
        <v>59</v>
      </c>
      <c r="H46" s="11" t="s">
        <v>60</v>
      </c>
      <c r="I46" s="86" t="s">
        <v>154</v>
      </c>
      <c r="J46" s="86" t="s">
        <v>100</v>
      </c>
      <c r="K46" s="11">
        <v>46030</v>
      </c>
      <c r="L46" s="12">
        <v>46030.341666666667</v>
      </c>
      <c r="M46" s="12">
        <v>46030.375</v>
      </c>
      <c r="N46" s="12">
        <v>46030.350694444445</v>
      </c>
      <c r="O46" s="12" t="s">
        <v>63</v>
      </c>
      <c r="P46" s="135" t="s">
        <v>64</v>
      </c>
      <c r="Q46" s="86">
        <v>1</v>
      </c>
      <c r="R46" s="1">
        <f t="shared" si="0"/>
        <v>2</v>
      </c>
      <c r="S46" s="1">
        <f t="shared" si="1"/>
        <v>1</v>
      </c>
      <c r="T46" s="126">
        <f t="shared" si="2"/>
        <v>46030.341666666667</v>
      </c>
      <c r="U46" s="127">
        <f t="shared" si="3"/>
        <v>1.2208333333328483</v>
      </c>
      <c r="V46" s="128">
        <f>Table2[[#This Row],[ATA A OFRECIMIENTO]]*24</f>
        <v>29.299999999988358</v>
      </c>
      <c r="W46" s="1" t="str">
        <f t="shared" si="4"/>
        <v>YES</v>
      </c>
      <c r="X46" s="127">
        <f t="shared" si="5"/>
        <v>0.375</v>
      </c>
      <c r="Y46" s="128">
        <f>Table2[[#This Row],[DEL. AVAILABLE A SLOT]]*24</f>
        <v>9</v>
      </c>
      <c r="Z46" s="1" t="str">
        <f t="shared" si="6"/>
        <v>SI</v>
      </c>
      <c r="AA46" s="127">
        <f t="shared" si="7"/>
        <v>1.5958333333328483</v>
      </c>
      <c r="AB46" s="128">
        <f>Table2[[#This Row],[ATA A TIMESLOT]]*24</f>
        <v>38.299999999988358</v>
      </c>
      <c r="AC46" s="127">
        <f t="shared" si="8"/>
        <v>0</v>
      </c>
      <c r="AD46" s="127" t="str">
        <f t="shared" si="9"/>
        <v>SI</v>
      </c>
      <c r="AE46" s="128">
        <f>Table2[[#This Row],[PUNTUALIDAD (H)]]*24</f>
        <v>0</v>
      </c>
      <c r="AF46" s="127">
        <f t="shared" si="10"/>
        <v>1.5715277777781012</v>
      </c>
      <c r="AG46" s="128">
        <f>Table2[[#This Row],[ATA TO UNLOADING]]*24</f>
        <v>37.716666666674428</v>
      </c>
      <c r="AH46" s="128" t="str">
        <f>IF(Table2[[#This Row],[ATA TO UNLOADING 2]]&lt;=48,"YES","NO")</f>
        <v>YES</v>
      </c>
      <c r="AJ46" s="129">
        <f t="shared" si="11"/>
        <v>0.375</v>
      </c>
      <c r="AK46" s="2" t="s">
        <v>64</v>
      </c>
      <c r="AL46" s="2" t="str">
        <f t="shared" si="12"/>
        <v>2/26</v>
      </c>
      <c r="AM46" s="2" t="str">
        <f t="shared" si="13"/>
        <v>MSKU7796908</v>
      </c>
      <c r="AN46" s="130" t="str">
        <f t="shared" si="14"/>
        <v>OM TRANSPORT</v>
      </c>
      <c r="AO46" s="50">
        <f>IF($O46="TRUCK",
VLOOKUP($AU46,Invoicing!$A$16:$B$56,MATCH($AO$1,Invoicing!$A$16:$B$16,0),FALSE)+IF(OR($B46="DCD",$B46="HPD2"),23.5,0),
VLOOKUP($AU46,Invoicing!$N$15:$O$19,MATCH($AO$1,Invoicing!$N$15:$O$15,0),FALSE)+IF(OR($B46="DCD",$B46="HPD2"),23.5,0))</f>
        <v>475</v>
      </c>
      <c r="AP46" s="131">
        <f>VLOOKUP($E46,Invoicing!$A$1:$H$12,MATCH(TRACKER!$P73,Invoicing!$A$1:$H$1,0),FALSE)</f>
        <v>110</v>
      </c>
      <c r="AQ46" s="131">
        <f>VLOOKUP($E46,Invoicing!$A$1:$H$12,MATCH(TRACKER!$Q$1,Invoicing!$A$1:$H$1,0),FALSE)</f>
        <v>50</v>
      </c>
      <c r="AR46" s="131">
        <f t="shared" si="20"/>
        <v>50</v>
      </c>
      <c r="AS46" s="2">
        <f t="shared" si="16"/>
        <v>4</v>
      </c>
      <c r="AT46" s="2" t="str">
        <f t="shared" si="21"/>
        <v>WEEK</v>
      </c>
      <c r="AU46" s="2" t="str">
        <f t="shared" si="18"/>
        <v>OM TRANSPORTWEEK</v>
      </c>
      <c r="AV46" s="94">
        <f>(IF(ISNA(AP46),AO46+AR46,SUM($AO46,$AR46,IFERROR($AP46,"0"))))+Table2[[#This Row],[WAITING TIMES]]</f>
        <v>635</v>
      </c>
      <c r="AW46" s="94">
        <f>VLOOKUP(AN46,Invoicing!A:K,11,FALSE)</f>
        <v>20</v>
      </c>
      <c r="AY46" s="48"/>
      <c r="AZ46" s="94">
        <f t="shared" si="19"/>
        <v>655</v>
      </c>
      <c r="BA46" s="133">
        <f>VLOOKUP(AN46,Invoicing!A:J,10,FALSE)</f>
        <v>70</v>
      </c>
      <c r="BB46" s="133">
        <f>VLOOKUP(AN46,Invoicing!A:L,12,FALSE)</f>
        <v>1</v>
      </c>
      <c r="BC46" s="2" t="s">
        <v>66</v>
      </c>
    </row>
    <row r="47" spans="1:55">
      <c r="A47" s="134" t="s">
        <v>125</v>
      </c>
      <c r="B47" s="86" t="s">
        <v>56</v>
      </c>
      <c r="C47" s="11">
        <v>46028.779166666667</v>
      </c>
      <c r="D47" s="11">
        <v>46028.583333333336</v>
      </c>
      <c r="E47" s="11" t="s">
        <v>83</v>
      </c>
      <c r="F47" s="11" t="s">
        <v>135</v>
      </c>
      <c r="G47" s="11" t="s">
        <v>59</v>
      </c>
      <c r="H47" s="11" t="s">
        <v>60</v>
      </c>
      <c r="I47" s="86" t="s">
        <v>155</v>
      </c>
      <c r="J47" s="86" t="s">
        <v>82</v>
      </c>
      <c r="K47" s="11">
        <v>46030</v>
      </c>
      <c r="L47" s="12">
        <v>46032.238888888889</v>
      </c>
      <c r="M47" s="12">
        <v>46032.25</v>
      </c>
      <c r="N47" s="12">
        <v>46032.253472222219</v>
      </c>
      <c r="O47" s="12" t="s">
        <v>63</v>
      </c>
      <c r="P47" s="135" t="s">
        <v>64</v>
      </c>
      <c r="Q47" s="86">
        <v>0</v>
      </c>
      <c r="R47" s="1">
        <f t="shared" si="0"/>
        <v>2</v>
      </c>
      <c r="S47" s="1">
        <f t="shared" si="1"/>
        <v>1</v>
      </c>
      <c r="T47" s="126">
        <f t="shared" si="2"/>
        <v>46032.238888888889</v>
      </c>
      <c r="U47" s="127">
        <f t="shared" si="3"/>
        <v>1.2208333333328483</v>
      </c>
      <c r="V47" s="128">
        <f>Table2[[#This Row],[ATA A OFRECIMIENTO]]*24</f>
        <v>29.299999999988358</v>
      </c>
      <c r="W47" s="1" t="str">
        <f t="shared" si="4"/>
        <v>YES</v>
      </c>
      <c r="X47" s="127">
        <f t="shared" si="5"/>
        <v>2.25</v>
      </c>
      <c r="Y47" s="128">
        <f>Table2[[#This Row],[DEL. AVAILABLE A SLOT]]*24</f>
        <v>54</v>
      </c>
      <c r="Z47" s="1" t="str">
        <f t="shared" si="6"/>
        <v>NO</v>
      </c>
      <c r="AA47" s="127">
        <f t="shared" si="7"/>
        <v>3.4708333333328483</v>
      </c>
      <c r="AB47" s="128">
        <f>Table2[[#This Row],[ATA A TIMESLOT]]*24</f>
        <v>83.299999999988358</v>
      </c>
      <c r="AC47" s="127">
        <f t="shared" si="8"/>
        <v>0</v>
      </c>
      <c r="AD47" s="127" t="str">
        <f t="shared" si="9"/>
        <v>SI</v>
      </c>
      <c r="AE47" s="128">
        <f>Table2[[#This Row],[PUNTUALIDAD (H)]]*24</f>
        <v>0</v>
      </c>
      <c r="AF47" s="127">
        <f t="shared" si="10"/>
        <v>3.4743055555518367</v>
      </c>
      <c r="AG47" s="128">
        <f>Table2[[#This Row],[ATA TO UNLOADING]]*24</f>
        <v>83.383333333244082</v>
      </c>
      <c r="AH47" s="128" t="str">
        <f>IF(Table2[[#This Row],[ATA TO UNLOADING 2]]&lt;=48,"YES","NO")</f>
        <v>NO</v>
      </c>
      <c r="AI47" s="49" t="s">
        <v>141</v>
      </c>
      <c r="AJ47" s="129">
        <f t="shared" si="11"/>
        <v>0.25</v>
      </c>
      <c r="AK47" s="2" t="s">
        <v>64</v>
      </c>
      <c r="AL47" s="2" t="str">
        <f t="shared" si="12"/>
        <v>2/26</v>
      </c>
      <c r="AM47" s="2" t="str">
        <f t="shared" si="13"/>
        <v>SUDU6686622</v>
      </c>
      <c r="AN47" s="130" t="str">
        <f t="shared" si="14"/>
        <v>OM TRANSPORT</v>
      </c>
      <c r="AO47" s="50">
        <f>IF($O47="TRUCK",
VLOOKUP($AU47,Invoicing!$A$16:$B$56,MATCH($AO$1,Invoicing!$A$16:$B$16,0),FALSE)+IF(OR($B47="DCD",$B47="HPD2"),23.5,0),
VLOOKUP($AU47,Invoicing!$N$15:$O$19,MATCH($AO$1,Invoicing!$N$15:$O$15,0),FALSE)+IF(OR($B47="DCD",$B47="HPD2"),23.5,0))</f>
        <v>550</v>
      </c>
      <c r="AP47" s="131" t="e">
        <f>VLOOKUP($E47,Invoicing!$A$1:$H$12,MATCH(TRACKER!$P74,Invoicing!$A$1:$H$1,0),FALSE)</f>
        <v>#N/A</v>
      </c>
      <c r="AQ47" s="131">
        <f>VLOOKUP($E47,Invoicing!$A$1:$H$12,MATCH(TRACKER!$Q$1,Invoicing!$A$1:$H$1,0),FALSE)</f>
        <v>50</v>
      </c>
      <c r="AR47" s="131">
        <f t="shared" si="20"/>
        <v>0</v>
      </c>
      <c r="AS47" s="2">
        <f t="shared" si="16"/>
        <v>6</v>
      </c>
      <c r="AT47" s="2" t="str">
        <f t="shared" si="21"/>
        <v>SATURDAY</v>
      </c>
      <c r="AU47" s="2" t="str">
        <f t="shared" si="18"/>
        <v>OM TRANSPORTSATURDAY</v>
      </c>
      <c r="AV47" s="94">
        <f>(IF(ISNA(AP47),AO47+AR47,SUM($AO47,$AR47,IFERROR($AP47,"0"))))+Table2[[#This Row],[WAITING TIMES]]</f>
        <v>550</v>
      </c>
      <c r="AW47" s="94">
        <f>VLOOKUP(AN47,Invoicing!A:K,11,FALSE)</f>
        <v>20</v>
      </c>
      <c r="AY47" s="48"/>
      <c r="AZ47" s="94">
        <f t="shared" si="19"/>
        <v>570</v>
      </c>
      <c r="BA47" s="133">
        <f>VLOOKUP(AN47,Invoicing!A:J,10,FALSE)</f>
        <v>70</v>
      </c>
      <c r="BB47" s="133">
        <f>VLOOKUP(AN47,Invoicing!A:L,12,FALSE)</f>
        <v>1</v>
      </c>
      <c r="BC47" s="2" t="s">
        <v>66</v>
      </c>
    </row>
    <row r="48" spans="1:55">
      <c r="A48" s="136" t="s">
        <v>125</v>
      </c>
      <c r="B48" s="88" t="s">
        <v>56</v>
      </c>
      <c r="C48" s="89">
        <v>46028.779166666667</v>
      </c>
      <c r="D48" s="89">
        <v>46028.583333333336</v>
      </c>
      <c r="E48" s="89" t="s">
        <v>83</v>
      </c>
      <c r="F48" s="89" t="s">
        <v>128</v>
      </c>
      <c r="G48" s="89" t="s">
        <v>59</v>
      </c>
      <c r="H48" s="89" t="s">
        <v>68</v>
      </c>
      <c r="I48" s="88" t="s">
        <v>156</v>
      </c>
      <c r="J48" s="88" t="s">
        <v>100</v>
      </c>
      <c r="K48" s="89">
        <v>46030</v>
      </c>
      <c r="L48" s="90">
        <v>46030.498611111114</v>
      </c>
      <c r="M48" s="90">
        <v>46030.5</v>
      </c>
      <c r="N48" s="90">
        <v>46030.520833333336</v>
      </c>
      <c r="O48" s="90" t="s">
        <v>63</v>
      </c>
      <c r="P48" s="137" t="s">
        <v>64</v>
      </c>
      <c r="Q48" s="88">
        <v>1</v>
      </c>
      <c r="R48" s="1">
        <f t="shared" si="0"/>
        <v>2</v>
      </c>
      <c r="S48" s="1">
        <f t="shared" si="1"/>
        <v>1</v>
      </c>
      <c r="T48" s="126">
        <f t="shared" si="2"/>
        <v>46030.498611111114</v>
      </c>
      <c r="U48" s="127">
        <f t="shared" si="3"/>
        <v>1.2208333333328483</v>
      </c>
      <c r="V48" s="128">
        <f>Table2[[#This Row],[ATA A OFRECIMIENTO]]*24</f>
        <v>29.299999999988358</v>
      </c>
      <c r="W48" s="1" t="str">
        <f t="shared" si="4"/>
        <v>YES</v>
      </c>
      <c r="X48" s="127">
        <f t="shared" si="5"/>
        <v>0.5</v>
      </c>
      <c r="Y48" s="128">
        <f>Table2[[#This Row],[DEL. AVAILABLE A SLOT]]*24</f>
        <v>12</v>
      </c>
      <c r="Z48" s="1" t="str">
        <f t="shared" si="6"/>
        <v>SI</v>
      </c>
      <c r="AA48" s="127">
        <f t="shared" si="7"/>
        <v>1.7208333333328483</v>
      </c>
      <c r="AB48" s="128">
        <f>Table2[[#This Row],[ATA A TIMESLOT]]*24</f>
        <v>41.299999999988358</v>
      </c>
      <c r="AC48" s="127">
        <f t="shared" si="8"/>
        <v>0</v>
      </c>
      <c r="AD48" s="127" t="str">
        <f t="shared" si="9"/>
        <v>SI</v>
      </c>
      <c r="AE48" s="128">
        <f>Table2[[#This Row],[PUNTUALIDAD (H)]]*24</f>
        <v>0</v>
      </c>
      <c r="AF48" s="127">
        <f t="shared" si="10"/>
        <v>1.7416666666686069</v>
      </c>
      <c r="AG48" s="128">
        <f>Table2[[#This Row],[ATA TO UNLOADING]]*24</f>
        <v>41.800000000046566</v>
      </c>
      <c r="AH48" s="128" t="str">
        <f>IF(Table2[[#This Row],[ATA TO UNLOADING 2]]&lt;=48,"YES","NO")</f>
        <v>YES</v>
      </c>
      <c r="AJ48" s="129">
        <f t="shared" si="11"/>
        <v>0.5</v>
      </c>
      <c r="AK48" s="2" t="s">
        <v>64</v>
      </c>
      <c r="AL48" s="2" t="str">
        <f t="shared" si="12"/>
        <v>2/26</v>
      </c>
      <c r="AM48" s="2" t="str">
        <f t="shared" si="13"/>
        <v>TCKU6408599</v>
      </c>
      <c r="AN48" s="130" t="str">
        <f t="shared" si="14"/>
        <v>OM TRANSPORT</v>
      </c>
      <c r="AO48" s="50">
        <f>IF($O48="TRUCK",
VLOOKUP($AU48,Invoicing!$A$16:$B$56,MATCH($AO$1,Invoicing!$A$16:$B$16,0),FALSE)+IF(OR($B48="DCD",$B48="HPD2"),23.5,0),
VLOOKUP($AU48,Invoicing!$N$15:$O$19,MATCH($AO$1,Invoicing!$N$15:$O$15,0),FALSE)+IF(OR($B48="DCD",$B48="HPD2"),23.5,0))</f>
        <v>475</v>
      </c>
      <c r="AP48" s="131" t="e">
        <f>VLOOKUP($E48,Invoicing!$A$1:$H$12,MATCH(TRACKER!$P75,Invoicing!$A$1:$H$1,0),FALSE)</f>
        <v>#N/A</v>
      </c>
      <c r="AQ48" s="131">
        <f>VLOOKUP($E48,Invoicing!$A$1:$H$12,MATCH(TRACKER!$Q$1,Invoicing!$A$1:$H$1,0),FALSE)</f>
        <v>50</v>
      </c>
      <c r="AR48" s="131">
        <f t="shared" si="20"/>
        <v>50</v>
      </c>
      <c r="AS48" s="2">
        <f t="shared" si="16"/>
        <v>4</v>
      </c>
      <c r="AT48" s="2" t="str">
        <f t="shared" si="21"/>
        <v>WEEK</v>
      </c>
      <c r="AU48" s="2" t="str">
        <f t="shared" si="18"/>
        <v>OM TRANSPORTWEEK</v>
      </c>
      <c r="AV48" s="94">
        <f>(IF(ISNA(AP48),AO48+AR48,SUM($AO48,$AR48,IFERROR($AP48,"0"))))+Table2[[#This Row],[WAITING TIMES]]</f>
        <v>525</v>
      </c>
      <c r="AW48" s="94">
        <f>VLOOKUP(AN48,Invoicing!A:K,11,FALSE)</f>
        <v>20</v>
      </c>
      <c r="AY48" s="48"/>
      <c r="AZ48" s="94">
        <f t="shared" si="19"/>
        <v>545</v>
      </c>
      <c r="BA48" s="133">
        <f>VLOOKUP(AN48,Invoicing!A:J,10,FALSE)</f>
        <v>70</v>
      </c>
      <c r="BB48" s="133">
        <f>VLOOKUP(AN48,Invoicing!A:L,12,FALSE)</f>
        <v>1</v>
      </c>
      <c r="BC48" s="2" t="s">
        <v>66</v>
      </c>
    </row>
    <row r="49" spans="1:55">
      <c r="A49" s="134" t="s">
        <v>157</v>
      </c>
      <c r="B49" s="86" t="s">
        <v>77</v>
      </c>
      <c r="C49" s="11">
        <v>46031.293055555558</v>
      </c>
      <c r="D49" s="11">
        <v>46031.125</v>
      </c>
      <c r="E49" s="11" t="s">
        <v>71</v>
      </c>
      <c r="F49" s="11" t="s">
        <v>158</v>
      </c>
      <c r="G49" s="11" t="s">
        <v>59</v>
      </c>
      <c r="H49" s="11" t="s">
        <v>80</v>
      </c>
      <c r="I49" s="86" t="s">
        <v>159</v>
      </c>
      <c r="J49" s="86" t="s">
        <v>82</v>
      </c>
      <c r="K49" s="11">
        <v>46032.291666666664</v>
      </c>
      <c r="L49" s="12">
        <v>46032.767361111109</v>
      </c>
      <c r="M49" s="12">
        <v>46032.916666666664</v>
      </c>
      <c r="N49" s="12">
        <v>46032.767361111109</v>
      </c>
      <c r="O49" s="12" t="s">
        <v>63</v>
      </c>
      <c r="P49" s="135" t="s">
        <v>64</v>
      </c>
      <c r="Q49" s="3">
        <v>0</v>
      </c>
      <c r="R49" s="1">
        <f t="shared" si="0"/>
        <v>2</v>
      </c>
      <c r="S49" s="1">
        <f t="shared" si="1"/>
        <v>1</v>
      </c>
      <c r="T49" s="126">
        <f t="shared" si="2"/>
        <v>46032.767361111109</v>
      </c>
      <c r="U49" s="127">
        <f t="shared" si="3"/>
        <v>0.99861111110658385</v>
      </c>
      <c r="V49" s="128">
        <f>Table2[[#This Row],[ATA A OFRECIMIENTO]]*24</f>
        <v>23.966666666558012</v>
      </c>
      <c r="W49" s="1" t="str">
        <f t="shared" si="4"/>
        <v>YES</v>
      </c>
      <c r="X49" s="127">
        <f t="shared" si="5"/>
        <v>0.625</v>
      </c>
      <c r="Y49" s="128">
        <f>Table2[[#This Row],[DEL. AVAILABLE A SLOT]]*24</f>
        <v>15</v>
      </c>
      <c r="Z49" s="1" t="str">
        <f t="shared" si="6"/>
        <v>SI</v>
      </c>
      <c r="AA49" s="127">
        <f t="shared" si="7"/>
        <v>1.6236111111065838</v>
      </c>
      <c r="AB49" s="128">
        <f>Table2[[#This Row],[ATA A TIMESLOT]]*24</f>
        <v>38.966666666558012</v>
      </c>
      <c r="AC49" s="127">
        <f t="shared" si="8"/>
        <v>0</v>
      </c>
      <c r="AD49" s="127" t="str">
        <f t="shared" si="9"/>
        <v>SI</v>
      </c>
      <c r="AE49" s="128">
        <f>Table2[[#This Row],[PUNTUALIDAD (H)]]*24</f>
        <v>0</v>
      </c>
      <c r="AF49" s="127">
        <f t="shared" si="10"/>
        <v>1.4743055555518367</v>
      </c>
      <c r="AG49" s="128">
        <f>Table2[[#This Row],[ATA TO UNLOADING]]*24</f>
        <v>35.383333333244082</v>
      </c>
      <c r="AH49" s="128" t="str">
        <f>IF(Table2[[#This Row],[ATA TO UNLOADING 2]]&lt;=48,"YES","NO")</f>
        <v>YES</v>
      </c>
      <c r="AJ49" s="129">
        <f t="shared" si="11"/>
        <v>0.91666666666424135</v>
      </c>
      <c r="AK49" s="49" t="s">
        <v>36</v>
      </c>
      <c r="AL49" s="2" t="str">
        <f t="shared" si="12"/>
        <v>2/26</v>
      </c>
      <c r="AM49" s="2" t="str">
        <f t="shared" si="13"/>
        <v>CAAU5262070</v>
      </c>
      <c r="AN49" s="130" t="str">
        <f t="shared" si="14"/>
        <v>LOGIX</v>
      </c>
      <c r="AO49" s="50">
        <f>IF($O49="TRUCK",
VLOOKUP($AU49,Invoicing!$A$16:$B$56,MATCH($AO$1,Invoicing!$A$16:$B$16,0),FALSE)+IF(OR($B49="DCD",$B49="HPD2"),23.5,0),
VLOOKUP($AU49,Invoicing!$N$15:$O$19,MATCH($AO$1,Invoicing!$N$15:$O$15,0),FALSE)+IF(OR($B49="DCD",$B49="HPD2"),23.5,0))</f>
        <v>573.5</v>
      </c>
      <c r="AP49" s="131">
        <f>VLOOKUP($E49,Invoicing!$A$1:$H$12,MATCH(TRACKER!$P20,Invoicing!$A$1:$H$1,0),FALSE)</f>
        <v>100</v>
      </c>
      <c r="AQ49" s="131">
        <f>VLOOKUP($E49,Invoicing!$A$1:$H$12,MATCH(TRACKER!$Q$1,Invoicing!$A$1:$H$1,0),FALSE)</f>
        <v>50</v>
      </c>
      <c r="AR49" s="131">
        <f t="shared" si="20"/>
        <v>0</v>
      </c>
      <c r="AS49" s="2">
        <f t="shared" si="16"/>
        <v>6</v>
      </c>
      <c r="AT49" s="2" t="str">
        <f t="shared" si="21"/>
        <v>SATURDAY</v>
      </c>
      <c r="AU49" s="2" t="str">
        <f t="shared" si="18"/>
        <v>LOGIXSATURDAY</v>
      </c>
      <c r="AV49" s="94">
        <f>(IF(ISNA(AP49),AO49+AR49,SUM($AO49,$AR49,IFERROR($AP49,"0"))))+Table2[[#This Row],[WAITING TIMES]]</f>
        <v>673.5</v>
      </c>
      <c r="AW49" s="48">
        <f>VLOOKUP(AN49,Invoicing!A:K,11,FALSE)</f>
        <v>20</v>
      </c>
      <c r="AY49" s="48"/>
      <c r="AZ49" s="48">
        <f t="shared" si="19"/>
        <v>693.5</v>
      </c>
      <c r="BA49" s="132">
        <f>VLOOKUP(AN49,Invoicing!A:J,10,FALSE)</f>
        <v>70</v>
      </c>
      <c r="BB49" s="132">
        <f>VLOOKUP(AN49,Invoicing!A:L,12,FALSE)</f>
        <v>1</v>
      </c>
      <c r="BC49" s="2" t="s">
        <v>66</v>
      </c>
    </row>
    <row r="50" spans="1:55">
      <c r="A50" s="134" t="s">
        <v>157</v>
      </c>
      <c r="B50" s="86" t="s">
        <v>77</v>
      </c>
      <c r="C50" s="11">
        <v>46031.293055555558</v>
      </c>
      <c r="D50" s="11">
        <v>46031.125</v>
      </c>
      <c r="E50" s="11" t="s">
        <v>71</v>
      </c>
      <c r="F50" s="11" t="s">
        <v>160</v>
      </c>
      <c r="G50" s="11" t="s">
        <v>59</v>
      </c>
      <c r="H50" s="11" t="s">
        <v>80</v>
      </c>
      <c r="I50" s="86" t="s">
        <v>161</v>
      </c>
      <c r="J50" s="86" t="s">
        <v>82</v>
      </c>
      <c r="K50" s="11">
        <v>46032.291666666664</v>
      </c>
      <c r="L50" s="12">
        <v>46032.304861111108</v>
      </c>
      <c r="M50" s="12">
        <v>46032.291666666664</v>
      </c>
      <c r="N50" s="12">
        <v>46032.65625</v>
      </c>
      <c r="O50" s="12" t="s">
        <v>63</v>
      </c>
      <c r="P50" s="135" t="s">
        <v>64</v>
      </c>
      <c r="Q50" s="3">
        <v>0</v>
      </c>
      <c r="R50" s="1">
        <f t="shared" si="0"/>
        <v>2</v>
      </c>
      <c r="S50" s="1">
        <f t="shared" si="1"/>
        <v>1</v>
      </c>
      <c r="T50" s="126">
        <f t="shared" si="2"/>
        <v>46032.304861111108</v>
      </c>
      <c r="U50" s="127">
        <f t="shared" si="3"/>
        <v>0.99861111110658385</v>
      </c>
      <c r="V50" s="128">
        <f>Table2[[#This Row],[ATA A OFRECIMIENTO]]*24</f>
        <v>23.966666666558012</v>
      </c>
      <c r="W50" s="1" t="str">
        <f t="shared" si="4"/>
        <v>YES</v>
      </c>
      <c r="X50" s="127">
        <f t="shared" si="5"/>
        <v>0</v>
      </c>
      <c r="Y50" s="128">
        <f>Table2[[#This Row],[DEL. AVAILABLE A SLOT]]*24</f>
        <v>0</v>
      </c>
      <c r="Z50" s="1" t="str">
        <f t="shared" si="6"/>
        <v>SI</v>
      </c>
      <c r="AA50" s="127">
        <f t="shared" si="7"/>
        <v>0.99861111110658385</v>
      </c>
      <c r="AB50" s="128">
        <f>Table2[[#This Row],[ATA A TIMESLOT]]*24</f>
        <v>23.966666666558012</v>
      </c>
      <c r="AC50" s="127">
        <f t="shared" si="8"/>
        <v>1.3194444443797693E-2</v>
      </c>
      <c r="AD50" s="127" t="str">
        <f t="shared" si="9"/>
        <v>SI</v>
      </c>
      <c r="AE50" s="128">
        <f>Table2[[#This Row],[PUNTUALIDAD (H)]]*24</f>
        <v>0.31666666665114462</v>
      </c>
      <c r="AF50" s="127">
        <f t="shared" si="10"/>
        <v>1.3631944444423425</v>
      </c>
      <c r="AG50" s="128">
        <f>Table2[[#This Row],[ATA TO UNLOADING]]*24</f>
        <v>32.71666666661622</v>
      </c>
      <c r="AH50" s="128" t="str">
        <f>IF(Table2[[#This Row],[ATA TO UNLOADING 2]]&lt;=48,"YES","NO")</f>
        <v>YES</v>
      </c>
      <c r="AJ50" s="129">
        <f t="shared" si="11"/>
        <v>0.29166666666424135</v>
      </c>
      <c r="AK50" s="2" t="s">
        <v>64</v>
      </c>
      <c r="AL50" s="2" t="str">
        <f t="shared" si="12"/>
        <v>2/26</v>
      </c>
      <c r="AM50" s="2" t="str">
        <f t="shared" si="13"/>
        <v>HASU1298241</v>
      </c>
      <c r="AN50" s="130" t="str">
        <f t="shared" si="14"/>
        <v>LOGIX</v>
      </c>
      <c r="AO50" s="50">
        <f>IF($O50="TRUCK",
VLOOKUP($AU50,Invoicing!$A$16:$B$56,MATCH($AO$1,Invoicing!$A$16:$B$16,0),FALSE)+IF(OR($B50="DCD",$B50="HPD2"),23.5,0),
VLOOKUP($AU50,Invoicing!$N$15:$O$19,MATCH($AO$1,Invoicing!$N$15:$O$15,0),FALSE)+IF(OR($B50="DCD",$B50="HPD2"),23.5,0))</f>
        <v>573.5</v>
      </c>
      <c r="AP50" s="131" t="e">
        <f>VLOOKUP($E50,Invoicing!$A$1:$H$12,MATCH(TRACKER!$P21,Invoicing!$A$1:$H$1,0),FALSE)</f>
        <v>#N/A</v>
      </c>
      <c r="AQ50" s="131">
        <f>VLOOKUP($E50,Invoicing!$A$1:$H$12,MATCH(TRACKER!$Q$1,Invoicing!$A$1:$H$1,0),FALSE)</f>
        <v>50</v>
      </c>
      <c r="AR50" s="131">
        <f t="shared" si="20"/>
        <v>0</v>
      </c>
      <c r="AS50" s="2">
        <f t="shared" si="16"/>
        <v>6</v>
      </c>
      <c r="AT50" s="2" t="str">
        <f t="shared" si="21"/>
        <v>SATURDAY</v>
      </c>
      <c r="AU50" s="2" t="str">
        <f t="shared" si="18"/>
        <v>LOGIXSATURDAY</v>
      </c>
      <c r="AV50" s="94">
        <f>(IF(ISNA(AP50),AO50+AR50,SUM($AO50,$AR50,IFERROR($AP50,"0"))))+Table2[[#This Row],[WAITING TIMES]]</f>
        <v>573.5</v>
      </c>
      <c r="AW50" s="48">
        <f>VLOOKUP(AN50,Invoicing!A:K,11,FALSE)</f>
        <v>20</v>
      </c>
      <c r="AY50" s="48"/>
      <c r="AZ50" s="48">
        <f t="shared" si="19"/>
        <v>593.5</v>
      </c>
      <c r="BA50" s="132">
        <f>VLOOKUP(AN50,Invoicing!A:J,10,FALSE)</f>
        <v>70</v>
      </c>
      <c r="BB50" s="132">
        <f>VLOOKUP(AN50,Invoicing!A:L,12,FALSE)</f>
        <v>1</v>
      </c>
      <c r="BC50" s="2" t="s">
        <v>66</v>
      </c>
    </row>
    <row r="51" spans="1:55">
      <c r="A51" s="134" t="s">
        <v>157</v>
      </c>
      <c r="B51" s="86" t="s">
        <v>77</v>
      </c>
      <c r="C51" s="11">
        <v>46031.293055555558</v>
      </c>
      <c r="D51" s="11">
        <v>46031.125</v>
      </c>
      <c r="E51" s="11" t="s">
        <v>71</v>
      </c>
      <c r="F51" s="11" t="s">
        <v>162</v>
      </c>
      <c r="G51" s="11" t="s">
        <v>59</v>
      </c>
      <c r="H51" s="11" t="s">
        <v>80</v>
      </c>
      <c r="I51" s="86" t="s">
        <v>163</v>
      </c>
      <c r="J51" s="86" t="s">
        <v>82</v>
      </c>
      <c r="K51" s="11">
        <v>46032.291666666664</v>
      </c>
      <c r="L51" s="12">
        <v>46032.745138888888</v>
      </c>
      <c r="M51" s="12">
        <v>46032.791666666664</v>
      </c>
      <c r="N51" s="12">
        <v>46032.788194444445</v>
      </c>
      <c r="O51" s="12" t="s">
        <v>63</v>
      </c>
      <c r="P51" s="135" t="s">
        <v>64</v>
      </c>
      <c r="Q51" s="3">
        <v>0</v>
      </c>
      <c r="R51" s="1">
        <f t="shared" si="0"/>
        <v>2</v>
      </c>
      <c r="S51" s="1">
        <f t="shared" si="1"/>
        <v>1</v>
      </c>
      <c r="T51" s="126">
        <f t="shared" si="2"/>
        <v>46032.745138888888</v>
      </c>
      <c r="U51" s="127">
        <f t="shared" si="3"/>
        <v>0.99861111110658385</v>
      </c>
      <c r="V51" s="128">
        <f>Table2[[#This Row],[ATA A OFRECIMIENTO]]*24</f>
        <v>23.966666666558012</v>
      </c>
      <c r="W51" s="1" t="str">
        <f t="shared" si="4"/>
        <v>YES</v>
      </c>
      <c r="X51" s="127">
        <f t="shared" si="5"/>
        <v>0.5</v>
      </c>
      <c r="Y51" s="128">
        <f>Table2[[#This Row],[DEL. AVAILABLE A SLOT]]*24</f>
        <v>12</v>
      </c>
      <c r="Z51" s="1" t="str">
        <f t="shared" si="6"/>
        <v>SI</v>
      </c>
      <c r="AA51" s="127">
        <f t="shared" si="7"/>
        <v>1.4986111111065838</v>
      </c>
      <c r="AB51" s="128">
        <f>Table2[[#This Row],[ATA A TIMESLOT]]*24</f>
        <v>35.966666666558012</v>
      </c>
      <c r="AC51" s="127">
        <f t="shared" si="8"/>
        <v>0</v>
      </c>
      <c r="AD51" s="127" t="str">
        <f t="shared" si="9"/>
        <v>SI</v>
      </c>
      <c r="AE51" s="128">
        <f>Table2[[#This Row],[PUNTUALIDAD (H)]]*24</f>
        <v>0</v>
      </c>
      <c r="AF51" s="127">
        <f t="shared" si="10"/>
        <v>1.4951388888875954</v>
      </c>
      <c r="AG51" s="128">
        <f>Table2[[#This Row],[ATA TO UNLOADING]]*24</f>
        <v>35.883333333302289</v>
      </c>
      <c r="AH51" s="128" t="str">
        <f>IF(Table2[[#This Row],[ATA TO UNLOADING 2]]&lt;=48,"YES","NO")</f>
        <v>YES</v>
      </c>
      <c r="AJ51" s="129">
        <f t="shared" si="11"/>
        <v>0.79166666666424135</v>
      </c>
      <c r="AK51" s="2" t="s">
        <v>64</v>
      </c>
      <c r="AL51" s="2" t="str">
        <f t="shared" si="12"/>
        <v>2/26</v>
      </c>
      <c r="AM51" s="2" t="str">
        <f t="shared" si="13"/>
        <v>HASU4177114</v>
      </c>
      <c r="AN51" s="130" t="str">
        <f t="shared" si="14"/>
        <v>LOGIX</v>
      </c>
      <c r="AO51" s="50">
        <f>IF($O51="TRUCK",
VLOOKUP($AU51,Invoicing!$A$16:$B$56,MATCH($AO$1,Invoicing!$A$16:$B$16,0),FALSE)+IF(OR($B51="DCD",$B51="HPD2"),23.5,0),
VLOOKUP($AU51,Invoicing!$N$15:$O$19,MATCH($AO$1,Invoicing!$N$15:$O$15,0),FALSE)+IF(OR($B51="DCD",$B51="HPD2"),23.5,0))</f>
        <v>573.5</v>
      </c>
      <c r="AP51" s="131">
        <f>VLOOKUP($E51,Invoicing!$A$1:$H$12,MATCH(TRACKER!$P22,Invoicing!$A$1:$H$1,0),FALSE)</f>
        <v>100</v>
      </c>
      <c r="AQ51" s="131">
        <f>VLOOKUP($E51,Invoicing!$A$1:$H$12,MATCH(TRACKER!$Q$1,Invoicing!$A$1:$H$1,0),FALSE)</f>
        <v>50</v>
      </c>
      <c r="AR51" s="131">
        <f t="shared" si="20"/>
        <v>0</v>
      </c>
      <c r="AS51" s="2">
        <f t="shared" si="16"/>
        <v>6</v>
      </c>
      <c r="AT51" s="2" t="str">
        <f t="shared" si="21"/>
        <v>SATURDAY</v>
      </c>
      <c r="AU51" s="2" t="str">
        <f t="shared" si="18"/>
        <v>LOGIXSATURDAY</v>
      </c>
      <c r="AV51" s="94">
        <f>(IF(ISNA(AP51),AO51+AR51,SUM($AO51,$AR51,IFERROR($AP51,"0"))))+Table2[[#This Row],[WAITING TIMES]]</f>
        <v>673.5</v>
      </c>
      <c r="AW51" s="48">
        <f>VLOOKUP(AN51,Invoicing!A:K,11,FALSE)</f>
        <v>20</v>
      </c>
      <c r="AY51" s="48"/>
      <c r="AZ51" s="48">
        <f t="shared" si="19"/>
        <v>693.5</v>
      </c>
      <c r="BA51" s="132">
        <f>VLOOKUP(AN51,Invoicing!A:J,10,FALSE)</f>
        <v>70</v>
      </c>
      <c r="BB51" s="132">
        <f>VLOOKUP(AN51,Invoicing!A:L,12,FALSE)</f>
        <v>1</v>
      </c>
      <c r="BC51" s="2" t="s">
        <v>66</v>
      </c>
    </row>
    <row r="52" spans="1:55">
      <c r="A52" s="134" t="s">
        <v>157</v>
      </c>
      <c r="B52" s="86" t="s">
        <v>77</v>
      </c>
      <c r="C52" s="11">
        <v>46031.293055555558</v>
      </c>
      <c r="D52" s="11">
        <v>46031.125</v>
      </c>
      <c r="E52" s="11" t="s">
        <v>71</v>
      </c>
      <c r="F52" s="11" t="s">
        <v>158</v>
      </c>
      <c r="G52" s="11" t="s">
        <v>59</v>
      </c>
      <c r="H52" s="11" t="s">
        <v>80</v>
      </c>
      <c r="I52" s="86" t="s">
        <v>164</v>
      </c>
      <c r="J52" s="86" t="s">
        <v>82</v>
      </c>
      <c r="K52" s="11">
        <v>46032.291666666664</v>
      </c>
      <c r="L52" s="12">
        <v>46032.449305555558</v>
      </c>
      <c r="M52" s="12">
        <v>46032.416666666664</v>
      </c>
      <c r="N52" s="12">
        <v>46032.479166666664</v>
      </c>
      <c r="O52" s="12" t="s">
        <v>63</v>
      </c>
      <c r="P52" s="135" t="s">
        <v>64</v>
      </c>
      <c r="Q52" s="3">
        <v>0</v>
      </c>
      <c r="R52" s="1">
        <f t="shared" si="0"/>
        <v>2</v>
      </c>
      <c r="S52" s="1">
        <f t="shared" si="1"/>
        <v>1</v>
      </c>
      <c r="T52" s="126">
        <f t="shared" si="2"/>
        <v>46032.449305555558</v>
      </c>
      <c r="U52" s="127">
        <f t="shared" si="3"/>
        <v>0.99861111110658385</v>
      </c>
      <c r="V52" s="128">
        <f>Table2[[#This Row],[ATA A OFRECIMIENTO]]*24</f>
        <v>23.966666666558012</v>
      </c>
      <c r="W52" s="1" t="str">
        <f t="shared" si="4"/>
        <v>YES</v>
      </c>
      <c r="X52" s="127">
        <f t="shared" si="5"/>
        <v>0.125</v>
      </c>
      <c r="Y52" s="128">
        <f>Table2[[#This Row],[DEL. AVAILABLE A SLOT]]*24</f>
        <v>3</v>
      </c>
      <c r="Z52" s="1" t="str">
        <f t="shared" si="6"/>
        <v>SI</v>
      </c>
      <c r="AA52" s="127">
        <f t="shared" si="7"/>
        <v>1.1236111111065838</v>
      </c>
      <c r="AB52" s="128">
        <f>Table2[[#This Row],[ATA A TIMESLOT]]*24</f>
        <v>26.966666666558012</v>
      </c>
      <c r="AC52" s="127">
        <f t="shared" si="8"/>
        <v>3.2638888893416151E-2</v>
      </c>
      <c r="AD52" s="127" t="str">
        <f t="shared" si="9"/>
        <v>NO</v>
      </c>
      <c r="AE52" s="128">
        <f>Table2[[#This Row],[PUNTUALIDAD (H)]]*24</f>
        <v>0.78333333344198763</v>
      </c>
      <c r="AF52" s="127">
        <f t="shared" si="10"/>
        <v>1.1861111111065838</v>
      </c>
      <c r="AG52" s="128">
        <f>Table2[[#This Row],[ATA TO UNLOADING]]*24</f>
        <v>28.466666666558012</v>
      </c>
      <c r="AH52" s="128" t="str">
        <f>IF(Table2[[#This Row],[ATA TO UNLOADING 2]]&lt;=48,"YES","NO")</f>
        <v>YES</v>
      </c>
      <c r="AJ52" s="129">
        <f t="shared" si="11"/>
        <v>0.41666666666424135</v>
      </c>
      <c r="AK52" s="2" t="s">
        <v>64</v>
      </c>
      <c r="AL52" s="2" t="str">
        <f t="shared" si="12"/>
        <v>2/26</v>
      </c>
      <c r="AM52" s="2" t="str">
        <f t="shared" si="13"/>
        <v>TCNU6200906</v>
      </c>
      <c r="AN52" s="130" t="str">
        <f t="shared" si="14"/>
        <v>LOGIX</v>
      </c>
      <c r="AO52" s="50">
        <f>IF($O52="TRUCK",
VLOOKUP($AU52,Invoicing!$A$16:$B$56,MATCH($AO$1,Invoicing!$A$16:$B$16,0),FALSE)+IF(OR($B52="DCD",$B52="HPD2"),23.5,0),
VLOOKUP($AU52,Invoicing!$N$15:$O$19,MATCH($AO$1,Invoicing!$N$15:$O$15,0),FALSE)+IF(OR($B52="DCD",$B52="HPD2"),23.5,0))</f>
        <v>573.5</v>
      </c>
      <c r="AP52" s="131">
        <f>VLOOKUP($E52,Invoicing!$A$1:$H$12,MATCH(TRACKER!$P23,Invoicing!$A$1:$H$1,0),FALSE)</f>
        <v>100</v>
      </c>
      <c r="AQ52" s="131">
        <f>VLOOKUP($E52,Invoicing!$A$1:$H$12,MATCH(TRACKER!$Q$1,Invoicing!$A$1:$H$1,0),FALSE)</f>
        <v>50</v>
      </c>
      <c r="AR52" s="131">
        <f t="shared" si="20"/>
        <v>0</v>
      </c>
      <c r="AS52" s="2">
        <f t="shared" si="16"/>
        <v>6</v>
      </c>
      <c r="AT52" s="2" t="str">
        <f t="shared" si="21"/>
        <v>SATURDAY</v>
      </c>
      <c r="AU52" s="2" t="str">
        <f t="shared" si="18"/>
        <v>LOGIXSATURDAY</v>
      </c>
      <c r="AV52" s="94">
        <f>(IF(ISNA(AP52),AO52+AR52,SUM($AO52,$AR52,IFERROR($AP52,"0"))))+Table2[[#This Row],[WAITING TIMES]]</f>
        <v>673.5</v>
      </c>
      <c r="AW52" s="48">
        <f>VLOOKUP(AN52,Invoicing!A:K,11,FALSE)</f>
        <v>20</v>
      </c>
      <c r="AY52" s="48"/>
      <c r="AZ52" s="48">
        <f t="shared" si="19"/>
        <v>693.5</v>
      </c>
      <c r="BA52" s="132">
        <f>VLOOKUP(AN52,Invoicing!A:J,10,FALSE)</f>
        <v>70</v>
      </c>
      <c r="BB52" s="132">
        <f>VLOOKUP(AN52,Invoicing!A:L,12,FALSE)</f>
        <v>1</v>
      </c>
      <c r="BC52" s="2" t="s">
        <v>66</v>
      </c>
    </row>
    <row r="53" spans="1:55">
      <c r="A53" s="134" t="s">
        <v>157</v>
      </c>
      <c r="B53" s="86" t="s">
        <v>77</v>
      </c>
      <c r="C53" s="11">
        <v>46031.293055555558</v>
      </c>
      <c r="D53" s="11">
        <v>46031.125</v>
      </c>
      <c r="E53" s="11" t="s">
        <v>98</v>
      </c>
      <c r="F53" s="11" t="s">
        <v>162</v>
      </c>
      <c r="G53" s="11" t="s">
        <v>59</v>
      </c>
      <c r="H53" s="11" t="s">
        <v>80</v>
      </c>
      <c r="I53" s="86" t="s">
        <v>165</v>
      </c>
      <c r="J53" s="86" t="s">
        <v>82</v>
      </c>
      <c r="K53" s="11">
        <v>46032.291666666664</v>
      </c>
      <c r="L53" s="12">
        <v>46032.680555555555</v>
      </c>
      <c r="M53" s="12">
        <v>46032.666666666664</v>
      </c>
      <c r="N53" s="12">
        <v>46032.716666666667</v>
      </c>
      <c r="O53" s="12" t="s">
        <v>63</v>
      </c>
      <c r="P53" s="135" t="s">
        <v>64</v>
      </c>
      <c r="Q53" s="3">
        <v>0</v>
      </c>
      <c r="R53" s="1">
        <f t="shared" si="0"/>
        <v>2</v>
      </c>
      <c r="S53" s="1">
        <f t="shared" si="1"/>
        <v>1</v>
      </c>
      <c r="T53" s="126">
        <f t="shared" si="2"/>
        <v>46032.680555555555</v>
      </c>
      <c r="U53" s="127">
        <f t="shared" si="3"/>
        <v>0.99861111110658385</v>
      </c>
      <c r="V53" s="128">
        <f>Table2[[#This Row],[ATA A OFRECIMIENTO]]*24</f>
        <v>23.966666666558012</v>
      </c>
      <c r="W53" s="1" t="str">
        <f t="shared" si="4"/>
        <v>YES</v>
      </c>
      <c r="X53" s="127">
        <f t="shared" si="5"/>
        <v>0.375</v>
      </c>
      <c r="Y53" s="128">
        <f>Table2[[#This Row],[DEL. AVAILABLE A SLOT]]*24</f>
        <v>9</v>
      </c>
      <c r="Z53" s="1" t="str">
        <f t="shared" si="6"/>
        <v>SI</v>
      </c>
      <c r="AA53" s="127">
        <f t="shared" si="7"/>
        <v>1.3736111111065838</v>
      </c>
      <c r="AB53" s="128">
        <f>Table2[[#This Row],[ATA A TIMESLOT]]*24</f>
        <v>32.966666666558012</v>
      </c>
      <c r="AC53" s="127">
        <f t="shared" si="8"/>
        <v>1.3888888890505768E-2</v>
      </c>
      <c r="AD53" s="127" t="str">
        <f t="shared" si="9"/>
        <v>SI</v>
      </c>
      <c r="AE53" s="128">
        <f>Table2[[#This Row],[PUNTUALIDAD (H)]]*24</f>
        <v>0.33333333337213844</v>
      </c>
      <c r="AF53" s="127">
        <f t="shared" si="10"/>
        <v>1.4236111111094942</v>
      </c>
      <c r="AG53" s="128">
        <f>Table2[[#This Row],[ATA TO UNLOADING]]*24</f>
        <v>34.166666666627862</v>
      </c>
      <c r="AH53" s="128" t="str">
        <f>IF(Table2[[#This Row],[ATA TO UNLOADING 2]]&lt;=48,"YES","NO")</f>
        <v>YES</v>
      </c>
      <c r="AJ53" s="129">
        <f t="shared" si="11"/>
        <v>0.66666666666424135</v>
      </c>
      <c r="AK53" s="2" t="s">
        <v>64</v>
      </c>
      <c r="AL53" s="2" t="str">
        <f t="shared" si="12"/>
        <v>2/26</v>
      </c>
      <c r="AM53" s="2" t="str">
        <f t="shared" si="13"/>
        <v>MSKU8590927</v>
      </c>
      <c r="AN53" s="130" t="str">
        <f t="shared" si="14"/>
        <v>MSI</v>
      </c>
      <c r="AO53" s="50">
        <f>IF($O53="TRUCK",
VLOOKUP($AU53,Invoicing!$A$16:$B$56,MATCH($AO$1,Invoicing!$A$16:$B$16,0),FALSE)+IF(OR($B53="DCD",$B53="HPD2"),23.5,0),
VLOOKUP($AU53,Invoicing!$N$15:$O$19,MATCH($AO$1,Invoicing!$N$15:$O$15,0),FALSE)+IF(OR($B53="DCD",$B53="HPD2"),23.5,0))</f>
        <v>523.5</v>
      </c>
      <c r="AP53" s="131" t="e">
        <f>VLOOKUP($E53,Invoicing!$A$1:$H$12,MATCH(TRACKER!$P44,Invoicing!$A$1:$H$1,0),FALSE)</f>
        <v>#N/A</v>
      </c>
      <c r="AQ53" s="131">
        <f>VLOOKUP($E53,Invoicing!$A$1:$H$12,MATCH(TRACKER!$Q$1,Invoicing!$A$1:$H$1,0),FALSE)</f>
        <v>50</v>
      </c>
      <c r="AR53" s="131">
        <f t="shared" si="20"/>
        <v>0</v>
      </c>
      <c r="AS53" s="2">
        <f t="shared" si="16"/>
        <v>6</v>
      </c>
      <c r="AT53" s="2" t="str">
        <f t="shared" si="21"/>
        <v>SATURDAY</v>
      </c>
      <c r="AU53" s="2" t="str">
        <f t="shared" si="18"/>
        <v>MSISATURDAY</v>
      </c>
      <c r="AV53" s="94">
        <f>(IF(ISNA(AP53),AO53+AR53,SUM($AO53,$AR53,IFERROR($AP53,"0"))))+Table2[[#This Row],[WAITING TIMES]]</f>
        <v>583.5</v>
      </c>
      <c r="AW53" s="48">
        <f>VLOOKUP(AN53,Invoicing!A:K,11,FALSE)</f>
        <v>20</v>
      </c>
      <c r="AX53" s="48">
        <v>60</v>
      </c>
      <c r="AY53" s="94" t="s">
        <v>166</v>
      </c>
      <c r="AZ53" s="48">
        <f t="shared" si="19"/>
        <v>603.5</v>
      </c>
      <c r="BA53" s="132">
        <f>VLOOKUP(AN53,Invoicing!A:J,10,FALSE)</f>
        <v>70</v>
      </c>
      <c r="BB53" s="132">
        <f>VLOOKUP(AN53,Invoicing!A:L,12,FALSE)</f>
        <v>1</v>
      </c>
      <c r="BC53" s="2" t="s">
        <v>66</v>
      </c>
    </row>
    <row r="54" spans="1:55">
      <c r="A54" s="134" t="s">
        <v>157</v>
      </c>
      <c r="B54" s="86" t="s">
        <v>77</v>
      </c>
      <c r="C54" s="11">
        <v>46031.293055555558</v>
      </c>
      <c r="D54" s="11">
        <v>46031.125</v>
      </c>
      <c r="E54" s="11" t="s">
        <v>98</v>
      </c>
      <c r="F54" s="11" t="s">
        <v>162</v>
      </c>
      <c r="G54" s="11" t="s">
        <v>59</v>
      </c>
      <c r="H54" s="11" t="s">
        <v>80</v>
      </c>
      <c r="I54" s="86" t="s">
        <v>167</v>
      </c>
      <c r="J54" s="86" t="s">
        <v>82</v>
      </c>
      <c r="K54" s="11">
        <v>46032.291666666664</v>
      </c>
      <c r="L54" s="12">
        <v>46032.479166666664</v>
      </c>
      <c r="M54" s="12">
        <v>46032.541666666664</v>
      </c>
      <c r="N54" s="12">
        <v>46032.49722222222</v>
      </c>
      <c r="O54" s="12" t="s">
        <v>63</v>
      </c>
      <c r="P54" s="135" t="s">
        <v>64</v>
      </c>
      <c r="Q54" s="3">
        <v>0</v>
      </c>
      <c r="R54" s="1">
        <f t="shared" si="0"/>
        <v>2</v>
      </c>
      <c r="S54" s="1">
        <f t="shared" si="1"/>
        <v>1</v>
      </c>
      <c r="T54" s="126">
        <f t="shared" si="2"/>
        <v>46032.479166666664</v>
      </c>
      <c r="U54" s="127">
        <f t="shared" si="3"/>
        <v>0.99861111110658385</v>
      </c>
      <c r="V54" s="128">
        <f>Table2[[#This Row],[ATA A OFRECIMIENTO]]*24</f>
        <v>23.966666666558012</v>
      </c>
      <c r="W54" s="1" t="str">
        <f t="shared" si="4"/>
        <v>YES</v>
      </c>
      <c r="X54" s="127">
        <f t="shared" si="5"/>
        <v>0.25</v>
      </c>
      <c r="Y54" s="128">
        <f>Table2[[#This Row],[DEL. AVAILABLE A SLOT]]*24</f>
        <v>6</v>
      </c>
      <c r="Z54" s="1" t="str">
        <f t="shared" si="6"/>
        <v>SI</v>
      </c>
      <c r="AA54" s="127">
        <f t="shared" si="7"/>
        <v>1.2486111111065838</v>
      </c>
      <c r="AB54" s="128">
        <f>Table2[[#This Row],[ATA A TIMESLOT]]*24</f>
        <v>29.966666666558012</v>
      </c>
      <c r="AC54" s="127">
        <f t="shared" si="8"/>
        <v>0</v>
      </c>
      <c r="AD54" s="127" t="str">
        <f t="shared" si="9"/>
        <v>SI</v>
      </c>
      <c r="AE54" s="128">
        <f>Table2[[#This Row],[PUNTUALIDAD (H)]]*24</f>
        <v>0</v>
      </c>
      <c r="AF54" s="127">
        <f t="shared" si="10"/>
        <v>1.2041666666627862</v>
      </c>
      <c r="AG54" s="128">
        <f>Table2[[#This Row],[ATA TO UNLOADING]]*24</f>
        <v>28.899999999906868</v>
      </c>
      <c r="AH54" s="128" t="str">
        <f>IF(Table2[[#This Row],[ATA TO UNLOADING 2]]&lt;=48,"YES","NO")</f>
        <v>YES</v>
      </c>
      <c r="AJ54" s="129">
        <f t="shared" si="11"/>
        <v>0.54166666666424135</v>
      </c>
      <c r="AK54" s="2" t="s">
        <v>64</v>
      </c>
      <c r="AL54" s="2" t="str">
        <f t="shared" si="12"/>
        <v>2/26</v>
      </c>
      <c r="AM54" s="2" t="str">
        <f t="shared" si="13"/>
        <v>MSKU8784558</v>
      </c>
      <c r="AN54" s="130" t="str">
        <f t="shared" si="14"/>
        <v>MSI</v>
      </c>
      <c r="AO54" s="50">
        <f>IF($O54="TRUCK",
VLOOKUP($AU54,Invoicing!$A$16:$B$56,MATCH($AO$1,Invoicing!$A$16:$B$16,0),FALSE)+IF(OR($B54="DCD",$B54="HPD2"),23.5,0),
VLOOKUP($AU54,Invoicing!$N$15:$O$19,MATCH($AO$1,Invoicing!$N$15:$O$15,0),FALSE)+IF(OR($B54="DCD",$B54="HPD2"),23.5,0))</f>
        <v>523.5</v>
      </c>
      <c r="AP54" s="131" t="e">
        <f>VLOOKUP($E54,Invoicing!$A$1:$H$12,MATCH(TRACKER!$P45,Invoicing!$A$1:$H$1,0),FALSE)</f>
        <v>#N/A</v>
      </c>
      <c r="AQ54" s="131">
        <f>VLOOKUP($E54,Invoicing!$A$1:$H$12,MATCH(TRACKER!$Q$1,Invoicing!$A$1:$H$1,0),FALSE)</f>
        <v>50</v>
      </c>
      <c r="AR54" s="131">
        <f t="shared" si="20"/>
        <v>0</v>
      </c>
      <c r="AS54" s="2">
        <f t="shared" si="16"/>
        <v>6</v>
      </c>
      <c r="AT54" s="2" t="str">
        <f t="shared" si="21"/>
        <v>SATURDAY</v>
      </c>
      <c r="AU54" s="2" t="str">
        <f t="shared" si="18"/>
        <v>MSISATURDAY</v>
      </c>
      <c r="AV54" s="94">
        <f>(IF(ISNA(AP54),AO54+AR54,SUM($AO54,$AR54,IFERROR($AP54,"0"))))+Table2[[#This Row],[WAITING TIMES]]</f>
        <v>553.5</v>
      </c>
      <c r="AW54" s="48">
        <f>VLOOKUP(AN54,Invoicing!A:K,11,FALSE)</f>
        <v>20</v>
      </c>
      <c r="AX54" s="48">
        <v>30</v>
      </c>
      <c r="AY54" s="94" t="s">
        <v>168</v>
      </c>
      <c r="AZ54" s="48">
        <f t="shared" si="19"/>
        <v>573.5</v>
      </c>
      <c r="BA54" s="132">
        <f>VLOOKUP(AN54,Invoicing!A:J,10,FALSE)</f>
        <v>70</v>
      </c>
      <c r="BB54" s="132">
        <f>VLOOKUP(AN54,Invoicing!A:L,12,FALSE)</f>
        <v>1</v>
      </c>
      <c r="BC54" s="2" t="s">
        <v>66</v>
      </c>
    </row>
    <row r="55" spans="1:55">
      <c r="A55" s="134" t="s">
        <v>157</v>
      </c>
      <c r="B55" s="86" t="s">
        <v>77</v>
      </c>
      <c r="C55" s="11">
        <v>46031.293055555558</v>
      </c>
      <c r="D55" s="11">
        <v>46031.125</v>
      </c>
      <c r="E55" s="11" t="s">
        <v>98</v>
      </c>
      <c r="F55" s="11" t="s">
        <v>162</v>
      </c>
      <c r="G55" s="11" t="s">
        <v>59</v>
      </c>
      <c r="H55" s="11" t="s">
        <v>80</v>
      </c>
      <c r="I55" s="86" t="s">
        <v>169</v>
      </c>
      <c r="J55" s="86" t="s">
        <v>100</v>
      </c>
      <c r="K55" s="11">
        <v>46032.291666666664</v>
      </c>
      <c r="L55" s="12">
        <v>46033.333333333336</v>
      </c>
      <c r="M55" s="12">
        <v>46033.333333333336</v>
      </c>
      <c r="N55" s="12">
        <v>46033.340277777781</v>
      </c>
      <c r="O55" s="12" t="s">
        <v>63</v>
      </c>
      <c r="P55" s="135" t="s">
        <v>64</v>
      </c>
      <c r="Q55" s="3">
        <v>1</v>
      </c>
      <c r="R55" s="1">
        <f t="shared" si="0"/>
        <v>2</v>
      </c>
      <c r="S55" s="1">
        <f t="shared" si="1"/>
        <v>1</v>
      </c>
      <c r="T55" s="126">
        <f t="shared" si="2"/>
        <v>46033.333333333336</v>
      </c>
      <c r="U55" s="127">
        <f t="shared" si="3"/>
        <v>0.99861111110658385</v>
      </c>
      <c r="V55" s="128">
        <f>Table2[[#This Row],[ATA A OFRECIMIENTO]]*24</f>
        <v>23.966666666558012</v>
      </c>
      <c r="W55" s="1" t="str">
        <f t="shared" si="4"/>
        <v>YES</v>
      </c>
      <c r="X55" s="127">
        <f t="shared" si="5"/>
        <v>1.0416666666715173</v>
      </c>
      <c r="Y55" s="128">
        <f>Table2[[#This Row],[DEL. AVAILABLE A SLOT]]*24</f>
        <v>25.000000000116415</v>
      </c>
      <c r="Z55" s="1" t="str">
        <f t="shared" si="6"/>
        <v>NO</v>
      </c>
      <c r="AA55" s="127">
        <f t="shared" si="7"/>
        <v>2.0402777777781012</v>
      </c>
      <c r="AB55" s="128">
        <f>Table2[[#This Row],[ATA A TIMESLOT]]*24</f>
        <v>48.966666666674428</v>
      </c>
      <c r="AC55" s="127">
        <f t="shared" si="8"/>
        <v>0</v>
      </c>
      <c r="AD55" s="127" t="str">
        <f t="shared" si="9"/>
        <v>SI</v>
      </c>
      <c r="AE55" s="128">
        <f>Table2[[#This Row],[PUNTUALIDAD (H)]]*24</f>
        <v>0</v>
      </c>
      <c r="AF55" s="127">
        <f t="shared" si="10"/>
        <v>2.047222222223354</v>
      </c>
      <c r="AG55" s="128">
        <f>Table2[[#This Row],[ATA TO UNLOADING]]*24</f>
        <v>49.133333333360497</v>
      </c>
      <c r="AH55" s="128" t="str">
        <f>IF(Table2[[#This Row],[ATA TO UNLOADING 2]]&lt;=48,"YES","NO")</f>
        <v>NO</v>
      </c>
      <c r="AJ55" s="129">
        <f t="shared" si="11"/>
        <v>0.33333333333575865</v>
      </c>
      <c r="AK55" s="2" t="s">
        <v>64</v>
      </c>
      <c r="AL55" s="2" t="str">
        <f t="shared" si="12"/>
        <v>2/26</v>
      </c>
      <c r="AM55" s="2" t="str">
        <f t="shared" si="13"/>
        <v>SUDU8884993</v>
      </c>
      <c r="AN55" s="130" t="str">
        <f t="shared" si="14"/>
        <v>MSI</v>
      </c>
      <c r="AO55" s="50">
        <f>IF($O55="TRUCK",
VLOOKUP($AU55,Invoicing!$A$16:$B$56,MATCH($AO$1,Invoicing!$A$16:$B$16,0),FALSE)+IF(OR($B55="DCD",$B55="HPD2"),23.5,0),
VLOOKUP($AU55,Invoicing!$N$15:$O$19,MATCH($AO$1,Invoicing!$N$15:$O$15,0),FALSE)+IF(OR($B55="DCD",$B55="HPD2"),23.5,0))</f>
        <v>523.5</v>
      </c>
      <c r="AP55" s="131" t="e">
        <f>VLOOKUP($E55,Invoicing!$A$1:$H$12,MATCH(TRACKER!$P46,Invoicing!$A$1:$H$1,0),FALSE)</f>
        <v>#N/A</v>
      </c>
      <c r="AQ55" s="131">
        <f>VLOOKUP($E55,Invoicing!$A$1:$H$12,MATCH(TRACKER!$Q$1,Invoicing!$A$1:$H$1,0),FALSE)</f>
        <v>50</v>
      </c>
      <c r="AR55" s="131">
        <f t="shared" si="20"/>
        <v>50</v>
      </c>
      <c r="AS55" s="2">
        <f t="shared" si="16"/>
        <v>7</v>
      </c>
      <c r="AT55" s="2" t="str">
        <f t="shared" si="21"/>
        <v>SUNDAY</v>
      </c>
      <c r="AU55" s="2" t="str">
        <f t="shared" si="18"/>
        <v>MSISUNDAY</v>
      </c>
      <c r="AV55" s="94">
        <f>(IF(ISNA(AP55),AO55+AR55,SUM($AO55,$AR55,IFERROR($AP55,"0"))))+Table2[[#This Row],[WAITING TIMES]]</f>
        <v>573.5</v>
      </c>
      <c r="AW55" s="48">
        <f>VLOOKUP(AN55,Invoicing!A:K,11,FALSE)</f>
        <v>20</v>
      </c>
      <c r="AY55" s="48"/>
      <c r="AZ55" s="48">
        <f t="shared" si="19"/>
        <v>593.5</v>
      </c>
      <c r="BA55" s="132">
        <f>VLOOKUP(AN55,Invoicing!A:J,10,FALSE)</f>
        <v>70</v>
      </c>
      <c r="BB55" s="132">
        <f>VLOOKUP(AN55,Invoicing!A:L,12,FALSE)</f>
        <v>1</v>
      </c>
      <c r="BC55" s="2" t="s">
        <v>66</v>
      </c>
    </row>
    <row r="56" spans="1:55">
      <c r="A56" s="134" t="s">
        <v>170</v>
      </c>
      <c r="B56" s="86" t="s">
        <v>77</v>
      </c>
      <c r="C56" s="11">
        <v>46033.461805555555</v>
      </c>
      <c r="D56" s="11">
        <v>46033.083333333336</v>
      </c>
      <c r="E56" s="11" t="s">
        <v>57</v>
      </c>
      <c r="F56" s="11" t="s">
        <v>171</v>
      </c>
      <c r="G56" s="11" t="s">
        <v>59</v>
      </c>
      <c r="H56" s="11" t="s">
        <v>91</v>
      </c>
      <c r="I56" s="86" t="s">
        <v>172</v>
      </c>
      <c r="J56" s="86" t="s">
        <v>82</v>
      </c>
      <c r="K56" s="11">
        <v>46033.833333333336</v>
      </c>
      <c r="L56" s="12">
        <v>46034.330555555556</v>
      </c>
      <c r="M56" s="12">
        <v>46034.333333333336</v>
      </c>
      <c r="N56" s="12">
        <v>46034.354166666664</v>
      </c>
      <c r="O56" s="12" t="s">
        <v>63</v>
      </c>
      <c r="P56" s="135" t="s">
        <v>64</v>
      </c>
      <c r="Q56" s="3">
        <v>0</v>
      </c>
      <c r="R56" s="1">
        <f t="shared" si="0"/>
        <v>3</v>
      </c>
      <c r="S56" s="1">
        <f t="shared" si="1"/>
        <v>1</v>
      </c>
      <c r="T56" s="126">
        <f t="shared" si="2"/>
        <v>46034.330555555556</v>
      </c>
      <c r="U56" s="127">
        <f t="shared" si="3"/>
        <v>0.37152777778101154</v>
      </c>
      <c r="V56" s="128">
        <f>Table2[[#This Row],[ATA A OFRECIMIENTO]]*24</f>
        <v>8.9166666667442769</v>
      </c>
      <c r="W56" s="1" t="str">
        <f t="shared" si="4"/>
        <v>YES</v>
      </c>
      <c r="X56" s="127">
        <f t="shared" si="5"/>
        <v>0.5</v>
      </c>
      <c r="Y56" s="128">
        <f>Table2[[#This Row],[DEL. AVAILABLE A SLOT]]*24</f>
        <v>12</v>
      </c>
      <c r="Z56" s="1" t="str">
        <f t="shared" si="6"/>
        <v>SI</v>
      </c>
      <c r="AA56" s="127">
        <f t="shared" si="7"/>
        <v>0.87152777778101154</v>
      </c>
      <c r="AB56" s="128">
        <f>Table2[[#This Row],[ATA A TIMESLOT]]*24</f>
        <v>20.916666666744277</v>
      </c>
      <c r="AC56" s="127">
        <f t="shared" si="8"/>
        <v>0</v>
      </c>
      <c r="AD56" s="127" t="str">
        <f t="shared" si="9"/>
        <v>SI</v>
      </c>
      <c r="AE56" s="128">
        <f>Table2[[#This Row],[PUNTUALIDAD (H)]]*24</f>
        <v>0</v>
      </c>
      <c r="AF56" s="127">
        <f t="shared" si="10"/>
        <v>0.89236111110949423</v>
      </c>
      <c r="AG56" s="128">
        <f>Table2[[#This Row],[ATA TO UNLOADING]]*24</f>
        <v>21.416666666627862</v>
      </c>
      <c r="AH56" s="128" t="str">
        <f>IF(Table2[[#This Row],[ATA TO UNLOADING 2]]&lt;=48,"YES","NO")</f>
        <v>YES</v>
      </c>
      <c r="AJ56" s="129">
        <f t="shared" si="11"/>
        <v>0.33333333333575865</v>
      </c>
      <c r="AK56" s="2" t="s">
        <v>64</v>
      </c>
      <c r="AL56" s="2" t="str">
        <f t="shared" si="12"/>
        <v>3/26</v>
      </c>
      <c r="AM56" s="2" t="str">
        <f t="shared" si="13"/>
        <v>CAIU8274268</v>
      </c>
      <c r="AN56" s="130" t="str">
        <f t="shared" si="14"/>
        <v>CTK TRANSPORT</v>
      </c>
      <c r="AO56" s="50">
        <f>IF($O56="TRUCK",
VLOOKUP($AU56,Invoicing!$A$16:$B$56,MATCH($AO$1,Invoicing!$A$16:$B$16,0),FALSE)+IF(OR($B56="DCD",$B56="HPD2"),23.5,0),
VLOOKUP($AU56,Invoicing!$N$15:$O$19,MATCH($AO$1,Invoicing!$N$15:$O$15,0),FALSE)+IF(OR($B56="DCD",$B56="HPD2"),23.5,0))</f>
        <v>573.5</v>
      </c>
      <c r="AP56" s="131" t="e">
        <f>VLOOKUP($E56,Invoicing!$A$1:$H$12,MATCH(TRACKER!$P57,Invoicing!$A$1:$H$1,0),FALSE)</f>
        <v>#N/A</v>
      </c>
      <c r="AQ56" s="131">
        <f>VLOOKUP($E56,Invoicing!$A$1:$H$12,MATCH(TRACKER!$Q$1,Invoicing!$A$1:$H$1,0),FALSE)</f>
        <v>50</v>
      </c>
      <c r="AR56" s="131">
        <f t="shared" si="20"/>
        <v>0</v>
      </c>
      <c r="AS56" s="2">
        <f t="shared" si="16"/>
        <v>1</v>
      </c>
      <c r="AT56" s="2" t="str">
        <f t="shared" si="21"/>
        <v>WEEK</v>
      </c>
      <c r="AU56" s="2" t="str">
        <f t="shared" si="18"/>
        <v>CTK TRANSPORTWEEK</v>
      </c>
      <c r="AV56" s="94">
        <f>(IF(ISNA(AP56),AO56+AR56,SUM($AO56,$AR56,IFERROR($AP56,"0"))))+Table2[[#This Row],[WAITING TIMES]]</f>
        <v>711</v>
      </c>
      <c r="AW56" s="48">
        <f>VLOOKUP(AN56,Invoicing!A:K,11,FALSE)</f>
        <v>20</v>
      </c>
      <c r="AX56" s="48">
        <v>137.5</v>
      </c>
      <c r="AY56" s="48" t="s">
        <v>173</v>
      </c>
      <c r="AZ56" s="48">
        <f t="shared" si="19"/>
        <v>731</v>
      </c>
      <c r="BA56" s="132">
        <f>VLOOKUP(AN56,Invoicing!A:J,10,FALSE)</f>
        <v>70</v>
      </c>
      <c r="BB56" s="132">
        <f>VLOOKUP(AN56,Invoicing!A:L,12,FALSE)</f>
        <v>1</v>
      </c>
      <c r="BC56" s="2" t="s">
        <v>66</v>
      </c>
    </row>
    <row r="57" spans="1:55">
      <c r="A57" s="134" t="s">
        <v>170</v>
      </c>
      <c r="B57" s="86" t="s">
        <v>77</v>
      </c>
      <c r="C57" s="11">
        <v>46033.461805555555</v>
      </c>
      <c r="D57" s="11">
        <v>46033.083333333336</v>
      </c>
      <c r="E57" s="11" t="s">
        <v>57</v>
      </c>
      <c r="F57" s="11" t="s">
        <v>171</v>
      </c>
      <c r="G57" s="11" t="s">
        <v>59</v>
      </c>
      <c r="H57" s="11" t="s">
        <v>91</v>
      </c>
      <c r="I57" s="86" t="s">
        <v>174</v>
      </c>
      <c r="J57" s="86" t="s">
        <v>82</v>
      </c>
      <c r="K57" s="11">
        <v>46033.833333333336</v>
      </c>
      <c r="L57" s="12">
        <v>46034.231944444444</v>
      </c>
      <c r="M57" s="12">
        <v>46034.208333333336</v>
      </c>
      <c r="N57" s="12">
        <v>46034.25</v>
      </c>
      <c r="O57" s="12" t="s">
        <v>63</v>
      </c>
      <c r="P57" s="135" t="s">
        <v>64</v>
      </c>
      <c r="Q57" s="3">
        <v>0</v>
      </c>
      <c r="R57" s="1">
        <f t="shared" si="0"/>
        <v>3</v>
      </c>
      <c r="S57" s="1">
        <f t="shared" si="1"/>
        <v>1</v>
      </c>
      <c r="T57" s="126">
        <f t="shared" si="2"/>
        <v>46034.231944444444</v>
      </c>
      <c r="U57" s="127">
        <f t="shared" si="3"/>
        <v>0.37152777778101154</v>
      </c>
      <c r="V57" s="128">
        <f>Table2[[#This Row],[ATA A OFRECIMIENTO]]*24</f>
        <v>8.9166666667442769</v>
      </c>
      <c r="W57" s="1" t="str">
        <f t="shared" si="4"/>
        <v>YES</v>
      </c>
      <c r="X57" s="127">
        <f t="shared" si="5"/>
        <v>0.375</v>
      </c>
      <c r="Y57" s="128">
        <f>Table2[[#This Row],[DEL. AVAILABLE A SLOT]]*24</f>
        <v>9</v>
      </c>
      <c r="Z57" s="1" t="str">
        <f t="shared" si="6"/>
        <v>SI</v>
      </c>
      <c r="AA57" s="127">
        <f t="shared" si="7"/>
        <v>0.74652777778101154</v>
      </c>
      <c r="AB57" s="128">
        <f>Table2[[#This Row],[ATA A TIMESLOT]]*24</f>
        <v>17.916666666744277</v>
      </c>
      <c r="AC57" s="127">
        <f t="shared" si="8"/>
        <v>2.361111110803904E-2</v>
      </c>
      <c r="AD57" s="127" t="str">
        <f t="shared" si="9"/>
        <v>SI</v>
      </c>
      <c r="AE57" s="128">
        <f>Table2[[#This Row],[PUNTUALIDAD (H)]]*24</f>
        <v>0.56666666659293696</v>
      </c>
      <c r="AF57" s="127">
        <f t="shared" si="10"/>
        <v>0.78819444444525288</v>
      </c>
      <c r="AG57" s="128">
        <f>Table2[[#This Row],[ATA TO UNLOADING]]*24</f>
        <v>18.916666666686069</v>
      </c>
      <c r="AH57" s="128" t="str">
        <f>IF(Table2[[#This Row],[ATA TO UNLOADING 2]]&lt;=48,"YES","NO")</f>
        <v>YES</v>
      </c>
      <c r="AJ57" s="129">
        <f t="shared" si="11"/>
        <v>0.20833333333575865</v>
      </c>
      <c r="AK57" s="2" t="s">
        <v>64</v>
      </c>
      <c r="AL57" s="2" t="str">
        <f t="shared" si="12"/>
        <v>3/26</v>
      </c>
      <c r="AM57" s="2" t="str">
        <f t="shared" si="13"/>
        <v>MRKU4971780</v>
      </c>
      <c r="AN57" s="130" t="str">
        <f t="shared" si="14"/>
        <v>CTK TRANSPORT</v>
      </c>
      <c r="AO57" s="50">
        <f>IF($O57="TRUCK",
VLOOKUP($AU57,Invoicing!$A$16:$B$56,MATCH($AO$1,Invoicing!$A$16:$B$16,0),FALSE)+IF(OR($B57="DCD",$B57="HPD2"),23.5,0),
VLOOKUP($AU57,Invoicing!$N$15:$O$19,MATCH($AO$1,Invoicing!$N$15:$O$15,0),FALSE)+IF(OR($B57="DCD",$B57="HPD2"),23.5,0))</f>
        <v>573.5</v>
      </c>
      <c r="AP57" s="131" t="e">
        <f>VLOOKUP($E57,Invoicing!$A$1:$H$12,MATCH(TRACKER!$P61,Invoicing!$A$1:$H$1,0),FALSE)</f>
        <v>#N/A</v>
      </c>
      <c r="AQ57" s="131">
        <f>VLOOKUP($E57,Invoicing!$A$1:$H$12,MATCH(TRACKER!$Q$1,Invoicing!$A$1:$H$1,0),FALSE)</f>
        <v>50</v>
      </c>
      <c r="AR57" s="131">
        <f t="shared" si="20"/>
        <v>0</v>
      </c>
      <c r="AS57" s="2">
        <f t="shared" si="16"/>
        <v>1</v>
      </c>
      <c r="AT57" s="2" t="str">
        <f t="shared" si="21"/>
        <v>WEEK</v>
      </c>
      <c r="AU57" s="2" t="str">
        <f t="shared" si="18"/>
        <v>CTK TRANSPORTWEEK</v>
      </c>
      <c r="AV57" s="94">
        <f>(IF(ISNA(AP57),AO57+AR57,SUM($AO57,$AR57,IFERROR($AP57,"0"))))+Table2[[#This Row],[WAITING TIMES]]</f>
        <v>623.5</v>
      </c>
      <c r="AW57" s="48">
        <f>VLOOKUP(AN57,Invoicing!A:K,11,FALSE)</f>
        <v>20</v>
      </c>
      <c r="AX57" s="48">
        <v>50</v>
      </c>
      <c r="AY57" s="48" t="s">
        <v>175</v>
      </c>
      <c r="AZ57" s="48">
        <f t="shared" si="19"/>
        <v>643.5</v>
      </c>
      <c r="BA57" s="132">
        <f>VLOOKUP(AN57,Invoicing!A:J,10,FALSE)</f>
        <v>70</v>
      </c>
      <c r="BB57" s="132">
        <f>VLOOKUP(AN57,Invoicing!A:L,12,FALSE)</f>
        <v>1</v>
      </c>
      <c r="BC57" s="2" t="s">
        <v>66</v>
      </c>
    </row>
    <row r="58" spans="1:55">
      <c r="A58" s="134" t="s">
        <v>170</v>
      </c>
      <c r="B58" s="86" t="s">
        <v>77</v>
      </c>
      <c r="C58" s="11">
        <v>46033.461805555555</v>
      </c>
      <c r="D58" s="11">
        <v>46033.083333333336</v>
      </c>
      <c r="E58" s="11" t="s">
        <v>57</v>
      </c>
      <c r="F58" s="11" t="s">
        <v>176</v>
      </c>
      <c r="G58" s="11" t="s">
        <v>59</v>
      </c>
      <c r="H58" s="11" t="s">
        <v>91</v>
      </c>
      <c r="I58" s="86" t="s">
        <v>177</v>
      </c>
      <c r="J58" s="86" t="s">
        <v>100</v>
      </c>
      <c r="K58" s="11">
        <v>46033.833333333336</v>
      </c>
      <c r="L58" s="12">
        <v>46034.646527777775</v>
      </c>
      <c r="M58" s="12">
        <v>46034.645833333336</v>
      </c>
      <c r="N58" s="12">
        <v>46034.760416666664</v>
      </c>
      <c r="O58" s="12" t="s">
        <v>63</v>
      </c>
      <c r="P58" s="135" t="s">
        <v>64</v>
      </c>
      <c r="Q58" s="3">
        <v>0</v>
      </c>
      <c r="R58" s="1">
        <f t="shared" si="0"/>
        <v>3</v>
      </c>
      <c r="S58" s="1">
        <f t="shared" si="1"/>
        <v>1</v>
      </c>
      <c r="T58" s="126">
        <f t="shared" si="2"/>
        <v>46034.646527777775</v>
      </c>
      <c r="U58" s="127">
        <f t="shared" si="3"/>
        <v>0.37152777778101154</v>
      </c>
      <c r="V58" s="128">
        <f>Table2[[#This Row],[ATA A OFRECIMIENTO]]*24</f>
        <v>8.9166666667442769</v>
      </c>
      <c r="W58" s="1" t="str">
        <f t="shared" si="4"/>
        <v>YES</v>
      </c>
      <c r="X58" s="127">
        <f t="shared" si="5"/>
        <v>0.8125</v>
      </c>
      <c r="Y58" s="128">
        <f>Table2[[#This Row],[DEL. AVAILABLE A SLOT]]*24</f>
        <v>19.5</v>
      </c>
      <c r="Z58" s="1" t="str">
        <f t="shared" si="6"/>
        <v>SI</v>
      </c>
      <c r="AA58" s="127">
        <f t="shared" si="7"/>
        <v>1.1840277777810115</v>
      </c>
      <c r="AB58" s="128">
        <f>Table2[[#This Row],[ATA A TIMESLOT]]*24</f>
        <v>28.416666666744277</v>
      </c>
      <c r="AC58" s="127">
        <f t="shared" si="8"/>
        <v>6.9444443943211809E-4</v>
      </c>
      <c r="AD58" s="127" t="str">
        <f t="shared" si="9"/>
        <v>SI</v>
      </c>
      <c r="AE58" s="128">
        <f>Table2[[#This Row],[PUNTUALIDAD (H)]]*24</f>
        <v>1.6666666546370834E-2</v>
      </c>
      <c r="AF58" s="127">
        <f t="shared" si="10"/>
        <v>1.2986111111094942</v>
      </c>
      <c r="AG58" s="128">
        <f>Table2[[#This Row],[ATA TO UNLOADING]]*24</f>
        <v>31.166666666627862</v>
      </c>
      <c r="AH58" s="128" t="str">
        <f>IF(Table2[[#This Row],[ATA TO UNLOADING 2]]&lt;=48,"YES","NO")</f>
        <v>YES</v>
      </c>
      <c r="AJ58" s="129">
        <f t="shared" si="11"/>
        <v>0.64583333333575865</v>
      </c>
      <c r="AK58" s="2" t="s">
        <v>64</v>
      </c>
      <c r="AL58" s="2" t="str">
        <f t="shared" si="12"/>
        <v>3/26</v>
      </c>
      <c r="AM58" s="2" t="str">
        <f t="shared" si="13"/>
        <v>MRSU5838137</v>
      </c>
      <c r="AN58" s="130" t="str">
        <f t="shared" si="14"/>
        <v>CTK TRANSPORT</v>
      </c>
      <c r="AO58" s="50">
        <f>IF($O58="TRUCK",
VLOOKUP($AU58,Invoicing!$A$16:$B$56,MATCH($AO$1,Invoicing!$A$16:$B$16,0),FALSE)+IF(OR($B58="DCD",$B58="HPD2"),23.5,0),
VLOOKUP($AU58,Invoicing!$N$15:$O$19,MATCH($AO$1,Invoicing!$N$15:$O$15,0),FALSE)+IF(OR($B58="DCD",$B58="HPD2"),23.5,0))</f>
        <v>573.5</v>
      </c>
      <c r="AP58" s="131" t="e">
        <f>VLOOKUP($E58,Invoicing!$A$1:$H$12,MATCH(TRACKER!$P7,Invoicing!$A$1:$H$1,0),FALSE)</f>
        <v>#N/A</v>
      </c>
      <c r="AQ58" s="131">
        <f>VLOOKUP($E58,Invoicing!$A$1:$H$12,MATCH(TRACKER!$Q$1,Invoicing!$A$1:$H$1,0),FALSE)</f>
        <v>50</v>
      </c>
      <c r="AR58" s="131">
        <f t="shared" si="20"/>
        <v>0</v>
      </c>
      <c r="AS58" s="2">
        <f t="shared" si="16"/>
        <v>1</v>
      </c>
      <c r="AT58" s="2" t="str">
        <f t="shared" si="21"/>
        <v>WEEK</v>
      </c>
      <c r="AU58" s="2" t="str">
        <f t="shared" si="18"/>
        <v>CTK TRANSPORTWEEK</v>
      </c>
      <c r="AV58" s="94">
        <f>(IF(ISNA(AP58),AO58+AR58,SUM($AO58,$AR58,IFERROR($AP58,"0"))))+Table2[[#This Row],[WAITING TIMES]]</f>
        <v>673.5</v>
      </c>
      <c r="AW58" s="48">
        <f>VLOOKUP(AN58,Invoicing!A:K,11,FALSE)</f>
        <v>20</v>
      </c>
      <c r="AX58" s="48">
        <v>100</v>
      </c>
      <c r="AY58" s="48" t="s">
        <v>178</v>
      </c>
      <c r="AZ58" s="48">
        <f t="shared" si="19"/>
        <v>693.5</v>
      </c>
      <c r="BA58" s="132">
        <f>VLOOKUP(AN58,Invoicing!A:J,10,FALSE)</f>
        <v>70</v>
      </c>
      <c r="BB58" s="132">
        <f>VLOOKUP(AN58,Invoicing!A:L,12,FALSE)</f>
        <v>1</v>
      </c>
      <c r="BC58" s="2" t="s">
        <v>66</v>
      </c>
    </row>
    <row r="59" spans="1:55">
      <c r="A59" s="134" t="s">
        <v>170</v>
      </c>
      <c r="B59" s="86" t="s">
        <v>77</v>
      </c>
      <c r="C59" s="11">
        <v>46033.461805555555</v>
      </c>
      <c r="D59" s="11">
        <v>46033.083333333336</v>
      </c>
      <c r="E59" s="11" t="s">
        <v>71</v>
      </c>
      <c r="F59" s="11" t="s">
        <v>171</v>
      </c>
      <c r="G59" s="11" t="s">
        <v>59</v>
      </c>
      <c r="H59" s="11" t="s">
        <v>91</v>
      </c>
      <c r="I59" s="86" t="s">
        <v>179</v>
      </c>
      <c r="J59" s="86" t="s">
        <v>100</v>
      </c>
      <c r="K59" s="11">
        <v>46033.833333333336</v>
      </c>
      <c r="L59" s="12">
        <v>46034.267361111109</v>
      </c>
      <c r="M59" s="12">
        <v>46034.25</v>
      </c>
      <c r="N59" s="12">
        <v>46034.274305555555</v>
      </c>
      <c r="O59" s="12" t="s">
        <v>63</v>
      </c>
      <c r="P59" s="135" t="s">
        <v>64</v>
      </c>
      <c r="Q59" s="3">
        <v>0</v>
      </c>
      <c r="R59" s="1">
        <f t="shared" si="0"/>
        <v>3</v>
      </c>
      <c r="S59" s="1">
        <f t="shared" si="1"/>
        <v>1</v>
      </c>
      <c r="T59" s="126">
        <f t="shared" si="2"/>
        <v>46034.267361111109</v>
      </c>
      <c r="U59" s="127">
        <f t="shared" si="3"/>
        <v>0.37152777778101154</v>
      </c>
      <c r="V59" s="128">
        <f>Table2[[#This Row],[ATA A OFRECIMIENTO]]*24</f>
        <v>8.9166666667442769</v>
      </c>
      <c r="W59" s="1" t="str">
        <f t="shared" si="4"/>
        <v>YES</v>
      </c>
      <c r="X59" s="127">
        <f t="shared" si="5"/>
        <v>0.41666666666424135</v>
      </c>
      <c r="Y59" s="128">
        <f>Table2[[#This Row],[DEL. AVAILABLE A SLOT]]*24</f>
        <v>9.9999999999417923</v>
      </c>
      <c r="Z59" s="1" t="str">
        <f t="shared" si="6"/>
        <v>SI</v>
      </c>
      <c r="AA59" s="127">
        <f t="shared" si="7"/>
        <v>0.78819444444525288</v>
      </c>
      <c r="AB59" s="128">
        <f>Table2[[#This Row],[ATA A TIMESLOT]]*24</f>
        <v>18.916666666686069</v>
      </c>
      <c r="AC59" s="127">
        <f t="shared" si="8"/>
        <v>1.7361111109494232E-2</v>
      </c>
      <c r="AD59" s="127" t="str">
        <f t="shared" si="9"/>
        <v>SI</v>
      </c>
      <c r="AE59" s="128">
        <f>Table2[[#This Row],[PUNTUALIDAD (H)]]*24</f>
        <v>0.41666666662786156</v>
      </c>
      <c r="AF59" s="127">
        <f t="shared" si="10"/>
        <v>0.8125</v>
      </c>
      <c r="AG59" s="128">
        <f>Table2[[#This Row],[ATA TO UNLOADING]]*24</f>
        <v>19.5</v>
      </c>
      <c r="AH59" s="128" t="str">
        <f>IF(Table2[[#This Row],[ATA TO UNLOADING 2]]&lt;=48,"YES","NO")</f>
        <v>YES</v>
      </c>
      <c r="AJ59" s="129">
        <f t="shared" si="11"/>
        <v>0.25</v>
      </c>
      <c r="AK59" s="2" t="s">
        <v>64</v>
      </c>
      <c r="AL59" s="2" t="str">
        <f t="shared" si="12"/>
        <v>3/26</v>
      </c>
      <c r="AM59" s="2" t="str">
        <f t="shared" si="13"/>
        <v>MRSU3259347</v>
      </c>
      <c r="AN59" s="130" t="str">
        <f t="shared" si="14"/>
        <v>LOGIX</v>
      </c>
      <c r="AO59" s="50">
        <f>IF($O59="TRUCK",
VLOOKUP($AU59,Invoicing!$A$16:$B$56,MATCH($AO$1,Invoicing!$A$16:$B$16,0),FALSE)+IF(OR($B59="DCD",$B59="HPD2"),23.5,0),
VLOOKUP($AU59,Invoicing!$N$15:$O$19,MATCH($AO$1,Invoicing!$N$15:$O$15,0),FALSE)+IF(OR($B59="DCD",$B59="HPD2"),23.5,0))</f>
        <v>573.5</v>
      </c>
      <c r="AP59" s="131" t="e">
        <f>VLOOKUP($E59,Invoicing!$A$1:$H$12,MATCH(TRACKER!$P24,Invoicing!$A$1:$H$1,0),FALSE)</f>
        <v>#N/A</v>
      </c>
      <c r="AQ59" s="131">
        <f>VLOOKUP($E59,Invoicing!$A$1:$H$12,MATCH(TRACKER!$Q$1,Invoicing!$A$1:$H$1,0),FALSE)</f>
        <v>50</v>
      </c>
      <c r="AR59" s="131">
        <f t="shared" si="20"/>
        <v>0</v>
      </c>
      <c r="AS59" s="2">
        <f t="shared" si="16"/>
        <v>1</v>
      </c>
      <c r="AT59" s="2" t="str">
        <f t="shared" si="21"/>
        <v>WEEK</v>
      </c>
      <c r="AU59" s="2" t="str">
        <f t="shared" si="18"/>
        <v>LOGIXWEEK</v>
      </c>
      <c r="AV59" s="94">
        <f>(IF(ISNA(AP59),AO59+AR59,SUM($AO59,$AR59,IFERROR($AP59,"0"))))+Table2[[#This Row],[WAITING TIMES]]</f>
        <v>573.5</v>
      </c>
      <c r="AW59" s="48">
        <f>VLOOKUP(AN59,Invoicing!A:K,11,FALSE)</f>
        <v>20</v>
      </c>
      <c r="AY59" s="48"/>
      <c r="AZ59" s="48">
        <f t="shared" si="19"/>
        <v>593.5</v>
      </c>
      <c r="BA59" s="132">
        <f>VLOOKUP(AN59,Invoicing!A:J,10,FALSE)</f>
        <v>70</v>
      </c>
      <c r="BB59" s="132">
        <f>VLOOKUP(AN59,Invoicing!A:L,12,FALSE)</f>
        <v>1</v>
      </c>
      <c r="BC59" s="2" t="s">
        <v>66</v>
      </c>
    </row>
    <row r="60" spans="1:55">
      <c r="A60" s="134" t="s">
        <v>170</v>
      </c>
      <c r="B60" s="86" t="s">
        <v>77</v>
      </c>
      <c r="C60" s="11">
        <v>46033.461805555555</v>
      </c>
      <c r="D60" s="11">
        <v>46033.083333333336</v>
      </c>
      <c r="E60" s="11" t="s">
        <v>71</v>
      </c>
      <c r="F60" s="11" t="s">
        <v>176</v>
      </c>
      <c r="G60" s="11" t="s">
        <v>59</v>
      </c>
      <c r="H60" s="11" t="s">
        <v>91</v>
      </c>
      <c r="I60" s="86" t="s">
        <v>180</v>
      </c>
      <c r="J60" s="86" t="s">
        <v>82</v>
      </c>
      <c r="K60" s="11">
        <v>46033.833333333336</v>
      </c>
      <c r="L60" s="12">
        <v>46034.003472222219</v>
      </c>
      <c r="M60" s="12">
        <v>46034.708333333336</v>
      </c>
      <c r="N60" s="12">
        <v>46034.003472222219</v>
      </c>
      <c r="O60" s="12" t="s">
        <v>63</v>
      </c>
      <c r="P60" s="135" t="s">
        <v>64</v>
      </c>
      <c r="Q60" s="3">
        <v>0</v>
      </c>
      <c r="R60" s="1">
        <f t="shared" si="0"/>
        <v>3</v>
      </c>
      <c r="S60" s="1">
        <f t="shared" si="1"/>
        <v>1</v>
      </c>
      <c r="T60" s="126">
        <f t="shared" si="2"/>
        <v>46034.003472222219</v>
      </c>
      <c r="U60" s="127">
        <f t="shared" si="3"/>
        <v>0.37152777778101154</v>
      </c>
      <c r="V60" s="128">
        <f>Table2[[#This Row],[ATA A OFRECIMIENTO]]*24</f>
        <v>8.9166666667442769</v>
      </c>
      <c r="W60" s="1" t="str">
        <f t="shared" si="4"/>
        <v>YES</v>
      </c>
      <c r="X60" s="127">
        <f t="shared" si="5"/>
        <v>0.875</v>
      </c>
      <c r="Y60" s="128">
        <f>Table2[[#This Row],[DEL. AVAILABLE A SLOT]]*24</f>
        <v>21</v>
      </c>
      <c r="Z60" s="1" t="str">
        <f t="shared" si="6"/>
        <v>SI</v>
      </c>
      <c r="AA60" s="127">
        <f t="shared" si="7"/>
        <v>1.2465277777810115</v>
      </c>
      <c r="AB60" s="128">
        <f>Table2[[#This Row],[ATA A TIMESLOT]]*24</f>
        <v>29.916666666744277</v>
      </c>
      <c r="AC60" s="127">
        <f t="shared" si="8"/>
        <v>0</v>
      </c>
      <c r="AD60" s="127" t="str">
        <f t="shared" si="9"/>
        <v>SI</v>
      </c>
      <c r="AE60" s="128">
        <f>Table2[[#This Row],[PUNTUALIDAD (H)]]*24</f>
        <v>0</v>
      </c>
      <c r="AF60" s="127">
        <f t="shared" si="10"/>
        <v>0.54166666666424135</v>
      </c>
      <c r="AG60" s="128">
        <f>Table2[[#This Row],[ATA TO UNLOADING]]*24</f>
        <v>12.999999999941792</v>
      </c>
      <c r="AH60" s="128" t="str">
        <f>IF(Table2[[#This Row],[ATA TO UNLOADING 2]]&lt;=48,"YES","NO")</f>
        <v>YES</v>
      </c>
      <c r="AJ60" s="129">
        <f t="shared" si="11"/>
        <v>0.70833333333575865</v>
      </c>
      <c r="AK60" s="2" t="s">
        <v>64</v>
      </c>
      <c r="AL60" s="2" t="str">
        <f t="shared" si="12"/>
        <v>3/26</v>
      </c>
      <c r="AM60" s="2" t="str">
        <f t="shared" si="13"/>
        <v>MRSU5158741</v>
      </c>
      <c r="AN60" s="130" t="str">
        <f t="shared" si="14"/>
        <v>LOGIX</v>
      </c>
      <c r="AO60" s="50">
        <f>IF($O60="TRUCK",
VLOOKUP($AU60,Invoicing!$A$16:$B$56,MATCH($AO$1,Invoicing!$A$16:$B$16,0),FALSE)+IF(OR($B60="DCD",$B60="HPD2"),23.5,0),
VLOOKUP($AU60,Invoicing!$N$15:$O$19,MATCH($AO$1,Invoicing!$N$15:$O$15,0),FALSE)+IF(OR($B60="DCD",$B60="HPD2"),23.5,0))</f>
        <v>573.5</v>
      </c>
      <c r="AP60" s="131" t="e">
        <f>VLOOKUP($E60,Invoicing!$A$1:$H$12,MATCH(TRACKER!$P25,Invoicing!$A$1:$H$1,0),FALSE)</f>
        <v>#N/A</v>
      </c>
      <c r="AQ60" s="131">
        <f>VLOOKUP($E60,Invoicing!$A$1:$H$12,MATCH(TRACKER!$Q$1,Invoicing!$A$1:$H$1,0),FALSE)</f>
        <v>50</v>
      </c>
      <c r="AR60" s="131">
        <f t="shared" si="20"/>
        <v>0</v>
      </c>
      <c r="AS60" s="2">
        <f t="shared" si="16"/>
        <v>1</v>
      </c>
      <c r="AT60" s="2" t="str">
        <f t="shared" si="21"/>
        <v>WEEK</v>
      </c>
      <c r="AU60" s="2" t="str">
        <f t="shared" si="18"/>
        <v>LOGIXWEEK</v>
      </c>
      <c r="AV60" s="94">
        <f>(IF(ISNA(AP60),AO60+AR60,SUM($AO60,$AR60,IFERROR($AP60,"0"))))+Table2[[#This Row],[WAITING TIMES]]</f>
        <v>573.5</v>
      </c>
      <c r="AW60" s="48">
        <f>VLOOKUP(AN60,Invoicing!A:K,11,FALSE)</f>
        <v>20</v>
      </c>
      <c r="AY60" s="48"/>
      <c r="AZ60" s="48">
        <f t="shared" si="19"/>
        <v>593.5</v>
      </c>
      <c r="BA60" s="132">
        <f>VLOOKUP(AN60,Invoicing!A:J,10,FALSE)</f>
        <v>70</v>
      </c>
      <c r="BB60" s="132">
        <f>VLOOKUP(AN60,Invoicing!A:L,12,FALSE)</f>
        <v>1</v>
      </c>
      <c r="BC60" s="2" t="s">
        <v>66</v>
      </c>
    </row>
    <row r="61" spans="1:55">
      <c r="A61" s="134" t="s">
        <v>170</v>
      </c>
      <c r="B61" s="86" t="s">
        <v>77</v>
      </c>
      <c r="C61" s="11">
        <v>46033.461805555555</v>
      </c>
      <c r="D61" s="11">
        <v>46033.083333333336</v>
      </c>
      <c r="E61" s="11" t="s">
        <v>71</v>
      </c>
      <c r="F61" s="11" t="s">
        <v>171</v>
      </c>
      <c r="G61" s="11" t="s">
        <v>59</v>
      </c>
      <c r="H61" s="11" t="s">
        <v>91</v>
      </c>
      <c r="I61" s="86" t="s">
        <v>181</v>
      </c>
      <c r="J61" s="86" t="s">
        <v>100</v>
      </c>
      <c r="K61" s="11">
        <v>46033.833333333336</v>
      </c>
      <c r="L61" s="12">
        <v>46034.3125</v>
      </c>
      <c r="M61" s="12">
        <v>46034.291666666664</v>
      </c>
      <c r="N61" s="12">
        <v>46034.319444444445</v>
      </c>
      <c r="O61" s="12" t="s">
        <v>63</v>
      </c>
      <c r="P61" s="135" t="s">
        <v>64</v>
      </c>
      <c r="Q61" s="3">
        <v>0</v>
      </c>
      <c r="R61" s="1">
        <f t="shared" si="0"/>
        <v>3</v>
      </c>
      <c r="S61" s="1">
        <f t="shared" si="1"/>
        <v>1</v>
      </c>
      <c r="T61" s="126">
        <f t="shared" si="2"/>
        <v>46034.3125</v>
      </c>
      <c r="U61" s="127">
        <f t="shared" si="3"/>
        <v>0.37152777778101154</v>
      </c>
      <c r="V61" s="128">
        <f>Table2[[#This Row],[ATA A OFRECIMIENTO]]*24</f>
        <v>8.9166666667442769</v>
      </c>
      <c r="W61" s="1" t="str">
        <f t="shared" si="4"/>
        <v>YES</v>
      </c>
      <c r="X61" s="127">
        <f t="shared" si="5"/>
        <v>0.45833333332848269</v>
      </c>
      <c r="Y61" s="128">
        <f>Table2[[#This Row],[DEL. AVAILABLE A SLOT]]*24</f>
        <v>10.999999999883585</v>
      </c>
      <c r="Z61" s="1" t="str">
        <f t="shared" si="6"/>
        <v>SI</v>
      </c>
      <c r="AA61" s="127">
        <f t="shared" si="7"/>
        <v>0.82986111110949423</v>
      </c>
      <c r="AB61" s="128">
        <f>Table2[[#This Row],[ATA A TIMESLOT]]*24</f>
        <v>19.916666666627862</v>
      </c>
      <c r="AC61" s="127">
        <f t="shared" si="8"/>
        <v>2.0833333335758653E-2</v>
      </c>
      <c r="AD61" s="127" t="str">
        <f t="shared" si="9"/>
        <v>SI</v>
      </c>
      <c r="AE61" s="128">
        <f>Table2[[#This Row],[PUNTUALIDAD (H)]]*24</f>
        <v>0.50000000005820766</v>
      </c>
      <c r="AF61" s="127">
        <f t="shared" si="10"/>
        <v>0.85763888889050577</v>
      </c>
      <c r="AG61" s="128">
        <f>Table2[[#This Row],[ATA TO UNLOADING]]*24</f>
        <v>20.583333333372138</v>
      </c>
      <c r="AH61" s="128" t="str">
        <f>IF(Table2[[#This Row],[ATA TO UNLOADING 2]]&lt;=48,"YES","NO")</f>
        <v>YES</v>
      </c>
      <c r="AJ61" s="129">
        <f t="shared" si="11"/>
        <v>0.29166666666424135</v>
      </c>
      <c r="AK61" s="2" t="s">
        <v>64</v>
      </c>
      <c r="AL61" s="2" t="str">
        <f t="shared" si="12"/>
        <v>3/26</v>
      </c>
      <c r="AM61" s="2" t="str">
        <f t="shared" si="13"/>
        <v>MRSU5982648</v>
      </c>
      <c r="AN61" s="130" t="str">
        <f t="shared" si="14"/>
        <v>LOGIX</v>
      </c>
      <c r="AO61" s="50">
        <f>IF($O61="TRUCK",
VLOOKUP($AU61,Invoicing!$A$16:$B$56,MATCH($AO$1,Invoicing!$A$16:$B$16,0),FALSE)+IF(OR($B61="DCD",$B61="HPD2"),23.5,0),
VLOOKUP($AU61,Invoicing!$N$15:$O$19,MATCH($AO$1,Invoicing!$N$15:$O$15,0),FALSE)+IF(OR($B61="DCD",$B61="HPD2"),23.5,0))</f>
        <v>573.5</v>
      </c>
      <c r="AP61" s="131" t="e">
        <f>VLOOKUP($E61,Invoicing!$A$1:$H$12,MATCH(TRACKER!$P26,Invoicing!$A$1:$H$1,0),FALSE)</f>
        <v>#N/A</v>
      </c>
      <c r="AQ61" s="131">
        <f>VLOOKUP($E61,Invoicing!$A$1:$H$12,MATCH(TRACKER!$Q$1,Invoicing!$A$1:$H$1,0),FALSE)</f>
        <v>50</v>
      </c>
      <c r="AR61" s="131">
        <f t="shared" si="20"/>
        <v>0</v>
      </c>
      <c r="AS61" s="2">
        <f t="shared" si="16"/>
        <v>1</v>
      </c>
      <c r="AT61" s="2" t="str">
        <f t="shared" si="21"/>
        <v>WEEK</v>
      </c>
      <c r="AU61" s="2" t="str">
        <f t="shared" si="18"/>
        <v>LOGIXWEEK</v>
      </c>
      <c r="AV61" s="94">
        <f>(IF(ISNA(AP61),AO61+AR61,SUM($AO61,$AR61,IFERROR($AP61,"0"))))+Table2[[#This Row],[WAITING TIMES]]</f>
        <v>573.5</v>
      </c>
      <c r="AW61" s="48">
        <f>VLOOKUP(AN61,Invoicing!A:K,11,FALSE)</f>
        <v>20</v>
      </c>
      <c r="AY61" s="48"/>
      <c r="AZ61" s="48">
        <f t="shared" si="19"/>
        <v>593.5</v>
      </c>
      <c r="BA61" s="132">
        <f>VLOOKUP(AN61,Invoicing!A:J,10,FALSE)</f>
        <v>70</v>
      </c>
      <c r="BB61" s="132">
        <f>VLOOKUP(AN61,Invoicing!A:L,12,FALSE)</f>
        <v>1</v>
      </c>
      <c r="BC61" s="2" t="s">
        <v>66</v>
      </c>
    </row>
    <row r="62" spans="1:55">
      <c r="A62" s="134" t="s">
        <v>170</v>
      </c>
      <c r="B62" s="86" t="s">
        <v>77</v>
      </c>
      <c r="C62" s="11">
        <v>46033.461805555555</v>
      </c>
      <c r="D62" s="11">
        <v>46033.083333333336</v>
      </c>
      <c r="E62" s="11" t="s">
        <v>71</v>
      </c>
      <c r="F62" s="11" t="s">
        <v>171</v>
      </c>
      <c r="G62" s="11" t="s">
        <v>59</v>
      </c>
      <c r="H62" s="11" t="s">
        <v>91</v>
      </c>
      <c r="I62" s="86" t="s">
        <v>182</v>
      </c>
      <c r="J62" s="86" t="s">
        <v>82</v>
      </c>
      <c r="K62" s="11">
        <v>46033.833333333336</v>
      </c>
      <c r="L62" s="12">
        <v>46034.567361111112</v>
      </c>
      <c r="M62" s="12">
        <v>46034.583333333336</v>
      </c>
      <c r="N62" s="12">
        <v>46034.751388888886</v>
      </c>
      <c r="O62" s="12" t="s">
        <v>63</v>
      </c>
      <c r="P62" s="135" t="s">
        <v>64</v>
      </c>
      <c r="Q62" s="3">
        <v>0</v>
      </c>
      <c r="R62" s="1">
        <f t="shared" si="0"/>
        <v>3</v>
      </c>
      <c r="S62" s="1">
        <f t="shared" si="1"/>
        <v>1</v>
      </c>
      <c r="T62" s="126">
        <f t="shared" si="2"/>
        <v>46034.567361111112</v>
      </c>
      <c r="U62" s="127">
        <f t="shared" si="3"/>
        <v>0.37152777778101154</v>
      </c>
      <c r="V62" s="128">
        <f>Table2[[#This Row],[ATA A OFRECIMIENTO]]*24</f>
        <v>8.9166666667442769</v>
      </c>
      <c r="W62" s="1" t="str">
        <f t="shared" si="4"/>
        <v>YES</v>
      </c>
      <c r="X62" s="127">
        <f t="shared" si="5"/>
        <v>0.75</v>
      </c>
      <c r="Y62" s="128">
        <f>Table2[[#This Row],[DEL. AVAILABLE A SLOT]]*24</f>
        <v>18</v>
      </c>
      <c r="Z62" s="1" t="str">
        <f t="shared" si="6"/>
        <v>SI</v>
      </c>
      <c r="AA62" s="127">
        <f t="shared" si="7"/>
        <v>1.1215277777810115</v>
      </c>
      <c r="AB62" s="128">
        <f>Table2[[#This Row],[ATA A TIMESLOT]]*24</f>
        <v>26.916666666744277</v>
      </c>
      <c r="AC62" s="127">
        <f t="shared" si="8"/>
        <v>0</v>
      </c>
      <c r="AD62" s="127" t="str">
        <f t="shared" si="9"/>
        <v>SI</v>
      </c>
      <c r="AE62" s="128">
        <f>Table2[[#This Row],[PUNTUALIDAD (H)]]*24</f>
        <v>0</v>
      </c>
      <c r="AF62" s="127">
        <f t="shared" si="10"/>
        <v>1.2895833333313931</v>
      </c>
      <c r="AG62" s="128">
        <f>Table2[[#This Row],[ATA TO UNLOADING]]*24</f>
        <v>30.949999999953434</v>
      </c>
      <c r="AH62" s="128" t="str">
        <f>IF(Table2[[#This Row],[ATA TO UNLOADING 2]]&lt;=48,"YES","NO")</f>
        <v>YES</v>
      </c>
      <c r="AJ62" s="129">
        <f t="shared" si="11"/>
        <v>0.58333333333575865</v>
      </c>
      <c r="AK62" s="2" t="s">
        <v>64</v>
      </c>
      <c r="AL62" s="2" t="str">
        <f t="shared" si="12"/>
        <v>3/26</v>
      </c>
      <c r="AM62" s="2" t="str">
        <f t="shared" si="13"/>
        <v>MSKU9399026</v>
      </c>
      <c r="AN62" s="130" t="str">
        <f t="shared" si="14"/>
        <v>LOGIX</v>
      </c>
      <c r="AO62" s="50">
        <f>IF($O62="TRUCK",
VLOOKUP($AU62,Invoicing!$A$16:$B$56,MATCH($AO$1,Invoicing!$A$16:$B$16,0),FALSE)+IF(OR($B62="DCD",$B62="HPD2"),23.5,0),
VLOOKUP($AU62,Invoicing!$N$15:$O$19,MATCH($AO$1,Invoicing!$N$15:$O$15,0),FALSE)+IF(OR($B62="DCD",$B62="HPD2"),23.5,0))</f>
        <v>573.5</v>
      </c>
      <c r="AP62" s="131" t="e">
        <f>VLOOKUP($E62,Invoicing!$A$1:$H$12,MATCH(TRACKER!$P27,Invoicing!$A$1:$H$1,0),FALSE)</f>
        <v>#N/A</v>
      </c>
      <c r="AQ62" s="131">
        <f>VLOOKUP($E62,Invoicing!$A$1:$H$12,MATCH(TRACKER!$Q$1,Invoicing!$A$1:$H$1,0),FALSE)</f>
        <v>50</v>
      </c>
      <c r="AR62" s="131">
        <f t="shared" si="20"/>
        <v>0</v>
      </c>
      <c r="AS62" s="2">
        <f t="shared" si="16"/>
        <v>1</v>
      </c>
      <c r="AT62" s="2" t="str">
        <f t="shared" si="21"/>
        <v>WEEK</v>
      </c>
      <c r="AU62" s="2" t="str">
        <f t="shared" si="18"/>
        <v>LOGIXWEEK</v>
      </c>
      <c r="AV62" s="94">
        <f>(IF(ISNA(AP62),AO62+AR62,SUM($AO62,$AR62,IFERROR($AP62,"0"))))+Table2[[#This Row],[WAITING TIMES]]</f>
        <v>573.5</v>
      </c>
      <c r="AW62" s="48">
        <f>VLOOKUP(AN62,Invoicing!A:K,11,FALSE)</f>
        <v>20</v>
      </c>
      <c r="AY62" s="48"/>
      <c r="AZ62" s="48">
        <f t="shared" si="19"/>
        <v>593.5</v>
      </c>
      <c r="BA62" s="132">
        <f>VLOOKUP(AN62,Invoicing!A:J,10,FALSE)</f>
        <v>70</v>
      </c>
      <c r="BB62" s="132">
        <f>VLOOKUP(AN62,Invoicing!A:L,12,FALSE)</f>
        <v>1</v>
      </c>
      <c r="BC62" s="2" t="s">
        <v>66</v>
      </c>
    </row>
    <row r="63" spans="1:55">
      <c r="A63" s="134" t="s">
        <v>170</v>
      </c>
      <c r="B63" s="86" t="s">
        <v>77</v>
      </c>
      <c r="C63" s="11">
        <v>46033.461805555555</v>
      </c>
      <c r="D63" s="11">
        <v>46033.083333333336</v>
      </c>
      <c r="E63" s="11" t="s">
        <v>71</v>
      </c>
      <c r="F63" s="11" t="s">
        <v>183</v>
      </c>
      <c r="G63" s="11" t="s">
        <v>133</v>
      </c>
      <c r="H63" s="11" t="s">
        <v>91</v>
      </c>
      <c r="I63" s="86" t="s">
        <v>184</v>
      </c>
      <c r="J63" s="86" t="s">
        <v>82</v>
      </c>
      <c r="K63" s="11">
        <v>46033.833333333336</v>
      </c>
      <c r="L63" s="12">
        <v>46035.25</v>
      </c>
      <c r="M63" s="12">
        <v>46035.25</v>
      </c>
      <c r="N63" s="12">
        <v>46035.372916666667</v>
      </c>
      <c r="O63" s="12" t="s">
        <v>63</v>
      </c>
      <c r="P63" s="135" t="s">
        <v>64</v>
      </c>
      <c r="Q63" s="3">
        <v>0</v>
      </c>
      <c r="R63" s="1">
        <f t="shared" si="0"/>
        <v>3</v>
      </c>
      <c r="S63" s="1">
        <f t="shared" si="1"/>
        <v>1</v>
      </c>
      <c r="T63" s="126">
        <f t="shared" si="2"/>
        <v>46035.25</v>
      </c>
      <c r="U63" s="127">
        <f t="shared" si="3"/>
        <v>0.37152777778101154</v>
      </c>
      <c r="V63" s="128">
        <f>Table2[[#This Row],[ATA A OFRECIMIENTO]]*24</f>
        <v>8.9166666667442769</v>
      </c>
      <c r="W63" s="1" t="str">
        <f t="shared" si="4"/>
        <v>YES</v>
      </c>
      <c r="X63" s="127">
        <f t="shared" si="5"/>
        <v>1.4166666666642413</v>
      </c>
      <c r="Y63" s="128">
        <f>Table2[[#This Row],[DEL. AVAILABLE A SLOT]]*24</f>
        <v>33.999999999941792</v>
      </c>
      <c r="Z63" s="1" t="str">
        <f t="shared" si="6"/>
        <v>NO</v>
      </c>
      <c r="AA63" s="127">
        <f t="shared" si="7"/>
        <v>1.7881944444452529</v>
      </c>
      <c r="AB63" s="128">
        <f>Table2[[#This Row],[ATA A TIMESLOT]]*24</f>
        <v>42.916666666686069</v>
      </c>
      <c r="AC63" s="127">
        <f t="shared" si="8"/>
        <v>0</v>
      </c>
      <c r="AD63" s="127" t="str">
        <f t="shared" si="9"/>
        <v>SI</v>
      </c>
      <c r="AE63" s="128">
        <f>Table2[[#This Row],[PUNTUALIDAD (H)]]*24</f>
        <v>0</v>
      </c>
      <c r="AF63" s="127">
        <f t="shared" si="10"/>
        <v>1.9111111111124046</v>
      </c>
      <c r="AG63" s="128">
        <f>Table2[[#This Row],[ATA TO UNLOADING]]*24</f>
        <v>45.866666666697711</v>
      </c>
      <c r="AH63" s="128" t="str">
        <f>IF(Table2[[#This Row],[ATA TO UNLOADING 2]]&lt;=48,"YES","NO")</f>
        <v>YES</v>
      </c>
      <c r="AJ63" s="129">
        <f t="shared" si="11"/>
        <v>0.25</v>
      </c>
      <c r="AK63" s="2" t="s">
        <v>64</v>
      </c>
      <c r="AL63" s="2" t="str">
        <f t="shared" si="12"/>
        <v>3/26</v>
      </c>
      <c r="AM63" s="2" t="str">
        <f t="shared" si="13"/>
        <v>TTNU5677414</v>
      </c>
      <c r="AN63" s="130" t="str">
        <f t="shared" si="14"/>
        <v>LOGIX</v>
      </c>
      <c r="AO63" s="50">
        <f>IF($O63="TRUCK",
VLOOKUP($AU63,Invoicing!$A$16:$B$56,MATCH($AO$1,Invoicing!$A$16:$B$16,0),FALSE)+IF(OR($B63="DCD",$B63="HPD2"),23.5,0),
VLOOKUP($AU63,Invoicing!$N$15:$O$19,MATCH($AO$1,Invoicing!$N$15:$O$15,0),FALSE)+IF(OR($B63="DCD",$B63="HPD2"),23.5,0))</f>
        <v>573.5</v>
      </c>
      <c r="AP63" s="131" t="e">
        <f>VLOOKUP($E63,Invoicing!$A$1:$H$12,MATCH(TRACKER!$P28,Invoicing!$A$1:$H$1,0),FALSE)</f>
        <v>#N/A</v>
      </c>
      <c r="AQ63" s="131">
        <f>VLOOKUP($E63,Invoicing!$A$1:$H$12,MATCH(TRACKER!$Q$1,Invoicing!$A$1:$H$1,0),FALSE)</f>
        <v>50</v>
      </c>
      <c r="AR63" s="131">
        <f t="shared" si="20"/>
        <v>0</v>
      </c>
      <c r="AS63" s="2">
        <f t="shared" si="16"/>
        <v>2</v>
      </c>
      <c r="AT63" s="2" t="str">
        <f t="shared" si="21"/>
        <v>WEEK</v>
      </c>
      <c r="AU63" s="2" t="str">
        <f t="shared" si="18"/>
        <v>LOGIXWEEK</v>
      </c>
      <c r="AV63" s="94">
        <f>(IF(ISNA(AP63),AO63+AR63,SUM($AO63,$AR63,IFERROR($AP63,"0"))))+Table2[[#This Row],[WAITING TIMES]]</f>
        <v>573.5</v>
      </c>
      <c r="AW63" s="48">
        <f>VLOOKUP(AN63,Invoicing!A:K,11,FALSE)</f>
        <v>20</v>
      </c>
      <c r="AY63" s="48"/>
      <c r="AZ63" s="48">
        <f t="shared" si="19"/>
        <v>593.5</v>
      </c>
      <c r="BA63" s="132">
        <f>VLOOKUP(AN63,Invoicing!A:J,10,FALSE)</f>
        <v>70</v>
      </c>
      <c r="BB63" s="132">
        <f>VLOOKUP(AN63,Invoicing!A:L,12,FALSE)</f>
        <v>1</v>
      </c>
      <c r="BC63" s="2" t="s">
        <v>66</v>
      </c>
    </row>
    <row r="64" spans="1:55">
      <c r="A64" s="134" t="s">
        <v>170</v>
      </c>
      <c r="B64" s="86" t="s">
        <v>77</v>
      </c>
      <c r="C64" s="11">
        <v>46033.461805555555</v>
      </c>
      <c r="D64" s="11">
        <v>46033.083333333336</v>
      </c>
      <c r="E64" s="11" t="s">
        <v>98</v>
      </c>
      <c r="F64" s="11" t="s">
        <v>171</v>
      </c>
      <c r="G64" s="11" t="s">
        <v>59</v>
      </c>
      <c r="H64" s="11" t="s">
        <v>91</v>
      </c>
      <c r="I64" s="86" t="s">
        <v>185</v>
      </c>
      <c r="J64" s="86" t="s">
        <v>100</v>
      </c>
      <c r="K64" s="11">
        <v>46033.833333333336</v>
      </c>
      <c r="L64" s="12">
        <v>46034.25</v>
      </c>
      <c r="M64" s="12">
        <v>46034.25</v>
      </c>
      <c r="N64" s="12">
        <v>46034.256944444445</v>
      </c>
      <c r="O64" s="12" t="s">
        <v>63</v>
      </c>
      <c r="P64" s="135" t="s">
        <v>64</v>
      </c>
      <c r="Q64" s="3">
        <v>1</v>
      </c>
      <c r="R64" s="1">
        <f t="shared" si="0"/>
        <v>3</v>
      </c>
      <c r="S64" s="1">
        <f t="shared" si="1"/>
        <v>1</v>
      </c>
      <c r="T64" s="126">
        <f t="shared" si="2"/>
        <v>46034.25</v>
      </c>
      <c r="U64" s="127">
        <f t="shared" si="3"/>
        <v>0.37152777778101154</v>
      </c>
      <c r="V64" s="128">
        <f>Table2[[#This Row],[ATA A OFRECIMIENTO]]*24</f>
        <v>8.9166666667442769</v>
      </c>
      <c r="W64" s="1" t="str">
        <f t="shared" si="4"/>
        <v>YES</v>
      </c>
      <c r="X64" s="127">
        <f t="shared" si="5"/>
        <v>0.41666666666424135</v>
      </c>
      <c r="Y64" s="128">
        <f>Table2[[#This Row],[DEL. AVAILABLE A SLOT]]*24</f>
        <v>9.9999999999417923</v>
      </c>
      <c r="Z64" s="1" t="str">
        <f t="shared" si="6"/>
        <v>SI</v>
      </c>
      <c r="AA64" s="127">
        <f t="shared" si="7"/>
        <v>0.78819444444525288</v>
      </c>
      <c r="AB64" s="128">
        <f>Table2[[#This Row],[ATA A TIMESLOT]]*24</f>
        <v>18.916666666686069</v>
      </c>
      <c r="AC64" s="127">
        <f t="shared" si="8"/>
        <v>0</v>
      </c>
      <c r="AD64" s="127" t="str">
        <f t="shared" si="9"/>
        <v>SI</v>
      </c>
      <c r="AE64" s="128">
        <f>Table2[[#This Row],[PUNTUALIDAD (H)]]*24</f>
        <v>0</v>
      </c>
      <c r="AF64" s="127">
        <f t="shared" si="10"/>
        <v>0.79513888889050577</v>
      </c>
      <c r="AG64" s="128">
        <f>Table2[[#This Row],[ATA TO UNLOADING]]*24</f>
        <v>19.083333333372138</v>
      </c>
      <c r="AH64" s="128" t="str">
        <f>IF(Table2[[#This Row],[ATA TO UNLOADING 2]]&lt;=48,"YES","NO")</f>
        <v>YES</v>
      </c>
      <c r="AJ64" s="129">
        <f t="shared" si="11"/>
        <v>0.25</v>
      </c>
      <c r="AK64" s="2" t="s">
        <v>64</v>
      </c>
      <c r="AL64" s="2" t="str">
        <f t="shared" si="12"/>
        <v>3/26</v>
      </c>
      <c r="AM64" s="2" t="str">
        <f t="shared" si="13"/>
        <v>MRKU8117208</v>
      </c>
      <c r="AN64" s="130" t="str">
        <f t="shared" si="14"/>
        <v>MSI</v>
      </c>
      <c r="AO64" s="50">
        <f>IF($O64="TRUCK",
VLOOKUP($AU64,Invoicing!$A$16:$B$56,MATCH($AO$1,Invoicing!$A$16:$B$16,0),FALSE)+IF(OR($B64="DCD",$B64="HPD2"),23.5,0),
VLOOKUP($AU64,Invoicing!$N$15:$O$19,MATCH($AO$1,Invoicing!$N$15:$O$15,0),FALSE)+IF(OR($B64="DCD",$B64="HPD2"),23.5,0))</f>
        <v>503.5</v>
      </c>
      <c r="AP64" s="131" t="e">
        <f>VLOOKUP($E64,Invoicing!$A$1:$H$12,MATCH(TRACKER!$P47,Invoicing!$A$1:$H$1,0),FALSE)</f>
        <v>#N/A</v>
      </c>
      <c r="AQ64" s="131">
        <f>VLOOKUP($E64,Invoicing!$A$1:$H$12,MATCH(TRACKER!$Q$1,Invoicing!$A$1:$H$1,0),FALSE)</f>
        <v>50</v>
      </c>
      <c r="AR64" s="131">
        <f t="shared" si="20"/>
        <v>50</v>
      </c>
      <c r="AS64" s="2">
        <f t="shared" si="16"/>
        <v>1</v>
      </c>
      <c r="AT64" s="2" t="str">
        <f t="shared" si="21"/>
        <v>WEEK</v>
      </c>
      <c r="AU64" s="2" t="str">
        <f t="shared" si="18"/>
        <v>MSIWEEK</v>
      </c>
      <c r="AV64" s="94">
        <f>(IF(ISNA(AP64),AO64+AR64,SUM($AO64,$AR64,IFERROR($AP64,"0"))))+Table2[[#This Row],[WAITING TIMES]]</f>
        <v>553.5</v>
      </c>
      <c r="AW64" s="48">
        <f>VLOOKUP(AN64,Invoicing!A:K,11,FALSE)</f>
        <v>20</v>
      </c>
      <c r="AY64" s="48"/>
      <c r="AZ64" s="48">
        <f t="shared" si="19"/>
        <v>573.5</v>
      </c>
      <c r="BA64" s="132">
        <f>VLOOKUP(AN64,Invoicing!A:J,10,FALSE)</f>
        <v>70</v>
      </c>
      <c r="BB64" s="132">
        <f>VLOOKUP(AN64,Invoicing!A:L,12,FALSE)</f>
        <v>1</v>
      </c>
      <c r="BC64" s="2" t="s">
        <v>66</v>
      </c>
    </row>
    <row r="65" spans="1:55">
      <c r="A65" s="134" t="s">
        <v>170</v>
      </c>
      <c r="B65" s="86" t="s">
        <v>77</v>
      </c>
      <c r="C65" s="11">
        <v>46033.461805555555</v>
      </c>
      <c r="D65" s="11">
        <v>46033.083333333336</v>
      </c>
      <c r="E65" s="11" t="s">
        <v>98</v>
      </c>
      <c r="F65" s="11" t="s">
        <v>186</v>
      </c>
      <c r="G65" s="11" t="s">
        <v>59</v>
      </c>
      <c r="H65" s="11" t="s">
        <v>91</v>
      </c>
      <c r="I65" s="86" t="s">
        <v>187</v>
      </c>
      <c r="J65" s="86" t="s">
        <v>82</v>
      </c>
      <c r="K65" s="11">
        <v>46033.833333333336</v>
      </c>
      <c r="L65" s="12">
        <v>46034.5625</v>
      </c>
      <c r="M65" s="12">
        <v>46034.5625</v>
      </c>
      <c r="N65" s="12">
        <v>46034.770833333336</v>
      </c>
      <c r="O65" s="12" t="s">
        <v>63</v>
      </c>
      <c r="P65" s="135" t="s">
        <v>15</v>
      </c>
      <c r="Q65" s="3">
        <v>0</v>
      </c>
      <c r="R65" s="1">
        <f t="shared" si="0"/>
        <v>3</v>
      </c>
      <c r="S65" s="1">
        <f t="shared" si="1"/>
        <v>1</v>
      </c>
      <c r="T65" s="126">
        <f t="shared" si="2"/>
        <v>46034.5625</v>
      </c>
      <c r="U65" s="127">
        <f t="shared" si="3"/>
        <v>0.37152777778101154</v>
      </c>
      <c r="V65" s="128">
        <f>Table2[[#This Row],[ATA A OFRECIMIENTO]]*24</f>
        <v>8.9166666667442769</v>
      </c>
      <c r="W65" s="1" t="str">
        <f t="shared" si="4"/>
        <v>YES</v>
      </c>
      <c r="X65" s="127">
        <f t="shared" si="5"/>
        <v>0.72916666666424135</v>
      </c>
      <c r="Y65" s="128">
        <f>Table2[[#This Row],[DEL. AVAILABLE A SLOT]]*24</f>
        <v>17.499999999941792</v>
      </c>
      <c r="Z65" s="1" t="str">
        <f t="shared" si="6"/>
        <v>SI</v>
      </c>
      <c r="AA65" s="127">
        <f t="shared" si="7"/>
        <v>1.1006944444452529</v>
      </c>
      <c r="AB65" s="128">
        <f>Table2[[#This Row],[ATA A TIMESLOT]]*24</f>
        <v>26.416666666686069</v>
      </c>
      <c r="AC65" s="127">
        <f t="shared" si="8"/>
        <v>0</v>
      </c>
      <c r="AD65" s="127" t="str">
        <f t="shared" si="9"/>
        <v>SI</v>
      </c>
      <c r="AE65" s="128">
        <f>Table2[[#This Row],[PUNTUALIDAD (H)]]*24</f>
        <v>0</v>
      </c>
      <c r="AF65" s="127">
        <f t="shared" si="10"/>
        <v>1.3090277777810115</v>
      </c>
      <c r="AG65" s="128">
        <f>Table2[[#This Row],[ATA TO UNLOADING]]*24</f>
        <v>31.416666666744277</v>
      </c>
      <c r="AH65" s="128" t="str">
        <f>IF(Table2[[#This Row],[ATA TO UNLOADING 2]]&lt;=48,"YES","NO")</f>
        <v>YES</v>
      </c>
      <c r="AJ65" s="129">
        <f t="shared" si="11"/>
        <v>0.5625</v>
      </c>
      <c r="AK65" s="2" t="s">
        <v>64</v>
      </c>
      <c r="AL65" s="2" t="str">
        <f t="shared" si="12"/>
        <v>3/26</v>
      </c>
      <c r="AM65" s="2" t="str">
        <f t="shared" si="13"/>
        <v>MRSU3703472</v>
      </c>
      <c r="AN65" s="130" t="str">
        <f t="shared" si="14"/>
        <v>MSI</v>
      </c>
      <c r="AO65" s="50">
        <f>IF($O65="TRUCK",
VLOOKUP($AU65,Invoicing!$A$16:$B$56,MATCH($AO$1,Invoicing!$A$16:$B$16,0),FALSE)+IF(OR($B65="DCD",$B65="HPD2"),23.5,0),
VLOOKUP($AU65,Invoicing!$N$15:$O$19,MATCH($AO$1,Invoicing!$N$15:$O$15,0),FALSE)+IF(OR($B65="DCD",$B65="HPD2"),23.5,0))</f>
        <v>503.5</v>
      </c>
      <c r="AP65" s="131" t="e">
        <f>VLOOKUP($E65,Invoicing!$A$1:$H$12,MATCH(TRACKER!$P48,Invoicing!$A$1:$H$1,0),FALSE)</f>
        <v>#N/A</v>
      </c>
      <c r="AQ65" s="131">
        <f>VLOOKUP($E65,Invoicing!$A$1:$H$12,MATCH(TRACKER!$Q$1,Invoicing!$A$1:$H$1,0),FALSE)</f>
        <v>50</v>
      </c>
      <c r="AR65" s="131">
        <f t="shared" si="20"/>
        <v>0</v>
      </c>
      <c r="AS65" s="2">
        <f t="shared" si="16"/>
        <v>1</v>
      </c>
      <c r="AT65" s="2" t="str">
        <f t="shared" si="21"/>
        <v>WEEK</v>
      </c>
      <c r="AU65" s="2" t="str">
        <f t="shared" si="18"/>
        <v>MSIWEEK</v>
      </c>
      <c r="AV65" s="94">
        <f>(IF(ISNA(AP65),AO65+AR65,SUM($AO65,$AR65,IFERROR($AP65,"0"))))+Table2[[#This Row],[WAITING TIMES]]</f>
        <v>1058.5</v>
      </c>
      <c r="AW65" s="48">
        <f>VLOOKUP(AN65,Invoicing!A:K,11,FALSE)</f>
        <v>20</v>
      </c>
      <c r="AX65" s="48">
        <v>555</v>
      </c>
      <c r="AY65" s="94" t="s">
        <v>188</v>
      </c>
      <c r="AZ65" s="48">
        <f t="shared" si="19"/>
        <v>1078.5</v>
      </c>
      <c r="BA65" s="132">
        <f>VLOOKUP(AN65,Invoicing!A:J,10,FALSE)</f>
        <v>70</v>
      </c>
      <c r="BB65" s="132">
        <f>VLOOKUP(AN65,Invoicing!A:L,12,FALSE)</f>
        <v>1</v>
      </c>
      <c r="BC65" s="2" t="s">
        <v>66</v>
      </c>
    </row>
    <row r="66" spans="1:55">
      <c r="A66" s="134" t="s">
        <v>170</v>
      </c>
      <c r="B66" s="86" t="s">
        <v>77</v>
      </c>
      <c r="C66" s="11">
        <v>46033.461805555555</v>
      </c>
      <c r="D66" s="11">
        <v>46033.083333333336</v>
      </c>
      <c r="E66" s="11" t="s">
        <v>98</v>
      </c>
      <c r="F66" s="11" t="s">
        <v>189</v>
      </c>
      <c r="G66" s="11" t="s">
        <v>59</v>
      </c>
      <c r="H66" s="11" t="s">
        <v>91</v>
      </c>
      <c r="I66" s="86" t="s">
        <v>190</v>
      </c>
      <c r="J66" s="86" t="s">
        <v>82</v>
      </c>
      <c r="K66" s="11">
        <v>46033.833333333336</v>
      </c>
      <c r="L66" s="12">
        <v>46033.754861111112</v>
      </c>
      <c r="M66" s="12">
        <v>46034.041666666664</v>
      </c>
      <c r="N66" s="12">
        <v>46033.791666666664</v>
      </c>
      <c r="O66" s="12" t="s">
        <v>63</v>
      </c>
      <c r="P66" s="135" t="s">
        <v>15</v>
      </c>
      <c r="Q66" s="3">
        <v>0</v>
      </c>
      <c r="R66" s="1">
        <f t="shared" ref="R66:R129" si="22">IF(M66="","",WEEKNUM(T66,2))</f>
        <v>2</v>
      </c>
      <c r="S66" s="1">
        <f t="shared" ref="S66:S129" si="23">IF(M66="","",MONTH(T66))</f>
        <v>1</v>
      </c>
      <c r="T66" s="126">
        <f t="shared" ref="T66:T129" si="24">IF(ISBLANK(L66),IF(ISBLANK(N66),"00:00",N66),L66)</f>
        <v>46033.754861111112</v>
      </c>
      <c r="U66" s="127">
        <f t="shared" ref="U66:U129" si="25">(K66-C66)</f>
        <v>0.37152777778101154</v>
      </c>
      <c r="V66" s="128">
        <f>Table2[[#This Row],[ATA A OFRECIMIENTO]]*24</f>
        <v>8.9166666667442769</v>
      </c>
      <c r="W66" s="1" t="str">
        <f t="shared" ref="W66:W129" si="26">IF(U66="","",IF(U66&lt;=2,"YES","NO"))</f>
        <v>YES</v>
      </c>
      <c r="X66" s="127">
        <f t="shared" ref="X66:X129" si="27">(M66-K66)</f>
        <v>0.20833333332848269</v>
      </c>
      <c r="Y66" s="128">
        <f>Table2[[#This Row],[DEL. AVAILABLE A SLOT]]*24</f>
        <v>4.9999999998835847</v>
      </c>
      <c r="Z66" s="1" t="str">
        <f t="shared" ref="Z66:Z129" si="28">IF(X66="","",IF(X66&lt;=1,"SI","NO"))</f>
        <v>SI</v>
      </c>
      <c r="AA66" s="127">
        <f t="shared" ref="AA66:AA129" si="29">(M66-C66)</f>
        <v>0.57986111110949423</v>
      </c>
      <c r="AB66" s="128">
        <f>Table2[[#This Row],[ATA A TIMESLOT]]*24</f>
        <v>13.916666666627862</v>
      </c>
      <c r="AC66" s="127">
        <f t="shared" ref="AC66:AC129" si="30">IF(T66&lt; M66, TIME(0,0,0), T66-M66)</f>
        <v>0</v>
      </c>
      <c r="AD66" s="127" t="str">
        <f t="shared" ref="AD66:AD129" si="31">IF(AC66&gt;TIME(0,40,0),"NO","SI")</f>
        <v>SI</v>
      </c>
      <c r="AE66" s="128">
        <f>Table2[[#This Row],[PUNTUALIDAD (H)]]*24</f>
        <v>0</v>
      </c>
      <c r="AF66" s="127">
        <f t="shared" ref="AF66:AF129" si="32">(N66-C66)</f>
        <v>0.32986111110949423</v>
      </c>
      <c r="AG66" s="128">
        <f>Table2[[#This Row],[ATA TO UNLOADING]]*24</f>
        <v>7.9166666666278616</v>
      </c>
      <c r="AH66" s="128" t="str">
        <f>IF(Table2[[#This Row],[ATA TO UNLOADING 2]]&lt;=48,"YES","NO")</f>
        <v>YES</v>
      </c>
      <c r="AJ66" s="129">
        <f t="shared" ref="AJ66:AJ129" si="33">MOD(M66,1)</f>
        <v>4.1666666664241347E-2</v>
      </c>
      <c r="AK66" s="49" t="s">
        <v>36</v>
      </c>
      <c r="AL66" s="2" t="str">
        <f t="shared" ref="AL66:AL129" si="34">IF(M66="","",_xlfn.ISOWEEKNUM(M66)&amp;"/"&amp;RIGHT(YEAR(M66),2))</f>
        <v>3/26</v>
      </c>
      <c r="AM66" s="2" t="str">
        <f t="shared" ref="AM66:AM129" si="35">I66</f>
        <v>MRSU7046627</v>
      </c>
      <c r="AN66" s="130" t="str">
        <f t="shared" ref="AN66:AN129" si="36">E66</f>
        <v>MSI</v>
      </c>
      <c r="AO66" s="50">
        <f>IF($O66="TRUCK",
VLOOKUP($AU66,Invoicing!$A$16:$B$56,MATCH($AO$1,Invoicing!$A$16:$B$16,0),FALSE)+IF(OR($B66="DCD",$B66="HPD2"),23.5,0),
VLOOKUP($AU66,Invoicing!$N$15:$O$19,MATCH($AO$1,Invoicing!$N$15:$O$15,0),FALSE)+IF(OR($B66="DCD",$B66="HPD2"),23.5,0))</f>
        <v>523.5</v>
      </c>
      <c r="AP66" s="131" t="e">
        <f>VLOOKUP($E66,Invoicing!$A$1:$H$12,MATCH(TRACKER!$P49,Invoicing!$A$1:$H$1,0),FALSE)</f>
        <v>#N/A</v>
      </c>
      <c r="AQ66" s="131">
        <f>VLOOKUP($E66,Invoicing!$A$1:$H$12,MATCH(TRACKER!$Q$1,Invoicing!$A$1:$H$1,0),FALSE)</f>
        <v>50</v>
      </c>
      <c r="AR66" s="131">
        <f t="shared" ref="AR66:AR97" si="37">IF($Q66&lt;&gt;0,$Q66*$AQ66,0)</f>
        <v>0</v>
      </c>
      <c r="AS66" s="2">
        <f t="shared" ref="AS66:AS129" si="38">WEEKDAY(M66,2)</f>
        <v>1</v>
      </c>
      <c r="AT66" s="2" t="s">
        <v>191</v>
      </c>
      <c r="AU66" s="2" t="str">
        <f t="shared" ref="AU66:AU129" si="39">AN66&amp;AT66</f>
        <v>MSISUNDAY</v>
      </c>
      <c r="AV66" s="94">
        <f>(IF(ISNA(AP66),AO66+AR66,SUM($AO66,$AR66,IFERROR($AP66,"0"))))+Table2[[#This Row],[WAITING TIMES]]</f>
        <v>598.5</v>
      </c>
      <c r="AW66" s="48">
        <f>VLOOKUP(AN66,Invoicing!A:K,11,FALSE)</f>
        <v>20</v>
      </c>
      <c r="AX66" s="48">
        <v>75</v>
      </c>
      <c r="AY66" s="94" t="s">
        <v>192</v>
      </c>
      <c r="AZ66" s="48">
        <f t="shared" ref="AZ66:AZ129" si="40">AV66+AW66</f>
        <v>618.5</v>
      </c>
      <c r="BA66" s="132">
        <f>VLOOKUP(AN66,Invoicing!A:J,10,FALSE)</f>
        <v>70</v>
      </c>
      <c r="BB66" s="132">
        <f>VLOOKUP(AN66,Invoicing!A:L,12,FALSE)</f>
        <v>1</v>
      </c>
      <c r="BC66" s="2" t="s">
        <v>66</v>
      </c>
    </row>
    <row r="67" spans="1:55">
      <c r="A67" s="134" t="s">
        <v>170</v>
      </c>
      <c r="B67" s="86" t="s">
        <v>77</v>
      </c>
      <c r="C67" s="11">
        <v>46033.461805555555</v>
      </c>
      <c r="D67" s="11">
        <v>46033.083333333336</v>
      </c>
      <c r="E67" s="11" t="s">
        <v>98</v>
      </c>
      <c r="F67" s="11" t="s">
        <v>193</v>
      </c>
      <c r="G67" s="11" t="s">
        <v>59</v>
      </c>
      <c r="H67" s="11" t="s">
        <v>91</v>
      </c>
      <c r="I67" s="86" t="s">
        <v>194</v>
      </c>
      <c r="J67" s="86" t="s">
        <v>82</v>
      </c>
      <c r="K67" s="11">
        <v>46033.833333333336</v>
      </c>
      <c r="L67" s="12">
        <v>46034.043749999997</v>
      </c>
      <c r="M67" s="12">
        <v>46034.041666666664</v>
      </c>
      <c r="N67" s="12">
        <v>46034.072916666664</v>
      </c>
      <c r="O67" s="12" t="s">
        <v>63</v>
      </c>
      <c r="P67" s="135" t="s">
        <v>15</v>
      </c>
      <c r="Q67" s="3">
        <v>0</v>
      </c>
      <c r="R67" s="1">
        <f t="shared" si="22"/>
        <v>3</v>
      </c>
      <c r="S67" s="1">
        <f t="shared" si="23"/>
        <v>1</v>
      </c>
      <c r="T67" s="126">
        <f t="shared" si="24"/>
        <v>46034.043749999997</v>
      </c>
      <c r="U67" s="127">
        <f t="shared" si="25"/>
        <v>0.37152777778101154</v>
      </c>
      <c r="V67" s="128">
        <f>Table2[[#This Row],[ATA A OFRECIMIENTO]]*24</f>
        <v>8.9166666667442769</v>
      </c>
      <c r="W67" s="1" t="str">
        <f t="shared" si="26"/>
        <v>YES</v>
      </c>
      <c r="X67" s="127">
        <f t="shared" si="27"/>
        <v>0.20833333332848269</v>
      </c>
      <c r="Y67" s="128">
        <f>Table2[[#This Row],[DEL. AVAILABLE A SLOT]]*24</f>
        <v>4.9999999998835847</v>
      </c>
      <c r="Z67" s="1" t="str">
        <f t="shared" si="28"/>
        <v>SI</v>
      </c>
      <c r="AA67" s="127">
        <f t="shared" si="29"/>
        <v>0.57986111110949423</v>
      </c>
      <c r="AB67" s="128">
        <f>Table2[[#This Row],[ATA A TIMESLOT]]*24</f>
        <v>13.916666666627862</v>
      </c>
      <c r="AC67" s="127">
        <f t="shared" si="30"/>
        <v>2.0833333328482695E-3</v>
      </c>
      <c r="AD67" s="127" t="str">
        <f t="shared" si="31"/>
        <v>SI</v>
      </c>
      <c r="AE67" s="128">
        <f>Table2[[#This Row],[PUNTUALIDAD (H)]]*24</f>
        <v>4.9999999988358468E-2</v>
      </c>
      <c r="AF67" s="127">
        <f t="shared" si="32"/>
        <v>0.61111111110949423</v>
      </c>
      <c r="AG67" s="128">
        <f>Table2[[#This Row],[ATA TO UNLOADING]]*24</f>
        <v>14.666666666627862</v>
      </c>
      <c r="AH67" s="128" t="str">
        <f>IF(Table2[[#This Row],[ATA TO UNLOADING 2]]&lt;=48,"YES","NO")</f>
        <v>YES</v>
      </c>
      <c r="AJ67" s="129">
        <f t="shared" si="33"/>
        <v>4.1666666664241347E-2</v>
      </c>
      <c r="AK67" s="49" t="s">
        <v>36</v>
      </c>
      <c r="AL67" s="2" t="str">
        <f t="shared" si="34"/>
        <v>3/26</v>
      </c>
      <c r="AM67" s="2" t="str">
        <f t="shared" si="35"/>
        <v>MRSU8759387</v>
      </c>
      <c r="AN67" s="130" t="str">
        <f t="shared" si="36"/>
        <v>MSI</v>
      </c>
      <c r="AO67" s="50">
        <f>IF($O67="TRUCK",
VLOOKUP($AU67,Invoicing!$A$16:$B$56,MATCH($AO$1,Invoicing!$A$16:$B$16,0),FALSE)+IF(OR($B67="DCD",$B67="HPD2"),23.5,0),
VLOOKUP($AU67,Invoicing!$N$15:$O$19,MATCH($AO$1,Invoicing!$N$15:$O$15,0),FALSE)+IF(OR($B67="DCD",$B67="HPD2"),23.5,0))</f>
        <v>553.5</v>
      </c>
      <c r="AP67" s="131" t="e">
        <f>VLOOKUP($E67,Invoicing!$A$1:$H$12,MATCH(TRACKER!$P50,Invoicing!$A$1:$H$1,0),FALSE)</f>
        <v>#N/A</v>
      </c>
      <c r="AQ67" s="131">
        <f>VLOOKUP($E67,Invoicing!$A$1:$H$12,MATCH(TRACKER!$Q$1,Invoicing!$A$1:$H$1,0),FALSE)</f>
        <v>50</v>
      </c>
      <c r="AR67" s="131">
        <f t="shared" si="37"/>
        <v>0</v>
      </c>
      <c r="AS67" s="2">
        <f t="shared" si="38"/>
        <v>1</v>
      </c>
      <c r="AT67" s="2" t="str">
        <f t="shared" ref="AT67:AT130" si="41">IF(AS67=7,"SUNDAY",IF(AS67=6,"SATURDAY",IF(AK67="NIGHT","NIGHT",IF(AS67&lt;=5,"WEEK","SUNDAY"))))</f>
        <v>NIGHT</v>
      </c>
      <c r="AU67" s="2" t="str">
        <f t="shared" si="39"/>
        <v>MSINIGHT</v>
      </c>
      <c r="AV67" s="94">
        <f>(IF(ISNA(AP67),AO67+AR67,SUM($AO67,$AR67,IFERROR($AP67,"0"))))+Table2[[#This Row],[WAITING TIMES]]</f>
        <v>703.5</v>
      </c>
      <c r="AW67" s="48">
        <f>VLOOKUP(AN67,Invoicing!A:K,11,FALSE)</f>
        <v>20</v>
      </c>
      <c r="AX67" s="94">
        <v>150</v>
      </c>
      <c r="AY67" s="94" t="s">
        <v>195</v>
      </c>
      <c r="AZ67" s="48">
        <f t="shared" si="40"/>
        <v>723.5</v>
      </c>
      <c r="BA67" s="132">
        <f>VLOOKUP(AN67,Invoicing!A:J,10,FALSE)</f>
        <v>70</v>
      </c>
      <c r="BB67" s="132">
        <f>VLOOKUP(AN67,Invoicing!A:L,12,FALSE)</f>
        <v>1</v>
      </c>
      <c r="BC67" s="2" t="s">
        <v>66</v>
      </c>
    </row>
    <row r="68" spans="1:55">
      <c r="A68" s="134" t="s">
        <v>170</v>
      </c>
      <c r="B68" s="86" t="s">
        <v>77</v>
      </c>
      <c r="C68" s="11">
        <v>46033.461805555555</v>
      </c>
      <c r="D68" s="11">
        <v>46033.083333333336</v>
      </c>
      <c r="E68" s="11" t="s">
        <v>98</v>
      </c>
      <c r="F68" s="11" t="s">
        <v>189</v>
      </c>
      <c r="G68" s="11" t="s">
        <v>59</v>
      </c>
      <c r="H68" s="11" t="s">
        <v>91</v>
      </c>
      <c r="I68" s="86" t="s">
        <v>196</v>
      </c>
      <c r="J68" s="86" t="s">
        <v>82</v>
      </c>
      <c r="K68" s="11">
        <v>46033.833333333336</v>
      </c>
      <c r="L68" s="12">
        <v>46034.31527777778</v>
      </c>
      <c r="M68" s="12">
        <v>46034.333333333336</v>
      </c>
      <c r="N68" s="12">
        <v>46034.368055555555</v>
      </c>
      <c r="O68" s="12" t="s">
        <v>63</v>
      </c>
      <c r="P68" s="135" t="s">
        <v>15</v>
      </c>
      <c r="Q68" s="3">
        <v>0</v>
      </c>
      <c r="R68" s="1">
        <f t="shared" si="22"/>
        <v>3</v>
      </c>
      <c r="S68" s="1">
        <f t="shared" si="23"/>
        <v>1</v>
      </c>
      <c r="T68" s="126">
        <f t="shared" si="24"/>
        <v>46034.31527777778</v>
      </c>
      <c r="U68" s="127">
        <f t="shared" si="25"/>
        <v>0.37152777778101154</v>
      </c>
      <c r="V68" s="128">
        <f>Table2[[#This Row],[ATA A OFRECIMIENTO]]*24</f>
        <v>8.9166666667442769</v>
      </c>
      <c r="W68" s="1" t="str">
        <f t="shared" si="26"/>
        <v>YES</v>
      </c>
      <c r="X68" s="127">
        <f t="shared" si="27"/>
        <v>0.5</v>
      </c>
      <c r="Y68" s="128">
        <f>Table2[[#This Row],[DEL. AVAILABLE A SLOT]]*24</f>
        <v>12</v>
      </c>
      <c r="Z68" s="1" t="str">
        <f t="shared" si="28"/>
        <v>SI</v>
      </c>
      <c r="AA68" s="127">
        <f t="shared" si="29"/>
        <v>0.87152777778101154</v>
      </c>
      <c r="AB68" s="128">
        <f>Table2[[#This Row],[ATA A TIMESLOT]]*24</f>
        <v>20.916666666744277</v>
      </c>
      <c r="AC68" s="127">
        <f t="shared" si="30"/>
        <v>0</v>
      </c>
      <c r="AD68" s="127" t="str">
        <f t="shared" si="31"/>
        <v>SI</v>
      </c>
      <c r="AE68" s="128">
        <f>Table2[[#This Row],[PUNTUALIDAD (H)]]*24</f>
        <v>0</v>
      </c>
      <c r="AF68" s="127">
        <f t="shared" si="32"/>
        <v>0.90625</v>
      </c>
      <c r="AG68" s="128">
        <f>Table2[[#This Row],[ATA TO UNLOADING]]*24</f>
        <v>21.75</v>
      </c>
      <c r="AH68" s="128" t="str">
        <f>IF(Table2[[#This Row],[ATA TO UNLOADING 2]]&lt;=48,"YES","NO")</f>
        <v>YES</v>
      </c>
      <c r="AJ68" s="129">
        <f t="shared" si="33"/>
        <v>0.33333333333575865</v>
      </c>
      <c r="AK68" s="2" t="s">
        <v>64</v>
      </c>
      <c r="AL68" s="2" t="str">
        <f t="shared" si="34"/>
        <v>3/26</v>
      </c>
      <c r="AM68" s="2" t="str">
        <f t="shared" si="35"/>
        <v>TCKU6935440</v>
      </c>
      <c r="AN68" s="130" t="str">
        <f t="shared" si="36"/>
        <v>MSI</v>
      </c>
      <c r="AO68" s="50">
        <f>IF($O68="TRUCK",
VLOOKUP($AU68,Invoicing!$A$16:$B$56,MATCH($AO$1,Invoicing!$A$16:$B$16,0),FALSE)+IF(OR($B68="DCD",$B68="HPD2"),23.5,0),
VLOOKUP($AU68,Invoicing!$N$15:$O$19,MATCH($AO$1,Invoicing!$N$15:$O$15,0),FALSE)+IF(OR($B68="DCD",$B68="HPD2"),23.5,0))</f>
        <v>503.5</v>
      </c>
      <c r="AP68" s="131" t="e">
        <f>VLOOKUP($E68,Invoicing!$A$1:$H$12,MATCH(TRACKER!$P51,Invoicing!$A$1:$H$1,0),FALSE)</f>
        <v>#N/A</v>
      </c>
      <c r="AQ68" s="131">
        <f>VLOOKUP($E68,Invoicing!$A$1:$H$12,MATCH(TRACKER!$Q$1,Invoicing!$A$1:$H$1,0),FALSE)</f>
        <v>50</v>
      </c>
      <c r="AR68" s="131">
        <f t="shared" si="37"/>
        <v>0</v>
      </c>
      <c r="AS68" s="2">
        <f t="shared" si="38"/>
        <v>1</v>
      </c>
      <c r="AT68" s="2" t="str">
        <f t="shared" si="41"/>
        <v>WEEK</v>
      </c>
      <c r="AU68" s="2" t="str">
        <f t="shared" si="39"/>
        <v>MSIWEEK</v>
      </c>
      <c r="AV68" s="94">
        <f>(IF(ISNA(AP68),AO68+AR68,SUM($AO68,$AR68,IFERROR($AP68,"0"))))+Table2[[#This Row],[WAITING TIMES]]</f>
        <v>818.5</v>
      </c>
      <c r="AW68" s="48">
        <f>VLOOKUP(AN68,Invoicing!A:K,11,FALSE)</f>
        <v>20</v>
      </c>
      <c r="AX68" s="48">
        <v>315</v>
      </c>
      <c r="AY68" s="94" t="s">
        <v>197</v>
      </c>
      <c r="AZ68" s="48">
        <f t="shared" si="40"/>
        <v>838.5</v>
      </c>
      <c r="BA68" s="132">
        <f>VLOOKUP(AN68,Invoicing!A:J,10,FALSE)</f>
        <v>70</v>
      </c>
      <c r="BB68" s="132">
        <f>VLOOKUP(AN68,Invoicing!A:L,12,FALSE)</f>
        <v>1</v>
      </c>
      <c r="BC68" s="2" t="s">
        <v>66</v>
      </c>
    </row>
    <row r="69" spans="1:55">
      <c r="A69" s="134" t="s">
        <v>170</v>
      </c>
      <c r="B69" s="86" t="s">
        <v>77</v>
      </c>
      <c r="C69" s="11">
        <v>46033.461805555555</v>
      </c>
      <c r="D69" s="11">
        <v>46033.083333333336</v>
      </c>
      <c r="E69" s="11" t="s">
        <v>83</v>
      </c>
      <c r="F69" s="11" t="s">
        <v>186</v>
      </c>
      <c r="G69" s="11" t="s">
        <v>59</v>
      </c>
      <c r="H69" s="11" t="s">
        <v>91</v>
      </c>
      <c r="I69" s="86" t="s">
        <v>198</v>
      </c>
      <c r="J69" s="86" t="s">
        <v>82</v>
      </c>
      <c r="K69" s="11">
        <v>46033.833333333336</v>
      </c>
      <c r="L69" s="12">
        <v>46034.25</v>
      </c>
      <c r="M69" s="12">
        <v>46034.25</v>
      </c>
      <c r="N69" s="12">
        <v>46034.291666666664</v>
      </c>
      <c r="O69" s="12" t="s">
        <v>63</v>
      </c>
      <c r="P69" s="135" t="s">
        <v>15</v>
      </c>
      <c r="Q69" s="3">
        <v>0</v>
      </c>
      <c r="R69" s="1">
        <f t="shared" si="22"/>
        <v>3</v>
      </c>
      <c r="S69" s="1">
        <f t="shared" si="23"/>
        <v>1</v>
      </c>
      <c r="T69" s="126">
        <f t="shared" si="24"/>
        <v>46034.25</v>
      </c>
      <c r="U69" s="127">
        <f t="shared" si="25"/>
        <v>0.37152777778101154</v>
      </c>
      <c r="V69" s="128">
        <f>Table2[[#This Row],[ATA A OFRECIMIENTO]]*24</f>
        <v>8.9166666667442769</v>
      </c>
      <c r="W69" s="1" t="str">
        <f t="shared" si="26"/>
        <v>YES</v>
      </c>
      <c r="X69" s="127">
        <f t="shared" si="27"/>
        <v>0.41666666666424135</v>
      </c>
      <c r="Y69" s="128">
        <f>Table2[[#This Row],[DEL. AVAILABLE A SLOT]]*24</f>
        <v>9.9999999999417923</v>
      </c>
      <c r="Z69" s="1" t="str">
        <f t="shared" si="28"/>
        <v>SI</v>
      </c>
      <c r="AA69" s="127">
        <f t="shared" si="29"/>
        <v>0.78819444444525288</v>
      </c>
      <c r="AB69" s="128">
        <f>Table2[[#This Row],[ATA A TIMESLOT]]*24</f>
        <v>18.916666666686069</v>
      </c>
      <c r="AC69" s="127">
        <f t="shared" si="30"/>
        <v>0</v>
      </c>
      <c r="AD69" s="127" t="str">
        <f t="shared" si="31"/>
        <v>SI</v>
      </c>
      <c r="AE69" s="128">
        <f>Table2[[#This Row],[PUNTUALIDAD (H)]]*24</f>
        <v>0</v>
      </c>
      <c r="AF69" s="127">
        <f t="shared" si="32"/>
        <v>0.82986111110949423</v>
      </c>
      <c r="AG69" s="128">
        <f>Table2[[#This Row],[ATA TO UNLOADING]]*24</f>
        <v>19.916666666627862</v>
      </c>
      <c r="AH69" s="128" t="str">
        <f>IF(Table2[[#This Row],[ATA TO UNLOADING 2]]&lt;=48,"YES","NO")</f>
        <v>YES</v>
      </c>
      <c r="AJ69" s="129">
        <f t="shared" si="33"/>
        <v>0.25</v>
      </c>
      <c r="AK69" s="2" t="s">
        <v>64</v>
      </c>
      <c r="AL69" s="2" t="str">
        <f t="shared" si="34"/>
        <v>3/26</v>
      </c>
      <c r="AM69" s="2" t="str">
        <f t="shared" si="35"/>
        <v>CAAU8933444</v>
      </c>
      <c r="AN69" s="130" t="str">
        <f t="shared" si="36"/>
        <v>OM TRANSPORT</v>
      </c>
      <c r="AO69" s="50">
        <f>IF($O69="TRUCK",
VLOOKUP($AU69,Invoicing!$A$16:$B$56,MATCH($AO$1,Invoicing!$A$16:$B$16,0),FALSE)+IF(OR($B69="DCD",$B69="HPD2"),23.5,0),
VLOOKUP($AU69,Invoicing!$N$15:$O$19,MATCH($AO$1,Invoicing!$N$15:$O$15,0),FALSE)+IF(OR($B69="DCD",$B69="HPD2"),23.5,0))</f>
        <v>498.5</v>
      </c>
      <c r="AP69" s="131" t="e">
        <f>VLOOKUP($E69,Invoicing!$A$1:$H$12,MATCH(TRACKER!$P76,Invoicing!$A$1:$H$1,0),FALSE)</f>
        <v>#N/A</v>
      </c>
      <c r="AQ69" s="131">
        <f>VLOOKUP($E69,Invoicing!$A$1:$H$12,MATCH(TRACKER!$Q$1,Invoicing!$A$1:$H$1,0),FALSE)</f>
        <v>50</v>
      </c>
      <c r="AR69" s="131">
        <f t="shared" si="37"/>
        <v>0</v>
      </c>
      <c r="AS69" s="2">
        <f t="shared" si="38"/>
        <v>1</v>
      </c>
      <c r="AT69" s="2" t="str">
        <f t="shared" si="41"/>
        <v>WEEK</v>
      </c>
      <c r="AU69" s="2" t="str">
        <f t="shared" si="39"/>
        <v>OM TRANSPORTWEEK</v>
      </c>
      <c r="AV69" s="94">
        <f>(IF(ISNA(AP69),AO69+AR69,SUM($AO69,$AR69,IFERROR($AP69,"0"))))+Table2[[#This Row],[WAITING TIMES]]</f>
        <v>836</v>
      </c>
      <c r="AW69" s="48">
        <f>VLOOKUP(AN69,Invoicing!A:K,11,FALSE)</f>
        <v>20</v>
      </c>
      <c r="AX69" s="48">
        <v>337.5</v>
      </c>
      <c r="AY69" s="48" t="s">
        <v>199</v>
      </c>
      <c r="AZ69" s="48">
        <f t="shared" si="40"/>
        <v>856</v>
      </c>
      <c r="BA69" s="132">
        <f>VLOOKUP(AN69,Invoicing!A:J,10,FALSE)</f>
        <v>70</v>
      </c>
      <c r="BB69" s="132">
        <f>VLOOKUP(AN69,Invoicing!A:L,12,FALSE)</f>
        <v>1</v>
      </c>
      <c r="BC69" s="2" t="s">
        <v>66</v>
      </c>
    </row>
    <row r="70" spans="1:55">
      <c r="A70" s="134" t="s">
        <v>170</v>
      </c>
      <c r="B70" s="86" t="s">
        <v>77</v>
      </c>
      <c r="C70" s="11">
        <v>46033.461805555555</v>
      </c>
      <c r="D70" s="11">
        <v>46033.083333333336</v>
      </c>
      <c r="E70" s="11" t="s">
        <v>83</v>
      </c>
      <c r="F70" s="11" t="s">
        <v>171</v>
      </c>
      <c r="G70" s="11" t="s">
        <v>59</v>
      </c>
      <c r="H70" s="11" t="s">
        <v>91</v>
      </c>
      <c r="I70" s="86" t="s">
        <v>200</v>
      </c>
      <c r="J70" s="86" t="s">
        <v>82</v>
      </c>
      <c r="K70" s="11">
        <v>46033.833333333336</v>
      </c>
      <c r="L70" s="12">
        <v>46033.833333333336</v>
      </c>
      <c r="M70" s="12">
        <v>46033.833333333336</v>
      </c>
      <c r="N70" s="12">
        <v>46033.857638888891</v>
      </c>
      <c r="O70" s="12" t="s">
        <v>63</v>
      </c>
      <c r="P70" s="135" t="s">
        <v>64</v>
      </c>
      <c r="Q70" s="3">
        <v>0</v>
      </c>
      <c r="R70" s="1">
        <f t="shared" si="22"/>
        <v>2</v>
      </c>
      <c r="S70" s="1">
        <f t="shared" si="23"/>
        <v>1</v>
      </c>
      <c r="T70" s="126">
        <f t="shared" si="24"/>
        <v>46033.833333333336</v>
      </c>
      <c r="U70" s="127">
        <f t="shared" si="25"/>
        <v>0.37152777778101154</v>
      </c>
      <c r="V70" s="128">
        <f>Table2[[#This Row],[ATA A OFRECIMIENTO]]*24</f>
        <v>8.9166666667442769</v>
      </c>
      <c r="W70" s="1" t="str">
        <f t="shared" si="26"/>
        <v>YES</v>
      </c>
      <c r="X70" s="127">
        <f t="shared" si="27"/>
        <v>0</v>
      </c>
      <c r="Y70" s="128">
        <f>Table2[[#This Row],[DEL. AVAILABLE A SLOT]]*24</f>
        <v>0</v>
      </c>
      <c r="Z70" s="1" t="str">
        <f t="shared" si="28"/>
        <v>SI</v>
      </c>
      <c r="AA70" s="127">
        <f t="shared" si="29"/>
        <v>0.37152777778101154</v>
      </c>
      <c r="AB70" s="128">
        <f>Table2[[#This Row],[ATA A TIMESLOT]]*24</f>
        <v>8.9166666667442769</v>
      </c>
      <c r="AC70" s="127">
        <f t="shared" si="30"/>
        <v>0</v>
      </c>
      <c r="AD70" s="127" t="str">
        <f t="shared" si="31"/>
        <v>SI</v>
      </c>
      <c r="AE70" s="128">
        <f>Table2[[#This Row],[PUNTUALIDAD (H)]]*24</f>
        <v>0</v>
      </c>
      <c r="AF70" s="127">
        <f t="shared" si="32"/>
        <v>0.39583333333575865</v>
      </c>
      <c r="AG70" s="128">
        <f>Table2[[#This Row],[ATA TO UNLOADING]]*24</f>
        <v>9.5000000000582077</v>
      </c>
      <c r="AH70" s="128" t="str">
        <f>IF(Table2[[#This Row],[ATA TO UNLOADING 2]]&lt;=48,"YES","NO")</f>
        <v>YES</v>
      </c>
      <c r="AJ70" s="129">
        <f t="shared" si="33"/>
        <v>0.83333333333575865</v>
      </c>
      <c r="AK70" s="49" t="s">
        <v>36</v>
      </c>
      <c r="AL70" s="2" t="str">
        <f t="shared" si="34"/>
        <v>2/26</v>
      </c>
      <c r="AM70" s="2" t="str">
        <f t="shared" si="35"/>
        <v>HASU4901636</v>
      </c>
      <c r="AN70" s="130" t="str">
        <f t="shared" si="36"/>
        <v>OM TRANSPORT</v>
      </c>
      <c r="AO70" s="50">
        <f>IF($O70="TRUCK",
VLOOKUP($AU70,Invoicing!$A$16:$B$56,MATCH($AO$1,Invoicing!$A$16:$B$16,0),FALSE)+IF(OR($B70="DCD",$B70="HPD2"),23.5,0),
VLOOKUP($AU70,Invoicing!$N$15:$O$19,MATCH($AO$1,Invoicing!$N$15:$O$15,0),FALSE)+IF(OR($B70="DCD",$B70="HPD2"),23.5,0))</f>
        <v>573.5</v>
      </c>
      <c r="AP70" s="131" t="e">
        <f>VLOOKUP($E70,Invoicing!$A$1:$H$12,MATCH(TRACKER!$P77,Invoicing!$A$1:$H$1,0),FALSE)</f>
        <v>#N/A</v>
      </c>
      <c r="AQ70" s="131">
        <f>VLOOKUP($E70,Invoicing!$A$1:$H$12,MATCH(TRACKER!$Q$1,Invoicing!$A$1:$H$1,0),FALSE)</f>
        <v>50</v>
      </c>
      <c r="AR70" s="131">
        <f t="shared" si="37"/>
        <v>0</v>
      </c>
      <c r="AS70" s="2">
        <f t="shared" si="38"/>
        <v>7</v>
      </c>
      <c r="AT70" s="2" t="str">
        <f t="shared" si="41"/>
        <v>SUNDAY</v>
      </c>
      <c r="AU70" s="2" t="str">
        <f t="shared" si="39"/>
        <v>OM TRANSPORTSUNDAY</v>
      </c>
      <c r="AV70" s="94">
        <f>(IF(ISNA(AP70),AO70+AR70,SUM($AO70,$AR70,IFERROR($AP70,"0"))))+Table2[[#This Row],[WAITING TIMES]]</f>
        <v>618.5</v>
      </c>
      <c r="AW70" s="48">
        <f>VLOOKUP(AN70,Invoicing!A:K,11,FALSE)</f>
        <v>20</v>
      </c>
      <c r="AX70" s="48">
        <v>45</v>
      </c>
      <c r="AY70" s="48" t="s">
        <v>201</v>
      </c>
      <c r="AZ70" s="48">
        <f t="shared" si="40"/>
        <v>638.5</v>
      </c>
      <c r="BA70" s="132">
        <f>VLOOKUP(AN70,Invoicing!A:J,10,FALSE)</f>
        <v>70</v>
      </c>
      <c r="BB70" s="132">
        <f>VLOOKUP(AN70,Invoicing!A:L,12,FALSE)</f>
        <v>1</v>
      </c>
      <c r="BC70" s="2" t="s">
        <v>66</v>
      </c>
    </row>
    <row r="71" spans="1:55">
      <c r="A71" s="134" t="s">
        <v>170</v>
      </c>
      <c r="B71" s="86" t="s">
        <v>77</v>
      </c>
      <c r="C71" s="11">
        <v>46033.461805555555</v>
      </c>
      <c r="D71" s="11">
        <v>46033.083333333336</v>
      </c>
      <c r="E71" s="11" t="s">
        <v>83</v>
      </c>
      <c r="F71" s="11" t="s">
        <v>183</v>
      </c>
      <c r="G71" s="11" t="s">
        <v>133</v>
      </c>
      <c r="H71" s="11" t="s">
        <v>91</v>
      </c>
      <c r="I71" s="86" t="s">
        <v>202</v>
      </c>
      <c r="J71" s="86" t="s">
        <v>82</v>
      </c>
      <c r="K71" s="11">
        <v>46033.833333333336</v>
      </c>
      <c r="L71" s="12">
        <v>46034.246527777781</v>
      </c>
      <c r="M71" s="12">
        <v>46034.25</v>
      </c>
      <c r="N71" s="12">
        <v>46034.270833333336</v>
      </c>
      <c r="O71" s="12" t="s">
        <v>63</v>
      </c>
      <c r="P71" s="135" t="s">
        <v>64</v>
      </c>
      <c r="Q71" s="3">
        <v>0</v>
      </c>
      <c r="R71" s="1">
        <f t="shared" si="22"/>
        <v>3</v>
      </c>
      <c r="S71" s="1">
        <f t="shared" si="23"/>
        <v>1</v>
      </c>
      <c r="T71" s="126">
        <f t="shared" si="24"/>
        <v>46034.246527777781</v>
      </c>
      <c r="U71" s="127">
        <f t="shared" si="25"/>
        <v>0.37152777778101154</v>
      </c>
      <c r="V71" s="128">
        <f>Table2[[#This Row],[ATA A OFRECIMIENTO]]*24</f>
        <v>8.9166666667442769</v>
      </c>
      <c r="W71" s="1" t="str">
        <f t="shared" si="26"/>
        <v>YES</v>
      </c>
      <c r="X71" s="127">
        <f t="shared" si="27"/>
        <v>0.41666666666424135</v>
      </c>
      <c r="Y71" s="128">
        <f>Table2[[#This Row],[DEL. AVAILABLE A SLOT]]*24</f>
        <v>9.9999999999417923</v>
      </c>
      <c r="Z71" s="1" t="str">
        <f t="shared" si="28"/>
        <v>SI</v>
      </c>
      <c r="AA71" s="127">
        <f t="shared" si="29"/>
        <v>0.78819444444525288</v>
      </c>
      <c r="AB71" s="128">
        <f>Table2[[#This Row],[ATA A TIMESLOT]]*24</f>
        <v>18.916666666686069</v>
      </c>
      <c r="AC71" s="127">
        <f t="shared" si="30"/>
        <v>0</v>
      </c>
      <c r="AD71" s="127" t="str">
        <f t="shared" si="31"/>
        <v>SI</v>
      </c>
      <c r="AE71" s="128">
        <f>Table2[[#This Row],[PUNTUALIDAD (H)]]*24</f>
        <v>0</v>
      </c>
      <c r="AF71" s="127">
        <f t="shared" si="32"/>
        <v>0.80902777778101154</v>
      </c>
      <c r="AG71" s="128">
        <f>Table2[[#This Row],[ATA TO UNLOADING]]*24</f>
        <v>19.416666666744277</v>
      </c>
      <c r="AH71" s="128" t="str">
        <f>IF(Table2[[#This Row],[ATA TO UNLOADING 2]]&lt;=48,"YES","NO")</f>
        <v>YES</v>
      </c>
      <c r="AJ71" s="129">
        <f t="shared" si="33"/>
        <v>0.25</v>
      </c>
      <c r="AK71" s="2" t="s">
        <v>64</v>
      </c>
      <c r="AL71" s="2" t="str">
        <f t="shared" si="34"/>
        <v>3/26</v>
      </c>
      <c r="AM71" s="2" t="str">
        <f t="shared" si="35"/>
        <v>HLXU8578424</v>
      </c>
      <c r="AN71" s="130" t="str">
        <f t="shared" si="36"/>
        <v>OM TRANSPORT</v>
      </c>
      <c r="AO71" s="50">
        <f>IF($O71="TRUCK",
VLOOKUP($AU71,Invoicing!$A$16:$B$56,MATCH($AO$1,Invoicing!$A$16:$B$16,0),FALSE)+IF(OR($B71="DCD",$B71="HPD2"),23.5,0),
VLOOKUP($AU71,Invoicing!$N$15:$O$19,MATCH($AO$1,Invoicing!$N$15:$O$15,0),FALSE)+IF(OR($B71="DCD",$B71="HPD2"),23.5,0))</f>
        <v>498.5</v>
      </c>
      <c r="AP71" s="131" t="e">
        <f>VLOOKUP($E71,Invoicing!$A$1:$H$12,MATCH(TRACKER!$P78,Invoicing!$A$1:$H$1,0),FALSE)</f>
        <v>#N/A</v>
      </c>
      <c r="AQ71" s="131">
        <f>VLOOKUP($E71,Invoicing!$A$1:$H$12,MATCH(TRACKER!$Q$1,Invoicing!$A$1:$H$1,0),FALSE)</f>
        <v>50</v>
      </c>
      <c r="AR71" s="131">
        <f t="shared" si="37"/>
        <v>0</v>
      </c>
      <c r="AS71" s="2">
        <f t="shared" si="38"/>
        <v>1</v>
      </c>
      <c r="AT71" s="2" t="str">
        <f t="shared" si="41"/>
        <v>WEEK</v>
      </c>
      <c r="AU71" s="2" t="str">
        <f t="shared" si="39"/>
        <v>OM TRANSPORTWEEK</v>
      </c>
      <c r="AV71" s="94">
        <f>(IF(ISNA(AP71),AO71+AR71,SUM($AO71,$AR71,IFERROR($AP71,"0"))))+Table2[[#This Row],[WAITING TIMES]]</f>
        <v>543.5</v>
      </c>
      <c r="AW71" s="48">
        <f>VLOOKUP(AN71,Invoicing!A:K,11,FALSE)</f>
        <v>20</v>
      </c>
      <c r="AX71" s="48">
        <v>45</v>
      </c>
      <c r="AY71" s="48" t="s">
        <v>203</v>
      </c>
      <c r="AZ71" s="48">
        <f t="shared" si="40"/>
        <v>563.5</v>
      </c>
      <c r="BA71" s="132">
        <f>VLOOKUP(AN71,Invoicing!A:J,10,FALSE)</f>
        <v>70</v>
      </c>
      <c r="BB71" s="132">
        <f>VLOOKUP(AN71,Invoicing!A:L,12,FALSE)</f>
        <v>1</v>
      </c>
      <c r="BC71" s="2" t="s">
        <v>66</v>
      </c>
    </row>
    <row r="72" spans="1:55">
      <c r="A72" s="134" t="s">
        <v>170</v>
      </c>
      <c r="B72" s="86" t="s">
        <v>77</v>
      </c>
      <c r="C72" s="11">
        <v>46033.461805555555</v>
      </c>
      <c r="D72" s="11">
        <v>46033.083333333336</v>
      </c>
      <c r="E72" s="11" t="s">
        <v>83</v>
      </c>
      <c r="F72" s="11" t="s">
        <v>171</v>
      </c>
      <c r="G72" s="11" t="s">
        <v>59</v>
      </c>
      <c r="H72" s="11" t="s">
        <v>91</v>
      </c>
      <c r="I72" s="86" t="s">
        <v>204</v>
      </c>
      <c r="J72" s="86" t="s">
        <v>100</v>
      </c>
      <c r="K72" s="11">
        <v>46033.833333333336</v>
      </c>
      <c r="L72" s="12">
        <v>46034.364583333336</v>
      </c>
      <c r="M72" s="12">
        <v>46034.375</v>
      </c>
      <c r="N72" s="12">
        <v>46034.371527777781</v>
      </c>
      <c r="O72" s="12" t="s">
        <v>63</v>
      </c>
      <c r="P72" s="135" t="s">
        <v>64</v>
      </c>
      <c r="Q72" s="3">
        <v>0</v>
      </c>
      <c r="R72" s="1">
        <f t="shared" si="22"/>
        <v>3</v>
      </c>
      <c r="S72" s="1">
        <f t="shared" si="23"/>
        <v>1</v>
      </c>
      <c r="T72" s="126">
        <f t="shared" si="24"/>
        <v>46034.364583333336</v>
      </c>
      <c r="U72" s="127">
        <f t="shared" si="25"/>
        <v>0.37152777778101154</v>
      </c>
      <c r="V72" s="128">
        <f>Table2[[#This Row],[ATA A OFRECIMIENTO]]*24</f>
        <v>8.9166666667442769</v>
      </c>
      <c r="W72" s="1" t="str">
        <f t="shared" si="26"/>
        <v>YES</v>
      </c>
      <c r="X72" s="127">
        <f t="shared" si="27"/>
        <v>0.54166666666424135</v>
      </c>
      <c r="Y72" s="128">
        <f>Table2[[#This Row],[DEL. AVAILABLE A SLOT]]*24</f>
        <v>12.999999999941792</v>
      </c>
      <c r="Z72" s="1" t="str">
        <f t="shared" si="28"/>
        <v>SI</v>
      </c>
      <c r="AA72" s="127">
        <f t="shared" si="29"/>
        <v>0.91319444444525288</v>
      </c>
      <c r="AB72" s="128">
        <f>Table2[[#This Row],[ATA A TIMESLOT]]*24</f>
        <v>21.916666666686069</v>
      </c>
      <c r="AC72" s="127">
        <f t="shared" si="30"/>
        <v>0</v>
      </c>
      <c r="AD72" s="127" t="str">
        <f t="shared" si="31"/>
        <v>SI</v>
      </c>
      <c r="AE72" s="128">
        <f>Table2[[#This Row],[PUNTUALIDAD (H)]]*24</f>
        <v>0</v>
      </c>
      <c r="AF72" s="127">
        <f t="shared" si="32"/>
        <v>0.90972222222626442</v>
      </c>
      <c r="AG72" s="128">
        <f>Table2[[#This Row],[ATA TO UNLOADING]]*24</f>
        <v>21.833333333430346</v>
      </c>
      <c r="AH72" s="128" t="str">
        <f>IF(Table2[[#This Row],[ATA TO UNLOADING 2]]&lt;=48,"YES","NO")</f>
        <v>YES</v>
      </c>
      <c r="AJ72" s="129">
        <f t="shared" si="33"/>
        <v>0.375</v>
      </c>
      <c r="AK72" s="2" t="s">
        <v>64</v>
      </c>
      <c r="AL72" s="2" t="str">
        <f t="shared" si="34"/>
        <v>3/26</v>
      </c>
      <c r="AM72" s="2" t="str">
        <f t="shared" si="35"/>
        <v>MIEU0024984</v>
      </c>
      <c r="AN72" s="130" t="str">
        <f t="shared" si="36"/>
        <v>OM TRANSPORT</v>
      </c>
      <c r="AO72" s="50">
        <f>IF($O72="TRUCK",
VLOOKUP($AU72,Invoicing!$A$16:$B$56,MATCH($AO$1,Invoicing!$A$16:$B$16,0),FALSE)+IF(OR($B72="DCD",$B72="HPD2"),23.5,0),
VLOOKUP($AU72,Invoicing!$N$15:$O$19,MATCH($AO$1,Invoicing!$N$15:$O$15,0),FALSE)+IF(OR($B72="DCD",$B72="HPD2"),23.5,0))</f>
        <v>498.5</v>
      </c>
      <c r="AP72" s="131" t="e">
        <f>VLOOKUP($E72,Invoicing!$A$1:$H$12,MATCH(TRACKER!$P79,Invoicing!$A$1:$H$1,0),FALSE)</f>
        <v>#N/A</v>
      </c>
      <c r="AQ72" s="131">
        <f>VLOOKUP($E72,Invoicing!$A$1:$H$12,MATCH(TRACKER!$Q$1,Invoicing!$A$1:$H$1,0),FALSE)</f>
        <v>50</v>
      </c>
      <c r="AR72" s="131">
        <f t="shared" si="37"/>
        <v>0</v>
      </c>
      <c r="AS72" s="2">
        <f t="shared" si="38"/>
        <v>1</v>
      </c>
      <c r="AT72" s="2" t="str">
        <f t="shared" si="41"/>
        <v>WEEK</v>
      </c>
      <c r="AU72" s="2" t="str">
        <f t="shared" si="39"/>
        <v>OM TRANSPORTWEEK</v>
      </c>
      <c r="AV72" s="94">
        <f>(IF(ISNA(AP72),AO72+AR72,SUM($AO72,$AR72,IFERROR($AP72,"0"))))+Table2[[#This Row],[WAITING TIMES]]</f>
        <v>498.5</v>
      </c>
      <c r="AW72" s="48">
        <f>VLOOKUP(AN72,Invoicing!A:K,11,FALSE)</f>
        <v>20</v>
      </c>
      <c r="AY72" s="48"/>
      <c r="AZ72" s="48">
        <f t="shared" si="40"/>
        <v>518.5</v>
      </c>
      <c r="BA72" s="132">
        <f>VLOOKUP(AN72,Invoicing!A:J,10,FALSE)</f>
        <v>70</v>
      </c>
      <c r="BB72" s="132">
        <f>VLOOKUP(AN72,Invoicing!A:L,12,FALSE)</f>
        <v>1</v>
      </c>
      <c r="BC72" s="2" t="s">
        <v>66</v>
      </c>
    </row>
    <row r="73" spans="1:55">
      <c r="A73" s="134" t="s">
        <v>170</v>
      </c>
      <c r="B73" s="86" t="s">
        <v>77</v>
      </c>
      <c r="C73" s="11">
        <v>46033.461805555555</v>
      </c>
      <c r="D73" s="11">
        <v>46033.083333333336</v>
      </c>
      <c r="E73" s="11" t="s">
        <v>83</v>
      </c>
      <c r="F73" s="11" t="s">
        <v>193</v>
      </c>
      <c r="G73" s="11" t="s">
        <v>59</v>
      </c>
      <c r="H73" s="11" t="s">
        <v>91</v>
      </c>
      <c r="I73" s="86" t="s">
        <v>205</v>
      </c>
      <c r="J73" s="86" t="s">
        <v>82</v>
      </c>
      <c r="K73" s="11">
        <v>46033.833333333336</v>
      </c>
      <c r="L73" s="12">
        <v>46033.896527777775</v>
      </c>
      <c r="M73" s="12">
        <v>46033.916666666664</v>
      </c>
      <c r="N73" s="12">
        <v>46033.902777777781</v>
      </c>
      <c r="O73" s="12" t="s">
        <v>63</v>
      </c>
      <c r="P73" s="135" t="s">
        <v>15</v>
      </c>
      <c r="Q73" s="3">
        <v>0</v>
      </c>
      <c r="R73" s="1">
        <f t="shared" si="22"/>
        <v>2</v>
      </c>
      <c r="S73" s="1">
        <f t="shared" si="23"/>
        <v>1</v>
      </c>
      <c r="T73" s="126">
        <f t="shared" si="24"/>
        <v>46033.896527777775</v>
      </c>
      <c r="U73" s="127">
        <f t="shared" si="25"/>
        <v>0.37152777778101154</v>
      </c>
      <c r="V73" s="128">
        <f>Table2[[#This Row],[ATA A OFRECIMIENTO]]*24</f>
        <v>8.9166666667442769</v>
      </c>
      <c r="W73" s="1" t="str">
        <f t="shared" si="26"/>
        <v>YES</v>
      </c>
      <c r="X73" s="127">
        <f t="shared" si="27"/>
        <v>8.3333333328482695E-2</v>
      </c>
      <c r="Y73" s="128">
        <f>Table2[[#This Row],[DEL. AVAILABLE A SLOT]]*24</f>
        <v>1.9999999998835847</v>
      </c>
      <c r="Z73" s="1" t="str">
        <f t="shared" si="28"/>
        <v>SI</v>
      </c>
      <c r="AA73" s="127">
        <f t="shared" si="29"/>
        <v>0.45486111110949423</v>
      </c>
      <c r="AB73" s="128">
        <f>Table2[[#This Row],[ATA A TIMESLOT]]*24</f>
        <v>10.916666666627862</v>
      </c>
      <c r="AC73" s="127">
        <f t="shared" si="30"/>
        <v>0</v>
      </c>
      <c r="AD73" s="127" t="str">
        <f t="shared" si="31"/>
        <v>SI</v>
      </c>
      <c r="AE73" s="128">
        <f>Table2[[#This Row],[PUNTUALIDAD (H)]]*24</f>
        <v>0</v>
      </c>
      <c r="AF73" s="127">
        <f t="shared" si="32"/>
        <v>0.44097222222626442</v>
      </c>
      <c r="AG73" s="128">
        <f>Table2[[#This Row],[ATA TO UNLOADING]]*24</f>
        <v>10.583333333430346</v>
      </c>
      <c r="AH73" s="128" t="str">
        <f>IF(Table2[[#This Row],[ATA TO UNLOADING 2]]&lt;=48,"YES","NO")</f>
        <v>YES</v>
      </c>
      <c r="AJ73" s="129">
        <f t="shared" si="33"/>
        <v>0.91666666666424135</v>
      </c>
      <c r="AK73" s="49" t="s">
        <v>36</v>
      </c>
      <c r="AL73" s="2" t="str">
        <f t="shared" si="34"/>
        <v>2/26</v>
      </c>
      <c r="AM73" s="2" t="str">
        <f t="shared" si="35"/>
        <v>MRSU3279600</v>
      </c>
      <c r="AN73" s="130" t="str">
        <f t="shared" si="36"/>
        <v>OM TRANSPORT</v>
      </c>
      <c r="AO73" s="50">
        <f>IF($O73="TRUCK",
VLOOKUP($AU73,Invoicing!$A$16:$B$56,MATCH($AO$1,Invoicing!$A$16:$B$16,0),FALSE)+IF(OR($B73="DCD",$B73="HPD2"),23.5,0),
VLOOKUP($AU73,Invoicing!$N$15:$O$19,MATCH($AO$1,Invoicing!$N$15:$O$15,0),FALSE)+IF(OR($B73="DCD",$B73="HPD2"),23.5,0))</f>
        <v>573.5</v>
      </c>
      <c r="AP73" s="131" t="e">
        <f>VLOOKUP($E73,Invoicing!$A$1:$H$12,MATCH(TRACKER!$P80,Invoicing!$A$1:$H$1,0),FALSE)</f>
        <v>#N/A</v>
      </c>
      <c r="AQ73" s="131">
        <f>VLOOKUP($E73,Invoicing!$A$1:$H$12,MATCH(TRACKER!$Q$1,Invoicing!$A$1:$H$1,0),FALSE)</f>
        <v>50</v>
      </c>
      <c r="AR73" s="131">
        <f t="shared" si="37"/>
        <v>0</v>
      </c>
      <c r="AS73" s="2">
        <f t="shared" si="38"/>
        <v>7</v>
      </c>
      <c r="AT73" s="2" t="str">
        <f t="shared" si="41"/>
        <v>SUNDAY</v>
      </c>
      <c r="AU73" s="2" t="str">
        <f t="shared" si="39"/>
        <v>OM TRANSPORTSUNDAY</v>
      </c>
      <c r="AV73" s="94">
        <f>(IF(ISNA(AP73),AO73+AR73,SUM($AO73,$AR73,IFERROR($AP73,"0"))))+Table2[[#This Row],[WAITING TIMES]]</f>
        <v>641</v>
      </c>
      <c r="AW73" s="48">
        <f>VLOOKUP(AN73,Invoicing!A:K,11,FALSE)</f>
        <v>20</v>
      </c>
      <c r="AX73" s="48">
        <v>67.5</v>
      </c>
      <c r="AY73" s="48" t="s">
        <v>206</v>
      </c>
      <c r="AZ73" s="48">
        <f t="shared" si="40"/>
        <v>661</v>
      </c>
      <c r="BA73" s="132">
        <f>VLOOKUP(AN73,Invoicing!A:J,10,FALSE)</f>
        <v>70</v>
      </c>
      <c r="BB73" s="132">
        <f>VLOOKUP(AN73,Invoicing!A:L,12,FALSE)</f>
        <v>1</v>
      </c>
      <c r="BC73" s="2" t="s">
        <v>66</v>
      </c>
    </row>
    <row r="74" spans="1:55">
      <c r="A74" s="134" t="s">
        <v>170</v>
      </c>
      <c r="B74" s="86" t="s">
        <v>77</v>
      </c>
      <c r="C74" s="11">
        <v>46033.461805555555</v>
      </c>
      <c r="D74" s="11">
        <v>46033.083333333336</v>
      </c>
      <c r="E74" s="11" t="s">
        <v>83</v>
      </c>
      <c r="F74" s="11" t="s">
        <v>171</v>
      </c>
      <c r="G74" s="11" t="s">
        <v>59</v>
      </c>
      <c r="H74" s="11" t="s">
        <v>91</v>
      </c>
      <c r="I74" s="86" t="s">
        <v>207</v>
      </c>
      <c r="J74" s="86" t="s">
        <v>82</v>
      </c>
      <c r="K74" s="11">
        <v>46033.833333333336</v>
      </c>
      <c r="L74" s="12">
        <v>46034.473611111112</v>
      </c>
      <c r="M74" s="12">
        <v>46034.458333333336</v>
      </c>
      <c r="N74" s="12">
        <v>46034.736111111109</v>
      </c>
      <c r="O74" s="12" t="s">
        <v>63</v>
      </c>
      <c r="P74" s="135" t="s">
        <v>64</v>
      </c>
      <c r="Q74" s="3">
        <v>0</v>
      </c>
      <c r="R74" s="1">
        <f t="shared" si="22"/>
        <v>3</v>
      </c>
      <c r="S74" s="1">
        <f t="shared" si="23"/>
        <v>1</v>
      </c>
      <c r="T74" s="126">
        <f t="shared" si="24"/>
        <v>46034.473611111112</v>
      </c>
      <c r="U74" s="127">
        <f t="shared" si="25"/>
        <v>0.37152777778101154</v>
      </c>
      <c r="V74" s="128">
        <f>Table2[[#This Row],[ATA A OFRECIMIENTO]]*24</f>
        <v>8.9166666667442769</v>
      </c>
      <c r="W74" s="1" t="str">
        <f t="shared" si="26"/>
        <v>YES</v>
      </c>
      <c r="X74" s="127">
        <f t="shared" si="27"/>
        <v>0.625</v>
      </c>
      <c r="Y74" s="128">
        <f>Table2[[#This Row],[DEL. AVAILABLE A SLOT]]*24</f>
        <v>15</v>
      </c>
      <c r="Z74" s="1" t="str">
        <f t="shared" si="28"/>
        <v>SI</v>
      </c>
      <c r="AA74" s="127">
        <f t="shared" si="29"/>
        <v>0.99652777778101154</v>
      </c>
      <c r="AB74" s="128">
        <f>Table2[[#This Row],[ATA A TIMESLOT]]*24</f>
        <v>23.916666666744277</v>
      </c>
      <c r="AC74" s="127">
        <f t="shared" si="30"/>
        <v>1.5277777776645962E-2</v>
      </c>
      <c r="AD74" s="127" t="str">
        <f t="shared" si="31"/>
        <v>SI</v>
      </c>
      <c r="AE74" s="128">
        <f>Table2[[#This Row],[PUNTUALIDAD (H)]]*24</f>
        <v>0.36666666663950309</v>
      </c>
      <c r="AF74" s="127">
        <f t="shared" si="32"/>
        <v>1.2743055555547471</v>
      </c>
      <c r="AG74" s="128">
        <f>Table2[[#This Row],[ATA TO UNLOADING]]*24</f>
        <v>30.583333333313931</v>
      </c>
      <c r="AH74" s="128" t="str">
        <f>IF(Table2[[#This Row],[ATA TO UNLOADING 2]]&lt;=48,"YES","NO")</f>
        <v>YES</v>
      </c>
      <c r="AJ74" s="129">
        <f t="shared" si="33"/>
        <v>0.45833333333575865</v>
      </c>
      <c r="AK74" s="2" t="s">
        <v>64</v>
      </c>
      <c r="AL74" s="2" t="str">
        <f t="shared" si="34"/>
        <v>3/26</v>
      </c>
      <c r="AM74" s="2" t="str">
        <f t="shared" si="35"/>
        <v>MRSU8498576</v>
      </c>
      <c r="AN74" s="130" t="str">
        <f t="shared" si="36"/>
        <v>OM TRANSPORT</v>
      </c>
      <c r="AO74" s="50">
        <f>IF($O74="TRUCK",
VLOOKUP($AU74,Invoicing!$A$16:$B$56,MATCH($AO$1,Invoicing!$A$16:$B$16,0),FALSE)+IF(OR($B74="DCD",$B74="HPD2"),23.5,0),
VLOOKUP($AU74,Invoicing!$N$15:$O$19,MATCH($AO$1,Invoicing!$N$15:$O$15,0),FALSE)+IF(OR($B74="DCD",$B74="HPD2"),23.5,0))</f>
        <v>498.5</v>
      </c>
      <c r="AP74" s="131" t="e">
        <f>VLOOKUP($E74,Invoicing!$A$1:$H$12,MATCH(TRACKER!$P81,Invoicing!$A$1:$H$1,0),FALSE)</f>
        <v>#N/A</v>
      </c>
      <c r="AQ74" s="131">
        <f>VLOOKUP($E74,Invoicing!$A$1:$H$12,MATCH(TRACKER!$Q$1,Invoicing!$A$1:$H$1,0),FALSE)</f>
        <v>50</v>
      </c>
      <c r="AR74" s="131">
        <f t="shared" si="37"/>
        <v>0</v>
      </c>
      <c r="AS74" s="2">
        <f t="shared" si="38"/>
        <v>1</v>
      </c>
      <c r="AT74" s="2" t="str">
        <f t="shared" si="41"/>
        <v>WEEK</v>
      </c>
      <c r="AU74" s="2" t="str">
        <f t="shared" si="39"/>
        <v>OM TRANSPORTWEEK</v>
      </c>
      <c r="AV74" s="94">
        <f>(IF(ISNA(AP74),AO74+AR74,SUM($AO74,$AR74,IFERROR($AP74,"0"))))+Table2[[#This Row],[WAITING TIMES]]</f>
        <v>836</v>
      </c>
      <c r="AW74" s="48">
        <f>VLOOKUP(AN74,Invoicing!A:K,11,FALSE)</f>
        <v>20</v>
      </c>
      <c r="AX74" s="48">
        <v>337.5</v>
      </c>
      <c r="AY74" s="48" t="s">
        <v>208</v>
      </c>
      <c r="AZ74" s="48">
        <f t="shared" si="40"/>
        <v>856</v>
      </c>
      <c r="BA74" s="132">
        <f>VLOOKUP(AN74,Invoicing!A:J,10,FALSE)</f>
        <v>70</v>
      </c>
      <c r="BB74" s="132">
        <f>VLOOKUP(AN74,Invoicing!A:L,12,FALSE)</f>
        <v>1</v>
      </c>
      <c r="BC74" s="2" t="s">
        <v>66</v>
      </c>
    </row>
    <row r="75" spans="1:55">
      <c r="A75" s="134" t="s">
        <v>170</v>
      </c>
      <c r="B75" s="86" t="s">
        <v>77</v>
      </c>
      <c r="C75" s="11">
        <v>46033.461805555555</v>
      </c>
      <c r="D75" s="11">
        <v>46033.083333333336</v>
      </c>
      <c r="E75" s="11" t="s">
        <v>83</v>
      </c>
      <c r="F75" s="11" t="s">
        <v>171</v>
      </c>
      <c r="G75" s="11" t="s">
        <v>59</v>
      </c>
      <c r="H75" s="11" t="s">
        <v>91</v>
      </c>
      <c r="I75" s="86" t="s">
        <v>209</v>
      </c>
      <c r="J75" s="86" t="s">
        <v>82</v>
      </c>
      <c r="K75" s="11">
        <v>46033.833333333336</v>
      </c>
      <c r="L75" s="12">
        <v>46034.808333333334</v>
      </c>
      <c r="M75" s="12">
        <v>46034.833333333336</v>
      </c>
      <c r="N75" s="12">
        <v>46034.861111111109</v>
      </c>
      <c r="O75" s="12" t="s">
        <v>63</v>
      </c>
      <c r="P75" s="135" t="s">
        <v>64</v>
      </c>
      <c r="Q75" s="3">
        <v>0</v>
      </c>
      <c r="R75" s="1">
        <f t="shared" si="22"/>
        <v>3</v>
      </c>
      <c r="S75" s="1">
        <f t="shared" si="23"/>
        <v>1</v>
      </c>
      <c r="T75" s="126">
        <f t="shared" si="24"/>
        <v>46034.808333333334</v>
      </c>
      <c r="U75" s="127">
        <f t="shared" si="25"/>
        <v>0.37152777778101154</v>
      </c>
      <c r="V75" s="128">
        <f>Table2[[#This Row],[ATA A OFRECIMIENTO]]*24</f>
        <v>8.9166666667442769</v>
      </c>
      <c r="W75" s="1" t="str">
        <f t="shared" si="26"/>
        <v>YES</v>
      </c>
      <c r="X75" s="127">
        <f t="shared" si="27"/>
        <v>1</v>
      </c>
      <c r="Y75" s="128">
        <f>Table2[[#This Row],[DEL. AVAILABLE A SLOT]]*24</f>
        <v>24</v>
      </c>
      <c r="Z75" s="1" t="str">
        <f t="shared" si="28"/>
        <v>SI</v>
      </c>
      <c r="AA75" s="127">
        <f t="shared" si="29"/>
        <v>1.3715277777810115</v>
      </c>
      <c r="AB75" s="128">
        <f>Table2[[#This Row],[ATA A TIMESLOT]]*24</f>
        <v>32.916666666744277</v>
      </c>
      <c r="AC75" s="127">
        <f t="shared" si="30"/>
        <v>0</v>
      </c>
      <c r="AD75" s="127" t="str">
        <f t="shared" si="31"/>
        <v>SI</v>
      </c>
      <c r="AE75" s="128">
        <f>Table2[[#This Row],[PUNTUALIDAD (H)]]*24</f>
        <v>0</v>
      </c>
      <c r="AF75" s="127">
        <f t="shared" si="32"/>
        <v>1.3993055555547471</v>
      </c>
      <c r="AG75" s="128">
        <f>Table2[[#This Row],[ATA TO UNLOADING]]*24</f>
        <v>33.583333333313931</v>
      </c>
      <c r="AH75" s="128" t="str">
        <f>IF(Table2[[#This Row],[ATA TO UNLOADING 2]]&lt;=48,"YES","NO")</f>
        <v>YES</v>
      </c>
      <c r="AJ75" s="129">
        <f t="shared" si="33"/>
        <v>0.83333333333575865</v>
      </c>
      <c r="AK75" s="49" t="s">
        <v>36</v>
      </c>
      <c r="AL75" s="2" t="str">
        <f t="shared" si="34"/>
        <v>3/26</v>
      </c>
      <c r="AM75" s="2" t="str">
        <f t="shared" si="35"/>
        <v>MSKU1678560</v>
      </c>
      <c r="AN75" s="130" t="str">
        <f t="shared" si="36"/>
        <v>OM TRANSPORT</v>
      </c>
      <c r="AO75" s="50">
        <f>IF($O75="TRUCK",
VLOOKUP($AU75,Invoicing!$A$16:$B$56,MATCH($AO$1,Invoicing!$A$16:$B$16,0),FALSE)+IF(OR($B75="DCD",$B75="HPD2"),23.5,0),
VLOOKUP($AU75,Invoicing!$N$15:$O$19,MATCH($AO$1,Invoicing!$N$15:$O$15,0),FALSE)+IF(OR($B75="DCD",$B75="HPD2"),23.5,0))</f>
        <v>498.5</v>
      </c>
      <c r="AP75" s="131" t="e">
        <f>VLOOKUP($E75,Invoicing!$A$1:$H$12,MATCH(TRACKER!$P82,Invoicing!$A$1:$H$1,0),FALSE)</f>
        <v>#N/A</v>
      </c>
      <c r="AQ75" s="131">
        <f>VLOOKUP($E75,Invoicing!$A$1:$H$12,MATCH(TRACKER!$Q$1,Invoicing!$A$1:$H$1,0),FALSE)</f>
        <v>50</v>
      </c>
      <c r="AR75" s="131">
        <f t="shared" si="37"/>
        <v>0</v>
      </c>
      <c r="AS75" s="2">
        <f t="shared" si="38"/>
        <v>1</v>
      </c>
      <c r="AT75" s="2" t="str">
        <f t="shared" si="41"/>
        <v>NIGHT</v>
      </c>
      <c r="AU75" s="2" t="str">
        <f t="shared" si="39"/>
        <v>OM TRANSPORTNIGHT</v>
      </c>
      <c r="AV75" s="94">
        <f>(IF(ISNA(AP75),AO75+AR75,SUM($AO75,$AR75,IFERROR($AP75,"0"))))+Table2[[#This Row],[WAITING TIMES]]</f>
        <v>521</v>
      </c>
      <c r="AW75" s="48">
        <f>VLOOKUP(AN75,Invoicing!A:K,11,FALSE)</f>
        <v>20</v>
      </c>
      <c r="AX75" s="48">
        <v>22.5</v>
      </c>
      <c r="AY75" s="48" t="s">
        <v>210</v>
      </c>
      <c r="AZ75" s="48">
        <f t="shared" si="40"/>
        <v>541</v>
      </c>
      <c r="BA75" s="132">
        <f>VLOOKUP(AN75,Invoicing!A:J,10,FALSE)</f>
        <v>70</v>
      </c>
      <c r="BB75" s="132">
        <f>VLOOKUP(AN75,Invoicing!A:L,12,FALSE)</f>
        <v>1</v>
      </c>
      <c r="BC75" s="2" t="s">
        <v>66</v>
      </c>
    </row>
    <row r="76" spans="1:55">
      <c r="A76" s="136" t="s">
        <v>170</v>
      </c>
      <c r="B76" s="88" t="s">
        <v>77</v>
      </c>
      <c r="C76" s="89">
        <v>46033.461805555555</v>
      </c>
      <c r="D76" s="89">
        <v>46033.083333333336</v>
      </c>
      <c r="E76" s="89" t="s">
        <v>83</v>
      </c>
      <c r="F76" s="89" t="s">
        <v>171</v>
      </c>
      <c r="G76" s="89" t="s">
        <v>59</v>
      </c>
      <c r="H76" s="89" t="s">
        <v>91</v>
      </c>
      <c r="I76" s="88" t="s">
        <v>211</v>
      </c>
      <c r="J76" s="88" t="s">
        <v>100</v>
      </c>
      <c r="K76" s="89">
        <v>46033.833333333336</v>
      </c>
      <c r="L76" s="90">
        <v>46034.309027777781</v>
      </c>
      <c r="M76" s="90">
        <v>46034.291666666664</v>
      </c>
      <c r="N76" s="90">
        <v>46034.315972222219</v>
      </c>
      <c r="O76" s="90" t="s">
        <v>63</v>
      </c>
      <c r="P76" s="137" t="s">
        <v>64</v>
      </c>
      <c r="Q76" s="91">
        <v>0</v>
      </c>
      <c r="R76" s="1">
        <f t="shared" si="22"/>
        <v>3</v>
      </c>
      <c r="S76" s="1">
        <f t="shared" si="23"/>
        <v>1</v>
      </c>
      <c r="T76" s="126">
        <f t="shared" si="24"/>
        <v>46034.309027777781</v>
      </c>
      <c r="U76" s="127">
        <f t="shared" si="25"/>
        <v>0.37152777778101154</v>
      </c>
      <c r="V76" s="128">
        <f>Table2[[#This Row],[ATA A OFRECIMIENTO]]*24</f>
        <v>8.9166666667442769</v>
      </c>
      <c r="W76" s="1" t="str">
        <f t="shared" si="26"/>
        <v>YES</v>
      </c>
      <c r="X76" s="127">
        <f t="shared" si="27"/>
        <v>0.45833333332848269</v>
      </c>
      <c r="Y76" s="128">
        <f>Table2[[#This Row],[DEL. AVAILABLE A SLOT]]*24</f>
        <v>10.999999999883585</v>
      </c>
      <c r="Z76" s="1" t="str">
        <f t="shared" si="28"/>
        <v>SI</v>
      </c>
      <c r="AA76" s="127">
        <f t="shared" si="29"/>
        <v>0.82986111110949423</v>
      </c>
      <c r="AB76" s="128">
        <f>Table2[[#This Row],[ATA A TIMESLOT]]*24</f>
        <v>19.916666666627862</v>
      </c>
      <c r="AC76" s="127">
        <f t="shared" si="30"/>
        <v>1.7361111116770189E-2</v>
      </c>
      <c r="AD76" s="127" t="str">
        <f t="shared" si="31"/>
        <v>SI</v>
      </c>
      <c r="AE76" s="128">
        <f>Table2[[#This Row],[PUNTUALIDAD (H)]]*24</f>
        <v>0.41666666680248454</v>
      </c>
      <c r="AF76" s="127">
        <f t="shared" si="32"/>
        <v>0.85416666666424135</v>
      </c>
      <c r="AG76" s="128">
        <f>Table2[[#This Row],[ATA TO UNLOADING]]*24</f>
        <v>20.499999999941792</v>
      </c>
      <c r="AH76" s="128" t="str">
        <f>IF(Table2[[#This Row],[ATA TO UNLOADING 2]]&lt;=48,"YES","NO")</f>
        <v>YES</v>
      </c>
      <c r="AJ76" s="129">
        <f t="shared" si="33"/>
        <v>0.29166666666424135</v>
      </c>
      <c r="AK76" s="2" t="s">
        <v>64</v>
      </c>
      <c r="AL76" s="2" t="str">
        <f t="shared" si="34"/>
        <v>3/26</v>
      </c>
      <c r="AM76" s="2" t="str">
        <f t="shared" si="35"/>
        <v>TRHU4436624</v>
      </c>
      <c r="AN76" s="130" t="str">
        <f t="shared" si="36"/>
        <v>OM TRANSPORT</v>
      </c>
      <c r="AO76" s="50">
        <f>IF($O76="TRUCK",
VLOOKUP($AU76,Invoicing!$A$16:$B$56,MATCH($AO$1,Invoicing!$A$16:$B$16,0),FALSE)+IF(OR($B76="DCD",$B76="HPD2"),23.5,0),
VLOOKUP($AU76,Invoicing!$N$15:$O$19,MATCH($AO$1,Invoicing!$N$15:$O$15,0),FALSE)+IF(OR($B76="DCD",$B76="HPD2"),23.5,0))</f>
        <v>498.5</v>
      </c>
      <c r="AP76" s="131" t="e">
        <f>VLOOKUP($E76,Invoicing!$A$1:$H$12,MATCH(TRACKER!$P83,Invoicing!$A$1:$H$1,0),FALSE)</f>
        <v>#N/A</v>
      </c>
      <c r="AQ76" s="131">
        <f>VLOOKUP($E76,Invoicing!$A$1:$H$12,MATCH(TRACKER!$Q$1,Invoicing!$A$1:$H$1,0),FALSE)</f>
        <v>50</v>
      </c>
      <c r="AR76" s="131">
        <f t="shared" si="37"/>
        <v>0</v>
      </c>
      <c r="AS76" s="2">
        <f t="shared" si="38"/>
        <v>1</v>
      </c>
      <c r="AT76" s="2" t="str">
        <f t="shared" si="41"/>
        <v>WEEK</v>
      </c>
      <c r="AU76" s="2" t="str">
        <f t="shared" si="39"/>
        <v>OM TRANSPORTWEEK</v>
      </c>
      <c r="AV76" s="94">
        <f>(IF(ISNA(AP76),AO76+AR76,SUM($AO76,$AR76,IFERROR($AP76,"0"))))+Table2[[#This Row],[WAITING TIMES]]</f>
        <v>498.5</v>
      </c>
      <c r="AW76" s="48">
        <f>VLOOKUP(AN76,Invoicing!A:K,11,FALSE)</f>
        <v>20</v>
      </c>
      <c r="AY76" s="48"/>
      <c r="AZ76" s="48">
        <f t="shared" si="40"/>
        <v>518.5</v>
      </c>
      <c r="BA76" s="132">
        <f>VLOOKUP(AN76,Invoicing!A:J,10,FALSE)</f>
        <v>70</v>
      </c>
      <c r="BB76" s="132">
        <f>VLOOKUP(AN76,Invoicing!A:L,12,FALSE)</f>
        <v>1</v>
      </c>
      <c r="BC76" s="2" t="s">
        <v>66</v>
      </c>
    </row>
    <row r="77" spans="1:55">
      <c r="A77" s="134" t="s">
        <v>212</v>
      </c>
      <c r="B77" s="86" t="s">
        <v>56</v>
      </c>
      <c r="C77" s="11">
        <v>46036.09375</v>
      </c>
      <c r="D77" s="11">
        <v>46035.75</v>
      </c>
      <c r="E77" s="11" t="s">
        <v>57</v>
      </c>
      <c r="F77" s="11" t="s">
        <v>213</v>
      </c>
      <c r="G77" s="11" t="s">
        <v>59</v>
      </c>
      <c r="H77" s="11" t="s">
        <v>144</v>
      </c>
      <c r="I77" s="86" t="s">
        <v>214</v>
      </c>
      <c r="J77" s="86" t="s">
        <v>100</v>
      </c>
      <c r="K77" s="11">
        <v>46036.791666666664</v>
      </c>
      <c r="L77" s="12">
        <v>46037.588888888888</v>
      </c>
      <c r="M77" s="12">
        <v>46037.583333333336</v>
      </c>
      <c r="N77" s="12">
        <v>46037.59375</v>
      </c>
      <c r="O77" s="90" t="s">
        <v>63</v>
      </c>
      <c r="P77" s="135" t="s">
        <v>64</v>
      </c>
      <c r="Q77" s="86">
        <v>0</v>
      </c>
      <c r="R77" s="1">
        <f t="shared" si="22"/>
        <v>3</v>
      </c>
      <c r="S77" s="1">
        <f t="shared" si="23"/>
        <v>1</v>
      </c>
      <c r="T77" s="126">
        <f t="shared" si="24"/>
        <v>46037.588888888888</v>
      </c>
      <c r="U77" s="127">
        <f t="shared" si="25"/>
        <v>0.69791666666424135</v>
      </c>
      <c r="V77" s="128">
        <f>Table2[[#This Row],[ATA A OFRECIMIENTO]]*24</f>
        <v>16.749999999941792</v>
      </c>
      <c r="W77" s="1" t="str">
        <f t="shared" si="26"/>
        <v>YES</v>
      </c>
      <c r="X77" s="127">
        <f t="shared" si="27"/>
        <v>0.79166666667151731</v>
      </c>
      <c r="Y77" s="128">
        <f>Table2[[#This Row],[DEL. AVAILABLE A SLOT]]*24</f>
        <v>19.000000000116415</v>
      </c>
      <c r="Z77" s="1" t="str">
        <f t="shared" si="28"/>
        <v>SI</v>
      </c>
      <c r="AA77" s="127">
        <f t="shared" si="29"/>
        <v>1.4895833333357587</v>
      </c>
      <c r="AB77" s="128">
        <f>Table2[[#This Row],[ATA A TIMESLOT]]*24</f>
        <v>35.750000000058208</v>
      </c>
      <c r="AC77" s="127">
        <f t="shared" si="30"/>
        <v>5.5555555518367328E-3</v>
      </c>
      <c r="AD77" s="127" t="str">
        <f t="shared" si="31"/>
        <v>SI</v>
      </c>
      <c r="AE77" s="128">
        <f>Table2[[#This Row],[PUNTUALIDAD (H)]]*24</f>
        <v>0.13333333324408159</v>
      </c>
      <c r="AF77" s="127">
        <f t="shared" si="32"/>
        <v>1.5</v>
      </c>
      <c r="AG77" s="128">
        <f>Table2[[#This Row],[ATA TO UNLOADING]]*24</f>
        <v>36</v>
      </c>
      <c r="AH77" s="128" t="str">
        <f>IF(Table2[[#This Row],[ATA TO UNLOADING 2]]&lt;=48,"YES","NO")</f>
        <v>YES</v>
      </c>
      <c r="AJ77" s="129">
        <f t="shared" si="33"/>
        <v>0.58333333333575865</v>
      </c>
      <c r="AK77" s="2" t="s">
        <v>64</v>
      </c>
      <c r="AL77" s="2" t="str">
        <f t="shared" si="34"/>
        <v>3/26</v>
      </c>
      <c r="AM77" s="2" t="str">
        <f t="shared" si="35"/>
        <v>MSKU4738873</v>
      </c>
      <c r="AN77" s="130" t="str">
        <f t="shared" si="36"/>
        <v>CTK TRANSPORT</v>
      </c>
      <c r="AO77" s="141">
        <f>IF($O77="TRUCK",
VLOOKUP($AU77,Invoicing!$A$16:$B$56,MATCH($AO$1,Invoicing!$A$16:$B$16,0),FALSE)+IF(OR($B77="DCD",$B77="HPD2"),23.5,0),
VLOOKUP($AU77,Invoicing!$N$15:$O$19,MATCH($AO$1,Invoicing!$N$15:$O$15,0),FALSE)+IF(OR($B77="DCD",$B77="HPD2"),23.5,0))</f>
        <v>550</v>
      </c>
      <c r="AP77" s="131" t="e">
        <f>VLOOKUP($E77,Invoicing!$A$1:$H$12,MATCH(TRACKER!$P94,Invoicing!$A$1:$H$1,0),FALSE)</f>
        <v>#N/A</v>
      </c>
      <c r="AQ77" s="131">
        <f>VLOOKUP($E77,Invoicing!$A$1:$H$12,MATCH(TRACKER!$Q$1,Invoicing!$A$1:$H$1,0),FALSE)</f>
        <v>50</v>
      </c>
      <c r="AR77" s="131">
        <f t="shared" si="37"/>
        <v>0</v>
      </c>
      <c r="AS77" s="2">
        <f t="shared" si="38"/>
        <v>4</v>
      </c>
      <c r="AT77" s="2" t="str">
        <f t="shared" si="41"/>
        <v>WEEK</v>
      </c>
      <c r="AU77" s="2" t="str">
        <f t="shared" si="39"/>
        <v>CTK TRANSPORTWEEK</v>
      </c>
      <c r="AV77" s="94">
        <f>(IF(ISNA(AP77),AO77+AR77,SUM($AO77,$AR77,IFERROR($AP77,"0"))))+Table2[[#This Row],[WAITING TIMES]]</f>
        <v>550</v>
      </c>
      <c r="AW77" s="48">
        <f>VLOOKUP(AN77,Invoicing!A:K,11,FALSE)</f>
        <v>20</v>
      </c>
      <c r="AY77" s="48"/>
      <c r="AZ77" s="48">
        <f t="shared" si="40"/>
        <v>570</v>
      </c>
      <c r="BA77" s="132">
        <f>VLOOKUP(AN77,Invoicing!A:J,10,FALSE)</f>
        <v>70</v>
      </c>
      <c r="BB77" s="132">
        <f>VLOOKUP(AN77,Invoicing!A:L,12,FALSE)</f>
        <v>1</v>
      </c>
      <c r="BC77" s="2" t="s">
        <v>66</v>
      </c>
    </row>
    <row r="78" spans="1:55">
      <c r="A78" s="134" t="s">
        <v>212</v>
      </c>
      <c r="B78" s="86" t="s">
        <v>56</v>
      </c>
      <c r="C78" s="11">
        <v>46036.09375</v>
      </c>
      <c r="D78" s="11">
        <v>46035.75</v>
      </c>
      <c r="E78" s="11" t="s">
        <v>57</v>
      </c>
      <c r="F78" s="11" t="s">
        <v>215</v>
      </c>
      <c r="G78" s="11" t="s">
        <v>59</v>
      </c>
      <c r="H78" s="11" t="s">
        <v>68</v>
      </c>
      <c r="I78" s="86" t="s">
        <v>216</v>
      </c>
      <c r="J78" s="86" t="s">
        <v>100</v>
      </c>
      <c r="K78" s="11">
        <v>46036.791666666664</v>
      </c>
      <c r="L78" s="12">
        <v>46037.458333333336</v>
      </c>
      <c r="M78" s="12">
        <v>46037.395833333336</v>
      </c>
      <c r="N78" s="12">
        <v>46037.465277777781</v>
      </c>
      <c r="O78" s="90" t="s">
        <v>63</v>
      </c>
      <c r="P78" s="135" t="s">
        <v>64</v>
      </c>
      <c r="Q78" s="86">
        <v>0</v>
      </c>
      <c r="R78" s="1">
        <f t="shared" si="22"/>
        <v>3</v>
      </c>
      <c r="S78" s="1">
        <f t="shared" si="23"/>
        <v>1</v>
      </c>
      <c r="T78" s="126">
        <f t="shared" si="24"/>
        <v>46037.458333333336</v>
      </c>
      <c r="U78" s="127">
        <f t="shared" si="25"/>
        <v>0.69791666666424135</v>
      </c>
      <c r="V78" s="128">
        <f>Table2[[#This Row],[ATA A OFRECIMIENTO]]*24</f>
        <v>16.749999999941792</v>
      </c>
      <c r="W78" s="1" t="str">
        <f t="shared" si="26"/>
        <v>YES</v>
      </c>
      <c r="X78" s="127">
        <f t="shared" si="27"/>
        <v>0.60416666667151731</v>
      </c>
      <c r="Y78" s="128">
        <f>Table2[[#This Row],[DEL. AVAILABLE A SLOT]]*24</f>
        <v>14.500000000116415</v>
      </c>
      <c r="Z78" s="1" t="str">
        <f t="shared" si="28"/>
        <v>SI</v>
      </c>
      <c r="AA78" s="127">
        <f t="shared" si="29"/>
        <v>1.3020833333357587</v>
      </c>
      <c r="AB78" s="128">
        <f>Table2[[#This Row],[ATA A TIMESLOT]]*24</f>
        <v>31.250000000058208</v>
      </c>
      <c r="AC78" s="127">
        <f t="shared" si="30"/>
        <v>6.25E-2</v>
      </c>
      <c r="AD78" s="127" t="str">
        <f t="shared" si="31"/>
        <v>NO</v>
      </c>
      <c r="AE78" s="128">
        <f>Table2[[#This Row],[PUNTUALIDAD (H)]]*24</f>
        <v>1.5</v>
      </c>
      <c r="AF78" s="127">
        <f t="shared" si="32"/>
        <v>1.3715277777810115</v>
      </c>
      <c r="AG78" s="128">
        <f>Table2[[#This Row],[ATA TO UNLOADING]]*24</f>
        <v>32.916666666744277</v>
      </c>
      <c r="AH78" s="128" t="str">
        <f>IF(Table2[[#This Row],[ATA TO UNLOADING 2]]&lt;=48,"YES","NO")</f>
        <v>YES</v>
      </c>
      <c r="AJ78" s="129">
        <f t="shared" si="33"/>
        <v>0.39583333333575865</v>
      </c>
      <c r="AK78" s="2" t="s">
        <v>64</v>
      </c>
      <c r="AL78" s="2" t="str">
        <f t="shared" si="34"/>
        <v>3/26</v>
      </c>
      <c r="AM78" s="2" t="str">
        <f t="shared" si="35"/>
        <v>TCKU7414512</v>
      </c>
      <c r="AN78" s="130" t="str">
        <f t="shared" si="36"/>
        <v>CTK TRANSPORT</v>
      </c>
      <c r="AO78" s="141">
        <f>IF($O78="TRUCK",
VLOOKUP($AU78,Invoicing!$A$16:$B$56,MATCH($AO$1,Invoicing!$A$16:$B$16,0),FALSE)+IF(OR($B78="DCD",$B78="HPD2"),23.5,0),
VLOOKUP($AU78,Invoicing!$N$15:$O$19,MATCH($AO$1,Invoicing!$N$15:$O$15,0),FALSE)+IF(OR($B78="DCD",$B78="HPD2"),23.5,0))</f>
        <v>550</v>
      </c>
      <c r="AP78" s="131" t="e">
        <f>VLOOKUP($E78,Invoicing!$A$1:$H$12,MATCH(TRACKER!$P9,Invoicing!$A$1:$H$1,0),FALSE)</f>
        <v>#N/A</v>
      </c>
      <c r="AQ78" s="131">
        <f>VLOOKUP($E78,Invoicing!$A$1:$H$12,MATCH(TRACKER!$Q$1,Invoicing!$A$1:$H$1,0),FALSE)</f>
        <v>50</v>
      </c>
      <c r="AR78" s="131">
        <f t="shared" si="37"/>
        <v>0</v>
      </c>
      <c r="AS78" s="2">
        <f t="shared" si="38"/>
        <v>4</v>
      </c>
      <c r="AT78" s="2" t="str">
        <f t="shared" si="41"/>
        <v>WEEK</v>
      </c>
      <c r="AU78" s="2" t="str">
        <f t="shared" si="39"/>
        <v>CTK TRANSPORTWEEK</v>
      </c>
      <c r="AV78" s="94">
        <f>(IF(ISNA(AP78),AO78+AR78,SUM($AO78,$AR78,IFERROR($AP78,"0"))))+Table2[[#This Row],[WAITING TIMES]]</f>
        <v>550</v>
      </c>
      <c r="AW78" s="48">
        <f>VLOOKUP(AN78,Invoicing!A:K,11,FALSE)</f>
        <v>20</v>
      </c>
      <c r="AY78" s="48"/>
      <c r="AZ78" s="48">
        <f t="shared" si="40"/>
        <v>570</v>
      </c>
      <c r="BA78" s="132">
        <f>VLOOKUP(AN78,Invoicing!A:J,10,FALSE)</f>
        <v>70</v>
      </c>
      <c r="BB78" s="132">
        <f>VLOOKUP(AN78,Invoicing!A:L,12,FALSE)</f>
        <v>1</v>
      </c>
      <c r="BC78" s="2" t="s">
        <v>66</v>
      </c>
    </row>
    <row r="79" spans="1:55">
      <c r="A79" s="134" t="s">
        <v>212</v>
      </c>
      <c r="B79" s="86" t="s">
        <v>56</v>
      </c>
      <c r="C79" s="11">
        <v>46036.09375</v>
      </c>
      <c r="D79" s="11">
        <v>46035.75</v>
      </c>
      <c r="E79" s="11" t="s">
        <v>71</v>
      </c>
      <c r="F79" s="11" t="s">
        <v>213</v>
      </c>
      <c r="G79" s="11" t="s">
        <v>59</v>
      </c>
      <c r="H79" s="11" t="s">
        <v>144</v>
      </c>
      <c r="I79" s="86" t="s">
        <v>217</v>
      </c>
      <c r="J79" s="86" t="s">
        <v>100</v>
      </c>
      <c r="K79" s="11">
        <v>46036.791666666664</v>
      </c>
      <c r="L79" s="12">
        <v>46036.810416666667</v>
      </c>
      <c r="M79" s="12">
        <v>46036.791666666664</v>
      </c>
      <c r="N79" s="12">
        <v>46036.822916666664</v>
      </c>
      <c r="O79" s="90" t="s">
        <v>63</v>
      </c>
      <c r="P79" s="135" t="s">
        <v>64</v>
      </c>
      <c r="Q79" s="86">
        <v>0</v>
      </c>
      <c r="R79" s="1">
        <f t="shared" si="22"/>
        <v>3</v>
      </c>
      <c r="S79" s="1">
        <f t="shared" si="23"/>
        <v>1</v>
      </c>
      <c r="T79" s="126">
        <f t="shared" si="24"/>
        <v>46036.810416666667</v>
      </c>
      <c r="U79" s="127">
        <f t="shared" si="25"/>
        <v>0.69791666666424135</v>
      </c>
      <c r="V79" s="128">
        <f>Table2[[#This Row],[ATA A OFRECIMIENTO]]*24</f>
        <v>16.749999999941792</v>
      </c>
      <c r="W79" s="1" t="str">
        <f t="shared" si="26"/>
        <v>YES</v>
      </c>
      <c r="X79" s="127">
        <f t="shared" si="27"/>
        <v>0</v>
      </c>
      <c r="Y79" s="128">
        <f>Table2[[#This Row],[DEL. AVAILABLE A SLOT]]*24</f>
        <v>0</v>
      </c>
      <c r="Z79" s="1" t="str">
        <f t="shared" si="28"/>
        <v>SI</v>
      </c>
      <c r="AA79" s="127">
        <f t="shared" si="29"/>
        <v>0.69791666666424135</v>
      </c>
      <c r="AB79" s="128">
        <f>Table2[[#This Row],[ATA A TIMESLOT]]*24</f>
        <v>16.749999999941792</v>
      </c>
      <c r="AC79" s="127">
        <f t="shared" si="30"/>
        <v>1.8750000002910383E-2</v>
      </c>
      <c r="AD79" s="127" t="str">
        <f t="shared" si="31"/>
        <v>SI</v>
      </c>
      <c r="AE79" s="128">
        <f>Table2[[#This Row],[PUNTUALIDAD (H)]]*24</f>
        <v>0.45000000006984919</v>
      </c>
      <c r="AF79" s="127">
        <f t="shared" si="32"/>
        <v>0.72916666666424135</v>
      </c>
      <c r="AG79" s="128">
        <f>Table2[[#This Row],[ATA TO UNLOADING]]*24</f>
        <v>17.499999999941792</v>
      </c>
      <c r="AH79" s="128" t="str">
        <f>IF(Table2[[#This Row],[ATA TO UNLOADING 2]]&lt;=48,"YES","NO")</f>
        <v>YES</v>
      </c>
      <c r="AJ79" s="129">
        <f t="shared" si="33"/>
        <v>0.79166666666424135</v>
      </c>
      <c r="AK79" s="2" t="s">
        <v>64</v>
      </c>
      <c r="AL79" s="2" t="str">
        <f t="shared" si="34"/>
        <v>3/26</v>
      </c>
      <c r="AM79" s="2" t="str">
        <f t="shared" si="35"/>
        <v>MRKU1010938</v>
      </c>
      <c r="AN79" s="130" t="str">
        <f t="shared" si="36"/>
        <v>LOGIX</v>
      </c>
      <c r="AO79" s="141">
        <f>IF($O79="TRUCK",
VLOOKUP($AU79,Invoicing!$A$16:$B$56,MATCH($AO$1,Invoicing!$A$16:$B$16,0),FALSE)+IF(OR($B79="DCD",$B79="HPD2"),23.5,0),
VLOOKUP($AU79,Invoicing!$N$15:$O$19,MATCH($AO$1,Invoicing!$N$15:$O$15,0),FALSE)+IF(OR($B79="DCD",$B79="HPD2"),23.5,0))</f>
        <v>550</v>
      </c>
      <c r="AP79" s="131" t="e">
        <f>VLOOKUP($E79,Invoicing!$A$1:$H$12,MATCH(TRACKER!$P29,Invoicing!$A$1:$H$1,0),FALSE)</f>
        <v>#N/A</v>
      </c>
      <c r="AQ79" s="131">
        <f>VLOOKUP($E79,Invoicing!$A$1:$H$12,MATCH(TRACKER!$Q$1,Invoicing!$A$1:$H$1,0),FALSE)</f>
        <v>50</v>
      </c>
      <c r="AR79" s="131">
        <f t="shared" si="37"/>
        <v>0</v>
      </c>
      <c r="AS79" s="2">
        <f t="shared" si="38"/>
        <v>3</v>
      </c>
      <c r="AT79" s="2" t="str">
        <f t="shared" si="41"/>
        <v>WEEK</v>
      </c>
      <c r="AU79" s="2" t="str">
        <f t="shared" si="39"/>
        <v>LOGIXWEEK</v>
      </c>
      <c r="AV79" s="94">
        <f>(IF(ISNA(AP79),AO79+AR79,SUM($AO79,$AR79,IFERROR($AP79,"0"))))+Table2[[#This Row],[WAITING TIMES]]</f>
        <v>550</v>
      </c>
      <c r="AW79" s="48">
        <f>VLOOKUP(AN79,Invoicing!A:K,11,FALSE)</f>
        <v>20</v>
      </c>
      <c r="AY79" s="48"/>
      <c r="AZ79" s="48">
        <f t="shared" si="40"/>
        <v>570</v>
      </c>
      <c r="BA79" s="132">
        <f>VLOOKUP(AN79,Invoicing!A:J,10,FALSE)</f>
        <v>70</v>
      </c>
      <c r="BB79" s="132">
        <f>VLOOKUP(AN79,Invoicing!A:L,12,FALSE)</f>
        <v>1</v>
      </c>
      <c r="BC79" s="2" t="s">
        <v>66</v>
      </c>
    </row>
    <row r="80" spans="1:55">
      <c r="A80" s="134" t="s">
        <v>212</v>
      </c>
      <c r="B80" s="86" t="s">
        <v>56</v>
      </c>
      <c r="C80" s="11">
        <v>46036.09375</v>
      </c>
      <c r="D80" s="11">
        <v>46035.75</v>
      </c>
      <c r="E80" s="11" t="s">
        <v>71</v>
      </c>
      <c r="F80" s="11" t="s">
        <v>218</v>
      </c>
      <c r="G80" s="11" t="s">
        <v>59</v>
      </c>
      <c r="H80" s="11" t="s">
        <v>60</v>
      </c>
      <c r="I80" s="86" t="s">
        <v>219</v>
      </c>
      <c r="J80" s="86" t="s">
        <v>100</v>
      </c>
      <c r="K80" s="11">
        <v>46036.791666666664</v>
      </c>
      <c r="L80" s="12">
        <v>46037.8125</v>
      </c>
      <c r="M80" s="12">
        <v>46037.8125</v>
      </c>
      <c r="N80" s="12">
        <v>46037.820833333331</v>
      </c>
      <c r="O80" s="90" t="s">
        <v>63</v>
      </c>
      <c r="P80" s="135" t="s">
        <v>64</v>
      </c>
      <c r="Q80" s="86">
        <v>0</v>
      </c>
      <c r="R80" s="1">
        <f t="shared" si="22"/>
        <v>3</v>
      </c>
      <c r="S80" s="1">
        <f t="shared" si="23"/>
        <v>1</v>
      </c>
      <c r="T80" s="126">
        <f t="shared" si="24"/>
        <v>46037.8125</v>
      </c>
      <c r="U80" s="127">
        <f t="shared" si="25"/>
        <v>0.69791666666424135</v>
      </c>
      <c r="V80" s="128">
        <f>Table2[[#This Row],[ATA A OFRECIMIENTO]]*24</f>
        <v>16.749999999941792</v>
      </c>
      <c r="W80" s="1" t="str">
        <f t="shared" si="26"/>
        <v>YES</v>
      </c>
      <c r="X80" s="127">
        <f t="shared" si="27"/>
        <v>1.0208333333357587</v>
      </c>
      <c r="Y80" s="128">
        <f>Table2[[#This Row],[DEL. AVAILABLE A SLOT]]*24</f>
        <v>24.500000000058208</v>
      </c>
      <c r="Z80" s="1" t="str">
        <f t="shared" si="28"/>
        <v>NO</v>
      </c>
      <c r="AA80" s="127">
        <f t="shared" si="29"/>
        <v>1.71875</v>
      </c>
      <c r="AB80" s="128">
        <f>Table2[[#This Row],[ATA A TIMESLOT]]*24</f>
        <v>41.25</v>
      </c>
      <c r="AC80" s="127">
        <f t="shared" si="30"/>
        <v>0</v>
      </c>
      <c r="AD80" s="127" t="str">
        <f t="shared" si="31"/>
        <v>SI</v>
      </c>
      <c r="AE80" s="128">
        <f>Table2[[#This Row],[PUNTUALIDAD (H)]]*24</f>
        <v>0</v>
      </c>
      <c r="AF80" s="127">
        <f t="shared" si="32"/>
        <v>1.7270833333313931</v>
      </c>
      <c r="AG80" s="128">
        <f>Table2[[#This Row],[ATA TO UNLOADING]]*24</f>
        <v>41.449999999953434</v>
      </c>
      <c r="AH80" s="128" t="str">
        <f>IF(Table2[[#This Row],[ATA TO UNLOADING 2]]&lt;=48,"YES","NO")</f>
        <v>YES</v>
      </c>
      <c r="AJ80" s="129">
        <f t="shared" si="33"/>
        <v>0.8125</v>
      </c>
      <c r="AK80" s="2" t="s">
        <v>64</v>
      </c>
      <c r="AL80" s="2" t="str">
        <f t="shared" si="34"/>
        <v>3/26</v>
      </c>
      <c r="AM80" s="2" t="str">
        <f t="shared" si="35"/>
        <v>MRSU4838960</v>
      </c>
      <c r="AN80" s="130" t="str">
        <f t="shared" si="36"/>
        <v>LOGIX</v>
      </c>
      <c r="AO80" s="141">
        <f>IF($O80="TRUCK",
VLOOKUP($AU80,Invoicing!$A$16:$B$56,MATCH($AO$1,Invoicing!$A$16:$B$16,0),FALSE)+IF(OR($B80="DCD",$B80="HPD2"),23.5,0),
VLOOKUP($AU80,Invoicing!$N$15:$O$19,MATCH($AO$1,Invoicing!$N$15:$O$15,0),FALSE)+IF(OR($B80="DCD",$B80="HPD2"),23.5,0))</f>
        <v>550</v>
      </c>
      <c r="AP80" s="131" t="e">
        <f>VLOOKUP($E80,Invoicing!$A$1:$H$12,MATCH(TRACKER!$P30,Invoicing!$A$1:$H$1,0),FALSE)</f>
        <v>#N/A</v>
      </c>
      <c r="AQ80" s="131">
        <f>VLOOKUP($E80,Invoicing!$A$1:$H$12,MATCH(TRACKER!$Q$1,Invoicing!$A$1:$H$1,0),FALSE)</f>
        <v>50</v>
      </c>
      <c r="AR80" s="131">
        <f t="shared" si="37"/>
        <v>0</v>
      </c>
      <c r="AS80" s="2">
        <f t="shared" si="38"/>
        <v>4</v>
      </c>
      <c r="AT80" s="2" t="str">
        <f t="shared" si="41"/>
        <v>WEEK</v>
      </c>
      <c r="AU80" s="2" t="str">
        <f t="shared" si="39"/>
        <v>LOGIXWEEK</v>
      </c>
      <c r="AV80" s="94">
        <f>(IF(ISNA(AP80),AO80+AR80,SUM($AO80,$AR80,IFERROR($AP80,"0"))))+Table2[[#This Row],[WAITING TIMES]]</f>
        <v>550</v>
      </c>
      <c r="AW80" s="48">
        <f>VLOOKUP(AN80,Invoicing!A:K,11,FALSE)</f>
        <v>20</v>
      </c>
      <c r="AY80" s="48"/>
      <c r="AZ80" s="48">
        <f t="shared" si="40"/>
        <v>570</v>
      </c>
      <c r="BA80" s="132">
        <f>VLOOKUP(AN80,Invoicing!A:J,10,FALSE)</f>
        <v>70</v>
      </c>
      <c r="BB80" s="132">
        <f>VLOOKUP(AN80,Invoicing!A:L,12,FALSE)</f>
        <v>1</v>
      </c>
      <c r="BC80" s="2" t="s">
        <v>66</v>
      </c>
    </row>
    <row r="81" spans="1:55">
      <c r="A81" s="134" t="s">
        <v>212</v>
      </c>
      <c r="B81" s="86" t="s">
        <v>56</v>
      </c>
      <c r="C81" s="11">
        <v>46036.09375</v>
      </c>
      <c r="D81" s="11">
        <v>46035.75</v>
      </c>
      <c r="E81" s="11" t="s">
        <v>71</v>
      </c>
      <c r="F81" s="11" t="s">
        <v>215</v>
      </c>
      <c r="G81" s="11" t="s">
        <v>59</v>
      </c>
      <c r="H81" s="11" t="s">
        <v>68</v>
      </c>
      <c r="I81" s="86" t="s">
        <v>220</v>
      </c>
      <c r="J81" s="86" t="s">
        <v>100</v>
      </c>
      <c r="K81" s="11">
        <v>46036.791666666664</v>
      </c>
      <c r="L81" s="12">
        <v>46037.319444444445</v>
      </c>
      <c r="M81" s="12">
        <v>46037.3125</v>
      </c>
      <c r="N81" s="12">
        <v>46037.326388888891</v>
      </c>
      <c r="O81" s="90" t="s">
        <v>63</v>
      </c>
      <c r="P81" s="135" t="s">
        <v>64</v>
      </c>
      <c r="Q81" s="86">
        <v>0</v>
      </c>
      <c r="R81" s="1">
        <f t="shared" si="22"/>
        <v>3</v>
      </c>
      <c r="S81" s="1">
        <f t="shared" si="23"/>
        <v>1</v>
      </c>
      <c r="T81" s="126">
        <f t="shared" si="24"/>
        <v>46037.319444444445</v>
      </c>
      <c r="U81" s="127">
        <f t="shared" si="25"/>
        <v>0.69791666666424135</v>
      </c>
      <c r="V81" s="128">
        <f>Table2[[#This Row],[ATA A OFRECIMIENTO]]*24</f>
        <v>16.749999999941792</v>
      </c>
      <c r="W81" s="1" t="str">
        <f t="shared" si="26"/>
        <v>YES</v>
      </c>
      <c r="X81" s="127">
        <f t="shared" si="27"/>
        <v>0.52083333333575865</v>
      </c>
      <c r="Y81" s="128">
        <f>Table2[[#This Row],[DEL. AVAILABLE A SLOT]]*24</f>
        <v>12.500000000058208</v>
      </c>
      <c r="Z81" s="1" t="str">
        <f t="shared" si="28"/>
        <v>SI</v>
      </c>
      <c r="AA81" s="127">
        <f t="shared" si="29"/>
        <v>1.21875</v>
      </c>
      <c r="AB81" s="128">
        <f>Table2[[#This Row],[ATA A TIMESLOT]]*24</f>
        <v>29.25</v>
      </c>
      <c r="AC81" s="127">
        <f t="shared" si="30"/>
        <v>6.9444444452528842E-3</v>
      </c>
      <c r="AD81" s="127" t="str">
        <f t="shared" si="31"/>
        <v>SI</v>
      </c>
      <c r="AE81" s="128">
        <f>Table2[[#This Row],[PUNTUALIDAD (H)]]*24</f>
        <v>0.16666666668606922</v>
      </c>
      <c r="AF81" s="127">
        <f t="shared" si="32"/>
        <v>1.2326388888905058</v>
      </c>
      <c r="AG81" s="128">
        <f>Table2[[#This Row],[ATA TO UNLOADING]]*24</f>
        <v>29.583333333372138</v>
      </c>
      <c r="AH81" s="128" t="str">
        <f>IF(Table2[[#This Row],[ATA TO UNLOADING 2]]&lt;=48,"YES","NO")</f>
        <v>YES</v>
      </c>
      <c r="AJ81" s="129">
        <f t="shared" si="33"/>
        <v>0.3125</v>
      </c>
      <c r="AK81" s="2" t="s">
        <v>64</v>
      </c>
      <c r="AL81" s="2" t="str">
        <f t="shared" si="34"/>
        <v>3/26</v>
      </c>
      <c r="AM81" s="2" t="str">
        <f t="shared" si="35"/>
        <v>MRSU7109134</v>
      </c>
      <c r="AN81" s="130" t="str">
        <f t="shared" si="36"/>
        <v>LOGIX</v>
      </c>
      <c r="AO81" s="141">
        <f>IF($O81="TRUCK",
VLOOKUP($AU81,Invoicing!$A$16:$B$56,MATCH($AO$1,Invoicing!$A$16:$B$16,0),FALSE)+IF(OR($B81="DCD",$B81="HPD2"),23.5,0),
VLOOKUP($AU81,Invoicing!$N$15:$O$19,MATCH($AO$1,Invoicing!$N$15:$O$15,0),FALSE)+IF(OR($B81="DCD",$B81="HPD2"),23.5,0))</f>
        <v>550</v>
      </c>
      <c r="AP81" s="131" t="e">
        <f>VLOOKUP($E81,Invoicing!$A$1:$H$12,MATCH(TRACKER!$P31,Invoicing!$A$1:$H$1,0),FALSE)</f>
        <v>#N/A</v>
      </c>
      <c r="AQ81" s="131">
        <f>VLOOKUP($E81,Invoicing!$A$1:$H$12,MATCH(TRACKER!$Q$1,Invoicing!$A$1:$H$1,0),FALSE)</f>
        <v>50</v>
      </c>
      <c r="AR81" s="131">
        <f t="shared" si="37"/>
        <v>0</v>
      </c>
      <c r="AS81" s="2">
        <f t="shared" si="38"/>
        <v>4</v>
      </c>
      <c r="AT81" s="2" t="str">
        <f t="shared" si="41"/>
        <v>WEEK</v>
      </c>
      <c r="AU81" s="2" t="str">
        <f t="shared" si="39"/>
        <v>LOGIXWEEK</v>
      </c>
      <c r="AV81" s="94">
        <f>(IF(ISNA(AP81),AO81+AR81,SUM($AO81,$AR81,IFERROR($AP81,"0"))))+Table2[[#This Row],[WAITING TIMES]]</f>
        <v>550</v>
      </c>
      <c r="AW81" s="48">
        <f>VLOOKUP(AN81,Invoicing!A:K,11,FALSE)</f>
        <v>20</v>
      </c>
      <c r="AY81" s="48"/>
      <c r="AZ81" s="48">
        <f t="shared" si="40"/>
        <v>570</v>
      </c>
      <c r="BA81" s="132">
        <f>VLOOKUP(AN81,Invoicing!A:J,10,FALSE)</f>
        <v>70</v>
      </c>
      <c r="BB81" s="132">
        <f>VLOOKUP(AN81,Invoicing!A:L,12,FALSE)</f>
        <v>1</v>
      </c>
      <c r="BC81" s="2" t="s">
        <v>66</v>
      </c>
    </row>
    <row r="82" spans="1:55">
      <c r="A82" s="134" t="s">
        <v>212</v>
      </c>
      <c r="B82" s="86" t="s">
        <v>56</v>
      </c>
      <c r="C82" s="11">
        <v>46036.09375</v>
      </c>
      <c r="D82" s="11">
        <v>46035.75</v>
      </c>
      <c r="E82" s="11" t="s">
        <v>71</v>
      </c>
      <c r="F82" s="11" t="s">
        <v>215</v>
      </c>
      <c r="G82" s="11" t="s">
        <v>59</v>
      </c>
      <c r="H82" s="11" t="s">
        <v>68</v>
      </c>
      <c r="I82" s="86" t="s">
        <v>221</v>
      </c>
      <c r="J82" s="86" t="s">
        <v>100</v>
      </c>
      <c r="K82" s="11">
        <v>46036.791666666664</v>
      </c>
      <c r="L82" s="12">
        <v>46037.559027777781</v>
      </c>
      <c r="M82" s="12">
        <v>46037.520833333336</v>
      </c>
      <c r="N82" s="12">
        <v>46037.600694444445</v>
      </c>
      <c r="O82" s="90" t="s">
        <v>63</v>
      </c>
      <c r="P82" s="135" t="s">
        <v>64</v>
      </c>
      <c r="Q82" s="86">
        <v>1</v>
      </c>
      <c r="R82" s="1">
        <f t="shared" si="22"/>
        <v>3</v>
      </c>
      <c r="S82" s="1">
        <f t="shared" si="23"/>
        <v>1</v>
      </c>
      <c r="T82" s="126">
        <f t="shared" si="24"/>
        <v>46037.559027777781</v>
      </c>
      <c r="U82" s="127">
        <f t="shared" si="25"/>
        <v>0.69791666666424135</v>
      </c>
      <c r="V82" s="128">
        <f>Table2[[#This Row],[ATA A OFRECIMIENTO]]*24</f>
        <v>16.749999999941792</v>
      </c>
      <c r="W82" s="1" t="str">
        <f t="shared" si="26"/>
        <v>YES</v>
      </c>
      <c r="X82" s="127">
        <f t="shared" si="27"/>
        <v>0.72916666667151731</v>
      </c>
      <c r="Y82" s="128">
        <f>Table2[[#This Row],[DEL. AVAILABLE A SLOT]]*24</f>
        <v>17.500000000116415</v>
      </c>
      <c r="Z82" s="1" t="str">
        <f t="shared" si="28"/>
        <v>SI</v>
      </c>
      <c r="AA82" s="127">
        <f t="shared" si="29"/>
        <v>1.4270833333357587</v>
      </c>
      <c r="AB82" s="128">
        <f>Table2[[#This Row],[ATA A TIMESLOT]]*24</f>
        <v>34.250000000058208</v>
      </c>
      <c r="AC82" s="127">
        <f t="shared" si="30"/>
        <v>3.8194444445252884E-2</v>
      </c>
      <c r="AD82" s="127" t="str">
        <f t="shared" si="31"/>
        <v>NO</v>
      </c>
      <c r="AE82" s="128">
        <f>Table2[[#This Row],[PUNTUALIDAD (H)]]*24</f>
        <v>0.91666666668606922</v>
      </c>
      <c r="AF82" s="127">
        <f t="shared" si="32"/>
        <v>1.5069444444452529</v>
      </c>
      <c r="AG82" s="128">
        <f>Table2[[#This Row],[ATA TO UNLOADING]]*24</f>
        <v>36.166666666686069</v>
      </c>
      <c r="AH82" s="128" t="str">
        <f>IF(Table2[[#This Row],[ATA TO UNLOADING 2]]&lt;=48,"YES","NO")</f>
        <v>YES</v>
      </c>
      <c r="AJ82" s="129">
        <f t="shared" si="33"/>
        <v>0.52083333333575865</v>
      </c>
      <c r="AK82" s="2" t="s">
        <v>64</v>
      </c>
      <c r="AL82" s="2" t="str">
        <f t="shared" si="34"/>
        <v>3/26</v>
      </c>
      <c r="AM82" s="2" t="str">
        <f t="shared" si="35"/>
        <v>MRSU7882231</v>
      </c>
      <c r="AN82" s="130" t="str">
        <f t="shared" si="36"/>
        <v>LOGIX</v>
      </c>
      <c r="AO82" s="141">
        <f>IF($O82="TRUCK",
VLOOKUP($AU82,Invoicing!$A$16:$B$56,MATCH($AO$1,Invoicing!$A$16:$B$16,0),FALSE)+IF(OR($B82="DCD",$B82="HPD2"),23.5,0),
VLOOKUP($AU82,Invoicing!$N$15:$O$19,MATCH($AO$1,Invoicing!$N$15:$O$15,0),FALSE)+IF(OR($B82="DCD",$B82="HPD2"),23.5,0))</f>
        <v>550</v>
      </c>
      <c r="AP82" s="131" t="e">
        <f>VLOOKUP($E82,Invoicing!$A$1:$H$12,MATCH(TRACKER!$P32,Invoicing!$A$1:$H$1,0),FALSE)</f>
        <v>#N/A</v>
      </c>
      <c r="AQ82" s="131">
        <f>VLOOKUP($E82,Invoicing!$A$1:$H$12,MATCH(TRACKER!$Q$1,Invoicing!$A$1:$H$1,0),FALSE)</f>
        <v>50</v>
      </c>
      <c r="AR82" s="131">
        <f t="shared" si="37"/>
        <v>50</v>
      </c>
      <c r="AS82" s="2">
        <f t="shared" si="38"/>
        <v>4</v>
      </c>
      <c r="AT82" s="2" t="str">
        <f t="shared" si="41"/>
        <v>WEEK</v>
      </c>
      <c r="AU82" s="2" t="str">
        <f t="shared" si="39"/>
        <v>LOGIXWEEK</v>
      </c>
      <c r="AV82" s="94">
        <f>(IF(ISNA(AP82),AO82+AR82,SUM($AO82,$AR82,IFERROR($AP82,"0"))))+Table2[[#This Row],[WAITING TIMES]]</f>
        <v>600</v>
      </c>
      <c r="AW82" s="48">
        <f>VLOOKUP(AN82,Invoicing!A:K,11,FALSE)</f>
        <v>20</v>
      </c>
      <c r="AY82" s="48"/>
      <c r="AZ82" s="48">
        <f t="shared" si="40"/>
        <v>620</v>
      </c>
      <c r="BA82" s="132">
        <f>VLOOKUP(AN82,Invoicing!A:J,10,FALSE)</f>
        <v>70</v>
      </c>
      <c r="BB82" s="132">
        <f>VLOOKUP(AN82,Invoicing!A:L,12,FALSE)</f>
        <v>1</v>
      </c>
      <c r="BC82" s="2" t="s">
        <v>66</v>
      </c>
    </row>
    <row r="83" spans="1:55">
      <c r="A83" s="134" t="s">
        <v>212</v>
      </c>
      <c r="B83" s="86" t="s">
        <v>56</v>
      </c>
      <c r="C83" s="11">
        <v>46036.09375</v>
      </c>
      <c r="D83" s="11">
        <v>46035.75</v>
      </c>
      <c r="E83" s="11" t="s">
        <v>71</v>
      </c>
      <c r="F83" s="11" t="s">
        <v>222</v>
      </c>
      <c r="G83" s="11" t="s">
        <v>59</v>
      </c>
      <c r="H83" s="11" t="s">
        <v>223</v>
      </c>
      <c r="I83" s="86" t="s">
        <v>224</v>
      </c>
      <c r="J83" s="86" t="s">
        <v>82</v>
      </c>
      <c r="K83" s="11">
        <v>46036.791666666664</v>
      </c>
      <c r="L83" s="12">
        <v>46037.503472222219</v>
      </c>
      <c r="M83" s="12">
        <v>46037.458333333336</v>
      </c>
      <c r="N83" s="12">
        <v>46037.538888888892</v>
      </c>
      <c r="O83" s="90" t="s">
        <v>63</v>
      </c>
      <c r="P83" s="135" t="s">
        <v>64</v>
      </c>
      <c r="Q83" s="86">
        <v>0</v>
      </c>
      <c r="R83" s="1">
        <f t="shared" si="22"/>
        <v>3</v>
      </c>
      <c r="S83" s="1">
        <f t="shared" si="23"/>
        <v>1</v>
      </c>
      <c r="T83" s="126">
        <f t="shared" si="24"/>
        <v>46037.503472222219</v>
      </c>
      <c r="U83" s="127">
        <f t="shared" si="25"/>
        <v>0.69791666666424135</v>
      </c>
      <c r="V83" s="128">
        <f>Table2[[#This Row],[ATA A OFRECIMIENTO]]*24</f>
        <v>16.749999999941792</v>
      </c>
      <c r="W83" s="1" t="str">
        <f t="shared" si="26"/>
        <v>YES</v>
      </c>
      <c r="X83" s="127">
        <f t="shared" si="27"/>
        <v>0.66666666667151731</v>
      </c>
      <c r="Y83" s="128">
        <f>Table2[[#This Row],[DEL. AVAILABLE A SLOT]]*24</f>
        <v>16.000000000116415</v>
      </c>
      <c r="Z83" s="1" t="str">
        <f t="shared" si="28"/>
        <v>SI</v>
      </c>
      <c r="AA83" s="127">
        <f t="shared" si="29"/>
        <v>1.3645833333357587</v>
      </c>
      <c r="AB83" s="128">
        <f>Table2[[#This Row],[ATA A TIMESLOT]]*24</f>
        <v>32.750000000058208</v>
      </c>
      <c r="AC83" s="127">
        <f t="shared" si="30"/>
        <v>4.5138888883229811E-2</v>
      </c>
      <c r="AD83" s="127" t="str">
        <f t="shared" si="31"/>
        <v>NO</v>
      </c>
      <c r="AE83" s="128">
        <f>Table2[[#This Row],[PUNTUALIDAD (H)]]*24</f>
        <v>1.0833333331975155</v>
      </c>
      <c r="AF83" s="127">
        <f t="shared" si="32"/>
        <v>1.445138888891961</v>
      </c>
      <c r="AG83" s="128">
        <f>Table2[[#This Row],[ATA TO UNLOADING]]*24</f>
        <v>34.683333333407063</v>
      </c>
      <c r="AH83" s="128" t="str">
        <f>IF(Table2[[#This Row],[ATA TO UNLOADING 2]]&lt;=48,"YES","NO")</f>
        <v>YES</v>
      </c>
      <c r="AJ83" s="129">
        <f t="shared" si="33"/>
        <v>0.45833333333575865</v>
      </c>
      <c r="AK83" s="2" t="s">
        <v>64</v>
      </c>
      <c r="AL83" s="2" t="str">
        <f t="shared" si="34"/>
        <v>3/26</v>
      </c>
      <c r="AM83" s="2" t="str">
        <f t="shared" si="35"/>
        <v>TCKU6778058</v>
      </c>
      <c r="AN83" s="130" t="str">
        <f t="shared" si="36"/>
        <v>LOGIX</v>
      </c>
      <c r="AO83" s="141">
        <f>IF($O83="TRUCK",
VLOOKUP($AU83,Invoicing!$A$16:$B$56,MATCH($AO$1,Invoicing!$A$16:$B$16,0),FALSE)+IF(OR($B83="DCD",$B83="HPD2"),23.5,0),
VLOOKUP($AU83,Invoicing!$N$15:$O$19,MATCH($AO$1,Invoicing!$N$15:$O$15,0),FALSE)+IF(OR($B83="DCD",$B83="HPD2"),23.5,0))</f>
        <v>550</v>
      </c>
      <c r="AP83" s="131" t="e">
        <f>VLOOKUP($E83,Invoicing!$A$1:$H$12,MATCH(TRACKER!$P33,Invoicing!$A$1:$H$1,0),FALSE)</f>
        <v>#N/A</v>
      </c>
      <c r="AQ83" s="131">
        <f>VLOOKUP($E83,Invoicing!$A$1:$H$12,MATCH(TRACKER!$Q$1,Invoicing!$A$1:$H$1,0),FALSE)</f>
        <v>50</v>
      </c>
      <c r="AR83" s="131">
        <f t="shared" si="37"/>
        <v>0</v>
      </c>
      <c r="AS83" s="2">
        <f t="shared" si="38"/>
        <v>4</v>
      </c>
      <c r="AT83" s="2" t="str">
        <f t="shared" si="41"/>
        <v>WEEK</v>
      </c>
      <c r="AU83" s="2" t="str">
        <f t="shared" si="39"/>
        <v>LOGIXWEEK</v>
      </c>
      <c r="AV83" s="94">
        <f>(IF(ISNA(AP83),AO83+AR83,SUM($AO83,$AR83,IFERROR($AP83,"0"))))+Table2[[#This Row],[WAITING TIMES]]</f>
        <v>550</v>
      </c>
      <c r="AW83" s="48">
        <f>VLOOKUP(AN83,Invoicing!A:K,11,FALSE)</f>
        <v>20</v>
      </c>
      <c r="AY83" s="48"/>
      <c r="AZ83" s="48">
        <f t="shared" si="40"/>
        <v>570</v>
      </c>
      <c r="BA83" s="132">
        <f>VLOOKUP(AN83,Invoicing!A:J,10,FALSE)</f>
        <v>70</v>
      </c>
      <c r="BB83" s="132">
        <f>VLOOKUP(AN83,Invoicing!A:L,12,FALSE)</f>
        <v>1</v>
      </c>
      <c r="BC83" s="2" t="s">
        <v>66</v>
      </c>
    </row>
    <row r="84" spans="1:55">
      <c r="A84" s="134" t="s">
        <v>212</v>
      </c>
      <c r="B84" s="86" t="s">
        <v>56</v>
      </c>
      <c r="C84" s="11">
        <v>46036.09375</v>
      </c>
      <c r="D84" s="11">
        <v>46035.75</v>
      </c>
      <c r="E84" s="11" t="s">
        <v>98</v>
      </c>
      <c r="F84" s="11" t="s">
        <v>225</v>
      </c>
      <c r="G84" s="11" t="s">
        <v>133</v>
      </c>
      <c r="H84" s="11" t="s">
        <v>60</v>
      </c>
      <c r="I84" s="86" t="s">
        <v>226</v>
      </c>
      <c r="J84" s="86" t="s">
        <v>100</v>
      </c>
      <c r="K84" s="11">
        <v>46036.791666666664</v>
      </c>
      <c r="L84" s="12">
        <v>46037.645833333336</v>
      </c>
      <c r="M84" s="12">
        <v>46037.645833333336</v>
      </c>
      <c r="N84" s="12">
        <v>46037.652777777781</v>
      </c>
      <c r="O84" s="90" t="s">
        <v>63</v>
      </c>
      <c r="P84" s="135" t="s">
        <v>64</v>
      </c>
      <c r="Q84" s="86">
        <v>0</v>
      </c>
      <c r="R84" s="1">
        <f t="shared" si="22"/>
        <v>3</v>
      </c>
      <c r="S84" s="1">
        <f t="shared" si="23"/>
        <v>1</v>
      </c>
      <c r="T84" s="126">
        <f t="shared" si="24"/>
        <v>46037.645833333336</v>
      </c>
      <c r="U84" s="127">
        <f t="shared" si="25"/>
        <v>0.69791666666424135</v>
      </c>
      <c r="V84" s="128">
        <f>Table2[[#This Row],[ATA A OFRECIMIENTO]]*24</f>
        <v>16.749999999941792</v>
      </c>
      <c r="W84" s="1" t="str">
        <f t="shared" si="26"/>
        <v>YES</v>
      </c>
      <c r="X84" s="127">
        <f t="shared" si="27"/>
        <v>0.85416666667151731</v>
      </c>
      <c r="Y84" s="128">
        <f>Table2[[#This Row],[DEL. AVAILABLE A SLOT]]*24</f>
        <v>20.500000000116415</v>
      </c>
      <c r="Z84" s="1" t="str">
        <f t="shared" si="28"/>
        <v>SI</v>
      </c>
      <c r="AA84" s="127">
        <f t="shared" si="29"/>
        <v>1.5520833333357587</v>
      </c>
      <c r="AB84" s="128">
        <f>Table2[[#This Row],[ATA A TIMESLOT]]*24</f>
        <v>37.250000000058208</v>
      </c>
      <c r="AC84" s="127">
        <f t="shared" si="30"/>
        <v>0</v>
      </c>
      <c r="AD84" s="127" t="str">
        <f t="shared" si="31"/>
        <v>SI</v>
      </c>
      <c r="AE84" s="128">
        <f>Table2[[#This Row],[PUNTUALIDAD (H)]]*24</f>
        <v>0</v>
      </c>
      <c r="AF84" s="127">
        <f t="shared" si="32"/>
        <v>1.5590277777810115</v>
      </c>
      <c r="AG84" s="128">
        <f>Table2[[#This Row],[ATA TO UNLOADING]]*24</f>
        <v>37.416666666744277</v>
      </c>
      <c r="AH84" s="128" t="str">
        <f>IF(Table2[[#This Row],[ATA TO UNLOADING 2]]&lt;=48,"YES","NO")</f>
        <v>YES</v>
      </c>
      <c r="AJ84" s="129">
        <f t="shared" si="33"/>
        <v>0.64583333333575865</v>
      </c>
      <c r="AK84" s="2" t="s">
        <v>64</v>
      </c>
      <c r="AL84" s="2" t="str">
        <f t="shared" si="34"/>
        <v>3/26</v>
      </c>
      <c r="AM84" s="2" t="str">
        <f t="shared" si="35"/>
        <v>FANU1585560</v>
      </c>
      <c r="AN84" s="130" t="str">
        <f t="shared" si="36"/>
        <v>MSI</v>
      </c>
      <c r="AO84" s="141">
        <f>IF($O84="TRUCK",
VLOOKUP($AU84,Invoicing!$A$16:$B$56,MATCH($AO$1,Invoicing!$A$16:$B$16,0),FALSE)+IF(OR($B84="DCD",$B84="HPD2"),23.5,0),
VLOOKUP($AU84,Invoicing!$N$15:$O$19,MATCH($AO$1,Invoicing!$N$15:$O$15,0),FALSE)+IF(OR($B84="DCD",$B84="HPD2"),23.5,0))</f>
        <v>480</v>
      </c>
      <c r="AP84" s="131" t="e">
        <f>VLOOKUP($E84,Invoicing!$A$1:$H$12,MATCH(TRACKER!$P52,Invoicing!$A$1:$H$1,0),FALSE)</f>
        <v>#N/A</v>
      </c>
      <c r="AQ84" s="131">
        <f>VLOOKUP($E84,Invoicing!$A$1:$H$12,MATCH(TRACKER!$Q$1,Invoicing!$A$1:$H$1,0),FALSE)</f>
        <v>50</v>
      </c>
      <c r="AR84" s="131">
        <f t="shared" si="37"/>
        <v>0</v>
      </c>
      <c r="AS84" s="2">
        <f t="shared" si="38"/>
        <v>4</v>
      </c>
      <c r="AT84" s="2" t="str">
        <f t="shared" si="41"/>
        <v>WEEK</v>
      </c>
      <c r="AU84" s="2" t="str">
        <f t="shared" si="39"/>
        <v>MSIWEEK</v>
      </c>
      <c r="AV84" s="94">
        <f>(IF(ISNA(AP84),AO84+AR84,SUM($AO84,$AR84,IFERROR($AP84,"0"))))+Table2[[#This Row],[WAITING TIMES]]</f>
        <v>480</v>
      </c>
      <c r="AW84" s="48">
        <f>VLOOKUP(AN84,Invoicing!A:K,11,FALSE)</f>
        <v>20</v>
      </c>
      <c r="AY84" s="48"/>
      <c r="AZ84" s="48">
        <f t="shared" si="40"/>
        <v>500</v>
      </c>
      <c r="BA84" s="132">
        <f>VLOOKUP(AN84,Invoicing!A:J,10,FALSE)</f>
        <v>70</v>
      </c>
      <c r="BB84" s="132">
        <f>VLOOKUP(AN84,Invoicing!A:L,12,FALSE)</f>
        <v>1</v>
      </c>
      <c r="BC84" s="2" t="s">
        <v>66</v>
      </c>
    </row>
    <row r="85" spans="1:55">
      <c r="A85" s="134" t="s">
        <v>212</v>
      </c>
      <c r="B85" s="86" t="s">
        <v>56</v>
      </c>
      <c r="C85" s="11">
        <v>46036.09375</v>
      </c>
      <c r="D85" s="11">
        <v>46035.75</v>
      </c>
      <c r="E85" s="11" t="s">
        <v>98</v>
      </c>
      <c r="F85" s="11" t="s">
        <v>215</v>
      </c>
      <c r="G85" s="11" t="s">
        <v>59</v>
      </c>
      <c r="H85" s="11" t="s">
        <v>68</v>
      </c>
      <c r="I85" s="86" t="s">
        <v>227</v>
      </c>
      <c r="J85" s="86" t="s">
        <v>62</v>
      </c>
      <c r="K85" s="11">
        <v>46036.791666666664</v>
      </c>
      <c r="L85" s="12">
        <v>46037.5625</v>
      </c>
      <c r="M85" s="12">
        <v>46037.5625</v>
      </c>
      <c r="N85" s="12">
        <v>46037.5625</v>
      </c>
      <c r="O85" s="90" t="s">
        <v>63</v>
      </c>
      <c r="P85" s="135" t="s">
        <v>64</v>
      </c>
      <c r="Q85" s="86">
        <v>0</v>
      </c>
      <c r="R85" s="1">
        <f t="shared" si="22"/>
        <v>3</v>
      </c>
      <c r="S85" s="1">
        <f t="shared" si="23"/>
        <v>1</v>
      </c>
      <c r="T85" s="126">
        <f t="shared" si="24"/>
        <v>46037.5625</v>
      </c>
      <c r="U85" s="127">
        <f t="shared" si="25"/>
        <v>0.69791666666424135</v>
      </c>
      <c r="V85" s="128">
        <f>Table2[[#This Row],[ATA A OFRECIMIENTO]]*24</f>
        <v>16.749999999941792</v>
      </c>
      <c r="W85" s="1" t="str">
        <f t="shared" si="26"/>
        <v>YES</v>
      </c>
      <c r="X85" s="127">
        <f t="shared" si="27"/>
        <v>0.77083333333575865</v>
      </c>
      <c r="Y85" s="128">
        <f>Table2[[#This Row],[DEL. AVAILABLE A SLOT]]*24</f>
        <v>18.500000000058208</v>
      </c>
      <c r="Z85" s="1" t="str">
        <f t="shared" si="28"/>
        <v>SI</v>
      </c>
      <c r="AA85" s="127">
        <f t="shared" si="29"/>
        <v>1.46875</v>
      </c>
      <c r="AB85" s="128">
        <f>Table2[[#This Row],[ATA A TIMESLOT]]*24</f>
        <v>35.25</v>
      </c>
      <c r="AC85" s="127">
        <f t="shared" si="30"/>
        <v>0</v>
      </c>
      <c r="AD85" s="127" t="str">
        <f t="shared" si="31"/>
        <v>SI</v>
      </c>
      <c r="AE85" s="128">
        <f>Table2[[#This Row],[PUNTUALIDAD (H)]]*24</f>
        <v>0</v>
      </c>
      <c r="AF85" s="127">
        <f t="shared" si="32"/>
        <v>1.46875</v>
      </c>
      <c r="AG85" s="128">
        <f>Table2[[#This Row],[ATA TO UNLOADING]]*24</f>
        <v>35.25</v>
      </c>
      <c r="AH85" s="128" t="str">
        <f>IF(Table2[[#This Row],[ATA TO UNLOADING 2]]&lt;=48,"YES","NO")</f>
        <v>YES</v>
      </c>
      <c r="AJ85" s="129">
        <f t="shared" si="33"/>
        <v>0.5625</v>
      </c>
      <c r="AK85" s="2" t="s">
        <v>64</v>
      </c>
      <c r="AL85" s="2" t="str">
        <f t="shared" si="34"/>
        <v>3/26</v>
      </c>
      <c r="AM85" s="2" t="str">
        <f t="shared" si="35"/>
        <v>MAEU9280928</v>
      </c>
      <c r="AN85" s="130" t="str">
        <f t="shared" si="36"/>
        <v>MSI</v>
      </c>
      <c r="AO85" s="141">
        <f>IF($O85="TRUCK",
VLOOKUP($AU85,Invoicing!$A$16:$B$56,MATCH($AO$1,Invoicing!$A$16:$B$16,0),FALSE)+IF(OR($B85="DCD",$B85="HPD2"),23.5,0),
VLOOKUP($AU85,Invoicing!$N$15:$O$19,MATCH($AO$1,Invoicing!$N$15:$O$15,0),FALSE)+IF(OR($B85="DCD",$B85="HPD2"),23.5,0))</f>
        <v>480</v>
      </c>
      <c r="AP85" s="131" t="e">
        <f>VLOOKUP($E85,Invoicing!$A$1:$H$12,MATCH(TRACKER!$P53,Invoicing!$A$1:$H$1,0),FALSE)</f>
        <v>#N/A</v>
      </c>
      <c r="AQ85" s="131">
        <f>VLOOKUP($E85,Invoicing!$A$1:$H$12,MATCH(TRACKER!$Q$1,Invoicing!$A$1:$H$1,0),FALSE)</f>
        <v>50</v>
      </c>
      <c r="AR85" s="131">
        <f t="shared" si="37"/>
        <v>0</v>
      </c>
      <c r="AS85" s="2">
        <f t="shared" si="38"/>
        <v>4</v>
      </c>
      <c r="AT85" s="2" t="str">
        <f t="shared" si="41"/>
        <v>WEEK</v>
      </c>
      <c r="AU85" s="2" t="str">
        <f t="shared" si="39"/>
        <v>MSIWEEK</v>
      </c>
      <c r="AV85" s="94">
        <f>(IF(ISNA(AP85),AO85+AR85,SUM($AO85,$AR85,IFERROR($AP85,"0"))))+Table2[[#This Row],[WAITING TIMES]]</f>
        <v>480</v>
      </c>
      <c r="AW85" s="48">
        <f>VLOOKUP(AN85,Invoicing!A:K,11,FALSE)</f>
        <v>20</v>
      </c>
      <c r="AY85" s="48"/>
      <c r="AZ85" s="48">
        <f t="shared" si="40"/>
        <v>500</v>
      </c>
      <c r="BA85" s="132">
        <f>VLOOKUP(AN85,Invoicing!A:J,10,FALSE)</f>
        <v>70</v>
      </c>
      <c r="BB85" s="132">
        <f>VLOOKUP(AN85,Invoicing!A:L,12,FALSE)</f>
        <v>1</v>
      </c>
      <c r="BC85" s="2" t="s">
        <v>66</v>
      </c>
    </row>
    <row r="86" spans="1:55">
      <c r="A86" s="134" t="s">
        <v>212</v>
      </c>
      <c r="B86" s="86" t="s">
        <v>56</v>
      </c>
      <c r="C86" s="11">
        <v>46036.09375</v>
      </c>
      <c r="D86" s="11">
        <v>46035.75</v>
      </c>
      <c r="E86" s="11" t="s">
        <v>98</v>
      </c>
      <c r="F86" s="11" t="s">
        <v>222</v>
      </c>
      <c r="G86" s="11" t="s">
        <v>59</v>
      </c>
      <c r="H86" s="11" t="s">
        <v>223</v>
      </c>
      <c r="I86" s="86" t="s">
        <v>228</v>
      </c>
      <c r="J86" s="86" t="s">
        <v>82</v>
      </c>
      <c r="K86" s="11">
        <v>46036.791666666664</v>
      </c>
      <c r="L86" s="12">
        <v>46036.727777777778</v>
      </c>
      <c r="M86" s="12">
        <v>46036.791666666664</v>
      </c>
      <c r="N86" s="12">
        <v>46036.770833333336</v>
      </c>
      <c r="O86" s="90" t="s">
        <v>63</v>
      </c>
      <c r="P86" s="135" t="s">
        <v>64</v>
      </c>
      <c r="Q86" s="86">
        <v>0</v>
      </c>
      <c r="R86" s="1">
        <f t="shared" si="22"/>
        <v>3</v>
      </c>
      <c r="S86" s="1">
        <f t="shared" si="23"/>
        <v>1</v>
      </c>
      <c r="T86" s="126">
        <f t="shared" si="24"/>
        <v>46036.727777777778</v>
      </c>
      <c r="U86" s="127">
        <f t="shared" si="25"/>
        <v>0.69791666666424135</v>
      </c>
      <c r="V86" s="128">
        <f>Table2[[#This Row],[ATA A OFRECIMIENTO]]*24</f>
        <v>16.749999999941792</v>
      </c>
      <c r="W86" s="1" t="str">
        <f t="shared" si="26"/>
        <v>YES</v>
      </c>
      <c r="X86" s="127">
        <f t="shared" si="27"/>
        <v>0</v>
      </c>
      <c r="Y86" s="128">
        <f>Table2[[#This Row],[DEL. AVAILABLE A SLOT]]*24</f>
        <v>0</v>
      </c>
      <c r="Z86" s="1" t="str">
        <f t="shared" si="28"/>
        <v>SI</v>
      </c>
      <c r="AA86" s="127">
        <f t="shared" si="29"/>
        <v>0.69791666666424135</v>
      </c>
      <c r="AB86" s="128">
        <f>Table2[[#This Row],[ATA A TIMESLOT]]*24</f>
        <v>16.749999999941792</v>
      </c>
      <c r="AC86" s="127">
        <f t="shared" si="30"/>
        <v>0</v>
      </c>
      <c r="AD86" s="127" t="str">
        <f t="shared" si="31"/>
        <v>SI</v>
      </c>
      <c r="AE86" s="128">
        <f>Table2[[#This Row],[PUNTUALIDAD (H)]]*24</f>
        <v>0</v>
      </c>
      <c r="AF86" s="127">
        <f t="shared" si="32"/>
        <v>0.67708333333575865</v>
      </c>
      <c r="AG86" s="128">
        <f>Table2[[#This Row],[ATA TO UNLOADING]]*24</f>
        <v>16.250000000058208</v>
      </c>
      <c r="AH86" s="128" t="str">
        <f>IF(Table2[[#This Row],[ATA TO UNLOADING 2]]&lt;=48,"YES","NO")</f>
        <v>YES</v>
      </c>
      <c r="AJ86" s="129">
        <f t="shared" si="33"/>
        <v>0.79166666666424135</v>
      </c>
      <c r="AK86" s="2" t="s">
        <v>64</v>
      </c>
      <c r="AL86" s="2" t="str">
        <f t="shared" si="34"/>
        <v>3/26</v>
      </c>
      <c r="AM86" s="2" t="str">
        <f t="shared" si="35"/>
        <v>MRKU6813125</v>
      </c>
      <c r="AN86" s="130" t="str">
        <f t="shared" si="36"/>
        <v>MSI</v>
      </c>
      <c r="AO86" s="141">
        <f>IF($O86="TRUCK",
VLOOKUP($AU86,Invoicing!$A$16:$B$56,MATCH($AO$1,Invoicing!$A$16:$B$16,0),FALSE)+IF(OR($B86="DCD",$B86="HPD2"),23.5,0),
VLOOKUP($AU86,Invoicing!$N$15:$O$19,MATCH($AO$1,Invoicing!$N$15:$O$15,0),FALSE)+IF(OR($B86="DCD",$B86="HPD2"),23.5,0))</f>
        <v>480</v>
      </c>
      <c r="AP86" s="131" t="e">
        <f>VLOOKUP($E86,Invoicing!$A$1:$H$12,MATCH(TRACKER!$P54,Invoicing!$A$1:$H$1,0),FALSE)</f>
        <v>#N/A</v>
      </c>
      <c r="AQ86" s="131">
        <f>VLOOKUP($E86,Invoicing!$A$1:$H$12,MATCH(TRACKER!$Q$1,Invoicing!$A$1:$H$1,0),FALSE)</f>
        <v>50</v>
      </c>
      <c r="AR86" s="131">
        <f t="shared" si="37"/>
        <v>0</v>
      </c>
      <c r="AS86" s="2">
        <f t="shared" si="38"/>
        <v>3</v>
      </c>
      <c r="AT86" s="2" t="str">
        <f t="shared" si="41"/>
        <v>WEEK</v>
      </c>
      <c r="AU86" s="2" t="str">
        <f t="shared" si="39"/>
        <v>MSIWEEK</v>
      </c>
      <c r="AV86" s="94">
        <f>(IF(ISNA(AP86),AO86+AR86,SUM($AO86,$AR86,IFERROR($AP86,"0"))))+Table2[[#This Row],[WAITING TIMES]]</f>
        <v>480</v>
      </c>
      <c r="AW86" s="48">
        <f>VLOOKUP(AN86,Invoicing!A:K,11,FALSE)</f>
        <v>20</v>
      </c>
      <c r="AY86" s="48"/>
      <c r="AZ86" s="48">
        <f t="shared" si="40"/>
        <v>500</v>
      </c>
      <c r="BA86" s="132">
        <f>VLOOKUP(AN86,Invoicing!A:J,10,FALSE)</f>
        <v>70</v>
      </c>
      <c r="BB86" s="132">
        <f>VLOOKUP(AN86,Invoicing!A:L,12,FALSE)</f>
        <v>1</v>
      </c>
      <c r="BC86" s="2" t="s">
        <v>66</v>
      </c>
    </row>
    <row r="87" spans="1:55">
      <c r="A87" s="134" t="s">
        <v>212</v>
      </c>
      <c r="B87" s="86" t="s">
        <v>56</v>
      </c>
      <c r="C87" s="11">
        <v>46036.09375</v>
      </c>
      <c r="D87" s="11">
        <v>46035.75</v>
      </c>
      <c r="E87" s="11" t="s">
        <v>98</v>
      </c>
      <c r="F87" s="11" t="s">
        <v>229</v>
      </c>
      <c r="G87" s="11" t="s">
        <v>59</v>
      </c>
      <c r="H87" s="11" t="s">
        <v>60</v>
      </c>
      <c r="I87" s="86" t="s">
        <v>230</v>
      </c>
      <c r="J87" s="86" t="s">
        <v>100</v>
      </c>
      <c r="K87" s="12">
        <v>46036.708333333336</v>
      </c>
      <c r="L87" s="12">
        <v>46036.686111111114</v>
      </c>
      <c r="M87" s="12">
        <v>46036.708333333336</v>
      </c>
      <c r="N87" s="12">
        <v>46036.694444444445</v>
      </c>
      <c r="O87" s="90" t="s">
        <v>63</v>
      </c>
      <c r="P87" s="135" t="s">
        <v>64</v>
      </c>
      <c r="Q87" s="86">
        <v>2</v>
      </c>
      <c r="R87" s="1">
        <f t="shared" si="22"/>
        <v>3</v>
      </c>
      <c r="S87" s="1">
        <f t="shared" si="23"/>
        <v>1</v>
      </c>
      <c r="T87" s="126">
        <f t="shared" si="24"/>
        <v>46036.686111111114</v>
      </c>
      <c r="U87" s="127">
        <f t="shared" si="25"/>
        <v>0.61458333333575865</v>
      </c>
      <c r="V87" s="128">
        <f>Table2[[#This Row],[ATA A OFRECIMIENTO]]*24</f>
        <v>14.750000000058208</v>
      </c>
      <c r="W87" s="1" t="str">
        <f t="shared" si="26"/>
        <v>YES</v>
      </c>
      <c r="X87" s="127">
        <f t="shared" si="27"/>
        <v>0</v>
      </c>
      <c r="Y87" s="128">
        <f>Table2[[#This Row],[DEL. AVAILABLE A SLOT]]*24</f>
        <v>0</v>
      </c>
      <c r="Z87" s="1" t="str">
        <f t="shared" si="28"/>
        <v>SI</v>
      </c>
      <c r="AA87" s="127">
        <f t="shared" si="29"/>
        <v>0.61458333333575865</v>
      </c>
      <c r="AB87" s="128">
        <f>Table2[[#This Row],[ATA A TIMESLOT]]*24</f>
        <v>14.750000000058208</v>
      </c>
      <c r="AC87" s="127">
        <f t="shared" si="30"/>
        <v>0</v>
      </c>
      <c r="AD87" s="127" t="str">
        <f t="shared" si="31"/>
        <v>SI</v>
      </c>
      <c r="AE87" s="128">
        <f>Table2[[#This Row],[PUNTUALIDAD (H)]]*24</f>
        <v>0</v>
      </c>
      <c r="AF87" s="127">
        <f t="shared" si="32"/>
        <v>0.60069444444525288</v>
      </c>
      <c r="AG87" s="128">
        <f>Table2[[#This Row],[ATA TO UNLOADING]]*24</f>
        <v>14.416666666686069</v>
      </c>
      <c r="AH87" s="128" t="str">
        <f>IF(Table2[[#This Row],[ATA TO UNLOADING 2]]&lt;=48,"YES","NO")</f>
        <v>YES</v>
      </c>
      <c r="AJ87" s="129">
        <f t="shared" si="33"/>
        <v>0.70833333333575865</v>
      </c>
      <c r="AK87" s="2" t="s">
        <v>64</v>
      </c>
      <c r="AL87" s="2" t="str">
        <f t="shared" si="34"/>
        <v>3/26</v>
      </c>
      <c r="AM87" s="2" t="str">
        <f t="shared" si="35"/>
        <v>MRSU7237834</v>
      </c>
      <c r="AN87" s="130" t="str">
        <f t="shared" si="36"/>
        <v>MSI</v>
      </c>
      <c r="AO87" s="141">
        <f>IF($O87="TRUCK",
VLOOKUP($AU87,Invoicing!$A$16:$B$56,MATCH($AO$1,Invoicing!$A$16:$B$16,0),FALSE)+IF(OR($B87="DCD",$B87="HPD2"),23.5,0),
VLOOKUP($AU87,Invoicing!$N$15:$O$19,MATCH($AO$1,Invoicing!$N$15:$O$15,0),FALSE)+IF(OR($B87="DCD",$B87="HPD2"),23.5,0))</f>
        <v>480</v>
      </c>
      <c r="AP87" s="131" t="e">
        <f>VLOOKUP($E87,Invoicing!$A$1:$H$12,MATCH(TRACKER!$P55,Invoicing!$A$1:$H$1,0),FALSE)</f>
        <v>#N/A</v>
      </c>
      <c r="AQ87" s="131">
        <f>VLOOKUP($E87,Invoicing!$A$1:$H$12,MATCH(TRACKER!$Q$1,Invoicing!$A$1:$H$1,0),FALSE)</f>
        <v>50</v>
      </c>
      <c r="AR87" s="131">
        <f t="shared" si="37"/>
        <v>100</v>
      </c>
      <c r="AS87" s="2">
        <f t="shared" si="38"/>
        <v>3</v>
      </c>
      <c r="AT87" s="2" t="str">
        <f t="shared" si="41"/>
        <v>WEEK</v>
      </c>
      <c r="AU87" s="2" t="str">
        <f t="shared" si="39"/>
        <v>MSIWEEK</v>
      </c>
      <c r="AV87" s="94">
        <f>(IF(ISNA(AP87),AO87+AR87,SUM($AO87,$AR87,IFERROR($AP87,"0"))))+Table2[[#This Row],[WAITING TIMES]]</f>
        <v>625</v>
      </c>
      <c r="AW87" s="48">
        <f>VLOOKUP(AN87,Invoicing!A:K,11,FALSE)</f>
        <v>20</v>
      </c>
      <c r="AX87" s="48">
        <v>45</v>
      </c>
      <c r="AY87" s="94" t="s">
        <v>231</v>
      </c>
      <c r="AZ87" s="48">
        <f t="shared" si="40"/>
        <v>645</v>
      </c>
      <c r="BA87" s="132">
        <f>VLOOKUP(AN87,Invoicing!A:J,10,FALSE)</f>
        <v>70</v>
      </c>
      <c r="BB87" s="132">
        <f>VLOOKUP(AN87,Invoicing!A:L,12,FALSE)</f>
        <v>1</v>
      </c>
      <c r="BC87" s="2" t="s">
        <v>66</v>
      </c>
    </row>
    <row r="88" spans="1:55">
      <c r="A88" s="134" t="s">
        <v>212</v>
      </c>
      <c r="B88" s="86" t="s">
        <v>56</v>
      </c>
      <c r="C88" s="11">
        <v>46036.09375</v>
      </c>
      <c r="D88" s="11">
        <v>46035.75</v>
      </c>
      <c r="E88" s="11" t="s">
        <v>98</v>
      </c>
      <c r="F88" s="11" t="s">
        <v>215</v>
      </c>
      <c r="G88" s="11" t="s">
        <v>59</v>
      </c>
      <c r="H88" s="11" t="s">
        <v>68</v>
      </c>
      <c r="I88" s="86" t="s">
        <v>232</v>
      </c>
      <c r="J88" s="86" t="s">
        <v>100</v>
      </c>
      <c r="K88" s="11">
        <v>46036.791666666664</v>
      </c>
      <c r="L88" s="12">
        <v>46037.253472222219</v>
      </c>
      <c r="M88" s="12">
        <v>46037.25</v>
      </c>
      <c r="N88" s="12">
        <v>46037.260416666664</v>
      </c>
      <c r="O88" s="90" t="s">
        <v>63</v>
      </c>
      <c r="P88" s="135" t="s">
        <v>64</v>
      </c>
      <c r="Q88" s="86">
        <v>1</v>
      </c>
      <c r="R88" s="1">
        <f t="shared" si="22"/>
        <v>3</v>
      </c>
      <c r="S88" s="1">
        <f t="shared" si="23"/>
        <v>1</v>
      </c>
      <c r="T88" s="126">
        <f t="shared" si="24"/>
        <v>46037.253472222219</v>
      </c>
      <c r="U88" s="127">
        <f t="shared" si="25"/>
        <v>0.69791666666424135</v>
      </c>
      <c r="V88" s="128">
        <f>Table2[[#This Row],[ATA A OFRECIMIENTO]]*24</f>
        <v>16.749999999941792</v>
      </c>
      <c r="W88" s="1" t="str">
        <f t="shared" si="26"/>
        <v>YES</v>
      </c>
      <c r="X88" s="127">
        <f t="shared" si="27"/>
        <v>0.45833333333575865</v>
      </c>
      <c r="Y88" s="128">
        <f>Table2[[#This Row],[DEL. AVAILABLE A SLOT]]*24</f>
        <v>11.000000000058208</v>
      </c>
      <c r="Z88" s="1" t="str">
        <f t="shared" si="28"/>
        <v>SI</v>
      </c>
      <c r="AA88" s="127">
        <f t="shared" si="29"/>
        <v>1.15625</v>
      </c>
      <c r="AB88" s="128">
        <f>Table2[[#This Row],[ATA A TIMESLOT]]*24</f>
        <v>27.75</v>
      </c>
      <c r="AC88" s="127">
        <f t="shared" si="30"/>
        <v>3.4722222189884633E-3</v>
      </c>
      <c r="AD88" s="127" t="str">
        <f t="shared" si="31"/>
        <v>SI</v>
      </c>
      <c r="AE88" s="128">
        <f>Table2[[#This Row],[PUNTUALIDAD (H)]]*24</f>
        <v>8.3333333255723119E-2</v>
      </c>
      <c r="AF88" s="127">
        <f t="shared" si="32"/>
        <v>1.1666666666642413</v>
      </c>
      <c r="AG88" s="128">
        <f>Table2[[#This Row],[ATA TO UNLOADING]]*24</f>
        <v>27.999999999941792</v>
      </c>
      <c r="AH88" s="128" t="str">
        <f>IF(Table2[[#This Row],[ATA TO UNLOADING 2]]&lt;=48,"YES","NO")</f>
        <v>YES</v>
      </c>
      <c r="AJ88" s="129">
        <f t="shared" si="33"/>
        <v>0.25</v>
      </c>
      <c r="AK88" s="2" t="s">
        <v>64</v>
      </c>
      <c r="AL88" s="2" t="str">
        <f t="shared" si="34"/>
        <v>3/26</v>
      </c>
      <c r="AM88" s="2" t="str">
        <f t="shared" si="35"/>
        <v>MRSU7900757</v>
      </c>
      <c r="AN88" s="130" t="str">
        <f t="shared" si="36"/>
        <v>MSI</v>
      </c>
      <c r="AO88" s="141">
        <f>IF($O88="TRUCK",
VLOOKUP($AU88,Invoicing!$A$16:$B$56,MATCH($AO$1,Invoicing!$A$16:$B$16,0),FALSE)+IF(OR($B88="DCD",$B88="HPD2"),23.5,0),
VLOOKUP($AU88,Invoicing!$N$15:$O$19,MATCH($AO$1,Invoicing!$N$15:$O$15,0),FALSE)+IF(OR($B88="DCD",$B88="HPD2"),23.5,0))</f>
        <v>480</v>
      </c>
      <c r="AP88" s="131" t="e">
        <f>VLOOKUP($E88,Invoicing!$A$1:$H$12,MATCH(TRACKER!$P56,Invoicing!$A$1:$H$1,0),FALSE)</f>
        <v>#N/A</v>
      </c>
      <c r="AQ88" s="131">
        <f>VLOOKUP($E88,Invoicing!$A$1:$H$12,MATCH(TRACKER!$Q$1,Invoicing!$A$1:$H$1,0),FALSE)</f>
        <v>50</v>
      </c>
      <c r="AR88" s="131">
        <f t="shared" si="37"/>
        <v>50</v>
      </c>
      <c r="AS88" s="2">
        <f t="shared" si="38"/>
        <v>4</v>
      </c>
      <c r="AT88" s="2" t="str">
        <f t="shared" si="41"/>
        <v>WEEK</v>
      </c>
      <c r="AU88" s="2" t="str">
        <f t="shared" si="39"/>
        <v>MSIWEEK</v>
      </c>
      <c r="AV88" s="94">
        <f>(IF(ISNA(AP88),AO88+AR88,SUM($AO88,$AR88,IFERROR($AP88,"0"))))+Table2[[#This Row],[WAITING TIMES]]</f>
        <v>530</v>
      </c>
      <c r="AW88" s="48">
        <f>VLOOKUP(AN88,Invoicing!A:K,11,FALSE)</f>
        <v>20</v>
      </c>
      <c r="AY88" s="48"/>
      <c r="AZ88" s="48">
        <f t="shared" si="40"/>
        <v>550</v>
      </c>
      <c r="BA88" s="132">
        <f>VLOOKUP(AN88,Invoicing!A:J,10,FALSE)</f>
        <v>70</v>
      </c>
      <c r="BB88" s="132">
        <f>VLOOKUP(AN88,Invoicing!A:L,12,FALSE)</f>
        <v>1</v>
      </c>
      <c r="BC88" s="2" t="s">
        <v>66</v>
      </c>
    </row>
    <row r="89" spans="1:55">
      <c r="A89" s="134" t="s">
        <v>212</v>
      </c>
      <c r="B89" s="86" t="s">
        <v>56</v>
      </c>
      <c r="C89" s="11">
        <v>46036.09375</v>
      </c>
      <c r="D89" s="11">
        <v>46035.75</v>
      </c>
      <c r="E89" s="11" t="s">
        <v>98</v>
      </c>
      <c r="F89" s="11" t="s">
        <v>215</v>
      </c>
      <c r="G89" s="11" t="s">
        <v>59</v>
      </c>
      <c r="H89" s="11" t="s">
        <v>68</v>
      </c>
      <c r="I89" s="86" t="s">
        <v>233</v>
      </c>
      <c r="J89" s="86" t="s">
        <v>100</v>
      </c>
      <c r="K89" s="11">
        <v>46036.791666666664</v>
      </c>
      <c r="L89" s="12">
        <v>46037.701388888891</v>
      </c>
      <c r="M89" s="12">
        <v>46037.729166666664</v>
      </c>
      <c r="N89" s="12">
        <v>46037.715277777781</v>
      </c>
      <c r="O89" s="90" t="s">
        <v>63</v>
      </c>
      <c r="P89" s="135" t="s">
        <v>64</v>
      </c>
      <c r="Q89" s="86">
        <v>0</v>
      </c>
      <c r="R89" s="1">
        <f t="shared" si="22"/>
        <v>3</v>
      </c>
      <c r="S89" s="1">
        <f t="shared" si="23"/>
        <v>1</v>
      </c>
      <c r="T89" s="126">
        <f t="shared" si="24"/>
        <v>46037.701388888891</v>
      </c>
      <c r="U89" s="127">
        <f t="shared" si="25"/>
        <v>0.69791666666424135</v>
      </c>
      <c r="V89" s="128">
        <f>Table2[[#This Row],[ATA A OFRECIMIENTO]]*24</f>
        <v>16.749999999941792</v>
      </c>
      <c r="W89" s="1" t="str">
        <f t="shared" si="26"/>
        <v>YES</v>
      </c>
      <c r="X89" s="127">
        <f t="shared" si="27"/>
        <v>0.9375</v>
      </c>
      <c r="Y89" s="128">
        <f>Table2[[#This Row],[DEL. AVAILABLE A SLOT]]*24</f>
        <v>22.5</v>
      </c>
      <c r="Z89" s="1" t="str">
        <f t="shared" si="28"/>
        <v>SI</v>
      </c>
      <c r="AA89" s="127">
        <f t="shared" si="29"/>
        <v>1.6354166666642413</v>
      </c>
      <c r="AB89" s="128">
        <f>Table2[[#This Row],[ATA A TIMESLOT]]*24</f>
        <v>39.249999999941792</v>
      </c>
      <c r="AC89" s="127">
        <f t="shared" si="30"/>
        <v>0</v>
      </c>
      <c r="AD89" s="127" t="str">
        <f t="shared" si="31"/>
        <v>SI</v>
      </c>
      <c r="AE89" s="128">
        <f>Table2[[#This Row],[PUNTUALIDAD (H)]]*24</f>
        <v>0</v>
      </c>
      <c r="AF89" s="127">
        <f t="shared" si="32"/>
        <v>1.6215277777810115</v>
      </c>
      <c r="AG89" s="128">
        <f>Table2[[#This Row],[ATA TO UNLOADING]]*24</f>
        <v>38.916666666744277</v>
      </c>
      <c r="AH89" s="128" t="str">
        <f>IF(Table2[[#This Row],[ATA TO UNLOADING 2]]&lt;=48,"YES","NO")</f>
        <v>YES</v>
      </c>
      <c r="AJ89" s="129">
        <f t="shared" si="33"/>
        <v>0.72916666666424135</v>
      </c>
      <c r="AK89" s="2" t="s">
        <v>64</v>
      </c>
      <c r="AL89" s="2" t="str">
        <f t="shared" si="34"/>
        <v>3/26</v>
      </c>
      <c r="AM89" s="2" t="str">
        <f t="shared" si="35"/>
        <v>MRSU8567506</v>
      </c>
      <c r="AN89" s="130" t="str">
        <f t="shared" si="36"/>
        <v>MSI</v>
      </c>
      <c r="AO89" s="141">
        <f>IF($O89="TRUCK",
VLOOKUP($AU89,Invoicing!$A$16:$B$56,MATCH($AO$1,Invoicing!$A$16:$B$16,0),FALSE)+IF(OR($B89="DCD",$B89="HPD2"),23.5,0),
VLOOKUP($AU89,Invoicing!$N$15:$O$19,MATCH($AO$1,Invoicing!$N$15:$O$15,0),FALSE)+IF(OR($B89="DCD",$B89="HPD2"),23.5,0))</f>
        <v>480</v>
      </c>
      <c r="AP89" s="131" t="e">
        <f>VLOOKUP($E89,Invoicing!$A$1:$H$12,MATCH(TRACKER!$P57,Invoicing!$A$1:$H$1,0),FALSE)</f>
        <v>#N/A</v>
      </c>
      <c r="AQ89" s="131">
        <f>VLOOKUP($E89,Invoicing!$A$1:$H$12,MATCH(TRACKER!$Q$1,Invoicing!$A$1:$H$1,0),FALSE)</f>
        <v>50</v>
      </c>
      <c r="AR89" s="131">
        <f t="shared" si="37"/>
        <v>0</v>
      </c>
      <c r="AS89" s="2">
        <f t="shared" si="38"/>
        <v>4</v>
      </c>
      <c r="AT89" s="2" t="str">
        <f t="shared" si="41"/>
        <v>WEEK</v>
      </c>
      <c r="AU89" s="2" t="str">
        <f t="shared" si="39"/>
        <v>MSIWEEK</v>
      </c>
      <c r="AV89" s="94">
        <f>(IF(ISNA(AP89),AO89+AR89,SUM($AO89,$AR89,IFERROR($AP89,"0"))))+Table2[[#This Row],[WAITING TIMES]]</f>
        <v>480</v>
      </c>
      <c r="AW89" s="48">
        <f>VLOOKUP(AN89,Invoicing!A:K,11,FALSE)</f>
        <v>20</v>
      </c>
      <c r="AY89" s="48"/>
      <c r="AZ89" s="48">
        <f t="shared" si="40"/>
        <v>500</v>
      </c>
      <c r="BA89" s="132">
        <f>VLOOKUP(AN89,Invoicing!A:J,10,FALSE)</f>
        <v>70</v>
      </c>
      <c r="BB89" s="132">
        <f>VLOOKUP(AN89,Invoicing!A:L,12,FALSE)</f>
        <v>1</v>
      </c>
      <c r="BC89" s="2" t="s">
        <v>66</v>
      </c>
    </row>
    <row r="90" spans="1:55">
      <c r="A90" s="134" t="s">
        <v>212</v>
      </c>
      <c r="B90" s="86" t="s">
        <v>56</v>
      </c>
      <c r="C90" s="11">
        <v>46036.09375</v>
      </c>
      <c r="D90" s="11">
        <v>46035.75</v>
      </c>
      <c r="E90" s="11" t="s">
        <v>83</v>
      </c>
      <c r="F90" s="11" t="s">
        <v>215</v>
      </c>
      <c r="G90" s="11" t="s">
        <v>59</v>
      </c>
      <c r="H90" s="11" t="s">
        <v>68</v>
      </c>
      <c r="I90" s="86" t="s">
        <v>234</v>
      </c>
      <c r="J90" s="86" t="s">
        <v>100</v>
      </c>
      <c r="K90" s="11">
        <v>46036.791666666664</v>
      </c>
      <c r="L90" s="12">
        <v>46036.791666666664</v>
      </c>
      <c r="M90" s="12">
        <v>46036.791666666664</v>
      </c>
      <c r="N90" s="12">
        <v>46036.791666666664</v>
      </c>
      <c r="O90" s="90" t="s">
        <v>63</v>
      </c>
      <c r="P90" s="135" t="s">
        <v>64</v>
      </c>
      <c r="Q90" s="86">
        <v>2</v>
      </c>
      <c r="R90" s="1">
        <f t="shared" si="22"/>
        <v>3</v>
      </c>
      <c r="S90" s="1">
        <f t="shared" si="23"/>
        <v>1</v>
      </c>
      <c r="T90" s="126">
        <f t="shared" si="24"/>
        <v>46036.791666666664</v>
      </c>
      <c r="U90" s="127">
        <f t="shared" si="25"/>
        <v>0.69791666666424135</v>
      </c>
      <c r="V90" s="128">
        <f>Table2[[#This Row],[ATA A OFRECIMIENTO]]*24</f>
        <v>16.749999999941792</v>
      </c>
      <c r="W90" s="1" t="str">
        <f t="shared" si="26"/>
        <v>YES</v>
      </c>
      <c r="X90" s="127">
        <f t="shared" si="27"/>
        <v>0</v>
      </c>
      <c r="Y90" s="128">
        <f>Table2[[#This Row],[DEL. AVAILABLE A SLOT]]*24</f>
        <v>0</v>
      </c>
      <c r="Z90" s="1" t="str">
        <f t="shared" si="28"/>
        <v>SI</v>
      </c>
      <c r="AA90" s="127">
        <f t="shared" si="29"/>
        <v>0.69791666666424135</v>
      </c>
      <c r="AB90" s="128">
        <f>Table2[[#This Row],[ATA A TIMESLOT]]*24</f>
        <v>16.749999999941792</v>
      </c>
      <c r="AC90" s="127">
        <f t="shared" si="30"/>
        <v>0</v>
      </c>
      <c r="AD90" s="127" t="str">
        <f t="shared" si="31"/>
        <v>SI</v>
      </c>
      <c r="AE90" s="128">
        <f>Table2[[#This Row],[PUNTUALIDAD (H)]]*24</f>
        <v>0</v>
      </c>
      <c r="AF90" s="127">
        <f t="shared" si="32"/>
        <v>0.69791666666424135</v>
      </c>
      <c r="AG90" s="128">
        <f>Table2[[#This Row],[ATA TO UNLOADING]]*24</f>
        <v>16.749999999941792</v>
      </c>
      <c r="AH90" s="128" t="str">
        <f>IF(Table2[[#This Row],[ATA TO UNLOADING 2]]&lt;=48,"YES","NO")</f>
        <v>YES</v>
      </c>
      <c r="AJ90" s="129">
        <f t="shared" si="33"/>
        <v>0.79166666666424135</v>
      </c>
      <c r="AK90" s="2" t="s">
        <v>64</v>
      </c>
      <c r="AL90" s="2" t="str">
        <f t="shared" si="34"/>
        <v>3/26</v>
      </c>
      <c r="AM90" s="2" t="str">
        <f t="shared" si="35"/>
        <v>MAEU9186085</v>
      </c>
      <c r="AN90" s="130" t="str">
        <f t="shared" si="36"/>
        <v>OM TRANSPORT</v>
      </c>
      <c r="AO90" s="141">
        <f>IF($O90="TRUCK",
VLOOKUP($AU90,Invoicing!$A$16:$B$56,MATCH($AO$1,Invoicing!$A$16:$B$16,0),FALSE)+IF(OR($B90="DCD",$B90="HPD2"),23.5,0),
VLOOKUP($AU90,Invoicing!$N$15:$O$19,MATCH($AO$1,Invoicing!$N$15:$O$15,0),FALSE)+IF(OR($B90="DCD",$B90="HPD2"),23.5,0))</f>
        <v>475</v>
      </c>
      <c r="AP90" s="131" t="e">
        <f>VLOOKUP($E90,Invoicing!$A$1:$H$12,MATCH(TRACKER!$P84,Invoicing!$A$1:$H$1,0),FALSE)</f>
        <v>#N/A</v>
      </c>
      <c r="AQ90" s="131">
        <f>VLOOKUP($E90,Invoicing!$A$1:$H$12,MATCH(TRACKER!$Q$1,Invoicing!$A$1:$H$1,0),FALSE)</f>
        <v>50</v>
      </c>
      <c r="AR90" s="131">
        <f t="shared" si="37"/>
        <v>100</v>
      </c>
      <c r="AS90" s="2">
        <f t="shared" si="38"/>
        <v>3</v>
      </c>
      <c r="AT90" s="2" t="str">
        <f t="shared" si="41"/>
        <v>WEEK</v>
      </c>
      <c r="AU90" s="2" t="str">
        <f t="shared" si="39"/>
        <v>OM TRANSPORTWEEK</v>
      </c>
      <c r="AV90" s="94">
        <f>(IF(ISNA(AP90),AO90+AR90,SUM($AO90,$AR90,IFERROR($AP90,"0"))))+Table2[[#This Row],[WAITING TIMES]]</f>
        <v>620</v>
      </c>
      <c r="AW90" s="48">
        <f>VLOOKUP(AN90,Invoicing!A:K,11,FALSE)</f>
        <v>20</v>
      </c>
      <c r="AX90" s="48">
        <v>45</v>
      </c>
      <c r="AY90" s="48" t="s">
        <v>235</v>
      </c>
      <c r="AZ90" s="48">
        <f t="shared" si="40"/>
        <v>640</v>
      </c>
      <c r="BA90" s="132">
        <f>VLOOKUP(AN90,Invoicing!A:J,10,FALSE)</f>
        <v>70</v>
      </c>
      <c r="BB90" s="132">
        <f>VLOOKUP(AN90,Invoicing!A:L,12,FALSE)</f>
        <v>1</v>
      </c>
      <c r="BC90" s="2" t="s">
        <v>66</v>
      </c>
    </row>
    <row r="91" spans="1:55">
      <c r="A91" s="134" t="s">
        <v>212</v>
      </c>
      <c r="B91" s="86" t="s">
        <v>56</v>
      </c>
      <c r="C91" s="11">
        <v>46036.09375</v>
      </c>
      <c r="D91" s="11">
        <v>46035.75</v>
      </c>
      <c r="E91" s="11" t="s">
        <v>83</v>
      </c>
      <c r="F91" s="11" t="s">
        <v>236</v>
      </c>
      <c r="G91" s="11" t="s">
        <v>59</v>
      </c>
      <c r="H91" s="11" t="s">
        <v>60</v>
      </c>
      <c r="I91" s="86" t="s">
        <v>237</v>
      </c>
      <c r="J91" s="86" t="s">
        <v>100</v>
      </c>
      <c r="K91" s="11">
        <v>46036.791666666664</v>
      </c>
      <c r="L91" s="12">
        <v>46037.256944444445</v>
      </c>
      <c r="M91" s="12">
        <v>46037.25</v>
      </c>
      <c r="N91" s="12">
        <v>46037.263888888891</v>
      </c>
      <c r="O91" s="90" t="s">
        <v>63</v>
      </c>
      <c r="P91" s="135" t="s">
        <v>64</v>
      </c>
      <c r="Q91" s="86">
        <v>0</v>
      </c>
      <c r="R91" s="1">
        <f t="shared" si="22"/>
        <v>3</v>
      </c>
      <c r="S91" s="1">
        <f t="shared" si="23"/>
        <v>1</v>
      </c>
      <c r="T91" s="126">
        <f t="shared" si="24"/>
        <v>46037.256944444445</v>
      </c>
      <c r="U91" s="127">
        <f t="shared" si="25"/>
        <v>0.69791666666424135</v>
      </c>
      <c r="V91" s="128">
        <f>Table2[[#This Row],[ATA A OFRECIMIENTO]]*24</f>
        <v>16.749999999941792</v>
      </c>
      <c r="W91" s="1" t="str">
        <f t="shared" si="26"/>
        <v>YES</v>
      </c>
      <c r="X91" s="127">
        <f t="shared" si="27"/>
        <v>0.45833333333575865</v>
      </c>
      <c r="Y91" s="128">
        <f>Table2[[#This Row],[DEL. AVAILABLE A SLOT]]*24</f>
        <v>11.000000000058208</v>
      </c>
      <c r="Z91" s="1" t="str">
        <f t="shared" si="28"/>
        <v>SI</v>
      </c>
      <c r="AA91" s="127">
        <f t="shared" si="29"/>
        <v>1.15625</v>
      </c>
      <c r="AB91" s="128">
        <f>Table2[[#This Row],[ATA A TIMESLOT]]*24</f>
        <v>27.75</v>
      </c>
      <c r="AC91" s="127">
        <f t="shared" si="30"/>
        <v>6.9444444452528842E-3</v>
      </c>
      <c r="AD91" s="127" t="str">
        <f t="shared" si="31"/>
        <v>SI</v>
      </c>
      <c r="AE91" s="128">
        <f>Table2[[#This Row],[PUNTUALIDAD (H)]]*24</f>
        <v>0.16666666668606922</v>
      </c>
      <c r="AF91" s="127">
        <f t="shared" si="32"/>
        <v>1.1701388888905058</v>
      </c>
      <c r="AG91" s="128">
        <f>Table2[[#This Row],[ATA TO UNLOADING]]*24</f>
        <v>28.083333333372138</v>
      </c>
      <c r="AH91" s="128" t="str">
        <f>IF(Table2[[#This Row],[ATA TO UNLOADING 2]]&lt;=48,"YES","NO")</f>
        <v>YES</v>
      </c>
      <c r="AJ91" s="129">
        <f t="shared" si="33"/>
        <v>0.25</v>
      </c>
      <c r="AK91" s="2" t="s">
        <v>64</v>
      </c>
      <c r="AL91" s="2" t="str">
        <f t="shared" si="34"/>
        <v>3/26</v>
      </c>
      <c r="AM91" s="2" t="str">
        <f t="shared" si="35"/>
        <v>MAEU9242717</v>
      </c>
      <c r="AN91" s="130" t="str">
        <f t="shared" si="36"/>
        <v>OM TRANSPORT</v>
      </c>
      <c r="AO91" s="141">
        <f>IF($O91="TRUCK",
VLOOKUP($AU91,Invoicing!$A$16:$B$56,MATCH($AO$1,Invoicing!$A$16:$B$16,0),FALSE)+IF(OR($B91="DCD",$B91="HPD2"),23.5,0),
VLOOKUP($AU91,Invoicing!$N$15:$O$19,MATCH($AO$1,Invoicing!$N$15:$O$15,0),FALSE)+IF(OR($B91="DCD",$B91="HPD2"),23.5,0))</f>
        <v>475</v>
      </c>
      <c r="AP91" s="131" t="e">
        <f>VLOOKUP($E91,Invoicing!$A$1:$H$12,MATCH(TRACKER!$P85,Invoicing!$A$1:$H$1,0),FALSE)</f>
        <v>#N/A</v>
      </c>
      <c r="AQ91" s="131">
        <f>VLOOKUP($E91,Invoicing!$A$1:$H$12,MATCH(TRACKER!$Q$1,Invoicing!$A$1:$H$1,0),FALSE)</f>
        <v>50</v>
      </c>
      <c r="AR91" s="131">
        <f t="shared" si="37"/>
        <v>0</v>
      </c>
      <c r="AS91" s="2">
        <f t="shared" si="38"/>
        <v>4</v>
      </c>
      <c r="AT91" s="2" t="str">
        <f t="shared" si="41"/>
        <v>WEEK</v>
      </c>
      <c r="AU91" s="2" t="str">
        <f t="shared" si="39"/>
        <v>OM TRANSPORTWEEK</v>
      </c>
      <c r="AV91" s="94">
        <f>(IF(ISNA(AP91),AO91+AR91,SUM($AO91,$AR91,IFERROR($AP91,"0"))))+Table2[[#This Row],[WAITING TIMES]]</f>
        <v>475</v>
      </c>
      <c r="AW91" s="48">
        <f>VLOOKUP(AN91,Invoicing!A:K,11,FALSE)</f>
        <v>20</v>
      </c>
      <c r="AY91" s="48"/>
      <c r="AZ91" s="48">
        <f t="shared" si="40"/>
        <v>495</v>
      </c>
      <c r="BA91" s="132">
        <f>VLOOKUP(AN91,Invoicing!A:J,10,FALSE)</f>
        <v>70</v>
      </c>
      <c r="BB91" s="132">
        <f>VLOOKUP(AN91,Invoicing!A:L,12,FALSE)</f>
        <v>1</v>
      </c>
      <c r="BC91" s="2" t="s">
        <v>66</v>
      </c>
    </row>
    <row r="92" spans="1:55">
      <c r="A92" s="134" t="s">
        <v>212</v>
      </c>
      <c r="B92" s="86" t="s">
        <v>56</v>
      </c>
      <c r="C92" s="11">
        <v>46036.09375</v>
      </c>
      <c r="D92" s="11">
        <v>46035.75</v>
      </c>
      <c r="E92" s="11" t="s">
        <v>83</v>
      </c>
      <c r="F92" s="11" t="s">
        <v>213</v>
      </c>
      <c r="G92" s="11" t="s">
        <v>59</v>
      </c>
      <c r="H92" s="11" t="s">
        <v>144</v>
      </c>
      <c r="I92" s="86" t="s">
        <v>238</v>
      </c>
      <c r="J92" s="86" t="s">
        <v>100</v>
      </c>
      <c r="K92" s="11">
        <v>46036.791666666664</v>
      </c>
      <c r="L92" s="12">
        <v>46037.63958333333</v>
      </c>
      <c r="M92" s="12">
        <v>46037.645833333336</v>
      </c>
      <c r="N92" s="12">
        <v>46037.643055555556</v>
      </c>
      <c r="O92" s="90" t="s">
        <v>63</v>
      </c>
      <c r="P92" s="135" t="s">
        <v>64</v>
      </c>
      <c r="Q92" s="86">
        <v>0</v>
      </c>
      <c r="R92" s="1">
        <f t="shared" si="22"/>
        <v>3</v>
      </c>
      <c r="S92" s="1">
        <f t="shared" si="23"/>
        <v>1</v>
      </c>
      <c r="T92" s="126">
        <f t="shared" si="24"/>
        <v>46037.63958333333</v>
      </c>
      <c r="U92" s="127">
        <f t="shared" si="25"/>
        <v>0.69791666666424135</v>
      </c>
      <c r="V92" s="128">
        <f>Table2[[#This Row],[ATA A OFRECIMIENTO]]*24</f>
        <v>16.749999999941792</v>
      </c>
      <c r="W92" s="1" t="str">
        <f t="shared" si="26"/>
        <v>YES</v>
      </c>
      <c r="X92" s="127">
        <f t="shared" si="27"/>
        <v>0.85416666667151731</v>
      </c>
      <c r="Y92" s="128">
        <f>Table2[[#This Row],[DEL. AVAILABLE A SLOT]]*24</f>
        <v>20.500000000116415</v>
      </c>
      <c r="Z92" s="1" t="str">
        <f t="shared" si="28"/>
        <v>SI</v>
      </c>
      <c r="AA92" s="127">
        <f t="shared" si="29"/>
        <v>1.5520833333357587</v>
      </c>
      <c r="AB92" s="128">
        <f>Table2[[#This Row],[ATA A TIMESLOT]]*24</f>
        <v>37.250000000058208</v>
      </c>
      <c r="AC92" s="127">
        <f t="shared" si="30"/>
        <v>0</v>
      </c>
      <c r="AD92" s="127" t="str">
        <f t="shared" si="31"/>
        <v>SI</v>
      </c>
      <c r="AE92" s="128">
        <f>Table2[[#This Row],[PUNTUALIDAD (H)]]*24</f>
        <v>0</v>
      </c>
      <c r="AF92" s="127">
        <f t="shared" si="32"/>
        <v>1.5493055555562023</v>
      </c>
      <c r="AG92" s="128">
        <f>Table2[[#This Row],[ATA TO UNLOADING]]*24</f>
        <v>37.183333333348855</v>
      </c>
      <c r="AH92" s="128" t="str">
        <f>IF(Table2[[#This Row],[ATA TO UNLOADING 2]]&lt;=48,"YES","NO")</f>
        <v>YES</v>
      </c>
      <c r="AJ92" s="129">
        <f t="shared" si="33"/>
        <v>0.64583333333575865</v>
      </c>
      <c r="AK92" s="2" t="s">
        <v>64</v>
      </c>
      <c r="AL92" s="2" t="str">
        <f t="shared" si="34"/>
        <v>3/26</v>
      </c>
      <c r="AM92" s="2" t="str">
        <f t="shared" si="35"/>
        <v>MRKU0866299</v>
      </c>
      <c r="AN92" s="130" t="str">
        <f t="shared" si="36"/>
        <v>OM TRANSPORT</v>
      </c>
      <c r="AO92" s="141">
        <f>IF($O92="TRUCK",
VLOOKUP($AU92,Invoicing!$A$16:$B$56,MATCH($AO$1,Invoicing!$A$16:$B$16,0),FALSE)+IF(OR($B92="DCD",$B92="HPD2"),23.5,0),
VLOOKUP($AU92,Invoicing!$N$15:$O$19,MATCH($AO$1,Invoicing!$N$15:$O$15,0),FALSE)+IF(OR($B92="DCD",$B92="HPD2"),23.5,0))</f>
        <v>475</v>
      </c>
      <c r="AP92" s="131" t="e">
        <f>VLOOKUP($E92,Invoicing!$A$1:$H$12,MATCH(TRACKER!$P86,Invoicing!$A$1:$H$1,0),FALSE)</f>
        <v>#N/A</v>
      </c>
      <c r="AQ92" s="131">
        <f>VLOOKUP($E92,Invoicing!$A$1:$H$12,MATCH(TRACKER!$Q$1,Invoicing!$A$1:$H$1,0),FALSE)</f>
        <v>50</v>
      </c>
      <c r="AR92" s="131">
        <f t="shared" si="37"/>
        <v>0</v>
      </c>
      <c r="AS92" s="2">
        <f t="shared" si="38"/>
        <v>4</v>
      </c>
      <c r="AT92" s="2" t="str">
        <f t="shared" si="41"/>
        <v>WEEK</v>
      </c>
      <c r="AU92" s="2" t="str">
        <f t="shared" si="39"/>
        <v>OM TRANSPORTWEEK</v>
      </c>
      <c r="AV92" s="94">
        <f>(IF(ISNA(AP92),AO92+AR92,SUM($AO92,$AR92,IFERROR($AP92,"0"))))+Table2[[#This Row],[WAITING TIMES]]</f>
        <v>475</v>
      </c>
      <c r="AW92" s="48">
        <f>VLOOKUP(AN92,Invoicing!A:K,11,FALSE)</f>
        <v>20</v>
      </c>
      <c r="AY92" s="48"/>
      <c r="AZ92" s="48">
        <f t="shared" si="40"/>
        <v>495</v>
      </c>
      <c r="BA92" s="132">
        <f>VLOOKUP(AN92,Invoicing!A:J,10,FALSE)</f>
        <v>70</v>
      </c>
      <c r="BB92" s="132">
        <f>VLOOKUP(AN92,Invoicing!A:L,12,FALSE)</f>
        <v>1</v>
      </c>
      <c r="BC92" s="2" t="s">
        <v>66</v>
      </c>
    </row>
    <row r="93" spans="1:55">
      <c r="A93" s="134" t="s">
        <v>212</v>
      </c>
      <c r="B93" s="86" t="s">
        <v>56</v>
      </c>
      <c r="C93" s="11">
        <v>46036.09375</v>
      </c>
      <c r="D93" s="11">
        <v>46035.75</v>
      </c>
      <c r="E93" s="11" t="s">
        <v>83</v>
      </c>
      <c r="F93" s="11" t="s">
        <v>215</v>
      </c>
      <c r="G93" s="11" t="s">
        <v>59</v>
      </c>
      <c r="H93" s="11" t="s">
        <v>68</v>
      </c>
      <c r="I93" s="86" t="s">
        <v>239</v>
      </c>
      <c r="J93" s="86" t="s">
        <v>100</v>
      </c>
      <c r="K93" s="11">
        <v>46036.791666666664</v>
      </c>
      <c r="L93" s="12">
        <v>46037.371527777781</v>
      </c>
      <c r="M93" s="12">
        <v>46037.395833333336</v>
      </c>
      <c r="N93" s="12">
        <v>46037.378472222219</v>
      </c>
      <c r="O93" s="90" t="s">
        <v>63</v>
      </c>
      <c r="P93" s="135" t="s">
        <v>64</v>
      </c>
      <c r="Q93" s="86">
        <v>0</v>
      </c>
      <c r="R93" s="1">
        <f t="shared" si="22"/>
        <v>3</v>
      </c>
      <c r="S93" s="1">
        <f t="shared" si="23"/>
        <v>1</v>
      </c>
      <c r="T93" s="126">
        <f t="shared" si="24"/>
        <v>46037.371527777781</v>
      </c>
      <c r="U93" s="127">
        <f t="shared" si="25"/>
        <v>0.69791666666424135</v>
      </c>
      <c r="V93" s="128">
        <f>Table2[[#This Row],[ATA A OFRECIMIENTO]]*24</f>
        <v>16.749999999941792</v>
      </c>
      <c r="W93" s="1" t="str">
        <f t="shared" si="26"/>
        <v>YES</v>
      </c>
      <c r="X93" s="127">
        <f t="shared" si="27"/>
        <v>0.60416666667151731</v>
      </c>
      <c r="Y93" s="128">
        <f>Table2[[#This Row],[DEL. AVAILABLE A SLOT]]*24</f>
        <v>14.500000000116415</v>
      </c>
      <c r="Z93" s="1" t="str">
        <f t="shared" si="28"/>
        <v>SI</v>
      </c>
      <c r="AA93" s="127">
        <f t="shared" si="29"/>
        <v>1.3020833333357587</v>
      </c>
      <c r="AB93" s="128">
        <f>Table2[[#This Row],[ATA A TIMESLOT]]*24</f>
        <v>31.250000000058208</v>
      </c>
      <c r="AC93" s="127">
        <f t="shared" si="30"/>
        <v>0</v>
      </c>
      <c r="AD93" s="127" t="str">
        <f t="shared" si="31"/>
        <v>SI</v>
      </c>
      <c r="AE93" s="128">
        <f>Table2[[#This Row],[PUNTUALIDAD (H)]]*24</f>
        <v>0</v>
      </c>
      <c r="AF93" s="127">
        <f t="shared" si="32"/>
        <v>1.2847222222189885</v>
      </c>
      <c r="AG93" s="128">
        <f>Table2[[#This Row],[ATA TO UNLOADING]]*24</f>
        <v>30.833333333255723</v>
      </c>
      <c r="AH93" s="128" t="str">
        <f>IF(Table2[[#This Row],[ATA TO UNLOADING 2]]&lt;=48,"YES","NO")</f>
        <v>YES</v>
      </c>
      <c r="AJ93" s="129">
        <f t="shared" si="33"/>
        <v>0.39583333333575865</v>
      </c>
      <c r="AK93" s="2" t="s">
        <v>64</v>
      </c>
      <c r="AL93" s="2" t="str">
        <f t="shared" si="34"/>
        <v>3/26</v>
      </c>
      <c r="AM93" s="2" t="str">
        <f t="shared" si="35"/>
        <v>MSKU1159461</v>
      </c>
      <c r="AN93" s="130" t="str">
        <f t="shared" si="36"/>
        <v>OM TRANSPORT</v>
      </c>
      <c r="AO93" s="141">
        <f>IF($O93="TRUCK",
VLOOKUP($AU93,Invoicing!$A$16:$B$56,MATCH($AO$1,Invoicing!$A$16:$B$16,0),FALSE)+IF(OR($B93="DCD",$B93="HPD2"),23.5,0),
VLOOKUP($AU93,Invoicing!$N$15:$O$19,MATCH($AO$1,Invoicing!$N$15:$O$15,0),FALSE)+IF(OR($B93="DCD",$B93="HPD2"),23.5,0))</f>
        <v>475</v>
      </c>
      <c r="AP93" s="131" t="e">
        <f>VLOOKUP($E93,Invoicing!$A$1:$H$12,MATCH(TRACKER!$P87,Invoicing!$A$1:$H$1,0),FALSE)</f>
        <v>#N/A</v>
      </c>
      <c r="AQ93" s="131">
        <f>VLOOKUP($E93,Invoicing!$A$1:$H$12,MATCH(TRACKER!$Q$1,Invoicing!$A$1:$H$1,0),FALSE)</f>
        <v>50</v>
      </c>
      <c r="AR93" s="131">
        <f t="shared" si="37"/>
        <v>0</v>
      </c>
      <c r="AS93" s="2">
        <f t="shared" si="38"/>
        <v>4</v>
      </c>
      <c r="AT93" s="2" t="str">
        <f t="shared" si="41"/>
        <v>WEEK</v>
      </c>
      <c r="AU93" s="2" t="str">
        <f t="shared" si="39"/>
        <v>OM TRANSPORTWEEK</v>
      </c>
      <c r="AV93" s="94">
        <f>(IF(ISNA(AP93),AO93+AR93,SUM($AO93,$AR93,IFERROR($AP93,"0"))))+Table2[[#This Row],[WAITING TIMES]]</f>
        <v>475</v>
      </c>
      <c r="AW93" s="48">
        <f>VLOOKUP(AN93,Invoicing!A:K,11,FALSE)</f>
        <v>20</v>
      </c>
      <c r="AY93" s="48"/>
      <c r="AZ93" s="48">
        <f t="shared" si="40"/>
        <v>495</v>
      </c>
      <c r="BA93" s="132">
        <f>VLOOKUP(AN93,Invoicing!A:J,10,FALSE)</f>
        <v>70</v>
      </c>
      <c r="BB93" s="132">
        <f>VLOOKUP(AN93,Invoicing!A:L,12,FALSE)</f>
        <v>1</v>
      </c>
      <c r="BC93" s="2" t="s">
        <v>66</v>
      </c>
    </row>
    <row r="94" spans="1:55">
      <c r="A94" s="134" t="s">
        <v>212</v>
      </c>
      <c r="B94" s="86" t="s">
        <v>56</v>
      </c>
      <c r="C94" s="11">
        <v>46036.09375</v>
      </c>
      <c r="D94" s="11">
        <v>46035.75</v>
      </c>
      <c r="E94" s="11" t="s">
        <v>83</v>
      </c>
      <c r="F94" s="11" t="s">
        <v>215</v>
      </c>
      <c r="G94" s="11" t="s">
        <v>59</v>
      </c>
      <c r="H94" s="11" t="s">
        <v>68</v>
      </c>
      <c r="I94" s="86" t="s">
        <v>240</v>
      </c>
      <c r="J94" s="86" t="s">
        <v>100</v>
      </c>
      <c r="K94" s="11">
        <v>46036.791666666664</v>
      </c>
      <c r="L94" s="12">
        <v>46037.295138888891</v>
      </c>
      <c r="M94" s="12">
        <v>46037.3125</v>
      </c>
      <c r="N94" s="12">
        <v>46037.302083333336</v>
      </c>
      <c r="O94" s="90" t="s">
        <v>63</v>
      </c>
      <c r="P94" s="135" t="s">
        <v>64</v>
      </c>
      <c r="Q94" s="86">
        <v>0</v>
      </c>
      <c r="R94" s="1">
        <f t="shared" si="22"/>
        <v>3</v>
      </c>
      <c r="S94" s="1">
        <f t="shared" si="23"/>
        <v>1</v>
      </c>
      <c r="T94" s="126">
        <f t="shared" si="24"/>
        <v>46037.295138888891</v>
      </c>
      <c r="U94" s="127">
        <f t="shared" si="25"/>
        <v>0.69791666666424135</v>
      </c>
      <c r="V94" s="128">
        <f>Table2[[#This Row],[ATA A OFRECIMIENTO]]*24</f>
        <v>16.749999999941792</v>
      </c>
      <c r="W94" s="1" t="str">
        <f t="shared" si="26"/>
        <v>YES</v>
      </c>
      <c r="X94" s="127">
        <f t="shared" si="27"/>
        <v>0.52083333333575865</v>
      </c>
      <c r="Y94" s="128">
        <f>Table2[[#This Row],[DEL. AVAILABLE A SLOT]]*24</f>
        <v>12.500000000058208</v>
      </c>
      <c r="Z94" s="1" t="str">
        <f t="shared" si="28"/>
        <v>SI</v>
      </c>
      <c r="AA94" s="127">
        <f t="shared" si="29"/>
        <v>1.21875</v>
      </c>
      <c r="AB94" s="128">
        <f>Table2[[#This Row],[ATA A TIMESLOT]]*24</f>
        <v>29.25</v>
      </c>
      <c r="AC94" s="127">
        <f t="shared" si="30"/>
        <v>0</v>
      </c>
      <c r="AD94" s="127" t="str">
        <f t="shared" si="31"/>
        <v>SI</v>
      </c>
      <c r="AE94" s="128">
        <f>Table2[[#This Row],[PUNTUALIDAD (H)]]*24</f>
        <v>0</v>
      </c>
      <c r="AF94" s="127">
        <f t="shared" si="32"/>
        <v>1.2083333333357587</v>
      </c>
      <c r="AG94" s="128">
        <f>Table2[[#This Row],[ATA TO UNLOADING]]*24</f>
        <v>29.000000000058208</v>
      </c>
      <c r="AH94" s="128" t="str">
        <f>IF(Table2[[#This Row],[ATA TO UNLOADING 2]]&lt;=48,"YES","NO")</f>
        <v>YES</v>
      </c>
      <c r="AJ94" s="129">
        <f t="shared" si="33"/>
        <v>0.3125</v>
      </c>
      <c r="AK94" s="2" t="s">
        <v>64</v>
      </c>
      <c r="AL94" s="2" t="str">
        <f t="shared" si="34"/>
        <v>3/26</v>
      </c>
      <c r="AM94" s="2" t="str">
        <f t="shared" si="35"/>
        <v>TCKU6898177</v>
      </c>
      <c r="AN94" s="130" t="str">
        <f t="shared" si="36"/>
        <v>OM TRANSPORT</v>
      </c>
      <c r="AO94" s="141">
        <f>IF($O94="TRUCK",
VLOOKUP($AU94,Invoicing!$A$16:$B$56,MATCH($AO$1,Invoicing!$A$16:$B$16,0),FALSE)+IF(OR($B94="DCD",$B94="HPD2"),23.5,0),
VLOOKUP($AU94,Invoicing!$N$15:$O$19,MATCH($AO$1,Invoicing!$N$15:$O$15,0),FALSE)+IF(OR($B94="DCD",$B94="HPD2"),23.5,0))</f>
        <v>475</v>
      </c>
      <c r="AP94" s="131" t="e">
        <f>VLOOKUP($E94,Invoicing!$A$1:$H$12,MATCH(TRACKER!$P88,Invoicing!$A$1:$H$1,0),FALSE)</f>
        <v>#N/A</v>
      </c>
      <c r="AQ94" s="131">
        <f>VLOOKUP($E94,Invoicing!$A$1:$H$12,MATCH(TRACKER!$Q$1,Invoicing!$A$1:$H$1,0),FALSE)</f>
        <v>50</v>
      </c>
      <c r="AR94" s="131">
        <f t="shared" si="37"/>
        <v>0</v>
      </c>
      <c r="AS94" s="2">
        <f t="shared" si="38"/>
        <v>4</v>
      </c>
      <c r="AT94" s="2" t="str">
        <f t="shared" si="41"/>
        <v>WEEK</v>
      </c>
      <c r="AU94" s="2" t="str">
        <f t="shared" si="39"/>
        <v>OM TRANSPORTWEEK</v>
      </c>
      <c r="AV94" s="94">
        <f>(IF(ISNA(AP94),AO94+AR94,SUM($AO94,$AR94,IFERROR($AP94,"0"))))+Table2[[#This Row],[WAITING TIMES]]</f>
        <v>475</v>
      </c>
      <c r="AW94" s="48">
        <f>VLOOKUP(AN94,Invoicing!A:K,11,FALSE)</f>
        <v>20</v>
      </c>
      <c r="AY94" s="48"/>
      <c r="AZ94" s="48">
        <f t="shared" si="40"/>
        <v>495</v>
      </c>
      <c r="BA94" s="132">
        <f>VLOOKUP(AN94,Invoicing!A:J,10,FALSE)</f>
        <v>70</v>
      </c>
      <c r="BB94" s="132">
        <f>VLOOKUP(AN94,Invoicing!A:L,12,FALSE)</f>
        <v>1</v>
      </c>
      <c r="BC94" s="2" t="s">
        <v>66</v>
      </c>
    </row>
    <row r="95" spans="1:55">
      <c r="A95" s="134" t="s">
        <v>212</v>
      </c>
      <c r="B95" s="86" t="s">
        <v>56</v>
      </c>
      <c r="C95" s="11">
        <v>46036.09375</v>
      </c>
      <c r="D95" s="11">
        <v>46035.75</v>
      </c>
      <c r="E95" s="11" t="s">
        <v>83</v>
      </c>
      <c r="F95" s="11" t="s">
        <v>215</v>
      </c>
      <c r="G95" s="11" t="s">
        <v>59</v>
      </c>
      <c r="H95" s="11" t="s">
        <v>68</v>
      </c>
      <c r="I95" s="86" t="s">
        <v>241</v>
      </c>
      <c r="J95" s="86" t="s">
        <v>100</v>
      </c>
      <c r="K95" s="11">
        <v>46036.791666666664</v>
      </c>
      <c r="L95" s="12">
        <v>46037.506944444445</v>
      </c>
      <c r="M95" s="12">
        <v>46037.520833333336</v>
      </c>
      <c r="N95" s="12">
        <v>46037.513888888891</v>
      </c>
      <c r="O95" s="90" t="s">
        <v>63</v>
      </c>
      <c r="P95" s="135" t="s">
        <v>64</v>
      </c>
      <c r="Q95" s="86">
        <v>1</v>
      </c>
      <c r="R95" s="1">
        <f t="shared" si="22"/>
        <v>3</v>
      </c>
      <c r="S95" s="1">
        <f t="shared" si="23"/>
        <v>1</v>
      </c>
      <c r="T95" s="126">
        <f t="shared" si="24"/>
        <v>46037.506944444445</v>
      </c>
      <c r="U95" s="127">
        <f t="shared" si="25"/>
        <v>0.69791666666424135</v>
      </c>
      <c r="V95" s="128">
        <f>Table2[[#This Row],[ATA A OFRECIMIENTO]]*24</f>
        <v>16.749999999941792</v>
      </c>
      <c r="W95" s="1" t="str">
        <f t="shared" si="26"/>
        <v>YES</v>
      </c>
      <c r="X95" s="127">
        <f t="shared" si="27"/>
        <v>0.72916666667151731</v>
      </c>
      <c r="Y95" s="128">
        <f>Table2[[#This Row],[DEL. AVAILABLE A SLOT]]*24</f>
        <v>17.500000000116415</v>
      </c>
      <c r="Z95" s="1" t="str">
        <f t="shared" si="28"/>
        <v>SI</v>
      </c>
      <c r="AA95" s="127">
        <f t="shared" si="29"/>
        <v>1.4270833333357587</v>
      </c>
      <c r="AB95" s="128">
        <f>Table2[[#This Row],[ATA A TIMESLOT]]*24</f>
        <v>34.250000000058208</v>
      </c>
      <c r="AC95" s="127">
        <f t="shared" si="30"/>
        <v>0</v>
      </c>
      <c r="AD95" s="127" t="str">
        <f t="shared" si="31"/>
        <v>SI</v>
      </c>
      <c r="AE95" s="128">
        <f>Table2[[#This Row],[PUNTUALIDAD (H)]]*24</f>
        <v>0</v>
      </c>
      <c r="AF95" s="127">
        <f t="shared" si="32"/>
        <v>1.4201388888905058</v>
      </c>
      <c r="AG95" s="128">
        <f>Table2[[#This Row],[ATA TO UNLOADING]]*24</f>
        <v>34.083333333372138</v>
      </c>
      <c r="AH95" s="128" t="str">
        <f>IF(Table2[[#This Row],[ATA TO UNLOADING 2]]&lt;=48,"YES","NO")</f>
        <v>YES</v>
      </c>
      <c r="AJ95" s="129">
        <f t="shared" si="33"/>
        <v>0.52083333333575865</v>
      </c>
      <c r="AK95" s="2" t="s">
        <v>64</v>
      </c>
      <c r="AL95" s="2" t="str">
        <f t="shared" si="34"/>
        <v>3/26</v>
      </c>
      <c r="AM95" s="2" t="str">
        <f t="shared" si="35"/>
        <v>TCKU7983118</v>
      </c>
      <c r="AN95" s="130" t="str">
        <f t="shared" si="36"/>
        <v>OM TRANSPORT</v>
      </c>
      <c r="AO95" s="141">
        <f>IF($O95="TRUCK",
VLOOKUP($AU95,Invoicing!$A$16:$B$56,MATCH($AO$1,Invoicing!$A$16:$B$16,0),FALSE)+IF(OR($B95="DCD",$B95="HPD2"),23.5,0),
VLOOKUP($AU95,Invoicing!$N$15:$O$19,MATCH($AO$1,Invoicing!$N$15:$O$15,0),FALSE)+IF(OR($B95="DCD",$B95="HPD2"),23.5,0))</f>
        <v>475</v>
      </c>
      <c r="AP95" s="131" t="e">
        <f>VLOOKUP($E95,Invoicing!$A$1:$H$12,MATCH(TRACKER!$P89,Invoicing!$A$1:$H$1,0),FALSE)</f>
        <v>#N/A</v>
      </c>
      <c r="AQ95" s="131">
        <f>VLOOKUP($E95,Invoicing!$A$1:$H$12,MATCH(TRACKER!$Q$1,Invoicing!$A$1:$H$1,0),FALSE)</f>
        <v>50</v>
      </c>
      <c r="AR95" s="131">
        <f t="shared" si="37"/>
        <v>50</v>
      </c>
      <c r="AS95" s="2">
        <f t="shared" si="38"/>
        <v>4</v>
      </c>
      <c r="AT95" s="2" t="str">
        <f t="shared" si="41"/>
        <v>WEEK</v>
      </c>
      <c r="AU95" s="2" t="str">
        <f t="shared" si="39"/>
        <v>OM TRANSPORTWEEK</v>
      </c>
      <c r="AV95" s="94">
        <f>(IF(ISNA(AP95),AO95+AR95,SUM($AO95,$AR95,IFERROR($AP95,"0"))))+Table2[[#This Row],[WAITING TIMES]]</f>
        <v>525</v>
      </c>
      <c r="AW95" s="48">
        <f>VLOOKUP(AN95,Invoicing!A:K,11,FALSE)</f>
        <v>20</v>
      </c>
      <c r="AY95" s="48"/>
      <c r="AZ95" s="48">
        <f t="shared" si="40"/>
        <v>545</v>
      </c>
      <c r="BA95" s="132">
        <f>VLOOKUP(AN95,Invoicing!A:J,10,FALSE)</f>
        <v>70</v>
      </c>
      <c r="BB95" s="132">
        <f>VLOOKUP(AN95,Invoicing!A:L,12,FALSE)</f>
        <v>1</v>
      </c>
      <c r="BC95" s="2" t="s">
        <v>66</v>
      </c>
    </row>
    <row r="96" spans="1:55">
      <c r="A96" s="134" t="s">
        <v>212</v>
      </c>
      <c r="B96" s="86" t="s">
        <v>56</v>
      </c>
      <c r="C96" s="11">
        <v>46036.09375</v>
      </c>
      <c r="D96" s="11">
        <v>46035.75</v>
      </c>
      <c r="E96" s="11" t="s">
        <v>73</v>
      </c>
      <c r="F96" s="11" t="s">
        <v>215</v>
      </c>
      <c r="G96" s="11" t="s">
        <v>59</v>
      </c>
      <c r="H96" s="11" t="s">
        <v>68</v>
      </c>
      <c r="I96" s="86" t="s">
        <v>242</v>
      </c>
      <c r="J96" s="86" t="s">
        <v>100</v>
      </c>
      <c r="K96" s="11">
        <v>46036.791666666664</v>
      </c>
      <c r="L96" s="12">
        <v>46037.5</v>
      </c>
      <c r="M96" s="12">
        <v>46037.458333333336</v>
      </c>
      <c r="N96" s="12">
        <v>46037.506944444445</v>
      </c>
      <c r="O96" s="90" t="s">
        <v>63</v>
      </c>
      <c r="P96" s="135" t="s">
        <v>64</v>
      </c>
      <c r="Q96" s="86">
        <v>0</v>
      </c>
      <c r="R96" s="1">
        <f t="shared" si="22"/>
        <v>3</v>
      </c>
      <c r="S96" s="1">
        <f t="shared" si="23"/>
        <v>1</v>
      </c>
      <c r="T96" s="126">
        <f t="shared" si="24"/>
        <v>46037.5</v>
      </c>
      <c r="U96" s="127">
        <f t="shared" si="25"/>
        <v>0.69791666666424135</v>
      </c>
      <c r="V96" s="128">
        <f>Table2[[#This Row],[ATA A OFRECIMIENTO]]*24</f>
        <v>16.749999999941792</v>
      </c>
      <c r="W96" s="1" t="str">
        <f t="shared" si="26"/>
        <v>YES</v>
      </c>
      <c r="X96" s="127">
        <f t="shared" si="27"/>
        <v>0.66666666667151731</v>
      </c>
      <c r="Y96" s="128">
        <f>Table2[[#This Row],[DEL. AVAILABLE A SLOT]]*24</f>
        <v>16.000000000116415</v>
      </c>
      <c r="Z96" s="1" t="str">
        <f t="shared" si="28"/>
        <v>SI</v>
      </c>
      <c r="AA96" s="127">
        <f t="shared" si="29"/>
        <v>1.3645833333357587</v>
      </c>
      <c r="AB96" s="128">
        <f>Table2[[#This Row],[ATA A TIMESLOT]]*24</f>
        <v>32.750000000058208</v>
      </c>
      <c r="AC96" s="127">
        <f t="shared" si="30"/>
        <v>4.1666666664241347E-2</v>
      </c>
      <c r="AD96" s="127" t="str">
        <f t="shared" si="31"/>
        <v>NO</v>
      </c>
      <c r="AE96" s="128">
        <f>Table2[[#This Row],[PUNTUALIDAD (H)]]*24</f>
        <v>0.99999999994179234</v>
      </c>
      <c r="AF96" s="127">
        <f t="shared" si="32"/>
        <v>1.4131944444452529</v>
      </c>
      <c r="AG96" s="128">
        <f>Table2[[#This Row],[ATA TO UNLOADING]]*24</f>
        <v>33.916666666686069</v>
      </c>
      <c r="AH96" s="128" t="str">
        <f>IF(Table2[[#This Row],[ATA TO UNLOADING 2]]&lt;=48,"YES","NO")</f>
        <v>YES</v>
      </c>
      <c r="AJ96" s="129">
        <f t="shared" si="33"/>
        <v>0.45833333333575865</v>
      </c>
      <c r="AK96" s="2" t="s">
        <v>64</v>
      </c>
      <c r="AL96" s="2" t="str">
        <f t="shared" si="34"/>
        <v>3/26</v>
      </c>
      <c r="AM96" s="2" t="str">
        <f t="shared" si="35"/>
        <v>HASU4596764</v>
      </c>
      <c r="AN96" s="130" t="str">
        <f t="shared" si="36"/>
        <v>OTL</v>
      </c>
      <c r="AO96" s="141">
        <f>IF($O96="TRUCK",
VLOOKUP($AU96,Invoicing!$A$16:$B$56,MATCH($AO$1,Invoicing!$A$16:$B$16,0),FALSE)+IF(OR($B96="DCD",$B96="HPD2"),23.5,0),
VLOOKUP($AU96,Invoicing!$N$15:$O$19,MATCH($AO$1,Invoicing!$N$15:$O$15,0),FALSE)+IF(OR($B96="DCD",$B96="HPD2"),23.5,0))</f>
        <v>530</v>
      </c>
      <c r="AP96" s="131" t="e">
        <f>VLOOKUP($E96,Invoicing!$A$1:$H$12,MATCH(TRACKER!$P96,Invoicing!$A$1:$H$1,0),FALSE)</f>
        <v>#N/A</v>
      </c>
      <c r="AQ96" s="131">
        <f>VLOOKUP($E96,Invoicing!$A$1:$H$12,MATCH(TRACKER!$Q$1,Invoicing!$A$1:$H$1,0),FALSE)</f>
        <v>60</v>
      </c>
      <c r="AR96" s="131">
        <f t="shared" si="37"/>
        <v>0</v>
      </c>
      <c r="AS96" s="2">
        <f t="shared" si="38"/>
        <v>4</v>
      </c>
      <c r="AT96" s="2" t="str">
        <f t="shared" si="41"/>
        <v>WEEK</v>
      </c>
      <c r="AU96" s="2" t="str">
        <f t="shared" si="39"/>
        <v>OTLWEEK</v>
      </c>
      <c r="AV96" s="94">
        <f>(IF(ISNA(AP96),AO96+AR96,SUM($AO96,$AR96,IFERROR($AP96,"0"))))+Table2[[#This Row],[WAITING TIMES]]</f>
        <v>530</v>
      </c>
      <c r="AW96" s="48">
        <f>VLOOKUP(AN96,Invoicing!A:K,11,FALSE)</f>
        <v>20</v>
      </c>
      <c r="AY96" s="48"/>
      <c r="AZ96" s="48">
        <f t="shared" si="40"/>
        <v>550</v>
      </c>
      <c r="BA96" s="132">
        <f>VLOOKUP(AN96,Invoicing!A:J,10,FALSE)</f>
        <v>70</v>
      </c>
      <c r="BB96" s="132">
        <f>VLOOKUP(AN96,Invoicing!A:L,12,FALSE)</f>
        <v>1</v>
      </c>
      <c r="BC96" s="2" t="s">
        <v>66</v>
      </c>
    </row>
    <row r="97" spans="1:55">
      <c r="A97" s="134" t="s">
        <v>212</v>
      </c>
      <c r="B97" s="86" t="s">
        <v>56</v>
      </c>
      <c r="C97" s="11">
        <v>46036.09375</v>
      </c>
      <c r="D97" s="11">
        <v>46035.75</v>
      </c>
      <c r="E97" s="11" t="s">
        <v>73</v>
      </c>
      <c r="F97" s="11" t="s">
        <v>215</v>
      </c>
      <c r="G97" s="11" t="s">
        <v>59</v>
      </c>
      <c r="H97" s="11" t="s">
        <v>68</v>
      </c>
      <c r="I97" s="86" t="s">
        <v>243</v>
      </c>
      <c r="J97" s="86" t="s">
        <v>100</v>
      </c>
      <c r="K97" s="11">
        <v>46036.791666666664</v>
      </c>
      <c r="L97" s="12">
        <v>46037.458333333336</v>
      </c>
      <c r="M97" s="12">
        <v>46037.458333333336</v>
      </c>
      <c r="N97" s="12">
        <v>46037.465277777781</v>
      </c>
      <c r="O97" s="90" t="s">
        <v>63</v>
      </c>
      <c r="P97" s="135" t="s">
        <v>64</v>
      </c>
      <c r="Q97" s="86">
        <v>0</v>
      </c>
      <c r="R97" s="1">
        <f t="shared" si="22"/>
        <v>3</v>
      </c>
      <c r="S97" s="1">
        <f t="shared" si="23"/>
        <v>1</v>
      </c>
      <c r="T97" s="126">
        <f t="shared" si="24"/>
        <v>46037.458333333336</v>
      </c>
      <c r="U97" s="127">
        <f t="shared" si="25"/>
        <v>0.69791666666424135</v>
      </c>
      <c r="V97" s="128">
        <f>Table2[[#This Row],[ATA A OFRECIMIENTO]]*24</f>
        <v>16.749999999941792</v>
      </c>
      <c r="W97" s="1" t="str">
        <f t="shared" si="26"/>
        <v>YES</v>
      </c>
      <c r="X97" s="127">
        <f t="shared" si="27"/>
        <v>0.66666666667151731</v>
      </c>
      <c r="Y97" s="128">
        <f>Table2[[#This Row],[DEL. AVAILABLE A SLOT]]*24</f>
        <v>16.000000000116415</v>
      </c>
      <c r="Z97" s="1" t="str">
        <f t="shared" si="28"/>
        <v>SI</v>
      </c>
      <c r="AA97" s="127">
        <f t="shared" si="29"/>
        <v>1.3645833333357587</v>
      </c>
      <c r="AB97" s="128">
        <f>Table2[[#This Row],[ATA A TIMESLOT]]*24</f>
        <v>32.750000000058208</v>
      </c>
      <c r="AC97" s="127">
        <f t="shared" si="30"/>
        <v>0</v>
      </c>
      <c r="AD97" s="127" t="str">
        <f t="shared" si="31"/>
        <v>SI</v>
      </c>
      <c r="AE97" s="128">
        <f>Table2[[#This Row],[PUNTUALIDAD (H)]]*24</f>
        <v>0</v>
      </c>
      <c r="AF97" s="127">
        <f t="shared" si="32"/>
        <v>1.3715277777810115</v>
      </c>
      <c r="AG97" s="128">
        <f>Table2[[#This Row],[ATA TO UNLOADING]]*24</f>
        <v>32.916666666744277</v>
      </c>
      <c r="AH97" s="128" t="str">
        <f>IF(Table2[[#This Row],[ATA TO UNLOADING 2]]&lt;=48,"YES","NO")</f>
        <v>YES</v>
      </c>
      <c r="AJ97" s="129">
        <f t="shared" si="33"/>
        <v>0.45833333333575865</v>
      </c>
      <c r="AK97" s="2" t="s">
        <v>64</v>
      </c>
      <c r="AL97" s="2" t="str">
        <f t="shared" si="34"/>
        <v>3/26</v>
      </c>
      <c r="AM97" s="2" t="str">
        <f t="shared" si="35"/>
        <v>MRKU5158590</v>
      </c>
      <c r="AN97" s="130" t="str">
        <f t="shared" si="36"/>
        <v>OTL</v>
      </c>
      <c r="AO97" s="141">
        <f>IF($O97="TRUCK",
VLOOKUP($AU97,Invoicing!$A$16:$B$56,MATCH($AO$1,Invoicing!$A$16:$B$16,0),FALSE)+IF(OR($B97="DCD",$B97="HPD2"),23.5,0),
VLOOKUP($AU97,Invoicing!$N$15:$O$19,MATCH($AO$1,Invoicing!$N$15:$O$15,0),FALSE)+IF(OR($B97="DCD",$B97="HPD2"),23.5,0))</f>
        <v>530</v>
      </c>
      <c r="AP97" s="131" t="e">
        <f>VLOOKUP($E97,Invoicing!$A$1:$H$12,MATCH(TRACKER!$P97,Invoicing!$A$1:$H$1,0),FALSE)</f>
        <v>#N/A</v>
      </c>
      <c r="AQ97" s="131">
        <f>VLOOKUP($E97,Invoicing!$A$1:$H$12,MATCH(TRACKER!$Q$1,Invoicing!$A$1:$H$1,0),FALSE)</f>
        <v>60</v>
      </c>
      <c r="AR97" s="131">
        <f t="shared" si="37"/>
        <v>0</v>
      </c>
      <c r="AS97" s="2">
        <f t="shared" si="38"/>
        <v>4</v>
      </c>
      <c r="AT97" s="2" t="str">
        <f t="shared" si="41"/>
        <v>WEEK</v>
      </c>
      <c r="AU97" s="2" t="str">
        <f t="shared" si="39"/>
        <v>OTLWEEK</v>
      </c>
      <c r="AV97" s="94">
        <f>(IF(ISNA(AP97),AO97+AR97,SUM($AO97,$AR97,IFERROR($AP97,"0"))))+Table2[[#This Row],[WAITING TIMES]]</f>
        <v>575</v>
      </c>
      <c r="AW97" s="48">
        <f>VLOOKUP(AN97,Invoicing!A:K,11,FALSE)</f>
        <v>20</v>
      </c>
      <c r="AX97" s="48">
        <v>45</v>
      </c>
      <c r="AY97" s="48" t="s">
        <v>244</v>
      </c>
      <c r="AZ97" s="48">
        <f t="shared" si="40"/>
        <v>595</v>
      </c>
      <c r="BA97" s="132">
        <f>VLOOKUP(AN97,Invoicing!A:J,10,FALSE)</f>
        <v>70</v>
      </c>
      <c r="BB97" s="132">
        <f>VLOOKUP(AN97,Invoicing!A:L,12,FALSE)</f>
        <v>1</v>
      </c>
      <c r="BC97" s="2" t="s">
        <v>66</v>
      </c>
    </row>
    <row r="98" spans="1:55">
      <c r="A98" s="134" t="s">
        <v>212</v>
      </c>
      <c r="B98" s="86" t="s">
        <v>56</v>
      </c>
      <c r="C98" s="11">
        <v>46036.09375</v>
      </c>
      <c r="D98" s="11">
        <v>46035.75</v>
      </c>
      <c r="E98" s="11" t="s">
        <v>73</v>
      </c>
      <c r="F98" s="11" t="s">
        <v>229</v>
      </c>
      <c r="G98" s="11" t="s">
        <v>59</v>
      </c>
      <c r="H98" s="11" t="s">
        <v>60</v>
      </c>
      <c r="I98" s="86" t="s">
        <v>245</v>
      </c>
      <c r="J98" s="86" t="s">
        <v>100</v>
      </c>
      <c r="K98" s="11">
        <v>46036.791666666664</v>
      </c>
      <c r="L98" s="12">
        <v>46036.845138888886</v>
      </c>
      <c r="M98" s="12">
        <v>46036.854166666664</v>
      </c>
      <c r="N98" s="12">
        <v>46036.845138888886</v>
      </c>
      <c r="O98" s="90" t="s">
        <v>63</v>
      </c>
      <c r="P98" s="135" t="s">
        <v>64</v>
      </c>
      <c r="Q98" s="86">
        <v>2</v>
      </c>
      <c r="R98" s="1">
        <f t="shared" si="22"/>
        <v>3</v>
      </c>
      <c r="S98" s="1">
        <f t="shared" si="23"/>
        <v>1</v>
      </c>
      <c r="T98" s="126">
        <f t="shared" si="24"/>
        <v>46036.845138888886</v>
      </c>
      <c r="U98" s="127">
        <f t="shared" si="25"/>
        <v>0.69791666666424135</v>
      </c>
      <c r="V98" s="128">
        <f>Table2[[#This Row],[ATA A OFRECIMIENTO]]*24</f>
        <v>16.749999999941792</v>
      </c>
      <c r="W98" s="1" t="str">
        <f t="shared" si="26"/>
        <v>YES</v>
      </c>
      <c r="X98" s="127">
        <f t="shared" si="27"/>
        <v>6.25E-2</v>
      </c>
      <c r="Y98" s="128">
        <f>Table2[[#This Row],[DEL. AVAILABLE A SLOT]]*24</f>
        <v>1.5</v>
      </c>
      <c r="Z98" s="1" t="str">
        <f t="shared" si="28"/>
        <v>SI</v>
      </c>
      <c r="AA98" s="127">
        <f t="shared" si="29"/>
        <v>0.76041666666424135</v>
      </c>
      <c r="AB98" s="128">
        <f>Table2[[#This Row],[ATA A TIMESLOT]]*24</f>
        <v>18.249999999941792</v>
      </c>
      <c r="AC98" s="127">
        <f t="shared" si="30"/>
        <v>0</v>
      </c>
      <c r="AD98" s="127" t="str">
        <f t="shared" si="31"/>
        <v>SI</v>
      </c>
      <c r="AE98" s="128">
        <f>Table2[[#This Row],[PUNTUALIDAD (H)]]*24</f>
        <v>0</v>
      </c>
      <c r="AF98" s="127">
        <f t="shared" si="32"/>
        <v>0.75138888888614019</v>
      </c>
      <c r="AG98" s="128">
        <f>Table2[[#This Row],[ATA TO UNLOADING]]*24</f>
        <v>18.033333333267365</v>
      </c>
      <c r="AH98" s="128" t="str">
        <f>IF(Table2[[#This Row],[ATA TO UNLOADING 2]]&lt;=48,"YES","NO")</f>
        <v>YES</v>
      </c>
      <c r="AJ98" s="129">
        <f t="shared" si="33"/>
        <v>0.85416666666424135</v>
      </c>
      <c r="AK98" s="49" t="s">
        <v>36</v>
      </c>
      <c r="AL98" s="2" t="str">
        <f t="shared" si="34"/>
        <v>3/26</v>
      </c>
      <c r="AM98" s="2" t="str">
        <f t="shared" si="35"/>
        <v>MSKU4694559</v>
      </c>
      <c r="AN98" s="130" t="str">
        <f t="shared" si="36"/>
        <v>OTL</v>
      </c>
      <c r="AO98" s="141">
        <f>IF($O98="TRUCK",
VLOOKUP($AU98,Invoicing!$A$16:$B$56,MATCH($AO$1,Invoicing!$A$16:$B$16,0),FALSE)+IF(OR($B98="DCD",$B98="HPD2"),23.5,0),
VLOOKUP($AU98,Invoicing!$N$15:$O$19,MATCH($AO$1,Invoicing!$N$15:$O$15,0),FALSE)+IF(OR($B98="DCD",$B98="HPD2"),23.5,0))</f>
        <v>530</v>
      </c>
      <c r="AP98" s="131" t="e">
        <f>VLOOKUP($E98,Invoicing!$A$1:$H$12,MATCH(TRACKER!$P98,Invoicing!$A$1:$H$1,0),FALSE)</f>
        <v>#N/A</v>
      </c>
      <c r="AQ98" s="131">
        <f>VLOOKUP($E98,Invoicing!$A$1:$H$12,MATCH(TRACKER!$Q$1,Invoicing!$A$1:$H$1,0),FALSE)</f>
        <v>60</v>
      </c>
      <c r="AR98" s="131">
        <f t="shared" ref="AR98:AR129" si="42">IF($Q98&lt;&gt;0,$Q98*$AQ98,0)</f>
        <v>120</v>
      </c>
      <c r="AS98" s="2">
        <f t="shared" si="38"/>
        <v>3</v>
      </c>
      <c r="AT98" s="2" t="str">
        <f t="shared" si="41"/>
        <v>NIGHT</v>
      </c>
      <c r="AU98" s="2" t="str">
        <f t="shared" si="39"/>
        <v>OTLNIGHT</v>
      </c>
      <c r="AV98" s="94">
        <f>(IF(ISNA(AP98),AO98+AR98,SUM($AO98,$AR98,IFERROR($AP98,"0"))))+Table2[[#This Row],[WAITING TIMES]]</f>
        <v>650</v>
      </c>
      <c r="AW98" s="48">
        <f>VLOOKUP(AN98,Invoicing!A:K,11,FALSE)</f>
        <v>20</v>
      </c>
      <c r="AY98" s="48"/>
      <c r="AZ98" s="48">
        <f t="shared" si="40"/>
        <v>670</v>
      </c>
      <c r="BA98" s="132">
        <f>VLOOKUP(AN98,Invoicing!A:J,10,FALSE)</f>
        <v>70</v>
      </c>
      <c r="BB98" s="132">
        <f>VLOOKUP(AN98,Invoicing!A:L,12,FALSE)</f>
        <v>1</v>
      </c>
      <c r="BC98" s="2" t="s">
        <v>66</v>
      </c>
    </row>
    <row r="99" spans="1:55">
      <c r="A99" s="136" t="s">
        <v>212</v>
      </c>
      <c r="B99" s="88" t="s">
        <v>56</v>
      </c>
      <c r="C99" s="89">
        <v>46036.09375</v>
      </c>
      <c r="D99" s="89">
        <v>46035.75</v>
      </c>
      <c r="E99" s="89" t="s">
        <v>73</v>
      </c>
      <c r="F99" s="89" t="s">
        <v>229</v>
      </c>
      <c r="G99" s="89" t="s">
        <v>59</v>
      </c>
      <c r="H99" s="89" t="s">
        <v>60</v>
      </c>
      <c r="I99" s="88" t="s">
        <v>246</v>
      </c>
      <c r="J99" s="88" t="s">
        <v>100</v>
      </c>
      <c r="K99" s="89">
        <v>46036.791666666664</v>
      </c>
      <c r="L99" s="90">
        <v>46036.847222222219</v>
      </c>
      <c r="M99" s="90">
        <v>46036.854166666664</v>
      </c>
      <c r="N99" s="90">
        <v>46036.847222222219</v>
      </c>
      <c r="O99" s="90" t="s">
        <v>63</v>
      </c>
      <c r="P99" s="137" t="s">
        <v>64</v>
      </c>
      <c r="Q99" s="88">
        <v>1</v>
      </c>
      <c r="R99" s="1">
        <f t="shared" si="22"/>
        <v>3</v>
      </c>
      <c r="S99" s="1">
        <f t="shared" si="23"/>
        <v>1</v>
      </c>
      <c r="T99" s="126">
        <f t="shared" si="24"/>
        <v>46036.847222222219</v>
      </c>
      <c r="U99" s="127">
        <f t="shared" si="25"/>
        <v>0.69791666666424135</v>
      </c>
      <c r="V99" s="128">
        <f>Table2[[#This Row],[ATA A OFRECIMIENTO]]*24</f>
        <v>16.749999999941792</v>
      </c>
      <c r="W99" s="1" t="str">
        <f t="shared" si="26"/>
        <v>YES</v>
      </c>
      <c r="X99" s="127">
        <f t="shared" si="27"/>
        <v>6.25E-2</v>
      </c>
      <c r="Y99" s="128">
        <f>Table2[[#This Row],[DEL. AVAILABLE A SLOT]]*24</f>
        <v>1.5</v>
      </c>
      <c r="Z99" s="1" t="str">
        <f t="shared" si="28"/>
        <v>SI</v>
      </c>
      <c r="AA99" s="127">
        <f t="shared" si="29"/>
        <v>0.76041666666424135</v>
      </c>
      <c r="AB99" s="128">
        <f>Table2[[#This Row],[ATA A TIMESLOT]]*24</f>
        <v>18.249999999941792</v>
      </c>
      <c r="AC99" s="127">
        <f t="shared" si="30"/>
        <v>0</v>
      </c>
      <c r="AD99" s="127" t="str">
        <f t="shared" si="31"/>
        <v>SI</v>
      </c>
      <c r="AE99" s="128">
        <f>Table2[[#This Row],[PUNTUALIDAD (H)]]*24</f>
        <v>0</v>
      </c>
      <c r="AF99" s="127">
        <f t="shared" si="32"/>
        <v>0.75347222221898846</v>
      </c>
      <c r="AG99" s="128">
        <f>Table2[[#This Row],[ATA TO UNLOADING]]*24</f>
        <v>18.083333333255723</v>
      </c>
      <c r="AH99" s="128" t="str">
        <f>IF(Table2[[#This Row],[ATA TO UNLOADING 2]]&lt;=48,"YES","NO")</f>
        <v>YES</v>
      </c>
      <c r="AJ99" s="129">
        <f t="shared" si="33"/>
        <v>0.85416666666424135</v>
      </c>
      <c r="AK99" s="49" t="s">
        <v>36</v>
      </c>
      <c r="AL99" s="2" t="str">
        <f t="shared" si="34"/>
        <v>3/26</v>
      </c>
      <c r="AM99" s="2" t="str">
        <f t="shared" si="35"/>
        <v>SUDU6888691</v>
      </c>
      <c r="AN99" s="130" t="str">
        <f t="shared" si="36"/>
        <v>OTL</v>
      </c>
      <c r="AO99" s="141">
        <f>IF($O99="TRUCK",
VLOOKUP($AU99,Invoicing!$A$16:$B$56,MATCH($AO$1,Invoicing!$A$16:$B$16,0),FALSE)+IF(OR($B99="DCD",$B99="HPD2"),23.5,0),
VLOOKUP($AU99,Invoicing!$N$15:$O$19,MATCH($AO$1,Invoicing!$N$15:$O$15,0),FALSE)+IF(OR($B99="DCD",$B99="HPD2"),23.5,0))</f>
        <v>530</v>
      </c>
      <c r="AP99" s="131" t="e">
        <f>VLOOKUP($E99,Invoicing!$A$1:$H$12,MATCH(TRACKER!$P99,Invoicing!$A$1:$H$1,0),FALSE)</f>
        <v>#N/A</v>
      </c>
      <c r="AQ99" s="131">
        <f>VLOOKUP($E99,Invoicing!$A$1:$H$12,MATCH(TRACKER!$Q$1,Invoicing!$A$1:$H$1,0),FALSE)</f>
        <v>60</v>
      </c>
      <c r="AR99" s="131">
        <f t="shared" si="42"/>
        <v>60</v>
      </c>
      <c r="AS99" s="2">
        <f t="shared" si="38"/>
        <v>3</v>
      </c>
      <c r="AT99" s="2" t="str">
        <f t="shared" si="41"/>
        <v>NIGHT</v>
      </c>
      <c r="AU99" s="2" t="str">
        <f t="shared" si="39"/>
        <v>OTLNIGHT</v>
      </c>
      <c r="AV99" s="94">
        <f>(IF(ISNA(AP99),AO99+AR99,SUM($AO99,$AR99,IFERROR($AP99,"0"))))+Table2[[#This Row],[WAITING TIMES]]</f>
        <v>590</v>
      </c>
      <c r="AW99" s="48">
        <f>VLOOKUP(AN99,Invoicing!A:K,11,FALSE)</f>
        <v>20</v>
      </c>
      <c r="AY99" s="48"/>
      <c r="AZ99" s="48">
        <f t="shared" si="40"/>
        <v>610</v>
      </c>
      <c r="BA99" s="132">
        <f>VLOOKUP(AN99,Invoicing!A:J,10,FALSE)</f>
        <v>70</v>
      </c>
      <c r="BB99" s="132">
        <f>VLOOKUP(AN99,Invoicing!A:L,12,FALSE)</f>
        <v>1</v>
      </c>
      <c r="BC99" s="2" t="s">
        <v>66</v>
      </c>
    </row>
    <row r="100" spans="1:55">
      <c r="A100" s="38" t="s">
        <v>247</v>
      </c>
      <c r="B100" s="3" t="s">
        <v>77</v>
      </c>
      <c r="C100" s="11">
        <v>46037.537499999999</v>
      </c>
      <c r="D100" s="11">
        <v>46037.375</v>
      </c>
      <c r="E100" s="11" t="s">
        <v>83</v>
      </c>
      <c r="F100" s="11" t="s">
        <v>248</v>
      </c>
      <c r="G100" s="11" t="s">
        <v>59</v>
      </c>
      <c r="H100" s="11" t="s">
        <v>80</v>
      </c>
      <c r="I100" s="3" t="s">
        <v>249</v>
      </c>
      <c r="J100" s="86" t="s">
        <v>82</v>
      </c>
      <c r="K100" s="11">
        <v>46039.333333333336</v>
      </c>
      <c r="L100" s="12">
        <v>46039.309027777781</v>
      </c>
      <c r="M100" s="12">
        <v>46039.333333333336</v>
      </c>
      <c r="N100" s="12">
        <v>46039.378472222219</v>
      </c>
      <c r="O100" s="12" t="s">
        <v>63</v>
      </c>
      <c r="P100" s="85" t="s">
        <v>64</v>
      </c>
      <c r="Q100" s="3">
        <v>0</v>
      </c>
      <c r="R100" s="1">
        <f t="shared" si="22"/>
        <v>3</v>
      </c>
      <c r="S100" s="1">
        <f t="shared" si="23"/>
        <v>1</v>
      </c>
      <c r="T100" s="126">
        <f t="shared" si="24"/>
        <v>46039.309027777781</v>
      </c>
      <c r="U100" s="127">
        <f t="shared" si="25"/>
        <v>1.7958333333372138</v>
      </c>
      <c r="V100" s="128">
        <f>Table2[[#This Row],[ATA A OFRECIMIENTO]]*24</f>
        <v>43.100000000093132</v>
      </c>
      <c r="W100" s="1" t="str">
        <f t="shared" si="26"/>
        <v>YES</v>
      </c>
      <c r="X100" s="127">
        <f t="shared" si="27"/>
        <v>0</v>
      </c>
      <c r="Y100" s="128">
        <f>Table2[[#This Row],[DEL. AVAILABLE A SLOT]]*24</f>
        <v>0</v>
      </c>
      <c r="Z100" s="1" t="str">
        <f t="shared" si="28"/>
        <v>SI</v>
      </c>
      <c r="AA100" s="127">
        <f t="shared" si="29"/>
        <v>1.7958333333372138</v>
      </c>
      <c r="AB100" s="128">
        <f>Table2[[#This Row],[ATA A TIMESLOT]]*24</f>
        <v>43.100000000093132</v>
      </c>
      <c r="AC100" s="127">
        <f t="shared" si="30"/>
        <v>0</v>
      </c>
      <c r="AD100" s="127" t="str">
        <f t="shared" si="31"/>
        <v>SI</v>
      </c>
      <c r="AE100" s="128">
        <f>Table2[[#This Row],[PUNTUALIDAD (H)]]*24</f>
        <v>0</v>
      </c>
      <c r="AF100" s="127">
        <f t="shared" si="32"/>
        <v>1.8409722222204437</v>
      </c>
      <c r="AG100" s="128">
        <f>Table2[[#This Row],[ATA TO UNLOADING]]*24</f>
        <v>44.183333333290648</v>
      </c>
      <c r="AH100" s="128" t="str">
        <f>IF(Table2[[#This Row],[ATA TO UNLOADING 2]]&lt;=48,"YES","NO")</f>
        <v>YES</v>
      </c>
      <c r="AJ100" s="129">
        <f t="shared" si="33"/>
        <v>0.33333333333575865</v>
      </c>
      <c r="AK100" s="2" t="s">
        <v>64</v>
      </c>
      <c r="AL100" s="2" t="str">
        <f t="shared" si="34"/>
        <v>3/26</v>
      </c>
      <c r="AM100" s="2" t="str">
        <f t="shared" si="35"/>
        <v>TGBU9365427</v>
      </c>
      <c r="AN100" s="130" t="str">
        <f t="shared" si="36"/>
        <v>OM TRANSPORT</v>
      </c>
      <c r="AO100" s="141">
        <f>IF($O100="TRUCK",
VLOOKUP($AU100,Invoicing!$A$16:$B$56,MATCH($AO$1,Invoicing!$A$16:$B$16,0),FALSE)+IF(OR($B100="DCD",$B100="HPD2"),23.5,0),
VLOOKUP($AU100,Invoicing!$N$15:$O$19,MATCH($AO$1,Invoicing!$N$15:$O$15,0),FALSE)+IF(OR($B100="DCD",$B100="HPD2"),23.5,0))</f>
        <v>573.5</v>
      </c>
      <c r="AP100" s="131" t="e">
        <f>VLOOKUP($E100,Invoicing!$A$1:$H$12,MATCH(TRACKER!$P100,Invoicing!$A$1:$H$1,0),FALSE)</f>
        <v>#N/A</v>
      </c>
      <c r="AQ100" s="131">
        <f>VLOOKUP($E100,Invoicing!$A$1:$H$12,MATCH(TRACKER!$Q$1,Invoicing!$A$1:$H$1,0),FALSE)</f>
        <v>50</v>
      </c>
      <c r="AR100" s="131">
        <f t="shared" si="42"/>
        <v>0</v>
      </c>
      <c r="AS100" s="2">
        <f t="shared" si="38"/>
        <v>6</v>
      </c>
      <c r="AT100" s="2" t="str">
        <f t="shared" si="41"/>
        <v>SATURDAY</v>
      </c>
      <c r="AU100" s="2" t="str">
        <f t="shared" si="39"/>
        <v>OM TRANSPORTSATURDAY</v>
      </c>
      <c r="AV100" s="94">
        <f>(IF(ISNA(AP100),AO100+AR100,SUM($AO100,$AR100,IFERROR($AP100,"0"))))+Table2[[#This Row],[WAITING TIMES]]</f>
        <v>708.5</v>
      </c>
      <c r="AW100" s="48">
        <f>VLOOKUP(AN100,Invoicing!A:K,11,FALSE)</f>
        <v>20</v>
      </c>
      <c r="AX100" s="48">
        <v>135</v>
      </c>
      <c r="AY100" s="48" t="s">
        <v>250</v>
      </c>
      <c r="AZ100" s="48">
        <f t="shared" si="40"/>
        <v>728.5</v>
      </c>
      <c r="BA100" s="132">
        <f>VLOOKUP(AN100,Invoicing!A:J,10,FALSE)</f>
        <v>70</v>
      </c>
      <c r="BB100" s="132">
        <f>VLOOKUP(AN100,Invoicing!A:L,12,FALSE)</f>
        <v>1</v>
      </c>
      <c r="BC100" s="2" t="s">
        <v>66</v>
      </c>
    </row>
    <row r="101" spans="1:55">
      <c r="A101" s="38" t="s">
        <v>247</v>
      </c>
      <c r="B101" s="3" t="s">
        <v>77</v>
      </c>
      <c r="C101" s="11">
        <v>46037.537499999999</v>
      </c>
      <c r="D101" s="11">
        <v>46037.375</v>
      </c>
      <c r="E101" s="11" t="s">
        <v>98</v>
      </c>
      <c r="F101" s="11" t="s">
        <v>251</v>
      </c>
      <c r="G101" s="11" t="s">
        <v>59</v>
      </c>
      <c r="H101" s="11" t="s">
        <v>80</v>
      </c>
      <c r="I101" s="3" t="s">
        <v>252</v>
      </c>
      <c r="J101" s="86" t="s">
        <v>100</v>
      </c>
      <c r="K101" s="11">
        <v>46039.333333333336</v>
      </c>
      <c r="L101" s="12">
        <v>46040.353472222225</v>
      </c>
      <c r="M101" s="12">
        <v>46040.333333333336</v>
      </c>
      <c r="N101" s="12">
        <v>46040.34375</v>
      </c>
      <c r="O101" s="12" t="s">
        <v>63</v>
      </c>
      <c r="P101" s="85" t="s">
        <v>64</v>
      </c>
      <c r="Q101" s="3">
        <v>1</v>
      </c>
      <c r="R101" s="1">
        <f t="shared" si="22"/>
        <v>3</v>
      </c>
      <c r="S101" s="1">
        <f t="shared" si="23"/>
        <v>1</v>
      </c>
      <c r="T101" s="126">
        <f t="shared" si="24"/>
        <v>46040.353472222225</v>
      </c>
      <c r="U101" s="127">
        <f t="shared" si="25"/>
        <v>1.7958333333372138</v>
      </c>
      <c r="V101" s="128">
        <f>Table2[[#This Row],[ATA A OFRECIMIENTO]]*24</f>
        <v>43.100000000093132</v>
      </c>
      <c r="W101" s="1" t="str">
        <f t="shared" si="26"/>
        <v>YES</v>
      </c>
      <c r="X101" s="127">
        <f t="shared" si="27"/>
        <v>1</v>
      </c>
      <c r="Y101" s="128">
        <f>Table2[[#This Row],[DEL. AVAILABLE A SLOT]]*24</f>
        <v>24</v>
      </c>
      <c r="Z101" s="1" t="str">
        <f t="shared" si="28"/>
        <v>SI</v>
      </c>
      <c r="AA101" s="127">
        <f t="shared" si="29"/>
        <v>2.7958333333372138</v>
      </c>
      <c r="AB101" s="128">
        <f>Table2[[#This Row],[ATA A TIMESLOT]]*24</f>
        <v>67.100000000093132</v>
      </c>
      <c r="AC101" s="127">
        <f t="shared" si="30"/>
        <v>2.0138888889050577E-2</v>
      </c>
      <c r="AD101" s="127" t="str">
        <f t="shared" si="31"/>
        <v>SI</v>
      </c>
      <c r="AE101" s="128">
        <f>Table2[[#This Row],[PUNTUALIDAD (H)]]*24</f>
        <v>0.48333333333721384</v>
      </c>
      <c r="AF101" s="127">
        <f t="shared" si="32"/>
        <v>2.8062500000014552</v>
      </c>
      <c r="AG101" s="128">
        <f>Table2[[#This Row],[ATA TO UNLOADING]]*24</f>
        <v>67.350000000034925</v>
      </c>
      <c r="AH101" s="128" t="str">
        <f>IF(Table2[[#This Row],[ATA TO UNLOADING 2]]&lt;=48,"YES","NO")</f>
        <v>NO</v>
      </c>
      <c r="AJ101" s="129">
        <f t="shared" si="33"/>
        <v>0.33333333333575865</v>
      </c>
      <c r="AK101" s="2" t="s">
        <v>64</v>
      </c>
      <c r="AL101" s="2" t="str">
        <f t="shared" si="34"/>
        <v>3/26</v>
      </c>
      <c r="AM101" s="2" t="str">
        <f t="shared" si="35"/>
        <v>MRKU8925124</v>
      </c>
      <c r="AN101" s="130" t="str">
        <f t="shared" si="36"/>
        <v>MSI</v>
      </c>
      <c r="AO101" s="141">
        <f>IF($O101="TRUCK",
VLOOKUP($AU101,Invoicing!$A$16:$B$56,MATCH($AO$1,Invoicing!$A$16:$B$16,0),FALSE)+IF(OR($B101="DCD",$B101="HPD2"),23.5,0),
VLOOKUP($AU101,Invoicing!$N$15:$O$19,MATCH($AO$1,Invoicing!$N$15:$O$15,0),FALSE)+IF(OR($B101="DCD",$B101="HPD2"),23.5,0))</f>
        <v>523.5</v>
      </c>
      <c r="AP101" s="131" t="e">
        <f>VLOOKUP($E101,Invoicing!$A$1:$H$12,MATCH(TRACKER!$P101,Invoicing!$A$1:$H$1,0),FALSE)</f>
        <v>#N/A</v>
      </c>
      <c r="AQ101" s="131">
        <f>VLOOKUP($E101,Invoicing!$A$1:$H$12,MATCH(TRACKER!$Q$1,Invoicing!$A$1:$H$1,0),FALSE)</f>
        <v>50</v>
      </c>
      <c r="AR101" s="131">
        <f t="shared" si="42"/>
        <v>50</v>
      </c>
      <c r="AS101" s="2">
        <f t="shared" si="38"/>
        <v>7</v>
      </c>
      <c r="AT101" s="2" t="str">
        <f t="shared" si="41"/>
        <v>SUNDAY</v>
      </c>
      <c r="AU101" s="2" t="str">
        <f t="shared" si="39"/>
        <v>MSISUNDAY</v>
      </c>
      <c r="AV101" s="94">
        <f>(IF(ISNA(AP101),AO101+AR101,SUM($AO101,$AR101,IFERROR($AP101,"0"))))+Table2[[#This Row],[WAITING TIMES]]</f>
        <v>573.5</v>
      </c>
      <c r="AW101" s="48">
        <f>VLOOKUP(AN101,Invoicing!A:K,11,FALSE)</f>
        <v>20</v>
      </c>
      <c r="AY101" s="48"/>
      <c r="AZ101" s="48">
        <f t="shared" si="40"/>
        <v>593.5</v>
      </c>
      <c r="BA101" s="132">
        <f>VLOOKUP(AN101,Invoicing!A:J,10,FALSE)</f>
        <v>70</v>
      </c>
      <c r="BB101" s="132">
        <f>VLOOKUP(AN101,Invoicing!A:L,12,FALSE)</f>
        <v>1</v>
      </c>
      <c r="BC101" s="2" t="s">
        <v>66</v>
      </c>
    </row>
    <row r="102" spans="1:55">
      <c r="A102" s="38" t="s">
        <v>247</v>
      </c>
      <c r="B102" s="3" t="s">
        <v>77</v>
      </c>
      <c r="C102" s="11">
        <v>46037.537499999999</v>
      </c>
      <c r="D102" s="11">
        <v>46037.375</v>
      </c>
      <c r="E102" s="11" t="s">
        <v>98</v>
      </c>
      <c r="F102" s="11" t="s">
        <v>248</v>
      </c>
      <c r="G102" s="11" t="s">
        <v>59</v>
      </c>
      <c r="H102" s="11" t="s">
        <v>80</v>
      </c>
      <c r="I102" s="3" t="s">
        <v>253</v>
      </c>
      <c r="J102" s="86" t="s">
        <v>100</v>
      </c>
      <c r="K102" s="11">
        <v>46039.333333333336</v>
      </c>
      <c r="L102" s="12">
        <v>46040.393750000003</v>
      </c>
      <c r="M102" s="12">
        <v>46040.333333333336</v>
      </c>
      <c r="N102" s="12">
        <v>46040.34375</v>
      </c>
      <c r="O102" s="12" t="s">
        <v>63</v>
      </c>
      <c r="P102" s="85" t="s">
        <v>64</v>
      </c>
      <c r="Q102" s="3">
        <v>2</v>
      </c>
      <c r="R102" s="1">
        <f t="shared" si="22"/>
        <v>3</v>
      </c>
      <c r="S102" s="1">
        <f t="shared" si="23"/>
        <v>1</v>
      </c>
      <c r="T102" s="126">
        <f t="shared" si="24"/>
        <v>46040.393750000003</v>
      </c>
      <c r="U102" s="127">
        <f t="shared" si="25"/>
        <v>1.7958333333372138</v>
      </c>
      <c r="V102" s="128">
        <f>Table2[[#This Row],[ATA A OFRECIMIENTO]]*24</f>
        <v>43.100000000093132</v>
      </c>
      <c r="W102" s="1" t="str">
        <f t="shared" si="26"/>
        <v>YES</v>
      </c>
      <c r="X102" s="127">
        <f t="shared" si="27"/>
        <v>1</v>
      </c>
      <c r="Y102" s="128">
        <f>Table2[[#This Row],[DEL. AVAILABLE A SLOT]]*24</f>
        <v>24</v>
      </c>
      <c r="Z102" s="1" t="str">
        <f t="shared" si="28"/>
        <v>SI</v>
      </c>
      <c r="AA102" s="127">
        <f t="shared" si="29"/>
        <v>2.7958333333372138</v>
      </c>
      <c r="AB102" s="128">
        <f>Table2[[#This Row],[ATA A TIMESLOT]]*24</f>
        <v>67.100000000093132</v>
      </c>
      <c r="AC102" s="127">
        <f t="shared" si="30"/>
        <v>6.0416666667151731E-2</v>
      </c>
      <c r="AD102" s="127" t="str">
        <f t="shared" si="31"/>
        <v>NO</v>
      </c>
      <c r="AE102" s="128">
        <f>Table2[[#This Row],[PUNTUALIDAD (H)]]*24</f>
        <v>1.4500000000116415</v>
      </c>
      <c r="AF102" s="127">
        <f t="shared" si="32"/>
        <v>2.8062500000014552</v>
      </c>
      <c r="AG102" s="128">
        <f>Table2[[#This Row],[ATA TO UNLOADING]]*24</f>
        <v>67.350000000034925</v>
      </c>
      <c r="AH102" s="128" t="str">
        <f>IF(Table2[[#This Row],[ATA TO UNLOADING 2]]&lt;=48,"YES","NO")</f>
        <v>NO</v>
      </c>
      <c r="AJ102" s="129">
        <f t="shared" si="33"/>
        <v>0.33333333333575865</v>
      </c>
      <c r="AK102" s="2" t="s">
        <v>64</v>
      </c>
      <c r="AL102" s="2" t="str">
        <f t="shared" si="34"/>
        <v>3/26</v>
      </c>
      <c r="AM102" s="2" t="str">
        <f t="shared" si="35"/>
        <v>TCNU7982034</v>
      </c>
      <c r="AN102" s="130" t="str">
        <f t="shared" si="36"/>
        <v>MSI</v>
      </c>
      <c r="AO102" s="141">
        <f>IF($O102="TRUCK",
VLOOKUP($AU102,Invoicing!$A$16:$B$56,MATCH($AO$1,Invoicing!$A$16:$B$16,0),FALSE)+IF(OR($B102="DCD",$B102="HPD2"),23.5,0),
VLOOKUP($AU102,Invoicing!$N$15:$O$19,MATCH($AO$1,Invoicing!$N$15:$O$15,0),FALSE)+IF(OR($B102="DCD",$B102="HPD2"),23.5,0))</f>
        <v>523.5</v>
      </c>
      <c r="AP102" s="131" t="e">
        <f>VLOOKUP($E102,Invoicing!$A$1:$H$12,MATCH(TRACKER!$P102,Invoicing!$A$1:$H$1,0),FALSE)</f>
        <v>#N/A</v>
      </c>
      <c r="AQ102" s="131">
        <f>VLOOKUP($E102,Invoicing!$A$1:$H$12,MATCH(TRACKER!$Q$1,Invoicing!$A$1:$H$1,0),FALSE)</f>
        <v>50</v>
      </c>
      <c r="AR102" s="131">
        <f t="shared" si="42"/>
        <v>100</v>
      </c>
      <c r="AS102" s="2">
        <f t="shared" si="38"/>
        <v>7</v>
      </c>
      <c r="AT102" s="2" t="str">
        <f t="shared" si="41"/>
        <v>SUNDAY</v>
      </c>
      <c r="AU102" s="2" t="str">
        <f t="shared" si="39"/>
        <v>MSISUNDAY</v>
      </c>
      <c r="AV102" s="94">
        <f>(IF(ISNA(AP102),AO102+AR102,SUM($AO102,$AR102,IFERROR($AP102,"0"))))+Table2[[#This Row],[WAITING TIMES]]</f>
        <v>623.5</v>
      </c>
      <c r="AW102" s="48">
        <f>VLOOKUP(AN102,Invoicing!A:K,11,FALSE)</f>
        <v>20</v>
      </c>
      <c r="AY102" s="48"/>
      <c r="AZ102" s="48">
        <f t="shared" si="40"/>
        <v>643.5</v>
      </c>
      <c r="BA102" s="132">
        <f>VLOOKUP(AN102,Invoicing!A:J,10,FALSE)</f>
        <v>70</v>
      </c>
      <c r="BB102" s="132">
        <f>VLOOKUP(AN102,Invoicing!A:L,12,FALSE)</f>
        <v>1</v>
      </c>
      <c r="BC102" s="2" t="s">
        <v>66</v>
      </c>
    </row>
    <row r="103" spans="1:55">
      <c r="A103" s="87" t="s">
        <v>247</v>
      </c>
      <c r="B103" s="91" t="s">
        <v>77</v>
      </c>
      <c r="C103" s="89">
        <v>46037.537499999999</v>
      </c>
      <c r="D103" s="89">
        <v>46037.375</v>
      </c>
      <c r="E103" s="11" t="s">
        <v>83</v>
      </c>
      <c r="F103" s="89" t="s">
        <v>248</v>
      </c>
      <c r="G103" s="89" t="s">
        <v>59</v>
      </c>
      <c r="H103" s="89" t="s">
        <v>80</v>
      </c>
      <c r="I103" s="91" t="s">
        <v>254</v>
      </c>
      <c r="J103" s="88" t="s">
        <v>100</v>
      </c>
      <c r="K103" s="89">
        <v>46039.333333333336</v>
      </c>
      <c r="L103" s="90">
        <v>46040.424305555556</v>
      </c>
      <c r="M103" s="90">
        <v>46040.416666666664</v>
      </c>
      <c r="N103" s="90">
        <v>46040.429166666669</v>
      </c>
      <c r="O103" s="90" t="s">
        <v>63</v>
      </c>
      <c r="P103" s="93" t="s">
        <v>64</v>
      </c>
      <c r="Q103" s="91">
        <v>1</v>
      </c>
      <c r="R103" s="1">
        <f t="shared" si="22"/>
        <v>3</v>
      </c>
      <c r="S103" s="1">
        <f t="shared" si="23"/>
        <v>1</v>
      </c>
      <c r="T103" s="126">
        <f t="shared" si="24"/>
        <v>46040.424305555556</v>
      </c>
      <c r="U103" s="127">
        <f t="shared" si="25"/>
        <v>1.7958333333372138</v>
      </c>
      <c r="V103" s="128">
        <f>Table2[[#This Row],[ATA A OFRECIMIENTO]]*24</f>
        <v>43.100000000093132</v>
      </c>
      <c r="W103" s="1" t="str">
        <f t="shared" si="26"/>
        <v>YES</v>
      </c>
      <c r="X103" s="127">
        <f t="shared" si="27"/>
        <v>1.0833333333284827</v>
      </c>
      <c r="Y103" s="128">
        <f>Table2[[#This Row],[DEL. AVAILABLE A SLOT]]*24</f>
        <v>25.999999999883585</v>
      </c>
      <c r="Z103" s="1" t="str">
        <f t="shared" si="28"/>
        <v>NO</v>
      </c>
      <c r="AA103" s="127">
        <f t="shared" si="29"/>
        <v>2.8791666666656965</v>
      </c>
      <c r="AB103" s="128">
        <f>Table2[[#This Row],[ATA A TIMESLOT]]*24</f>
        <v>69.099999999976717</v>
      </c>
      <c r="AC103" s="127">
        <f t="shared" si="30"/>
        <v>7.6388888919609599E-3</v>
      </c>
      <c r="AD103" s="127" t="str">
        <f t="shared" si="31"/>
        <v>SI</v>
      </c>
      <c r="AE103" s="128">
        <f>Table2[[#This Row],[PUNTUALIDAD (H)]]*24</f>
        <v>0.18333333340706304</v>
      </c>
      <c r="AF103" s="127">
        <f t="shared" si="32"/>
        <v>2.8916666666700621</v>
      </c>
      <c r="AG103" s="128">
        <f>Table2[[#This Row],[ATA TO UNLOADING]]*24</f>
        <v>69.400000000081491</v>
      </c>
      <c r="AH103" s="128" t="str">
        <f>IF(Table2[[#This Row],[ATA TO UNLOADING 2]]&lt;=48,"YES","NO")</f>
        <v>NO</v>
      </c>
      <c r="AJ103" s="129">
        <f t="shared" si="33"/>
        <v>0.41666666666424135</v>
      </c>
      <c r="AK103" s="2" t="s">
        <v>64</v>
      </c>
      <c r="AL103" s="2" t="str">
        <f t="shared" si="34"/>
        <v>3/26</v>
      </c>
      <c r="AM103" s="2" t="str">
        <f t="shared" si="35"/>
        <v>CAAU5412165</v>
      </c>
      <c r="AN103" s="130" t="str">
        <f t="shared" si="36"/>
        <v>OM TRANSPORT</v>
      </c>
      <c r="AO103" s="141">
        <f>IF($O103="TRUCK",
VLOOKUP($AU103,Invoicing!$A$16:$B$56,MATCH($AO$1,Invoicing!$A$16:$B$16,0),FALSE)+IF(OR($B103="DCD",$B103="HPD2"),23.5,0),
VLOOKUP($AU103,Invoicing!$N$15:$O$19,MATCH($AO$1,Invoicing!$N$15:$O$15,0),FALSE)+IF(OR($B103="DCD",$B103="HPD2"),23.5,0))</f>
        <v>573.5</v>
      </c>
      <c r="AP103" s="131" t="e">
        <f>VLOOKUP($E103,Invoicing!$A$1:$H$12,MATCH(TRACKER!$P103,Invoicing!$A$1:$H$1,0),FALSE)</f>
        <v>#N/A</v>
      </c>
      <c r="AQ103" s="131">
        <f>VLOOKUP($E103,Invoicing!$A$1:$H$12,MATCH(TRACKER!$Q$1,Invoicing!$A$1:$H$1,0),FALSE)</f>
        <v>50</v>
      </c>
      <c r="AR103" s="131">
        <f t="shared" si="42"/>
        <v>50</v>
      </c>
      <c r="AS103" s="2">
        <f t="shared" si="38"/>
        <v>7</v>
      </c>
      <c r="AT103" s="2" t="str">
        <f t="shared" si="41"/>
        <v>SUNDAY</v>
      </c>
      <c r="AU103" s="2" t="str">
        <f t="shared" si="39"/>
        <v>OM TRANSPORTSUNDAY</v>
      </c>
      <c r="AV103" s="94">
        <f>(IF(ISNA(AP103),AO103+AR103,SUM($AO103,$AR103,IFERROR($AP103,"0"))))+Table2[[#This Row],[WAITING TIMES]]</f>
        <v>713.5</v>
      </c>
      <c r="AW103" s="48">
        <f>VLOOKUP(AN103,Invoicing!A:K,11,FALSE)</f>
        <v>20</v>
      </c>
      <c r="AX103" s="48">
        <v>90</v>
      </c>
      <c r="AY103" s="48" t="s">
        <v>255</v>
      </c>
      <c r="AZ103" s="48">
        <f t="shared" si="40"/>
        <v>733.5</v>
      </c>
      <c r="BA103" s="132">
        <f>VLOOKUP(AN103,Invoicing!A:J,10,FALSE)</f>
        <v>70</v>
      </c>
      <c r="BB103" s="132">
        <f>VLOOKUP(AN103,Invoicing!A:L,12,FALSE)</f>
        <v>1</v>
      </c>
      <c r="BC103" s="2" t="s">
        <v>66</v>
      </c>
    </row>
    <row r="104" spans="1:55">
      <c r="A104" s="38" t="s">
        <v>256</v>
      </c>
      <c r="B104" s="3" t="s">
        <v>56</v>
      </c>
      <c r="C104" s="11">
        <v>46042.978472222225</v>
      </c>
      <c r="D104" s="11">
        <v>46042.979166666664</v>
      </c>
      <c r="E104" s="11" t="s">
        <v>83</v>
      </c>
      <c r="F104" s="11" t="s">
        <v>257</v>
      </c>
      <c r="G104" s="11" t="s">
        <v>59</v>
      </c>
      <c r="H104" s="11" t="s">
        <v>68</v>
      </c>
      <c r="I104" s="3" t="s">
        <v>258</v>
      </c>
      <c r="J104" s="86" t="s">
        <v>100</v>
      </c>
      <c r="K104" s="11">
        <v>46044.25</v>
      </c>
      <c r="L104" s="12">
        <v>46044.258333333331</v>
      </c>
      <c r="M104" s="12">
        <v>46044.25</v>
      </c>
      <c r="N104" s="12">
        <v>46044.263888888891</v>
      </c>
      <c r="O104" s="12" t="s">
        <v>63</v>
      </c>
      <c r="P104" s="85" t="s">
        <v>64</v>
      </c>
      <c r="Q104" s="3">
        <v>0</v>
      </c>
      <c r="R104" s="1">
        <f t="shared" si="22"/>
        <v>4</v>
      </c>
      <c r="S104" s="1">
        <f t="shared" si="23"/>
        <v>1</v>
      </c>
      <c r="T104" s="126">
        <f t="shared" si="24"/>
        <v>46044.258333333331</v>
      </c>
      <c r="U104" s="127">
        <f t="shared" si="25"/>
        <v>1.2715277777751908</v>
      </c>
      <c r="V104" s="128">
        <f>Table2[[#This Row],[ATA A OFRECIMIENTO]]*24</f>
        <v>30.516666666604578</v>
      </c>
      <c r="W104" s="1" t="str">
        <f t="shared" si="26"/>
        <v>YES</v>
      </c>
      <c r="X104" s="127">
        <f t="shared" si="27"/>
        <v>0</v>
      </c>
      <c r="Y104" s="128">
        <f>Table2[[#This Row],[DEL. AVAILABLE A SLOT]]*24</f>
        <v>0</v>
      </c>
      <c r="Z104" s="1" t="str">
        <f t="shared" si="28"/>
        <v>SI</v>
      </c>
      <c r="AA104" s="127">
        <f t="shared" si="29"/>
        <v>1.2715277777751908</v>
      </c>
      <c r="AB104" s="128">
        <f>Table2[[#This Row],[ATA A TIMESLOT]]*24</f>
        <v>30.516666666604578</v>
      </c>
      <c r="AC104" s="127">
        <f t="shared" si="30"/>
        <v>8.333333331393078E-3</v>
      </c>
      <c r="AD104" s="127" t="str">
        <f t="shared" si="31"/>
        <v>SI</v>
      </c>
      <c r="AE104" s="128">
        <f>Table2[[#This Row],[PUNTUALIDAD (H)]]*24</f>
        <v>0.19999999995343387</v>
      </c>
      <c r="AF104" s="127">
        <f t="shared" si="32"/>
        <v>1.2854166666656965</v>
      </c>
      <c r="AG104" s="128">
        <f>Table2[[#This Row],[ATA TO UNLOADING]]*24</f>
        <v>30.849999999976717</v>
      </c>
      <c r="AH104" s="128" t="str">
        <f>IF(Table2[[#This Row],[ATA TO UNLOADING 2]]&lt;=48,"YES","NO")</f>
        <v>YES</v>
      </c>
      <c r="AJ104" s="129">
        <f t="shared" si="33"/>
        <v>0.25</v>
      </c>
      <c r="AK104" s="2" t="s">
        <v>64</v>
      </c>
      <c r="AL104" s="2" t="str">
        <f t="shared" si="34"/>
        <v>4/26</v>
      </c>
      <c r="AM104" s="2" t="str">
        <f t="shared" si="35"/>
        <v>MAEU9199117</v>
      </c>
      <c r="AN104" s="130" t="str">
        <f t="shared" si="36"/>
        <v>OM TRANSPORT</v>
      </c>
      <c r="AO104" s="141">
        <f>IF($O104="TRUCK",
VLOOKUP($AU104,Invoicing!$A$16:$B$56,MATCH($AO$1,Invoicing!$A$16:$B$16,0),FALSE)+IF(OR($B104="DCD",$B104="HPD2"),23.5,0),
VLOOKUP($AU104,Invoicing!$N$15:$O$19,MATCH($AO$1,Invoicing!$N$15:$O$15,0),FALSE)+IF(OR($B104="DCD",$B104="HPD2"),23.5,0))</f>
        <v>475</v>
      </c>
      <c r="AP104" s="131" t="e">
        <f>VLOOKUP($E104,Invoicing!$A$1:$H$12,MATCH(TRACKER!$P104,Invoicing!$A$1:$H$1,0),FALSE)</f>
        <v>#N/A</v>
      </c>
      <c r="AQ104" s="131">
        <f>VLOOKUP($E104,Invoicing!$A$1:$H$12,MATCH(TRACKER!$Q$1,Invoicing!$A$1:$H$1,0),FALSE)</f>
        <v>50</v>
      </c>
      <c r="AR104" s="131">
        <f t="shared" si="42"/>
        <v>0</v>
      </c>
      <c r="AS104" s="2">
        <f t="shared" si="38"/>
        <v>4</v>
      </c>
      <c r="AT104" s="2" t="str">
        <f t="shared" si="41"/>
        <v>WEEK</v>
      </c>
      <c r="AU104" s="2" t="str">
        <f t="shared" si="39"/>
        <v>OM TRANSPORTWEEK</v>
      </c>
      <c r="AV104" s="94">
        <f>(IF(ISNA(AP104),AO104+AR104,SUM($AO104,$AR104,IFERROR($AP104,"0"))))+Table2[[#This Row],[WAITING TIMES]]</f>
        <v>475</v>
      </c>
      <c r="AW104" s="94">
        <f>VLOOKUP(AN104,Invoicing!A:K,11,FALSE)</f>
        <v>20</v>
      </c>
      <c r="AY104" s="48"/>
      <c r="AZ104" s="94">
        <f t="shared" si="40"/>
        <v>495</v>
      </c>
      <c r="BA104" s="133">
        <f>VLOOKUP(AN104,Invoicing!A:J,10,FALSE)</f>
        <v>70</v>
      </c>
      <c r="BB104" s="133">
        <f>VLOOKUP(AN104,Invoicing!A:L,12,FALSE)</f>
        <v>1</v>
      </c>
      <c r="BC104" s="2" t="s">
        <v>66</v>
      </c>
    </row>
    <row r="105" spans="1:55">
      <c r="A105" s="38" t="s">
        <v>256</v>
      </c>
      <c r="B105" s="3" t="s">
        <v>56</v>
      </c>
      <c r="C105" s="11">
        <v>46042.978472222225</v>
      </c>
      <c r="D105" s="11">
        <v>46042.979166666664</v>
      </c>
      <c r="E105" s="11" t="s">
        <v>71</v>
      </c>
      <c r="F105" s="11" t="s">
        <v>257</v>
      </c>
      <c r="G105" s="11" t="s">
        <v>59</v>
      </c>
      <c r="H105" s="11" t="s">
        <v>68</v>
      </c>
      <c r="I105" s="3" t="s">
        <v>259</v>
      </c>
      <c r="J105" s="86" t="s">
        <v>100</v>
      </c>
      <c r="K105" s="11">
        <v>46044.25</v>
      </c>
      <c r="L105" s="12">
        <v>46044.37777777778</v>
      </c>
      <c r="M105" s="12">
        <v>46044.25</v>
      </c>
      <c r="N105" s="12">
        <v>46044.263888888891</v>
      </c>
      <c r="O105" s="12" t="s">
        <v>63</v>
      </c>
      <c r="P105" s="85" t="s">
        <v>64</v>
      </c>
      <c r="Q105" s="3">
        <v>2</v>
      </c>
      <c r="R105" s="1">
        <f t="shared" si="22"/>
        <v>4</v>
      </c>
      <c r="S105" s="1">
        <f t="shared" si="23"/>
        <v>1</v>
      </c>
      <c r="T105" s="126">
        <f t="shared" si="24"/>
        <v>46044.37777777778</v>
      </c>
      <c r="U105" s="127">
        <f t="shared" si="25"/>
        <v>1.2715277777751908</v>
      </c>
      <c r="V105" s="128">
        <f>Table2[[#This Row],[ATA A OFRECIMIENTO]]*24</f>
        <v>30.516666666604578</v>
      </c>
      <c r="W105" s="1" t="str">
        <f t="shared" si="26"/>
        <v>YES</v>
      </c>
      <c r="X105" s="127">
        <f t="shared" si="27"/>
        <v>0</v>
      </c>
      <c r="Y105" s="128">
        <f>Table2[[#This Row],[DEL. AVAILABLE A SLOT]]*24</f>
        <v>0</v>
      </c>
      <c r="Z105" s="1" t="str">
        <f t="shared" si="28"/>
        <v>SI</v>
      </c>
      <c r="AA105" s="127">
        <f t="shared" si="29"/>
        <v>1.2715277777751908</v>
      </c>
      <c r="AB105" s="128">
        <f>Table2[[#This Row],[ATA A TIMESLOT]]*24</f>
        <v>30.516666666604578</v>
      </c>
      <c r="AC105" s="127">
        <f t="shared" si="30"/>
        <v>0.12777777777955635</v>
      </c>
      <c r="AD105" s="127" t="str">
        <f t="shared" si="31"/>
        <v>NO</v>
      </c>
      <c r="AE105" s="128">
        <f>Table2[[#This Row],[PUNTUALIDAD (H)]]*24</f>
        <v>3.0666666667093523</v>
      </c>
      <c r="AF105" s="127">
        <f t="shared" si="32"/>
        <v>1.2854166666656965</v>
      </c>
      <c r="AG105" s="128">
        <f>Table2[[#This Row],[ATA TO UNLOADING]]*24</f>
        <v>30.849999999976717</v>
      </c>
      <c r="AH105" s="128" t="str">
        <f>IF(Table2[[#This Row],[ATA TO UNLOADING 2]]&lt;=48,"YES","NO")</f>
        <v>YES</v>
      </c>
      <c r="AJ105" s="129">
        <f t="shared" si="33"/>
        <v>0.25</v>
      </c>
      <c r="AK105" s="2" t="s">
        <v>64</v>
      </c>
      <c r="AL105" s="2" t="str">
        <f t="shared" si="34"/>
        <v>4/26</v>
      </c>
      <c r="AM105" s="2" t="str">
        <f t="shared" si="35"/>
        <v>UETU8173128</v>
      </c>
      <c r="AN105" s="130" t="str">
        <f t="shared" si="36"/>
        <v>LOGIX</v>
      </c>
      <c r="AO105" s="141">
        <f>IF($O105="TRUCK",
VLOOKUP($AU105,Invoicing!$A$16:$B$56,MATCH($AO$1,Invoicing!$A$16:$B$16,0),FALSE)+IF(OR($B105="DCD",$B105="HPD2"),23.5,0),
VLOOKUP($AU105,Invoicing!$N$15:$O$19,MATCH($AO$1,Invoicing!$N$15:$O$15,0),FALSE)+IF(OR($B105="DCD",$B105="HPD2"),23.5,0))</f>
        <v>550</v>
      </c>
      <c r="AP105" s="131" t="e">
        <f>VLOOKUP($E105,Invoicing!$A$1:$H$12,MATCH(TRACKER!$P105,Invoicing!$A$1:$H$1,0),FALSE)</f>
        <v>#N/A</v>
      </c>
      <c r="AQ105" s="131">
        <f>VLOOKUP($E105,Invoicing!$A$1:$H$12,MATCH(TRACKER!$Q$1,Invoicing!$A$1:$H$1,0),FALSE)</f>
        <v>50</v>
      </c>
      <c r="AR105" s="131">
        <f t="shared" si="42"/>
        <v>100</v>
      </c>
      <c r="AS105" s="2">
        <f t="shared" si="38"/>
        <v>4</v>
      </c>
      <c r="AT105" s="2" t="str">
        <f t="shared" si="41"/>
        <v>WEEK</v>
      </c>
      <c r="AU105" s="2" t="str">
        <f t="shared" si="39"/>
        <v>LOGIXWEEK</v>
      </c>
      <c r="AV105" s="94">
        <f>(IF(ISNA(AP105),AO105+AR105,SUM($AO105,$AR105,IFERROR($AP105,"0"))))+Table2[[#This Row],[WAITING TIMES]]</f>
        <v>650</v>
      </c>
      <c r="AW105" s="94">
        <f>VLOOKUP(AN105,Invoicing!A:K,11,FALSE)</f>
        <v>20</v>
      </c>
      <c r="AY105" s="48"/>
      <c r="AZ105" s="94">
        <f t="shared" si="40"/>
        <v>670</v>
      </c>
      <c r="BA105" s="133">
        <f>VLOOKUP(AN105,Invoicing!A:J,10,FALSE)</f>
        <v>70</v>
      </c>
      <c r="BB105" s="133">
        <f>VLOOKUP(AN105,Invoicing!A:L,12,FALSE)</f>
        <v>1</v>
      </c>
      <c r="BC105" s="2" t="s">
        <v>66</v>
      </c>
    </row>
    <row r="106" spans="1:55">
      <c r="A106" s="38" t="s">
        <v>256</v>
      </c>
      <c r="B106" s="3" t="s">
        <v>56</v>
      </c>
      <c r="C106" s="11">
        <v>46042.978472222225</v>
      </c>
      <c r="D106" s="11">
        <v>46042.979166666664</v>
      </c>
      <c r="E106" s="11" t="s">
        <v>83</v>
      </c>
      <c r="F106" s="11" t="s">
        <v>260</v>
      </c>
      <c r="G106" s="11" t="s">
        <v>59</v>
      </c>
      <c r="H106" s="11" t="s">
        <v>144</v>
      </c>
      <c r="I106" s="3" t="s">
        <v>261</v>
      </c>
      <c r="J106" s="86" t="s">
        <v>100</v>
      </c>
      <c r="K106" s="11">
        <v>46044.25</v>
      </c>
      <c r="L106" s="12">
        <v>46044.273611111108</v>
      </c>
      <c r="M106" s="12">
        <v>46044.270833333336</v>
      </c>
      <c r="N106" s="12">
        <v>46044.28125</v>
      </c>
      <c r="O106" s="12" t="s">
        <v>63</v>
      </c>
      <c r="P106" s="85" t="s">
        <v>64</v>
      </c>
      <c r="Q106" s="3">
        <v>0</v>
      </c>
      <c r="R106" s="1">
        <f t="shared" si="22"/>
        <v>4</v>
      </c>
      <c r="S106" s="1">
        <f t="shared" si="23"/>
        <v>1</v>
      </c>
      <c r="T106" s="126">
        <f t="shared" si="24"/>
        <v>46044.273611111108</v>
      </c>
      <c r="U106" s="127">
        <f t="shared" si="25"/>
        <v>1.2715277777751908</v>
      </c>
      <c r="V106" s="128">
        <f>Table2[[#This Row],[ATA A OFRECIMIENTO]]*24</f>
        <v>30.516666666604578</v>
      </c>
      <c r="W106" s="1" t="str">
        <f t="shared" si="26"/>
        <v>YES</v>
      </c>
      <c r="X106" s="127">
        <f t="shared" si="27"/>
        <v>2.0833333335758653E-2</v>
      </c>
      <c r="Y106" s="128">
        <f>Table2[[#This Row],[DEL. AVAILABLE A SLOT]]*24</f>
        <v>0.50000000005820766</v>
      </c>
      <c r="Z106" s="1" t="str">
        <f t="shared" si="28"/>
        <v>SI</v>
      </c>
      <c r="AA106" s="127">
        <f t="shared" si="29"/>
        <v>1.2923611111109494</v>
      </c>
      <c r="AB106" s="128">
        <f>Table2[[#This Row],[ATA A TIMESLOT]]*24</f>
        <v>31.016666666662786</v>
      </c>
      <c r="AC106" s="127">
        <f t="shared" si="30"/>
        <v>2.7777777722803876E-3</v>
      </c>
      <c r="AD106" s="127" t="str">
        <f t="shared" si="31"/>
        <v>SI</v>
      </c>
      <c r="AE106" s="128">
        <f>Table2[[#This Row],[PUNTUALIDAD (H)]]*24</f>
        <v>6.6666666534729302E-2</v>
      </c>
      <c r="AF106" s="127">
        <f t="shared" si="32"/>
        <v>1.3027777777751908</v>
      </c>
      <c r="AG106" s="128">
        <f>Table2[[#This Row],[ATA TO UNLOADING]]*24</f>
        <v>31.266666666604578</v>
      </c>
      <c r="AH106" s="128" t="str">
        <f>IF(Table2[[#This Row],[ATA TO UNLOADING 2]]&lt;=48,"YES","NO")</f>
        <v>YES</v>
      </c>
      <c r="AJ106" s="129">
        <f t="shared" si="33"/>
        <v>0.27083333333575865</v>
      </c>
      <c r="AK106" s="2" t="s">
        <v>64</v>
      </c>
      <c r="AL106" s="2" t="str">
        <f t="shared" si="34"/>
        <v>4/26</v>
      </c>
      <c r="AM106" s="2" t="str">
        <f t="shared" si="35"/>
        <v>MRKU6993639</v>
      </c>
      <c r="AN106" s="130" t="str">
        <f t="shared" si="36"/>
        <v>OM TRANSPORT</v>
      </c>
      <c r="AO106" s="141">
        <f>IF($O106="TRUCK",
VLOOKUP($AU106,Invoicing!$A$16:$B$56,MATCH($AO$1,Invoicing!$A$16:$B$16,0),FALSE)+IF(OR($B106="DCD",$B106="HPD2"),23.5,0),
VLOOKUP($AU106,Invoicing!$N$15:$O$19,MATCH($AO$1,Invoicing!$N$15:$O$15,0),FALSE)+IF(OR($B106="DCD",$B106="HPD2"),23.5,0))</f>
        <v>475</v>
      </c>
      <c r="AP106" s="131" t="e">
        <f>VLOOKUP($E106,Invoicing!$A$1:$H$12,MATCH(TRACKER!$P106,Invoicing!$A$1:$H$1,0),FALSE)</f>
        <v>#N/A</v>
      </c>
      <c r="AQ106" s="131">
        <f>VLOOKUP($E106,Invoicing!$A$1:$H$12,MATCH(TRACKER!$Q$1,Invoicing!$A$1:$H$1,0),FALSE)</f>
        <v>50</v>
      </c>
      <c r="AR106" s="131">
        <f t="shared" si="42"/>
        <v>0</v>
      </c>
      <c r="AS106" s="2">
        <f t="shared" si="38"/>
        <v>4</v>
      </c>
      <c r="AT106" s="2" t="str">
        <f t="shared" si="41"/>
        <v>WEEK</v>
      </c>
      <c r="AU106" s="2" t="str">
        <f t="shared" si="39"/>
        <v>OM TRANSPORTWEEK</v>
      </c>
      <c r="AV106" s="94">
        <f>(IF(ISNA(AP106),AO106+AR106,SUM($AO106,$AR106,IFERROR($AP106,"0"))))+Table2[[#This Row],[WAITING TIMES]]</f>
        <v>475</v>
      </c>
      <c r="AW106" s="94">
        <f>VLOOKUP(AN106,Invoicing!A:K,11,FALSE)</f>
        <v>20</v>
      </c>
      <c r="AY106" s="48"/>
      <c r="AZ106" s="94">
        <f t="shared" si="40"/>
        <v>495</v>
      </c>
      <c r="BA106" s="133">
        <f>VLOOKUP(AN106,Invoicing!A:J,10,FALSE)</f>
        <v>70</v>
      </c>
      <c r="BB106" s="133">
        <f>VLOOKUP(AN106,Invoicing!A:L,12,FALSE)</f>
        <v>1</v>
      </c>
      <c r="BC106" s="2" t="s">
        <v>66</v>
      </c>
    </row>
    <row r="107" spans="1:55">
      <c r="A107" s="38" t="s">
        <v>256</v>
      </c>
      <c r="B107" s="3" t="s">
        <v>56</v>
      </c>
      <c r="C107" s="11">
        <v>46042.978472222225</v>
      </c>
      <c r="D107" s="11">
        <v>46042.979166666664</v>
      </c>
      <c r="E107" s="11" t="s">
        <v>71</v>
      </c>
      <c r="F107" s="11" t="s">
        <v>262</v>
      </c>
      <c r="G107" s="11" t="s">
        <v>59</v>
      </c>
      <c r="H107" s="11" t="s">
        <v>60</v>
      </c>
      <c r="I107" s="3" t="s">
        <v>263</v>
      </c>
      <c r="J107" s="86" t="s">
        <v>100</v>
      </c>
      <c r="K107" s="11">
        <v>46044.25</v>
      </c>
      <c r="L107" s="12">
        <v>46044.304861111108</v>
      </c>
      <c r="M107" s="12">
        <v>46044.3125</v>
      </c>
      <c r="N107" s="12">
        <v>46044.336805555555</v>
      </c>
      <c r="O107" s="12" t="s">
        <v>63</v>
      </c>
      <c r="P107" s="85" t="s">
        <v>64</v>
      </c>
      <c r="Q107" s="3">
        <v>0</v>
      </c>
      <c r="R107" s="1">
        <f t="shared" si="22"/>
        <v>4</v>
      </c>
      <c r="S107" s="1">
        <f t="shared" si="23"/>
        <v>1</v>
      </c>
      <c r="T107" s="126">
        <f t="shared" si="24"/>
        <v>46044.304861111108</v>
      </c>
      <c r="U107" s="127">
        <f t="shared" si="25"/>
        <v>1.2715277777751908</v>
      </c>
      <c r="V107" s="128">
        <f>Table2[[#This Row],[ATA A OFRECIMIENTO]]*24</f>
        <v>30.516666666604578</v>
      </c>
      <c r="W107" s="1" t="str">
        <f t="shared" si="26"/>
        <v>YES</v>
      </c>
      <c r="X107" s="127">
        <f t="shared" si="27"/>
        <v>6.25E-2</v>
      </c>
      <c r="Y107" s="128">
        <f>Table2[[#This Row],[DEL. AVAILABLE A SLOT]]*24</f>
        <v>1.5</v>
      </c>
      <c r="Z107" s="1" t="str">
        <f t="shared" si="28"/>
        <v>SI</v>
      </c>
      <c r="AA107" s="127">
        <f t="shared" si="29"/>
        <v>1.3340277777751908</v>
      </c>
      <c r="AB107" s="128">
        <f>Table2[[#This Row],[ATA A TIMESLOT]]*24</f>
        <v>32.016666666604578</v>
      </c>
      <c r="AC107" s="127">
        <f t="shared" si="30"/>
        <v>0</v>
      </c>
      <c r="AD107" s="127" t="str">
        <f t="shared" si="31"/>
        <v>SI</v>
      </c>
      <c r="AE107" s="128">
        <f>Table2[[#This Row],[PUNTUALIDAD (H)]]*24</f>
        <v>0</v>
      </c>
      <c r="AF107" s="127">
        <f t="shared" si="32"/>
        <v>1.3583333333299379</v>
      </c>
      <c r="AG107" s="128">
        <f>Table2[[#This Row],[ATA TO UNLOADING]]*24</f>
        <v>32.599999999918509</v>
      </c>
      <c r="AH107" s="128" t="str">
        <f>IF(Table2[[#This Row],[ATA TO UNLOADING 2]]&lt;=48,"YES","NO")</f>
        <v>YES</v>
      </c>
      <c r="AJ107" s="129">
        <f t="shared" si="33"/>
        <v>0.3125</v>
      </c>
      <c r="AK107" s="2" t="s">
        <v>64</v>
      </c>
      <c r="AL107" s="2" t="str">
        <f t="shared" si="34"/>
        <v>4/26</v>
      </c>
      <c r="AM107" s="2" t="str">
        <f t="shared" si="35"/>
        <v>MRSU6620643</v>
      </c>
      <c r="AN107" s="130" t="str">
        <f t="shared" si="36"/>
        <v>LOGIX</v>
      </c>
      <c r="AO107" s="141">
        <f>IF($O107="TRUCK",
VLOOKUP($AU107,Invoicing!$A$16:$B$56,MATCH($AO$1,Invoicing!$A$16:$B$16,0),FALSE)+IF(OR($B107="DCD",$B107="HPD2"),23.5,0),
VLOOKUP($AU107,Invoicing!$N$15:$O$19,MATCH($AO$1,Invoicing!$N$15:$O$15,0),FALSE)+IF(OR($B107="DCD",$B107="HPD2"),23.5,0))</f>
        <v>550</v>
      </c>
      <c r="AP107" s="131" t="e">
        <f>VLOOKUP($E107,Invoicing!$A$1:$H$12,MATCH(TRACKER!$P107,Invoicing!$A$1:$H$1,0),FALSE)</f>
        <v>#N/A</v>
      </c>
      <c r="AQ107" s="131">
        <f>VLOOKUP($E107,Invoicing!$A$1:$H$12,MATCH(TRACKER!$Q$1,Invoicing!$A$1:$H$1,0),FALSE)</f>
        <v>50</v>
      </c>
      <c r="AR107" s="131">
        <f t="shared" si="42"/>
        <v>0</v>
      </c>
      <c r="AS107" s="2">
        <f t="shared" si="38"/>
        <v>4</v>
      </c>
      <c r="AT107" s="2" t="str">
        <f t="shared" si="41"/>
        <v>WEEK</v>
      </c>
      <c r="AU107" s="2" t="str">
        <f t="shared" si="39"/>
        <v>LOGIXWEEK</v>
      </c>
      <c r="AV107" s="94">
        <f>(IF(ISNA(AP107),AO107+AR107,SUM($AO107,$AR107,IFERROR($AP107,"0"))))+Table2[[#This Row],[WAITING TIMES]]</f>
        <v>550</v>
      </c>
      <c r="AW107" s="94">
        <f>VLOOKUP(AN107,Invoicing!A:K,11,FALSE)</f>
        <v>20</v>
      </c>
      <c r="AY107" s="48"/>
      <c r="AZ107" s="94">
        <f t="shared" si="40"/>
        <v>570</v>
      </c>
      <c r="BA107" s="133">
        <f>VLOOKUP(AN107,Invoicing!A:J,10,FALSE)</f>
        <v>70</v>
      </c>
      <c r="BB107" s="133">
        <f>VLOOKUP(AN107,Invoicing!A:L,12,FALSE)</f>
        <v>1</v>
      </c>
      <c r="BC107" s="2" t="s">
        <v>66</v>
      </c>
    </row>
    <row r="108" spans="1:55">
      <c r="A108" s="38" t="s">
        <v>256</v>
      </c>
      <c r="B108" s="3" t="s">
        <v>56</v>
      </c>
      <c r="C108" s="11">
        <v>46042.978472222225</v>
      </c>
      <c r="D108" s="11">
        <v>46042.979166666664</v>
      </c>
      <c r="E108" s="11" t="s">
        <v>98</v>
      </c>
      <c r="F108" s="11" t="s">
        <v>260</v>
      </c>
      <c r="G108" s="11" t="s">
        <v>59</v>
      </c>
      <c r="H108" s="11" t="s">
        <v>144</v>
      </c>
      <c r="I108" s="3" t="s">
        <v>264</v>
      </c>
      <c r="J108" s="86" t="s">
        <v>100</v>
      </c>
      <c r="K108" s="11">
        <v>46044.25</v>
      </c>
      <c r="L108" s="12">
        <v>46044.304861111108</v>
      </c>
      <c r="M108" s="12">
        <v>46044.3125</v>
      </c>
      <c r="N108" s="12">
        <v>46044.3125</v>
      </c>
      <c r="O108" s="12" t="s">
        <v>63</v>
      </c>
      <c r="P108" s="85" t="s">
        <v>64</v>
      </c>
      <c r="Q108" s="3">
        <v>0</v>
      </c>
      <c r="R108" s="1">
        <f t="shared" si="22"/>
        <v>4</v>
      </c>
      <c r="S108" s="1">
        <f t="shared" si="23"/>
        <v>1</v>
      </c>
      <c r="T108" s="126">
        <f t="shared" si="24"/>
        <v>46044.304861111108</v>
      </c>
      <c r="U108" s="127">
        <f t="shared" si="25"/>
        <v>1.2715277777751908</v>
      </c>
      <c r="V108" s="128">
        <f>Table2[[#This Row],[ATA A OFRECIMIENTO]]*24</f>
        <v>30.516666666604578</v>
      </c>
      <c r="W108" s="1" t="str">
        <f t="shared" si="26"/>
        <v>YES</v>
      </c>
      <c r="X108" s="127">
        <f t="shared" si="27"/>
        <v>6.25E-2</v>
      </c>
      <c r="Y108" s="128">
        <f>Table2[[#This Row],[DEL. AVAILABLE A SLOT]]*24</f>
        <v>1.5</v>
      </c>
      <c r="Z108" s="1" t="str">
        <f t="shared" si="28"/>
        <v>SI</v>
      </c>
      <c r="AA108" s="127">
        <f t="shared" si="29"/>
        <v>1.3340277777751908</v>
      </c>
      <c r="AB108" s="128">
        <f>Table2[[#This Row],[ATA A TIMESLOT]]*24</f>
        <v>32.016666666604578</v>
      </c>
      <c r="AC108" s="127">
        <f t="shared" si="30"/>
        <v>0</v>
      </c>
      <c r="AD108" s="127" t="str">
        <f t="shared" si="31"/>
        <v>SI</v>
      </c>
      <c r="AE108" s="128">
        <f>Table2[[#This Row],[PUNTUALIDAD (H)]]*24</f>
        <v>0</v>
      </c>
      <c r="AF108" s="127">
        <f t="shared" si="32"/>
        <v>1.3340277777751908</v>
      </c>
      <c r="AG108" s="128">
        <f>Table2[[#This Row],[ATA TO UNLOADING]]*24</f>
        <v>32.016666666604578</v>
      </c>
      <c r="AH108" s="128" t="str">
        <f>IF(Table2[[#This Row],[ATA TO UNLOADING 2]]&lt;=48,"YES","NO")</f>
        <v>YES</v>
      </c>
      <c r="AJ108" s="129">
        <f t="shared" si="33"/>
        <v>0.3125</v>
      </c>
      <c r="AK108" s="2" t="s">
        <v>64</v>
      </c>
      <c r="AL108" s="2" t="str">
        <f t="shared" si="34"/>
        <v>4/26</v>
      </c>
      <c r="AM108" s="2" t="str">
        <f t="shared" si="35"/>
        <v>MRSU9212080</v>
      </c>
      <c r="AN108" s="130" t="str">
        <f t="shared" si="36"/>
        <v>MSI</v>
      </c>
      <c r="AO108" s="141">
        <f>IF($O108="TRUCK",
VLOOKUP($AU108,Invoicing!$A$16:$B$56,MATCH($AO$1,Invoicing!$A$16:$B$16,0),FALSE)+IF(OR($B108="DCD",$B108="HPD2"),23.5,0),
VLOOKUP($AU108,Invoicing!$N$15:$O$19,MATCH($AO$1,Invoicing!$N$15:$O$15,0),FALSE)+IF(OR($B108="DCD",$B108="HPD2"),23.5,0))</f>
        <v>480</v>
      </c>
      <c r="AP108" s="131" t="e">
        <f>VLOOKUP($E108,Invoicing!$A$1:$H$12,MATCH(TRACKER!$P108,Invoicing!$A$1:$H$1,0),FALSE)</f>
        <v>#N/A</v>
      </c>
      <c r="AQ108" s="131">
        <f>VLOOKUP($E108,Invoicing!$A$1:$H$12,MATCH(TRACKER!$Q$1,Invoicing!$A$1:$H$1,0),FALSE)</f>
        <v>50</v>
      </c>
      <c r="AR108" s="131">
        <f t="shared" si="42"/>
        <v>0</v>
      </c>
      <c r="AS108" s="2">
        <f t="shared" si="38"/>
        <v>4</v>
      </c>
      <c r="AT108" s="2" t="str">
        <f t="shared" si="41"/>
        <v>WEEK</v>
      </c>
      <c r="AU108" s="2" t="str">
        <f t="shared" si="39"/>
        <v>MSIWEEK</v>
      </c>
      <c r="AV108" s="94">
        <f>(IF(ISNA(AP108),AO108+AR108,SUM($AO108,$AR108,IFERROR($AP108,"0"))))+Table2[[#This Row],[WAITING TIMES]]</f>
        <v>480</v>
      </c>
      <c r="AW108" s="94">
        <f>VLOOKUP(AN108,Invoicing!A:K,11,FALSE)</f>
        <v>20</v>
      </c>
      <c r="AY108" s="48"/>
      <c r="AZ108" s="94">
        <f t="shared" si="40"/>
        <v>500</v>
      </c>
      <c r="BA108" s="133">
        <f>VLOOKUP(AN108,Invoicing!A:J,10,FALSE)</f>
        <v>70</v>
      </c>
      <c r="BB108" s="133">
        <f>VLOOKUP(AN108,Invoicing!A:L,12,FALSE)</f>
        <v>1</v>
      </c>
      <c r="BC108" s="2" t="s">
        <v>66</v>
      </c>
    </row>
    <row r="109" spans="1:55">
      <c r="A109" s="38" t="s">
        <v>256</v>
      </c>
      <c r="B109" s="3" t="s">
        <v>56</v>
      </c>
      <c r="C109" s="11">
        <v>46042.978472222225</v>
      </c>
      <c r="D109" s="11">
        <v>46042.979166666664</v>
      </c>
      <c r="E109" s="11" t="s">
        <v>98</v>
      </c>
      <c r="F109" s="11" t="s">
        <v>265</v>
      </c>
      <c r="G109" s="11" t="s">
        <v>59</v>
      </c>
      <c r="H109" s="11" t="s">
        <v>266</v>
      </c>
      <c r="I109" s="3" t="s">
        <v>267</v>
      </c>
      <c r="J109" s="86" t="s">
        <v>82</v>
      </c>
      <c r="K109" s="11">
        <v>46044.25</v>
      </c>
      <c r="L109" s="12">
        <v>46044.304861111108</v>
      </c>
      <c r="M109" s="12">
        <v>46044.3125</v>
      </c>
      <c r="N109" s="12">
        <v>46044.322916666664</v>
      </c>
      <c r="O109" s="12" t="s">
        <v>63</v>
      </c>
      <c r="P109" s="85" t="s">
        <v>64</v>
      </c>
      <c r="Q109" s="3">
        <v>0</v>
      </c>
      <c r="R109" s="1">
        <f t="shared" si="22"/>
        <v>4</v>
      </c>
      <c r="S109" s="1">
        <f t="shared" si="23"/>
        <v>1</v>
      </c>
      <c r="T109" s="126">
        <f t="shared" si="24"/>
        <v>46044.304861111108</v>
      </c>
      <c r="U109" s="127">
        <f t="shared" si="25"/>
        <v>1.2715277777751908</v>
      </c>
      <c r="V109" s="128">
        <f>Table2[[#This Row],[ATA A OFRECIMIENTO]]*24</f>
        <v>30.516666666604578</v>
      </c>
      <c r="W109" s="1" t="str">
        <f t="shared" si="26"/>
        <v>YES</v>
      </c>
      <c r="X109" s="127">
        <f t="shared" si="27"/>
        <v>6.25E-2</v>
      </c>
      <c r="Y109" s="128">
        <f>Table2[[#This Row],[DEL. AVAILABLE A SLOT]]*24</f>
        <v>1.5</v>
      </c>
      <c r="Z109" s="1" t="str">
        <f t="shared" si="28"/>
        <v>SI</v>
      </c>
      <c r="AA109" s="127">
        <f t="shared" si="29"/>
        <v>1.3340277777751908</v>
      </c>
      <c r="AB109" s="128">
        <f>Table2[[#This Row],[ATA A TIMESLOT]]*24</f>
        <v>32.016666666604578</v>
      </c>
      <c r="AC109" s="127">
        <f t="shared" si="30"/>
        <v>0</v>
      </c>
      <c r="AD109" s="127" t="str">
        <f t="shared" si="31"/>
        <v>SI</v>
      </c>
      <c r="AE109" s="128">
        <f>Table2[[#This Row],[PUNTUALIDAD (H)]]*24</f>
        <v>0</v>
      </c>
      <c r="AF109" s="127">
        <f t="shared" si="32"/>
        <v>1.3444444444394321</v>
      </c>
      <c r="AG109" s="128">
        <f>Table2[[#This Row],[ATA TO UNLOADING]]*24</f>
        <v>32.266666666546371</v>
      </c>
      <c r="AH109" s="128" t="str">
        <f>IF(Table2[[#This Row],[ATA TO UNLOADING 2]]&lt;=48,"YES","NO")</f>
        <v>YES</v>
      </c>
      <c r="AJ109" s="129">
        <f t="shared" si="33"/>
        <v>0.3125</v>
      </c>
      <c r="AK109" s="2" t="s">
        <v>64</v>
      </c>
      <c r="AL109" s="2" t="str">
        <f t="shared" si="34"/>
        <v>4/26</v>
      </c>
      <c r="AM109" s="2" t="str">
        <f t="shared" si="35"/>
        <v>MSKU5718260</v>
      </c>
      <c r="AN109" s="130" t="str">
        <f t="shared" si="36"/>
        <v>MSI</v>
      </c>
      <c r="AO109" s="141">
        <f>IF($O109="TRUCK",
VLOOKUP($AU109,Invoicing!$A$16:$B$56,MATCH($AO$1,Invoicing!$A$16:$B$16,0),FALSE)+IF(OR($B109="DCD",$B109="HPD2"),23.5,0),
VLOOKUP($AU109,Invoicing!$N$15:$O$19,MATCH($AO$1,Invoicing!$N$15:$O$15,0),FALSE)+IF(OR($B109="DCD",$B109="HPD2"),23.5,0))</f>
        <v>480</v>
      </c>
      <c r="AP109" s="131" t="e">
        <f>VLOOKUP($E109,Invoicing!$A$1:$H$12,MATCH(TRACKER!$P109,Invoicing!$A$1:$H$1,0),FALSE)</f>
        <v>#N/A</v>
      </c>
      <c r="AQ109" s="131">
        <f>VLOOKUP($E109,Invoicing!$A$1:$H$12,MATCH(TRACKER!$Q$1,Invoicing!$A$1:$H$1,0),FALSE)</f>
        <v>50</v>
      </c>
      <c r="AR109" s="131">
        <f t="shared" si="42"/>
        <v>0</v>
      </c>
      <c r="AS109" s="2">
        <f t="shared" si="38"/>
        <v>4</v>
      </c>
      <c r="AT109" s="2" t="str">
        <f t="shared" si="41"/>
        <v>WEEK</v>
      </c>
      <c r="AU109" s="2" t="str">
        <f t="shared" si="39"/>
        <v>MSIWEEK</v>
      </c>
      <c r="AV109" s="94">
        <f>(IF(ISNA(AP109),AO109+AR109,SUM($AO109,$AR109,IFERROR($AP109,"0"))))+Table2[[#This Row],[WAITING TIMES]]</f>
        <v>480</v>
      </c>
      <c r="AW109" s="94">
        <f>VLOOKUP(AN109,Invoicing!A:K,11,FALSE)</f>
        <v>20</v>
      </c>
      <c r="AY109" s="48"/>
      <c r="AZ109" s="94">
        <f t="shared" si="40"/>
        <v>500</v>
      </c>
      <c r="BA109" s="133">
        <f>VLOOKUP(AN109,Invoicing!A:J,10,FALSE)</f>
        <v>70</v>
      </c>
      <c r="BB109" s="133">
        <f>VLOOKUP(AN109,Invoicing!A:L,12,FALSE)</f>
        <v>1</v>
      </c>
      <c r="BC109" s="2" t="s">
        <v>66</v>
      </c>
    </row>
    <row r="110" spans="1:55">
      <c r="A110" s="38" t="s">
        <v>256</v>
      </c>
      <c r="B110" s="3" t="s">
        <v>56</v>
      </c>
      <c r="C110" s="11">
        <v>46042.978472222225</v>
      </c>
      <c r="D110" s="11">
        <v>46042.979166666664</v>
      </c>
      <c r="E110" s="11" t="s">
        <v>57</v>
      </c>
      <c r="F110" s="11" t="s">
        <v>262</v>
      </c>
      <c r="G110" s="11" t="s">
        <v>59</v>
      </c>
      <c r="H110" s="11" t="s">
        <v>60</v>
      </c>
      <c r="I110" s="3" t="s">
        <v>268</v>
      </c>
      <c r="J110" s="86" t="s">
        <v>62</v>
      </c>
      <c r="K110" s="11">
        <v>46044.25</v>
      </c>
      <c r="L110" s="12">
        <v>46044.357638888891</v>
      </c>
      <c r="M110" s="12">
        <v>46044.354166666664</v>
      </c>
      <c r="N110" s="12">
        <v>46044.371527777781</v>
      </c>
      <c r="O110" s="12" t="s">
        <v>63</v>
      </c>
      <c r="P110" s="85" t="s">
        <v>64</v>
      </c>
      <c r="Q110" s="3">
        <v>1</v>
      </c>
      <c r="R110" s="1">
        <f t="shared" si="22"/>
        <v>4</v>
      </c>
      <c r="S110" s="1">
        <f t="shared" si="23"/>
        <v>1</v>
      </c>
      <c r="T110" s="126">
        <f t="shared" si="24"/>
        <v>46044.357638888891</v>
      </c>
      <c r="U110" s="127">
        <f t="shared" si="25"/>
        <v>1.2715277777751908</v>
      </c>
      <c r="V110" s="128">
        <f>Table2[[#This Row],[ATA A OFRECIMIENTO]]*24</f>
        <v>30.516666666604578</v>
      </c>
      <c r="W110" s="1" t="str">
        <f t="shared" si="26"/>
        <v>YES</v>
      </c>
      <c r="X110" s="127">
        <f t="shared" si="27"/>
        <v>0.10416666666424135</v>
      </c>
      <c r="Y110" s="128">
        <f>Table2[[#This Row],[DEL. AVAILABLE A SLOT]]*24</f>
        <v>2.4999999999417923</v>
      </c>
      <c r="Z110" s="1" t="str">
        <f t="shared" si="28"/>
        <v>SI</v>
      </c>
      <c r="AA110" s="127">
        <f t="shared" si="29"/>
        <v>1.3756944444394321</v>
      </c>
      <c r="AB110" s="128">
        <f>Table2[[#This Row],[ATA A TIMESLOT]]*24</f>
        <v>33.016666666546371</v>
      </c>
      <c r="AC110" s="127">
        <f t="shared" si="30"/>
        <v>3.4722222262644209E-3</v>
      </c>
      <c r="AD110" s="127" t="str">
        <f t="shared" si="31"/>
        <v>SI</v>
      </c>
      <c r="AE110" s="128">
        <f>Table2[[#This Row],[PUNTUALIDAD (H)]]*24</f>
        <v>8.3333333430346102E-2</v>
      </c>
      <c r="AF110" s="127">
        <f t="shared" si="32"/>
        <v>1.3930555555562023</v>
      </c>
      <c r="AG110" s="128">
        <f>Table2[[#This Row],[ATA TO UNLOADING]]*24</f>
        <v>33.433333333348855</v>
      </c>
      <c r="AH110" s="128" t="str">
        <f>IF(Table2[[#This Row],[ATA TO UNLOADING 2]]&lt;=48,"YES","NO")</f>
        <v>YES</v>
      </c>
      <c r="AJ110" s="129">
        <f t="shared" si="33"/>
        <v>0.35416666666424135</v>
      </c>
      <c r="AK110" s="2" t="s">
        <v>64</v>
      </c>
      <c r="AL110" s="2" t="str">
        <f t="shared" si="34"/>
        <v>4/26</v>
      </c>
      <c r="AM110" s="2" t="str">
        <f t="shared" si="35"/>
        <v>MSKU4792350</v>
      </c>
      <c r="AN110" s="130" t="str">
        <f t="shared" si="36"/>
        <v>CTK TRANSPORT</v>
      </c>
      <c r="AO110" s="141">
        <f>IF($O110="TRUCK",
VLOOKUP($AU110,Invoicing!$A$16:$B$56,MATCH($AO$1,Invoicing!$A$16:$B$16,0),FALSE)+IF(OR($B110="DCD",$B110="HPD2"),23.5,0),
VLOOKUP($AU110,Invoicing!$N$15:$O$19,MATCH($AO$1,Invoicing!$N$15:$O$15,0),FALSE)+IF(OR($B110="DCD",$B110="HPD2"),23.5,0))</f>
        <v>550</v>
      </c>
      <c r="AP110" s="131" t="e">
        <f>VLOOKUP($E110,Invoicing!$A$1:$H$12,MATCH(TRACKER!$P110,Invoicing!$A$1:$H$1,0),FALSE)</f>
        <v>#N/A</v>
      </c>
      <c r="AQ110" s="131">
        <f>VLOOKUP($E110,Invoicing!$A$1:$H$12,MATCH(TRACKER!$Q$1,Invoicing!$A$1:$H$1,0),FALSE)</f>
        <v>50</v>
      </c>
      <c r="AR110" s="131">
        <f t="shared" si="42"/>
        <v>50</v>
      </c>
      <c r="AS110" s="2">
        <f t="shared" si="38"/>
        <v>4</v>
      </c>
      <c r="AT110" s="2" t="str">
        <f t="shared" si="41"/>
        <v>WEEK</v>
      </c>
      <c r="AU110" s="2" t="str">
        <f t="shared" si="39"/>
        <v>CTK TRANSPORTWEEK</v>
      </c>
      <c r="AV110" s="94">
        <f>(IF(ISNA(AP110),AO110+AR110,SUM($AO110,$AR110,IFERROR($AP110,"0"))))+Table2[[#This Row],[WAITING TIMES]]</f>
        <v>687.5</v>
      </c>
      <c r="AW110" s="94">
        <f>VLOOKUP(AN110,Invoicing!A:K,11,FALSE)</f>
        <v>20</v>
      </c>
      <c r="AX110" s="48">
        <v>87.5</v>
      </c>
      <c r="AY110" s="94" t="s">
        <v>269</v>
      </c>
      <c r="AZ110" s="94">
        <f t="shared" si="40"/>
        <v>707.5</v>
      </c>
      <c r="BA110" s="133">
        <f>VLOOKUP(AN110,Invoicing!A:J,10,FALSE)</f>
        <v>70</v>
      </c>
      <c r="BB110" s="133">
        <f>VLOOKUP(AN110,Invoicing!A:L,12,FALSE)</f>
        <v>1</v>
      </c>
      <c r="BC110" s="2" t="s">
        <v>66</v>
      </c>
    </row>
    <row r="111" spans="1:55">
      <c r="A111" s="38" t="s">
        <v>256</v>
      </c>
      <c r="B111" s="3" t="s">
        <v>56</v>
      </c>
      <c r="C111" s="11">
        <v>46042.978472222225</v>
      </c>
      <c r="D111" s="11">
        <v>46042.979166666664</v>
      </c>
      <c r="E111" s="11" t="s">
        <v>83</v>
      </c>
      <c r="F111" s="11" t="s">
        <v>257</v>
      </c>
      <c r="G111" s="11" t="s">
        <v>59</v>
      </c>
      <c r="H111" s="11" t="s">
        <v>68</v>
      </c>
      <c r="I111" s="3" t="s">
        <v>270</v>
      </c>
      <c r="J111" s="86" t="s">
        <v>100</v>
      </c>
      <c r="K111" s="11">
        <v>46044.25</v>
      </c>
      <c r="L111" s="12">
        <v>46044.375</v>
      </c>
      <c r="M111" s="12">
        <v>46044.395833333336</v>
      </c>
      <c r="N111" s="12">
        <v>46044.395833333336</v>
      </c>
      <c r="O111" s="12" t="s">
        <v>63</v>
      </c>
      <c r="P111" s="85" t="s">
        <v>64</v>
      </c>
      <c r="Q111" s="3">
        <v>0</v>
      </c>
      <c r="R111" s="1">
        <f t="shared" si="22"/>
        <v>4</v>
      </c>
      <c r="S111" s="1">
        <f t="shared" si="23"/>
        <v>1</v>
      </c>
      <c r="T111" s="126">
        <f t="shared" si="24"/>
        <v>46044.375</v>
      </c>
      <c r="U111" s="127">
        <f t="shared" si="25"/>
        <v>1.2715277777751908</v>
      </c>
      <c r="V111" s="128">
        <f>Table2[[#This Row],[ATA A OFRECIMIENTO]]*24</f>
        <v>30.516666666604578</v>
      </c>
      <c r="W111" s="1" t="str">
        <f t="shared" si="26"/>
        <v>YES</v>
      </c>
      <c r="X111" s="127">
        <f t="shared" si="27"/>
        <v>0.14583333333575865</v>
      </c>
      <c r="Y111" s="128">
        <f>Table2[[#This Row],[DEL. AVAILABLE A SLOT]]*24</f>
        <v>3.5000000000582077</v>
      </c>
      <c r="Z111" s="1" t="str">
        <f t="shared" si="28"/>
        <v>SI</v>
      </c>
      <c r="AA111" s="127">
        <f t="shared" si="29"/>
        <v>1.4173611111109494</v>
      </c>
      <c r="AB111" s="128">
        <f>Table2[[#This Row],[ATA A TIMESLOT]]*24</f>
        <v>34.016666666662786</v>
      </c>
      <c r="AC111" s="127">
        <f t="shared" si="30"/>
        <v>0</v>
      </c>
      <c r="AD111" s="127" t="str">
        <f t="shared" si="31"/>
        <v>SI</v>
      </c>
      <c r="AE111" s="128">
        <f>Table2[[#This Row],[PUNTUALIDAD (H)]]*24</f>
        <v>0</v>
      </c>
      <c r="AF111" s="127">
        <f t="shared" si="32"/>
        <v>1.4173611111109494</v>
      </c>
      <c r="AG111" s="128">
        <f>Table2[[#This Row],[ATA TO UNLOADING]]*24</f>
        <v>34.016666666662786</v>
      </c>
      <c r="AH111" s="128" t="str">
        <f>IF(Table2[[#This Row],[ATA TO UNLOADING 2]]&lt;=48,"YES","NO")</f>
        <v>YES</v>
      </c>
      <c r="AJ111" s="129">
        <f t="shared" si="33"/>
        <v>0.39583333333575865</v>
      </c>
      <c r="AK111" s="2" t="s">
        <v>64</v>
      </c>
      <c r="AL111" s="2" t="str">
        <f t="shared" si="34"/>
        <v>4/26</v>
      </c>
      <c r="AM111" s="2" t="str">
        <f t="shared" si="35"/>
        <v>MAEU9221231</v>
      </c>
      <c r="AN111" s="130" t="str">
        <f t="shared" si="36"/>
        <v>OM TRANSPORT</v>
      </c>
      <c r="AO111" s="141">
        <f>IF($O111="TRUCK",
VLOOKUP($AU111,Invoicing!$A$16:$B$56,MATCH($AO$1,Invoicing!$A$16:$B$16,0),FALSE)+IF(OR($B111="DCD",$B111="HPD2"),23.5,0),
VLOOKUP($AU111,Invoicing!$N$15:$O$19,MATCH($AO$1,Invoicing!$N$15:$O$15,0),FALSE)+IF(OR($B111="DCD",$B111="HPD2"),23.5,0))</f>
        <v>475</v>
      </c>
      <c r="AP111" s="131" t="e">
        <f>VLOOKUP($E111,Invoicing!$A$1:$H$12,MATCH(TRACKER!$P111,Invoicing!$A$1:$H$1,0),FALSE)</f>
        <v>#N/A</v>
      </c>
      <c r="AQ111" s="131">
        <f>VLOOKUP($E111,Invoicing!$A$1:$H$12,MATCH(TRACKER!$Q$1,Invoicing!$A$1:$H$1,0),FALSE)</f>
        <v>50</v>
      </c>
      <c r="AR111" s="131">
        <f t="shared" si="42"/>
        <v>0</v>
      </c>
      <c r="AS111" s="2">
        <f t="shared" si="38"/>
        <v>4</v>
      </c>
      <c r="AT111" s="2" t="str">
        <f t="shared" si="41"/>
        <v>WEEK</v>
      </c>
      <c r="AU111" s="2" t="str">
        <f t="shared" si="39"/>
        <v>OM TRANSPORTWEEK</v>
      </c>
      <c r="AV111" s="94">
        <f>(IF(ISNA(AP111),AO111+AR111,SUM($AO111,$AR111,IFERROR($AP111,"0"))))+Table2[[#This Row],[WAITING TIMES]]</f>
        <v>475</v>
      </c>
      <c r="AW111" s="94">
        <f>VLOOKUP(AN111,Invoicing!A:K,11,FALSE)</f>
        <v>20</v>
      </c>
      <c r="AY111" s="48"/>
      <c r="AZ111" s="94">
        <f t="shared" si="40"/>
        <v>495</v>
      </c>
      <c r="BA111" s="133">
        <f>VLOOKUP(AN111,Invoicing!A:J,10,FALSE)</f>
        <v>70</v>
      </c>
      <c r="BB111" s="133">
        <f>VLOOKUP(AN111,Invoicing!A:L,12,FALSE)</f>
        <v>1</v>
      </c>
      <c r="BC111" s="2" t="s">
        <v>66</v>
      </c>
    </row>
    <row r="112" spans="1:55">
      <c r="A112" s="38" t="s">
        <v>256</v>
      </c>
      <c r="B112" s="3" t="s">
        <v>56</v>
      </c>
      <c r="C112" s="11">
        <v>46042.978472222225</v>
      </c>
      <c r="D112" s="11">
        <v>46042.979166666664</v>
      </c>
      <c r="E112" s="11" t="s">
        <v>71</v>
      </c>
      <c r="F112" s="11" t="s">
        <v>257</v>
      </c>
      <c r="G112" s="11" t="s">
        <v>59</v>
      </c>
      <c r="H112" s="11" t="s">
        <v>68</v>
      </c>
      <c r="I112" s="3" t="s">
        <v>271</v>
      </c>
      <c r="J112" s="86" t="s">
        <v>100</v>
      </c>
      <c r="K112" s="11">
        <v>46044.25</v>
      </c>
      <c r="L112" s="12">
        <v>46044.448611111111</v>
      </c>
      <c r="M112" s="12">
        <v>46044.395833333336</v>
      </c>
      <c r="N112" s="12">
        <v>46044.465277777781</v>
      </c>
      <c r="O112" s="12" t="s">
        <v>63</v>
      </c>
      <c r="P112" s="85" t="s">
        <v>64</v>
      </c>
      <c r="Q112" s="3">
        <v>0</v>
      </c>
      <c r="R112" s="1">
        <f t="shared" si="22"/>
        <v>4</v>
      </c>
      <c r="S112" s="1">
        <f t="shared" si="23"/>
        <v>1</v>
      </c>
      <c r="T112" s="126">
        <f t="shared" si="24"/>
        <v>46044.448611111111</v>
      </c>
      <c r="U112" s="127">
        <f t="shared" si="25"/>
        <v>1.2715277777751908</v>
      </c>
      <c r="V112" s="128">
        <f>Table2[[#This Row],[ATA A OFRECIMIENTO]]*24</f>
        <v>30.516666666604578</v>
      </c>
      <c r="W112" s="1" t="str">
        <f t="shared" si="26"/>
        <v>YES</v>
      </c>
      <c r="X112" s="127">
        <f t="shared" si="27"/>
        <v>0.14583333333575865</v>
      </c>
      <c r="Y112" s="128">
        <f>Table2[[#This Row],[DEL. AVAILABLE A SLOT]]*24</f>
        <v>3.5000000000582077</v>
      </c>
      <c r="Z112" s="1" t="str">
        <f t="shared" si="28"/>
        <v>SI</v>
      </c>
      <c r="AA112" s="127">
        <f t="shared" si="29"/>
        <v>1.4173611111109494</v>
      </c>
      <c r="AB112" s="128">
        <f>Table2[[#This Row],[ATA A TIMESLOT]]*24</f>
        <v>34.016666666662786</v>
      </c>
      <c r="AC112" s="127">
        <f t="shared" si="30"/>
        <v>5.2777777775190771E-2</v>
      </c>
      <c r="AD112" s="127" t="str">
        <f t="shared" si="31"/>
        <v>NO</v>
      </c>
      <c r="AE112" s="128">
        <f>Table2[[#This Row],[PUNTUALIDAD (H)]]*24</f>
        <v>1.2666666666045785</v>
      </c>
      <c r="AF112" s="127">
        <f t="shared" si="32"/>
        <v>1.4868055555562023</v>
      </c>
      <c r="AG112" s="128">
        <f>Table2[[#This Row],[ATA TO UNLOADING]]*24</f>
        <v>35.683333333348855</v>
      </c>
      <c r="AH112" s="128" t="str">
        <f>IF(Table2[[#This Row],[ATA TO UNLOADING 2]]&lt;=48,"YES","NO")</f>
        <v>YES</v>
      </c>
      <c r="AJ112" s="129">
        <f t="shared" si="33"/>
        <v>0.39583333333575865</v>
      </c>
      <c r="AK112" s="2" t="s">
        <v>64</v>
      </c>
      <c r="AL112" s="2" t="str">
        <f t="shared" si="34"/>
        <v>4/26</v>
      </c>
      <c r="AM112" s="2" t="str">
        <f t="shared" si="35"/>
        <v>MRSU6705967</v>
      </c>
      <c r="AN112" s="130" t="str">
        <f t="shared" si="36"/>
        <v>LOGIX</v>
      </c>
      <c r="AO112" s="141">
        <f>IF($O112="TRUCK",
VLOOKUP($AU112,Invoicing!$A$16:$B$56,MATCH($AO$1,Invoicing!$A$16:$B$16,0),FALSE)+IF(OR($B112="DCD",$B112="HPD2"),23.5,0),
VLOOKUP($AU112,Invoicing!$N$15:$O$19,MATCH($AO$1,Invoicing!$N$15:$O$15,0),FALSE)+IF(OR($B112="DCD",$B112="HPD2"),23.5,0))</f>
        <v>550</v>
      </c>
      <c r="AP112" s="131" t="e">
        <f>VLOOKUP($E112,Invoicing!$A$1:$H$12,MATCH(TRACKER!$P112,Invoicing!$A$1:$H$1,0),FALSE)</f>
        <v>#N/A</v>
      </c>
      <c r="AQ112" s="131">
        <f>VLOOKUP($E112,Invoicing!$A$1:$H$12,MATCH(TRACKER!$Q$1,Invoicing!$A$1:$H$1,0),FALSE)</f>
        <v>50</v>
      </c>
      <c r="AR112" s="131">
        <f t="shared" si="42"/>
        <v>0</v>
      </c>
      <c r="AS112" s="2">
        <f t="shared" si="38"/>
        <v>4</v>
      </c>
      <c r="AT112" s="2" t="str">
        <f t="shared" si="41"/>
        <v>WEEK</v>
      </c>
      <c r="AU112" s="2" t="str">
        <f t="shared" si="39"/>
        <v>LOGIXWEEK</v>
      </c>
      <c r="AV112" s="94">
        <f>(IF(ISNA(AP112),AO112+AR112,SUM($AO112,$AR112,IFERROR($AP112,"0"))))+Table2[[#This Row],[WAITING TIMES]]</f>
        <v>550</v>
      </c>
      <c r="AW112" s="94">
        <f>VLOOKUP(AN112,Invoicing!A:K,11,FALSE)</f>
        <v>20</v>
      </c>
      <c r="AY112" s="48"/>
      <c r="AZ112" s="94">
        <f t="shared" si="40"/>
        <v>570</v>
      </c>
      <c r="BA112" s="133">
        <f>VLOOKUP(AN112,Invoicing!A:J,10,FALSE)</f>
        <v>70</v>
      </c>
      <c r="BB112" s="133">
        <f>VLOOKUP(AN112,Invoicing!A:L,12,FALSE)</f>
        <v>1</v>
      </c>
      <c r="BC112" s="2" t="s">
        <v>66</v>
      </c>
    </row>
    <row r="113" spans="1:55">
      <c r="A113" s="38" t="s">
        <v>256</v>
      </c>
      <c r="B113" s="3" t="s">
        <v>56</v>
      </c>
      <c r="C113" s="11">
        <v>46042.978472222225</v>
      </c>
      <c r="D113" s="11">
        <v>46042.979166666664</v>
      </c>
      <c r="E113" s="11" t="s">
        <v>83</v>
      </c>
      <c r="F113" s="11" t="s">
        <v>257</v>
      </c>
      <c r="G113" s="11" t="s">
        <v>59</v>
      </c>
      <c r="H113" s="11" t="s">
        <v>68</v>
      </c>
      <c r="I113" s="3" t="s">
        <v>272</v>
      </c>
      <c r="J113" s="86" t="s">
        <v>100</v>
      </c>
      <c r="K113" s="11">
        <v>46044.25</v>
      </c>
      <c r="L113" s="12">
        <v>46044.459722222222</v>
      </c>
      <c r="M113" s="12">
        <v>46044.458333333336</v>
      </c>
      <c r="N113" s="12">
        <v>46044.510416666664</v>
      </c>
      <c r="O113" s="12" t="s">
        <v>63</v>
      </c>
      <c r="P113" s="85" t="s">
        <v>64</v>
      </c>
      <c r="Q113" s="3">
        <v>0</v>
      </c>
      <c r="R113" s="1">
        <f t="shared" si="22"/>
        <v>4</v>
      </c>
      <c r="S113" s="1">
        <f t="shared" si="23"/>
        <v>1</v>
      </c>
      <c r="T113" s="126">
        <f t="shared" si="24"/>
        <v>46044.459722222222</v>
      </c>
      <c r="U113" s="127">
        <f t="shared" si="25"/>
        <v>1.2715277777751908</v>
      </c>
      <c r="V113" s="128">
        <f>Table2[[#This Row],[ATA A OFRECIMIENTO]]*24</f>
        <v>30.516666666604578</v>
      </c>
      <c r="W113" s="1" t="str">
        <f t="shared" si="26"/>
        <v>YES</v>
      </c>
      <c r="X113" s="127">
        <f t="shared" si="27"/>
        <v>0.20833333333575865</v>
      </c>
      <c r="Y113" s="128">
        <f>Table2[[#This Row],[DEL. AVAILABLE A SLOT]]*24</f>
        <v>5.0000000000582077</v>
      </c>
      <c r="Z113" s="1" t="str">
        <f t="shared" si="28"/>
        <v>SI</v>
      </c>
      <c r="AA113" s="127">
        <f t="shared" si="29"/>
        <v>1.4798611111109494</v>
      </c>
      <c r="AB113" s="128">
        <f>Table2[[#This Row],[ATA A TIMESLOT]]*24</f>
        <v>35.516666666662786</v>
      </c>
      <c r="AC113" s="127">
        <f t="shared" si="30"/>
        <v>1.3888888861401938E-3</v>
      </c>
      <c r="AD113" s="127" t="str">
        <f t="shared" si="31"/>
        <v>SI</v>
      </c>
      <c r="AE113" s="128">
        <f>Table2[[#This Row],[PUNTUALIDAD (H)]]*24</f>
        <v>3.3333333267364651E-2</v>
      </c>
      <c r="AF113" s="127">
        <f t="shared" si="32"/>
        <v>1.5319444444394321</v>
      </c>
      <c r="AG113" s="128">
        <f>Table2[[#This Row],[ATA TO UNLOADING]]*24</f>
        <v>36.766666666546371</v>
      </c>
      <c r="AH113" s="128" t="str">
        <f>IF(Table2[[#This Row],[ATA TO UNLOADING 2]]&lt;=48,"YES","NO")</f>
        <v>YES</v>
      </c>
      <c r="AJ113" s="129">
        <f t="shared" si="33"/>
        <v>0.45833333333575865</v>
      </c>
      <c r="AK113" s="2" t="s">
        <v>64</v>
      </c>
      <c r="AL113" s="2" t="str">
        <f t="shared" si="34"/>
        <v>4/26</v>
      </c>
      <c r="AM113" s="2" t="str">
        <f t="shared" si="35"/>
        <v>MRKU2244062</v>
      </c>
      <c r="AN113" s="130" t="str">
        <f t="shared" si="36"/>
        <v>OM TRANSPORT</v>
      </c>
      <c r="AO113" s="141">
        <f>IF($O113="TRUCK",
VLOOKUP($AU113,Invoicing!$A$16:$B$56,MATCH($AO$1,Invoicing!$A$16:$B$16,0),FALSE)+IF(OR($B113="DCD",$B113="HPD2"),23.5,0),
VLOOKUP($AU113,Invoicing!$N$15:$O$19,MATCH($AO$1,Invoicing!$N$15:$O$15,0),FALSE)+IF(OR($B113="DCD",$B113="HPD2"),23.5,0))</f>
        <v>475</v>
      </c>
      <c r="AP113" s="131" t="e">
        <f>VLOOKUP($E113,Invoicing!$A$1:$H$12,MATCH(TRACKER!$P113,Invoicing!$A$1:$H$1,0),FALSE)</f>
        <v>#N/A</v>
      </c>
      <c r="AQ113" s="131">
        <f>VLOOKUP($E113,Invoicing!$A$1:$H$12,MATCH(TRACKER!$Q$1,Invoicing!$A$1:$H$1,0),FALSE)</f>
        <v>50</v>
      </c>
      <c r="AR113" s="131">
        <f t="shared" si="42"/>
        <v>0</v>
      </c>
      <c r="AS113" s="2">
        <f t="shared" si="38"/>
        <v>4</v>
      </c>
      <c r="AT113" s="2" t="str">
        <f t="shared" si="41"/>
        <v>WEEK</v>
      </c>
      <c r="AU113" s="2" t="str">
        <f t="shared" si="39"/>
        <v>OM TRANSPORTWEEK</v>
      </c>
      <c r="AV113" s="94">
        <f>(IF(ISNA(AP113),AO113+AR113,SUM($AO113,$AR113,IFERROR($AP113,"0"))))+Table2[[#This Row],[WAITING TIMES]]</f>
        <v>475</v>
      </c>
      <c r="AW113" s="94">
        <f>VLOOKUP(AN113,Invoicing!A:K,11,FALSE)</f>
        <v>20</v>
      </c>
      <c r="AY113" s="48"/>
      <c r="AZ113" s="94">
        <f t="shared" si="40"/>
        <v>495</v>
      </c>
      <c r="BA113" s="133">
        <f>VLOOKUP(AN113,Invoicing!A:J,10,FALSE)</f>
        <v>70</v>
      </c>
      <c r="BB113" s="133">
        <f>VLOOKUP(AN113,Invoicing!A:L,12,FALSE)</f>
        <v>1</v>
      </c>
      <c r="BC113" s="2" t="s">
        <v>66</v>
      </c>
    </row>
    <row r="114" spans="1:55">
      <c r="A114" s="38" t="s">
        <v>256</v>
      </c>
      <c r="B114" s="3" t="s">
        <v>56</v>
      </c>
      <c r="C114" s="11">
        <v>46042.978472222225</v>
      </c>
      <c r="D114" s="11">
        <v>46042.979166666664</v>
      </c>
      <c r="E114" s="11" t="s">
        <v>98</v>
      </c>
      <c r="F114" s="11" t="s">
        <v>257</v>
      </c>
      <c r="G114" s="11" t="s">
        <v>59</v>
      </c>
      <c r="H114" s="11" t="s">
        <v>68</v>
      </c>
      <c r="I114" s="3" t="s">
        <v>273</v>
      </c>
      <c r="J114" s="86" t="s">
        <v>100</v>
      </c>
      <c r="K114" s="11">
        <v>46044.25</v>
      </c>
      <c r="L114" s="12">
        <v>46044.375</v>
      </c>
      <c r="M114" s="12">
        <v>46044.458333333336</v>
      </c>
      <c r="N114" s="12">
        <v>46044.444444444445</v>
      </c>
      <c r="O114" s="12" t="s">
        <v>63</v>
      </c>
      <c r="P114" s="85" t="s">
        <v>64</v>
      </c>
      <c r="Q114" s="3">
        <v>0</v>
      </c>
      <c r="R114" s="1">
        <f t="shared" si="22"/>
        <v>4</v>
      </c>
      <c r="S114" s="1">
        <f t="shared" si="23"/>
        <v>1</v>
      </c>
      <c r="T114" s="126">
        <f t="shared" si="24"/>
        <v>46044.375</v>
      </c>
      <c r="U114" s="127">
        <f t="shared" si="25"/>
        <v>1.2715277777751908</v>
      </c>
      <c r="V114" s="128">
        <f>Table2[[#This Row],[ATA A OFRECIMIENTO]]*24</f>
        <v>30.516666666604578</v>
      </c>
      <c r="W114" s="1" t="str">
        <f t="shared" si="26"/>
        <v>YES</v>
      </c>
      <c r="X114" s="127">
        <f t="shared" si="27"/>
        <v>0.20833333333575865</v>
      </c>
      <c r="Y114" s="128">
        <f>Table2[[#This Row],[DEL. AVAILABLE A SLOT]]*24</f>
        <v>5.0000000000582077</v>
      </c>
      <c r="Z114" s="1" t="str">
        <f t="shared" si="28"/>
        <v>SI</v>
      </c>
      <c r="AA114" s="127">
        <f t="shared" si="29"/>
        <v>1.4798611111109494</v>
      </c>
      <c r="AB114" s="128">
        <f>Table2[[#This Row],[ATA A TIMESLOT]]*24</f>
        <v>35.516666666662786</v>
      </c>
      <c r="AC114" s="127">
        <f t="shared" si="30"/>
        <v>0</v>
      </c>
      <c r="AD114" s="127" t="str">
        <f t="shared" si="31"/>
        <v>SI</v>
      </c>
      <c r="AE114" s="128">
        <f>Table2[[#This Row],[PUNTUALIDAD (H)]]*24</f>
        <v>0</v>
      </c>
      <c r="AF114" s="127">
        <f t="shared" si="32"/>
        <v>1.4659722222204437</v>
      </c>
      <c r="AG114" s="128">
        <f>Table2[[#This Row],[ATA TO UNLOADING]]*24</f>
        <v>35.183333333290648</v>
      </c>
      <c r="AH114" s="128" t="str">
        <f>IF(Table2[[#This Row],[ATA TO UNLOADING 2]]&lt;=48,"YES","NO")</f>
        <v>YES</v>
      </c>
      <c r="AJ114" s="129">
        <f t="shared" si="33"/>
        <v>0.45833333333575865</v>
      </c>
      <c r="AK114" s="2" t="s">
        <v>64</v>
      </c>
      <c r="AL114" s="2" t="str">
        <f t="shared" si="34"/>
        <v>4/26</v>
      </c>
      <c r="AM114" s="2" t="str">
        <f t="shared" si="35"/>
        <v>TCNU4472079</v>
      </c>
      <c r="AN114" s="130" t="str">
        <f t="shared" si="36"/>
        <v>MSI</v>
      </c>
      <c r="AO114" s="141">
        <f>IF($O114="TRUCK",
VLOOKUP($AU114,Invoicing!$A$16:$B$56,MATCH($AO$1,Invoicing!$A$16:$B$16,0),FALSE)+IF(OR($B114="DCD",$B114="HPD2"),23.5,0),
VLOOKUP($AU114,Invoicing!$N$15:$O$19,MATCH($AO$1,Invoicing!$N$15:$O$15,0),FALSE)+IF(OR($B114="DCD",$B114="HPD2"),23.5,0))</f>
        <v>480</v>
      </c>
      <c r="AP114" s="131" t="e">
        <f>VLOOKUP($E114,Invoicing!$A$1:$H$12,MATCH(TRACKER!$P114,Invoicing!$A$1:$H$1,0),FALSE)</f>
        <v>#N/A</v>
      </c>
      <c r="AQ114" s="131">
        <f>VLOOKUP($E114,Invoicing!$A$1:$H$12,MATCH(TRACKER!$Q$1,Invoicing!$A$1:$H$1,0),FALSE)</f>
        <v>50</v>
      </c>
      <c r="AR114" s="131">
        <f t="shared" si="42"/>
        <v>0</v>
      </c>
      <c r="AS114" s="2">
        <f t="shared" si="38"/>
        <v>4</v>
      </c>
      <c r="AT114" s="2" t="str">
        <f t="shared" si="41"/>
        <v>WEEK</v>
      </c>
      <c r="AU114" s="2" t="str">
        <f t="shared" si="39"/>
        <v>MSIWEEK</v>
      </c>
      <c r="AV114" s="94">
        <f>(IF(ISNA(AP114),AO114+AR114,SUM($AO114,$AR114,IFERROR($AP114,"0"))))+Table2[[#This Row],[WAITING TIMES]]</f>
        <v>480</v>
      </c>
      <c r="AW114" s="94">
        <f>VLOOKUP(AN114,Invoicing!A:K,11,FALSE)</f>
        <v>20</v>
      </c>
      <c r="AY114" s="48"/>
      <c r="AZ114" s="94">
        <f t="shared" si="40"/>
        <v>500</v>
      </c>
      <c r="BA114" s="133">
        <f>VLOOKUP(AN114,Invoicing!A:J,10,FALSE)</f>
        <v>70</v>
      </c>
      <c r="BB114" s="133">
        <f>VLOOKUP(AN114,Invoicing!A:L,12,FALSE)</f>
        <v>1</v>
      </c>
      <c r="BC114" s="2" t="s">
        <v>66</v>
      </c>
    </row>
    <row r="115" spans="1:55">
      <c r="A115" s="38" t="s">
        <v>256</v>
      </c>
      <c r="B115" s="3" t="s">
        <v>56</v>
      </c>
      <c r="C115" s="11">
        <v>46042.978472222225</v>
      </c>
      <c r="D115" s="11">
        <v>46042.979166666664</v>
      </c>
      <c r="E115" s="11" t="s">
        <v>98</v>
      </c>
      <c r="F115" s="11" t="s">
        <v>262</v>
      </c>
      <c r="G115" s="11" t="s">
        <v>59</v>
      </c>
      <c r="H115" s="11" t="s">
        <v>60</v>
      </c>
      <c r="I115" s="3" t="s">
        <v>274</v>
      </c>
      <c r="J115" s="86" t="s">
        <v>100</v>
      </c>
      <c r="K115" s="11">
        <v>46044.25</v>
      </c>
      <c r="L115" s="12">
        <v>46044.46875</v>
      </c>
      <c r="M115" s="12">
        <v>46044.520833333336</v>
      </c>
      <c r="N115" s="12">
        <v>46044.527777777781</v>
      </c>
      <c r="O115" s="12" t="s">
        <v>63</v>
      </c>
      <c r="P115" s="85" t="s">
        <v>64</v>
      </c>
      <c r="Q115" s="3">
        <v>2</v>
      </c>
      <c r="R115" s="1">
        <f t="shared" si="22"/>
        <v>4</v>
      </c>
      <c r="S115" s="1">
        <f t="shared" si="23"/>
        <v>1</v>
      </c>
      <c r="T115" s="126">
        <f t="shared" si="24"/>
        <v>46044.46875</v>
      </c>
      <c r="U115" s="127">
        <f t="shared" si="25"/>
        <v>1.2715277777751908</v>
      </c>
      <c r="V115" s="128">
        <f>Table2[[#This Row],[ATA A OFRECIMIENTO]]*24</f>
        <v>30.516666666604578</v>
      </c>
      <c r="W115" s="1" t="str">
        <f t="shared" si="26"/>
        <v>YES</v>
      </c>
      <c r="X115" s="127">
        <f t="shared" si="27"/>
        <v>0.27083333333575865</v>
      </c>
      <c r="Y115" s="128">
        <f>Table2[[#This Row],[DEL. AVAILABLE A SLOT]]*24</f>
        <v>6.5000000000582077</v>
      </c>
      <c r="Z115" s="1" t="str">
        <f t="shared" si="28"/>
        <v>SI</v>
      </c>
      <c r="AA115" s="127">
        <f t="shared" si="29"/>
        <v>1.5423611111109494</v>
      </c>
      <c r="AB115" s="128">
        <f>Table2[[#This Row],[ATA A TIMESLOT]]*24</f>
        <v>37.016666666662786</v>
      </c>
      <c r="AC115" s="127">
        <f t="shared" si="30"/>
        <v>0</v>
      </c>
      <c r="AD115" s="127" t="str">
        <f t="shared" si="31"/>
        <v>SI</v>
      </c>
      <c r="AE115" s="128">
        <f>Table2[[#This Row],[PUNTUALIDAD (H)]]*24</f>
        <v>0</v>
      </c>
      <c r="AF115" s="127">
        <f t="shared" si="32"/>
        <v>1.5493055555562023</v>
      </c>
      <c r="AG115" s="128">
        <f>Table2[[#This Row],[ATA TO UNLOADING]]*24</f>
        <v>37.183333333348855</v>
      </c>
      <c r="AH115" s="128" t="str">
        <f>IF(Table2[[#This Row],[ATA TO UNLOADING 2]]&lt;=48,"YES","NO")</f>
        <v>YES</v>
      </c>
      <c r="AJ115" s="129">
        <f t="shared" si="33"/>
        <v>0.52083333333575865</v>
      </c>
      <c r="AK115" s="2" t="s">
        <v>64</v>
      </c>
      <c r="AL115" s="2" t="str">
        <f t="shared" si="34"/>
        <v>4/26</v>
      </c>
      <c r="AM115" s="2" t="str">
        <f t="shared" si="35"/>
        <v>MSKU4731185</v>
      </c>
      <c r="AN115" s="130" t="str">
        <f t="shared" si="36"/>
        <v>MSI</v>
      </c>
      <c r="AO115" s="141">
        <f>IF($O115="TRUCK",
VLOOKUP($AU115,Invoicing!$A$16:$B$56,MATCH($AO$1,Invoicing!$A$16:$B$16,0),FALSE)+IF(OR($B115="DCD",$B115="HPD2"),23.5,0),
VLOOKUP($AU115,Invoicing!$N$15:$O$19,MATCH($AO$1,Invoicing!$N$15:$O$15,0),FALSE)+IF(OR($B115="DCD",$B115="HPD2"),23.5,0))</f>
        <v>480</v>
      </c>
      <c r="AP115" s="131" t="e">
        <f>VLOOKUP($E115,Invoicing!$A$1:$H$12,MATCH(TRACKER!$P115,Invoicing!$A$1:$H$1,0),FALSE)</f>
        <v>#N/A</v>
      </c>
      <c r="AQ115" s="131">
        <f>VLOOKUP($E115,Invoicing!$A$1:$H$12,MATCH(TRACKER!$Q$1,Invoicing!$A$1:$H$1,0),FALSE)</f>
        <v>50</v>
      </c>
      <c r="AR115" s="131">
        <f t="shared" si="42"/>
        <v>100</v>
      </c>
      <c r="AS115" s="2">
        <f t="shared" si="38"/>
        <v>4</v>
      </c>
      <c r="AT115" s="2" t="str">
        <f t="shared" si="41"/>
        <v>WEEK</v>
      </c>
      <c r="AU115" s="2" t="str">
        <f t="shared" si="39"/>
        <v>MSIWEEK</v>
      </c>
      <c r="AV115" s="94">
        <f>(IF(ISNA(AP115),AO115+AR115,SUM($AO115,$AR115,IFERROR($AP115,"0"))))+Table2[[#This Row],[WAITING TIMES]]</f>
        <v>580</v>
      </c>
      <c r="AW115" s="94">
        <f>VLOOKUP(AN115,Invoicing!A:K,11,FALSE)</f>
        <v>20</v>
      </c>
      <c r="AY115" s="48"/>
      <c r="AZ115" s="94">
        <f t="shared" si="40"/>
        <v>600</v>
      </c>
      <c r="BA115" s="133">
        <f>VLOOKUP(AN115,Invoicing!A:J,10,FALSE)</f>
        <v>70</v>
      </c>
      <c r="BB115" s="133">
        <f>VLOOKUP(AN115,Invoicing!A:L,12,FALSE)</f>
        <v>1</v>
      </c>
      <c r="BC115" s="2" t="s">
        <v>66</v>
      </c>
    </row>
    <row r="116" spans="1:55">
      <c r="A116" s="38" t="s">
        <v>256</v>
      </c>
      <c r="B116" s="3" t="s">
        <v>56</v>
      </c>
      <c r="C116" s="11">
        <v>46042.978472222225</v>
      </c>
      <c r="D116" s="11">
        <v>46042.979166666664</v>
      </c>
      <c r="E116" s="11" t="s">
        <v>73</v>
      </c>
      <c r="F116" s="11" t="s">
        <v>257</v>
      </c>
      <c r="G116" s="11" t="s">
        <v>59</v>
      </c>
      <c r="H116" s="11" t="s">
        <v>68</v>
      </c>
      <c r="I116" s="3" t="s">
        <v>275</v>
      </c>
      <c r="J116" s="86" t="s">
        <v>100</v>
      </c>
      <c r="K116" s="11">
        <v>46044.25</v>
      </c>
      <c r="L116" s="12">
        <v>46044.509027777778</v>
      </c>
      <c r="M116" s="12">
        <v>46044.520833333336</v>
      </c>
      <c r="N116" s="12">
        <v>46044.5625</v>
      </c>
      <c r="O116" s="12" t="s">
        <v>63</v>
      </c>
      <c r="P116" s="85" t="s">
        <v>64</v>
      </c>
      <c r="Q116" s="3">
        <v>0</v>
      </c>
      <c r="R116" s="1">
        <f t="shared" si="22"/>
        <v>4</v>
      </c>
      <c r="S116" s="1">
        <f t="shared" si="23"/>
        <v>1</v>
      </c>
      <c r="T116" s="126">
        <f t="shared" si="24"/>
        <v>46044.509027777778</v>
      </c>
      <c r="U116" s="127">
        <f t="shared" si="25"/>
        <v>1.2715277777751908</v>
      </c>
      <c r="V116" s="128">
        <f>Table2[[#This Row],[ATA A OFRECIMIENTO]]*24</f>
        <v>30.516666666604578</v>
      </c>
      <c r="W116" s="1" t="str">
        <f t="shared" si="26"/>
        <v>YES</v>
      </c>
      <c r="X116" s="127">
        <f t="shared" si="27"/>
        <v>0.27083333333575865</v>
      </c>
      <c r="Y116" s="128">
        <f>Table2[[#This Row],[DEL. AVAILABLE A SLOT]]*24</f>
        <v>6.5000000000582077</v>
      </c>
      <c r="Z116" s="1" t="str">
        <f t="shared" si="28"/>
        <v>SI</v>
      </c>
      <c r="AA116" s="127">
        <f t="shared" si="29"/>
        <v>1.5423611111109494</v>
      </c>
      <c r="AB116" s="128">
        <f>Table2[[#This Row],[ATA A TIMESLOT]]*24</f>
        <v>37.016666666662786</v>
      </c>
      <c r="AC116" s="127">
        <f t="shared" si="30"/>
        <v>0</v>
      </c>
      <c r="AD116" s="127" t="str">
        <f t="shared" si="31"/>
        <v>SI</v>
      </c>
      <c r="AE116" s="128">
        <f>Table2[[#This Row],[PUNTUALIDAD (H)]]*24</f>
        <v>0</v>
      </c>
      <c r="AF116" s="127">
        <f t="shared" si="32"/>
        <v>1.5840277777751908</v>
      </c>
      <c r="AG116" s="128">
        <f>Table2[[#This Row],[ATA TO UNLOADING]]*24</f>
        <v>38.016666666604578</v>
      </c>
      <c r="AH116" s="128" t="str">
        <f>IF(Table2[[#This Row],[ATA TO UNLOADING 2]]&lt;=48,"YES","NO")</f>
        <v>YES</v>
      </c>
      <c r="AJ116" s="129">
        <f t="shared" si="33"/>
        <v>0.52083333333575865</v>
      </c>
      <c r="AK116" s="2" t="s">
        <v>64</v>
      </c>
      <c r="AL116" s="2" t="str">
        <f t="shared" si="34"/>
        <v>4/26</v>
      </c>
      <c r="AM116" s="2" t="str">
        <f t="shared" si="35"/>
        <v>TCNU4075580</v>
      </c>
      <c r="AN116" s="130" t="str">
        <f t="shared" si="36"/>
        <v>OTL</v>
      </c>
      <c r="AO116" s="141">
        <f>IF($O116="TRUCK",
VLOOKUP($AU116,Invoicing!$A$16:$B$56,MATCH($AO$1,Invoicing!$A$16:$B$16,0),FALSE)+IF(OR($B116="DCD",$B116="HPD2"),23.5,0),
VLOOKUP($AU116,Invoicing!$N$15:$O$19,MATCH($AO$1,Invoicing!$N$15:$O$15,0),FALSE)+IF(OR($B116="DCD",$B116="HPD2"),23.5,0))</f>
        <v>530</v>
      </c>
      <c r="AP116" s="131" t="e">
        <f>VLOOKUP($E116,Invoicing!$A$1:$H$12,MATCH(TRACKER!$P116,Invoicing!$A$1:$H$1,0),FALSE)</f>
        <v>#N/A</v>
      </c>
      <c r="AQ116" s="131">
        <f>VLOOKUP($E116,Invoicing!$A$1:$H$12,MATCH(TRACKER!$Q$1,Invoicing!$A$1:$H$1,0),FALSE)</f>
        <v>60</v>
      </c>
      <c r="AR116" s="131">
        <f t="shared" si="42"/>
        <v>0</v>
      </c>
      <c r="AS116" s="2">
        <f t="shared" si="38"/>
        <v>4</v>
      </c>
      <c r="AT116" s="2" t="str">
        <f t="shared" si="41"/>
        <v>WEEK</v>
      </c>
      <c r="AU116" s="2" t="str">
        <f t="shared" si="39"/>
        <v>OTLWEEK</v>
      </c>
      <c r="AV116" s="94">
        <f>(IF(ISNA(AP116),AO116+AR116,SUM($AO116,$AR116,IFERROR($AP116,"0"))))+Table2[[#This Row],[WAITING TIMES]]</f>
        <v>530</v>
      </c>
      <c r="AW116" s="94">
        <f>VLOOKUP(AN116,Invoicing!A:K,11,FALSE)</f>
        <v>20</v>
      </c>
      <c r="AY116" s="48"/>
      <c r="AZ116" s="94">
        <f t="shared" si="40"/>
        <v>550</v>
      </c>
      <c r="BA116" s="133">
        <f>VLOOKUP(AN116,Invoicing!A:J,10,FALSE)</f>
        <v>70</v>
      </c>
      <c r="BB116" s="133">
        <f>VLOOKUP(AN116,Invoicing!A:L,12,FALSE)</f>
        <v>1</v>
      </c>
      <c r="BC116" s="2" t="s">
        <v>66</v>
      </c>
    </row>
    <row r="117" spans="1:55">
      <c r="A117" s="38" t="s">
        <v>256</v>
      </c>
      <c r="B117" s="3" t="s">
        <v>56</v>
      </c>
      <c r="C117" s="11">
        <v>46042.978472222225</v>
      </c>
      <c r="D117" s="11">
        <v>46042.979166666664</v>
      </c>
      <c r="E117" s="11" t="s">
        <v>98</v>
      </c>
      <c r="F117" s="11" t="s">
        <v>276</v>
      </c>
      <c r="G117" s="11" t="s">
        <v>59</v>
      </c>
      <c r="H117" s="11" t="s">
        <v>266</v>
      </c>
      <c r="I117" s="3" t="s">
        <v>277</v>
      </c>
      <c r="J117" s="86" t="s">
        <v>82</v>
      </c>
      <c r="K117" s="11">
        <v>46044.25</v>
      </c>
      <c r="L117" s="12">
        <v>46044.583333333336</v>
      </c>
      <c r="M117" s="12">
        <v>46044.583333333336</v>
      </c>
      <c r="N117" s="12">
        <v>46044.59375</v>
      </c>
      <c r="O117" s="12" t="s">
        <v>63</v>
      </c>
      <c r="P117" s="85" t="s">
        <v>64</v>
      </c>
      <c r="Q117" s="3">
        <v>0</v>
      </c>
      <c r="R117" s="1">
        <f t="shared" si="22"/>
        <v>4</v>
      </c>
      <c r="S117" s="1">
        <f t="shared" si="23"/>
        <v>1</v>
      </c>
      <c r="T117" s="126">
        <f t="shared" si="24"/>
        <v>46044.583333333336</v>
      </c>
      <c r="U117" s="127">
        <f t="shared" si="25"/>
        <v>1.2715277777751908</v>
      </c>
      <c r="V117" s="128">
        <f>Table2[[#This Row],[ATA A OFRECIMIENTO]]*24</f>
        <v>30.516666666604578</v>
      </c>
      <c r="W117" s="1" t="str">
        <f t="shared" si="26"/>
        <v>YES</v>
      </c>
      <c r="X117" s="127">
        <f t="shared" si="27"/>
        <v>0.33333333333575865</v>
      </c>
      <c r="Y117" s="128">
        <f>Table2[[#This Row],[DEL. AVAILABLE A SLOT]]*24</f>
        <v>8.0000000000582077</v>
      </c>
      <c r="Z117" s="1" t="str">
        <f t="shared" si="28"/>
        <v>SI</v>
      </c>
      <c r="AA117" s="127">
        <f t="shared" si="29"/>
        <v>1.6048611111109494</v>
      </c>
      <c r="AB117" s="128">
        <f>Table2[[#This Row],[ATA A TIMESLOT]]*24</f>
        <v>38.516666666662786</v>
      </c>
      <c r="AC117" s="127">
        <f t="shared" si="30"/>
        <v>0</v>
      </c>
      <c r="AD117" s="127" t="str">
        <f t="shared" si="31"/>
        <v>SI</v>
      </c>
      <c r="AE117" s="128">
        <f>Table2[[#This Row],[PUNTUALIDAD (H)]]*24</f>
        <v>0</v>
      </c>
      <c r="AF117" s="127">
        <f t="shared" si="32"/>
        <v>1.6152777777751908</v>
      </c>
      <c r="AG117" s="128">
        <f>Table2[[#This Row],[ATA TO UNLOADING]]*24</f>
        <v>38.766666666604578</v>
      </c>
      <c r="AH117" s="128" t="str">
        <f>IF(Table2[[#This Row],[ATA TO UNLOADING 2]]&lt;=48,"YES","NO")</f>
        <v>YES</v>
      </c>
      <c r="AJ117" s="129">
        <f t="shared" si="33"/>
        <v>0.58333333333575865</v>
      </c>
      <c r="AK117" s="2" t="s">
        <v>64</v>
      </c>
      <c r="AL117" s="2" t="str">
        <f t="shared" si="34"/>
        <v>4/26</v>
      </c>
      <c r="AM117" s="2" t="str">
        <f t="shared" si="35"/>
        <v>MRKU0209822</v>
      </c>
      <c r="AN117" s="130" t="str">
        <f t="shared" si="36"/>
        <v>MSI</v>
      </c>
      <c r="AO117" s="141">
        <f>IF($O117="TRUCK",
VLOOKUP($AU117,Invoicing!$A$16:$B$56,MATCH($AO$1,Invoicing!$A$16:$B$16,0),FALSE)+IF(OR($B117="DCD",$B117="HPD2"),23.5,0),
VLOOKUP($AU117,Invoicing!$N$15:$O$19,MATCH($AO$1,Invoicing!$N$15:$O$15,0),FALSE)+IF(OR($B117="DCD",$B117="HPD2"),23.5,0))</f>
        <v>480</v>
      </c>
      <c r="AP117" s="131" t="e">
        <f>VLOOKUP($E117,Invoicing!$A$1:$H$12,MATCH(TRACKER!$P117,Invoicing!$A$1:$H$1,0),FALSE)</f>
        <v>#N/A</v>
      </c>
      <c r="AQ117" s="131">
        <f>VLOOKUP($E117,Invoicing!$A$1:$H$12,MATCH(TRACKER!$Q$1,Invoicing!$A$1:$H$1,0),FALSE)</f>
        <v>50</v>
      </c>
      <c r="AR117" s="131">
        <f t="shared" si="42"/>
        <v>0</v>
      </c>
      <c r="AS117" s="2">
        <f t="shared" si="38"/>
        <v>4</v>
      </c>
      <c r="AT117" s="2" t="str">
        <f t="shared" si="41"/>
        <v>WEEK</v>
      </c>
      <c r="AU117" s="2" t="str">
        <f t="shared" si="39"/>
        <v>MSIWEEK</v>
      </c>
      <c r="AV117" s="94">
        <f>(IF(ISNA(AP117),AO117+AR117,SUM($AO117,$AR117,IFERROR($AP117,"0"))))+Table2[[#This Row],[WAITING TIMES]]</f>
        <v>600</v>
      </c>
      <c r="AW117" s="94">
        <f>VLOOKUP(AN117,Invoicing!A:K,11,FALSE)</f>
        <v>20</v>
      </c>
      <c r="AX117" s="48">
        <v>120</v>
      </c>
      <c r="AY117" s="48" t="s">
        <v>278</v>
      </c>
      <c r="AZ117" s="94">
        <f t="shared" si="40"/>
        <v>620</v>
      </c>
      <c r="BA117" s="133">
        <f>VLOOKUP(AN117,Invoicing!A:J,10,FALSE)</f>
        <v>70</v>
      </c>
      <c r="BB117" s="133">
        <f>VLOOKUP(AN117,Invoicing!A:L,12,FALSE)</f>
        <v>1</v>
      </c>
      <c r="BC117" s="2" t="s">
        <v>66</v>
      </c>
    </row>
    <row r="118" spans="1:55">
      <c r="A118" s="38" t="s">
        <v>256</v>
      </c>
      <c r="B118" s="3" t="s">
        <v>56</v>
      </c>
      <c r="C118" s="11">
        <v>46042.978472222225</v>
      </c>
      <c r="D118" s="11">
        <v>46042.979166666664</v>
      </c>
      <c r="E118" s="11" t="s">
        <v>83</v>
      </c>
      <c r="F118" s="11" t="s">
        <v>262</v>
      </c>
      <c r="G118" s="11" t="s">
        <v>59</v>
      </c>
      <c r="H118" s="11" t="s">
        <v>60</v>
      </c>
      <c r="I118" s="3" t="s">
        <v>279</v>
      </c>
      <c r="J118" s="86" t="s">
        <v>100</v>
      </c>
      <c r="K118" s="11">
        <v>46044.25</v>
      </c>
      <c r="L118" s="12">
        <v>46044.586805555555</v>
      </c>
      <c r="M118" s="12">
        <v>46044.583333333336</v>
      </c>
      <c r="N118" s="12">
        <v>46044.59375</v>
      </c>
      <c r="O118" s="12" t="s">
        <v>63</v>
      </c>
      <c r="P118" s="85" t="s">
        <v>64</v>
      </c>
      <c r="Q118" s="3">
        <v>0</v>
      </c>
      <c r="R118" s="1">
        <f t="shared" si="22"/>
        <v>4</v>
      </c>
      <c r="S118" s="1">
        <f t="shared" si="23"/>
        <v>1</v>
      </c>
      <c r="T118" s="126">
        <f t="shared" si="24"/>
        <v>46044.586805555555</v>
      </c>
      <c r="U118" s="127">
        <f t="shared" si="25"/>
        <v>1.2715277777751908</v>
      </c>
      <c r="V118" s="128">
        <f>Table2[[#This Row],[ATA A OFRECIMIENTO]]*24</f>
        <v>30.516666666604578</v>
      </c>
      <c r="W118" s="1" t="str">
        <f t="shared" si="26"/>
        <v>YES</v>
      </c>
      <c r="X118" s="127">
        <f t="shared" si="27"/>
        <v>0.33333333333575865</v>
      </c>
      <c r="Y118" s="128">
        <f>Table2[[#This Row],[DEL. AVAILABLE A SLOT]]*24</f>
        <v>8.0000000000582077</v>
      </c>
      <c r="Z118" s="1" t="str">
        <f t="shared" si="28"/>
        <v>SI</v>
      </c>
      <c r="AA118" s="127">
        <f t="shared" si="29"/>
        <v>1.6048611111109494</v>
      </c>
      <c r="AB118" s="128">
        <f>Table2[[#This Row],[ATA A TIMESLOT]]*24</f>
        <v>38.516666666662786</v>
      </c>
      <c r="AC118" s="127">
        <f t="shared" si="30"/>
        <v>3.4722222189884633E-3</v>
      </c>
      <c r="AD118" s="127" t="str">
        <f t="shared" si="31"/>
        <v>SI</v>
      </c>
      <c r="AE118" s="128">
        <f>Table2[[#This Row],[PUNTUALIDAD (H)]]*24</f>
        <v>8.3333333255723119E-2</v>
      </c>
      <c r="AF118" s="127">
        <f t="shared" si="32"/>
        <v>1.6152777777751908</v>
      </c>
      <c r="AG118" s="128">
        <f>Table2[[#This Row],[ATA TO UNLOADING]]*24</f>
        <v>38.766666666604578</v>
      </c>
      <c r="AH118" s="128" t="str">
        <f>IF(Table2[[#This Row],[ATA TO UNLOADING 2]]&lt;=48,"YES","NO")</f>
        <v>YES</v>
      </c>
      <c r="AJ118" s="129">
        <f t="shared" si="33"/>
        <v>0.58333333333575865</v>
      </c>
      <c r="AK118" s="2" t="s">
        <v>64</v>
      </c>
      <c r="AL118" s="2" t="str">
        <f t="shared" si="34"/>
        <v>4/26</v>
      </c>
      <c r="AM118" s="2" t="str">
        <f t="shared" si="35"/>
        <v>MRKU7879338</v>
      </c>
      <c r="AN118" s="130" t="str">
        <f t="shared" si="36"/>
        <v>OM TRANSPORT</v>
      </c>
      <c r="AO118" s="141">
        <f>IF($O118="TRUCK",
VLOOKUP($AU118,Invoicing!$A$16:$B$56,MATCH($AO$1,Invoicing!$A$16:$B$16,0),FALSE)+IF(OR($B118="DCD",$B118="HPD2"),23.5,0),
VLOOKUP($AU118,Invoicing!$N$15:$O$19,MATCH($AO$1,Invoicing!$N$15:$O$15,0),FALSE)+IF(OR($B118="DCD",$B118="HPD2"),23.5,0))</f>
        <v>475</v>
      </c>
      <c r="AP118" s="131" t="e">
        <f>VLOOKUP($E118,Invoicing!$A$1:$H$12,MATCH(TRACKER!$P118,Invoicing!$A$1:$H$1,0),FALSE)</f>
        <v>#N/A</v>
      </c>
      <c r="AQ118" s="131">
        <f>VLOOKUP($E118,Invoicing!$A$1:$H$12,MATCH(TRACKER!$Q$1,Invoicing!$A$1:$H$1,0),FALSE)</f>
        <v>50</v>
      </c>
      <c r="AR118" s="131">
        <f t="shared" si="42"/>
        <v>0</v>
      </c>
      <c r="AS118" s="2">
        <f t="shared" si="38"/>
        <v>4</v>
      </c>
      <c r="AT118" s="2" t="str">
        <f t="shared" si="41"/>
        <v>WEEK</v>
      </c>
      <c r="AU118" s="2" t="str">
        <f t="shared" si="39"/>
        <v>OM TRANSPORTWEEK</v>
      </c>
      <c r="AV118" s="94">
        <f>(IF(ISNA(AP118),AO118+AR118,SUM($AO118,$AR118,IFERROR($AP118,"0"))))+Table2[[#This Row],[WAITING TIMES]]</f>
        <v>475</v>
      </c>
      <c r="AW118" s="94">
        <f>VLOOKUP(AN118,Invoicing!A:K,11,FALSE)</f>
        <v>20</v>
      </c>
      <c r="AY118" s="48"/>
      <c r="AZ118" s="94">
        <f t="shared" si="40"/>
        <v>495</v>
      </c>
      <c r="BA118" s="133">
        <f>VLOOKUP(AN118,Invoicing!A:J,10,FALSE)</f>
        <v>70</v>
      </c>
      <c r="BB118" s="133">
        <f>VLOOKUP(AN118,Invoicing!A:L,12,FALSE)</f>
        <v>1</v>
      </c>
      <c r="BC118" s="2" t="s">
        <v>66</v>
      </c>
    </row>
    <row r="119" spans="1:55">
      <c r="A119" s="38" t="s">
        <v>256</v>
      </c>
      <c r="B119" s="3" t="s">
        <v>56</v>
      </c>
      <c r="C119" s="11">
        <v>46042.978472222225</v>
      </c>
      <c r="D119" s="11">
        <v>46042.979166666664</v>
      </c>
      <c r="E119" s="11" t="s">
        <v>57</v>
      </c>
      <c r="F119" s="11" t="s">
        <v>280</v>
      </c>
      <c r="G119" s="11" t="s">
        <v>59</v>
      </c>
      <c r="H119" s="11" t="s">
        <v>266</v>
      </c>
      <c r="I119" s="3" t="s">
        <v>281</v>
      </c>
      <c r="J119" s="86" t="s">
        <v>100</v>
      </c>
      <c r="K119" s="11">
        <v>46044.25</v>
      </c>
      <c r="L119" s="12">
        <v>46044.618055555555</v>
      </c>
      <c r="M119" s="12">
        <v>46044.666666666664</v>
      </c>
      <c r="N119" s="12">
        <v>46044.621527777781</v>
      </c>
      <c r="O119" s="12" t="s">
        <v>63</v>
      </c>
      <c r="P119" s="85" t="s">
        <v>64</v>
      </c>
      <c r="Q119" s="3">
        <v>0</v>
      </c>
      <c r="R119" s="1">
        <f t="shared" si="22"/>
        <v>4</v>
      </c>
      <c r="S119" s="1">
        <f t="shared" si="23"/>
        <v>1</v>
      </c>
      <c r="T119" s="126">
        <f t="shared" si="24"/>
        <v>46044.618055555555</v>
      </c>
      <c r="U119" s="127">
        <f t="shared" si="25"/>
        <v>1.2715277777751908</v>
      </c>
      <c r="V119" s="128">
        <f>Table2[[#This Row],[ATA A OFRECIMIENTO]]*24</f>
        <v>30.516666666604578</v>
      </c>
      <c r="W119" s="1" t="str">
        <f t="shared" si="26"/>
        <v>YES</v>
      </c>
      <c r="X119" s="127">
        <f t="shared" si="27"/>
        <v>0.41666666666424135</v>
      </c>
      <c r="Y119" s="128">
        <f>Table2[[#This Row],[DEL. AVAILABLE A SLOT]]*24</f>
        <v>9.9999999999417923</v>
      </c>
      <c r="Z119" s="1" t="str">
        <f t="shared" si="28"/>
        <v>SI</v>
      </c>
      <c r="AA119" s="127">
        <f t="shared" si="29"/>
        <v>1.6881944444394321</v>
      </c>
      <c r="AB119" s="128">
        <f>Table2[[#This Row],[ATA A TIMESLOT]]*24</f>
        <v>40.516666666546371</v>
      </c>
      <c r="AC119" s="127">
        <f t="shared" si="30"/>
        <v>0</v>
      </c>
      <c r="AD119" s="127" t="str">
        <f t="shared" si="31"/>
        <v>SI</v>
      </c>
      <c r="AE119" s="128">
        <f>Table2[[#This Row],[PUNTUALIDAD (H)]]*24</f>
        <v>0</v>
      </c>
      <c r="AF119" s="127">
        <f t="shared" si="32"/>
        <v>1.6430555555562023</v>
      </c>
      <c r="AG119" s="128">
        <f>Table2[[#This Row],[ATA TO UNLOADING]]*24</f>
        <v>39.433333333348855</v>
      </c>
      <c r="AH119" s="128" t="str">
        <f>IF(Table2[[#This Row],[ATA TO UNLOADING 2]]&lt;=48,"YES","NO")</f>
        <v>YES</v>
      </c>
      <c r="AJ119" s="129">
        <f t="shared" si="33"/>
        <v>0.66666666666424135</v>
      </c>
      <c r="AK119" s="2" t="s">
        <v>64</v>
      </c>
      <c r="AL119" s="2" t="str">
        <f t="shared" si="34"/>
        <v>4/26</v>
      </c>
      <c r="AM119" s="2" t="str">
        <f t="shared" si="35"/>
        <v>SUDU7732790</v>
      </c>
      <c r="AN119" s="130" t="str">
        <f t="shared" si="36"/>
        <v>CTK TRANSPORT</v>
      </c>
      <c r="AO119" s="141">
        <f>IF($O119="TRUCK",
VLOOKUP($AU119,Invoicing!$A$16:$B$56,MATCH($AO$1,Invoicing!$A$16:$B$16,0),FALSE)+IF(OR($B119="DCD",$B119="HPD2"),23.5,0),
VLOOKUP($AU119,Invoicing!$N$15:$O$19,MATCH($AO$1,Invoicing!$N$15:$O$15,0),FALSE)+IF(OR($B119="DCD",$B119="HPD2"),23.5,0))</f>
        <v>550</v>
      </c>
      <c r="AP119" s="131" t="e">
        <f>VLOOKUP($E119,Invoicing!$A$1:$H$12,MATCH(TRACKER!$P119,Invoicing!$A$1:$H$1,0),FALSE)</f>
        <v>#N/A</v>
      </c>
      <c r="AQ119" s="131">
        <f>VLOOKUP($E119,Invoicing!$A$1:$H$12,MATCH(TRACKER!$Q$1,Invoicing!$A$1:$H$1,0),FALSE)</f>
        <v>50</v>
      </c>
      <c r="AR119" s="131">
        <f t="shared" si="42"/>
        <v>0</v>
      </c>
      <c r="AS119" s="2">
        <f t="shared" si="38"/>
        <v>4</v>
      </c>
      <c r="AT119" s="2" t="str">
        <f t="shared" si="41"/>
        <v>WEEK</v>
      </c>
      <c r="AU119" s="2" t="str">
        <f t="shared" si="39"/>
        <v>CTK TRANSPORTWEEK</v>
      </c>
      <c r="AV119" s="94">
        <f>(IF(ISNA(AP119),AO119+AR119,SUM($AO119,$AR119,IFERROR($AP119,"0"))))+Table2[[#This Row],[WAITING TIMES]]</f>
        <v>550</v>
      </c>
      <c r="AW119" s="94">
        <f>VLOOKUP(AN119,Invoicing!A:K,11,FALSE)</f>
        <v>20</v>
      </c>
      <c r="AY119" s="48"/>
      <c r="AZ119" s="94">
        <f t="shared" si="40"/>
        <v>570</v>
      </c>
      <c r="BA119" s="133">
        <f>VLOOKUP(AN119,Invoicing!A:J,10,FALSE)</f>
        <v>70</v>
      </c>
      <c r="BB119" s="133">
        <f>VLOOKUP(AN119,Invoicing!A:L,12,FALSE)</f>
        <v>1</v>
      </c>
      <c r="BC119" s="2" t="s">
        <v>66</v>
      </c>
    </row>
    <row r="120" spans="1:55">
      <c r="A120" s="38" t="s">
        <v>256</v>
      </c>
      <c r="B120" s="3" t="s">
        <v>56</v>
      </c>
      <c r="C120" s="11">
        <v>46042.978472222225</v>
      </c>
      <c r="D120" s="11">
        <v>46042.979166666664</v>
      </c>
      <c r="E120" s="11" t="s">
        <v>83</v>
      </c>
      <c r="F120" s="11" t="s">
        <v>280</v>
      </c>
      <c r="G120" s="11" t="s">
        <v>59</v>
      </c>
      <c r="H120" s="11" t="s">
        <v>266</v>
      </c>
      <c r="I120" s="3" t="s">
        <v>282</v>
      </c>
      <c r="J120" s="86" t="s">
        <v>100</v>
      </c>
      <c r="K120" s="11">
        <v>46044.25</v>
      </c>
      <c r="L120" s="12">
        <v>46044.758333333331</v>
      </c>
      <c r="M120" s="12">
        <v>46044.75</v>
      </c>
      <c r="N120" s="12">
        <v>46044.762499999997</v>
      </c>
      <c r="O120" s="12" t="s">
        <v>63</v>
      </c>
      <c r="P120" s="85" t="s">
        <v>64</v>
      </c>
      <c r="Q120" s="3">
        <v>0</v>
      </c>
      <c r="R120" s="1">
        <f t="shared" si="22"/>
        <v>4</v>
      </c>
      <c r="S120" s="1">
        <f t="shared" si="23"/>
        <v>1</v>
      </c>
      <c r="T120" s="126">
        <f t="shared" si="24"/>
        <v>46044.758333333331</v>
      </c>
      <c r="U120" s="127">
        <f t="shared" si="25"/>
        <v>1.2715277777751908</v>
      </c>
      <c r="V120" s="128">
        <f>Table2[[#This Row],[ATA A OFRECIMIENTO]]*24</f>
        <v>30.516666666604578</v>
      </c>
      <c r="W120" s="1" t="str">
        <f t="shared" si="26"/>
        <v>YES</v>
      </c>
      <c r="X120" s="127">
        <f t="shared" si="27"/>
        <v>0.5</v>
      </c>
      <c r="Y120" s="128">
        <f>Table2[[#This Row],[DEL. AVAILABLE A SLOT]]*24</f>
        <v>12</v>
      </c>
      <c r="Z120" s="1" t="str">
        <f t="shared" si="28"/>
        <v>SI</v>
      </c>
      <c r="AA120" s="127">
        <f t="shared" si="29"/>
        <v>1.7715277777751908</v>
      </c>
      <c r="AB120" s="128">
        <f>Table2[[#This Row],[ATA A TIMESLOT]]*24</f>
        <v>42.516666666604578</v>
      </c>
      <c r="AC120" s="127">
        <f t="shared" si="30"/>
        <v>8.333333331393078E-3</v>
      </c>
      <c r="AD120" s="127" t="str">
        <f t="shared" si="31"/>
        <v>SI</v>
      </c>
      <c r="AE120" s="128">
        <f>Table2[[#This Row],[PUNTUALIDAD (H)]]*24</f>
        <v>0.19999999995343387</v>
      </c>
      <c r="AF120" s="127">
        <f t="shared" si="32"/>
        <v>1.7840277777722804</v>
      </c>
      <c r="AG120" s="128">
        <f>Table2[[#This Row],[ATA TO UNLOADING]]*24</f>
        <v>42.816666666534729</v>
      </c>
      <c r="AH120" s="128" t="str">
        <f>IF(Table2[[#This Row],[ATA TO UNLOADING 2]]&lt;=48,"YES","NO")</f>
        <v>YES</v>
      </c>
      <c r="AJ120" s="129">
        <f t="shared" si="33"/>
        <v>0.75</v>
      </c>
      <c r="AK120" s="2" t="s">
        <v>64</v>
      </c>
      <c r="AL120" s="2" t="str">
        <f t="shared" si="34"/>
        <v>4/26</v>
      </c>
      <c r="AM120" s="2" t="str">
        <f t="shared" si="35"/>
        <v>MRKU4530764</v>
      </c>
      <c r="AN120" s="130" t="str">
        <f t="shared" si="36"/>
        <v>OM TRANSPORT</v>
      </c>
      <c r="AO120" s="141">
        <f>IF($O120="TRUCK",
VLOOKUP($AU120,Invoicing!$A$16:$B$56,MATCH($AO$1,Invoicing!$A$16:$B$16,0),FALSE)+IF(OR($B120="DCD",$B120="HPD2"),23.5,0),
VLOOKUP($AU120,Invoicing!$N$15:$O$19,MATCH($AO$1,Invoicing!$N$15:$O$15,0),FALSE)+IF(OR($B120="DCD",$B120="HPD2"),23.5,0))</f>
        <v>475</v>
      </c>
      <c r="AP120" s="131" t="e">
        <f>VLOOKUP($E120,Invoicing!$A$1:$H$12,MATCH(TRACKER!$P120,Invoicing!$A$1:$H$1,0),FALSE)</f>
        <v>#N/A</v>
      </c>
      <c r="AQ120" s="131">
        <f>VLOOKUP($E120,Invoicing!$A$1:$H$12,MATCH(TRACKER!$Q$1,Invoicing!$A$1:$H$1,0),FALSE)</f>
        <v>50</v>
      </c>
      <c r="AR120" s="131">
        <f t="shared" si="42"/>
        <v>0</v>
      </c>
      <c r="AS120" s="2">
        <f t="shared" si="38"/>
        <v>4</v>
      </c>
      <c r="AT120" s="2" t="str">
        <f t="shared" si="41"/>
        <v>WEEK</v>
      </c>
      <c r="AU120" s="2" t="str">
        <f t="shared" si="39"/>
        <v>OM TRANSPORTWEEK</v>
      </c>
      <c r="AV120" s="94">
        <f>(IF(ISNA(AP120),AO120+AR120,SUM($AO120,$AR120,IFERROR($AP120,"0"))))+Table2[[#This Row],[WAITING TIMES]]</f>
        <v>475</v>
      </c>
      <c r="AW120" s="94">
        <f>VLOOKUP(AN120,Invoicing!A:K,11,FALSE)</f>
        <v>20</v>
      </c>
      <c r="AY120" s="48"/>
      <c r="AZ120" s="94">
        <f t="shared" si="40"/>
        <v>495</v>
      </c>
      <c r="BA120" s="133">
        <f>VLOOKUP(AN120,Invoicing!A:J,10,FALSE)</f>
        <v>70</v>
      </c>
      <c r="BB120" s="133">
        <f>VLOOKUP(AN120,Invoicing!A:L,12,FALSE)</f>
        <v>1</v>
      </c>
      <c r="BC120" s="2" t="s">
        <v>66</v>
      </c>
    </row>
    <row r="121" spans="1:55">
      <c r="A121" s="87" t="s">
        <v>256</v>
      </c>
      <c r="B121" s="91" t="s">
        <v>56</v>
      </c>
      <c r="C121" s="89">
        <v>46042.978472222225</v>
      </c>
      <c r="D121" s="89">
        <v>46042.979166666664</v>
      </c>
      <c r="E121" s="89" t="s">
        <v>98</v>
      </c>
      <c r="F121" s="89" t="s">
        <v>283</v>
      </c>
      <c r="G121" s="89" t="s">
        <v>133</v>
      </c>
      <c r="H121" s="89" t="s">
        <v>60</v>
      </c>
      <c r="I121" s="91" t="s">
        <v>284</v>
      </c>
      <c r="J121" s="88" t="s">
        <v>100</v>
      </c>
      <c r="K121" s="89">
        <v>46044.25</v>
      </c>
      <c r="L121" s="90">
        <v>46044.84652777778</v>
      </c>
      <c r="M121" s="90">
        <v>46044.833333333336</v>
      </c>
      <c r="N121" s="90">
        <v>46044.850694444445</v>
      </c>
      <c r="O121" s="90" t="s">
        <v>63</v>
      </c>
      <c r="P121" s="93" t="s">
        <v>64</v>
      </c>
      <c r="Q121" s="91">
        <v>0</v>
      </c>
      <c r="R121" s="1">
        <f t="shared" si="22"/>
        <v>4</v>
      </c>
      <c r="S121" s="1">
        <f t="shared" si="23"/>
        <v>1</v>
      </c>
      <c r="T121" s="126">
        <f t="shared" si="24"/>
        <v>46044.84652777778</v>
      </c>
      <c r="U121" s="127">
        <f t="shared" si="25"/>
        <v>1.2715277777751908</v>
      </c>
      <c r="V121" s="128">
        <f>Table2[[#This Row],[ATA A OFRECIMIENTO]]*24</f>
        <v>30.516666666604578</v>
      </c>
      <c r="W121" s="1" t="str">
        <f t="shared" si="26"/>
        <v>YES</v>
      </c>
      <c r="X121" s="127">
        <f t="shared" si="27"/>
        <v>0.58333333333575865</v>
      </c>
      <c r="Y121" s="128">
        <f>Table2[[#This Row],[DEL. AVAILABLE A SLOT]]*24</f>
        <v>14.000000000058208</v>
      </c>
      <c r="Z121" s="1" t="str">
        <f t="shared" si="28"/>
        <v>SI</v>
      </c>
      <c r="AA121" s="127">
        <f t="shared" si="29"/>
        <v>1.8548611111109494</v>
      </c>
      <c r="AB121" s="128">
        <f>Table2[[#This Row],[ATA A TIMESLOT]]*24</f>
        <v>44.516666666662786</v>
      </c>
      <c r="AC121" s="127">
        <f t="shared" si="30"/>
        <v>1.3194444443797693E-2</v>
      </c>
      <c r="AD121" s="127" t="str">
        <f t="shared" si="31"/>
        <v>SI</v>
      </c>
      <c r="AE121" s="128">
        <f>Table2[[#This Row],[PUNTUALIDAD (H)]]*24</f>
        <v>0.31666666665114462</v>
      </c>
      <c r="AF121" s="127">
        <f t="shared" si="32"/>
        <v>1.8722222222204437</v>
      </c>
      <c r="AG121" s="128">
        <f>Table2[[#This Row],[ATA TO UNLOADING]]*24</f>
        <v>44.933333333290648</v>
      </c>
      <c r="AH121" s="128" t="str">
        <f>IF(Table2[[#This Row],[ATA TO UNLOADING 2]]&lt;=48,"YES","NO")</f>
        <v>YES</v>
      </c>
      <c r="AJ121" s="129">
        <f t="shared" si="33"/>
        <v>0.83333333333575865</v>
      </c>
      <c r="AK121" s="49" t="s">
        <v>36</v>
      </c>
      <c r="AL121" s="2" t="str">
        <f t="shared" si="34"/>
        <v>4/26</v>
      </c>
      <c r="AM121" s="2" t="str">
        <f t="shared" si="35"/>
        <v>HLBU2810860</v>
      </c>
      <c r="AN121" s="130" t="str">
        <f t="shared" si="36"/>
        <v>MSI</v>
      </c>
      <c r="AO121" s="141">
        <f>IF($O121="TRUCK",
VLOOKUP($AU121,Invoicing!$A$16:$B$56,MATCH($AO$1,Invoicing!$A$16:$B$16,0),FALSE)+IF(OR($B121="DCD",$B121="HPD2"),23.5,0),
VLOOKUP($AU121,Invoicing!$N$15:$O$19,MATCH($AO$1,Invoicing!$N$15:$O$15,0),FALSE)+IF(OR($B121="DCD",$B121="HPD2"),23.5,0))</f>
        <v>530</v>
      </c>
      <c r="AP121" s="131" t="e">
        <f>VLOOKUP($E121,Invoicing!$A$1:$H$12,MATCH(TRACKER!$P121,Invoicing!$A$1:$H$1,0),FALSE)</f>
        <v>#N/A</v>
      </c>
      <c r="AQ121" s="131">
        <f>VLOOKUP($E121,Invoicing!$A$1:$H$12,MATCH(TRACKER!$Q$1,Invoicing!$A$1:$H$1,0),FALSE)</f>
        <v>50</v>
      </c>
      <c r="AR121" s="131">
        <f t="shared" si="42"/>
        <v>0</v>
      </c>
      <c r="AS121" s="2">
        <f t="shared" si="38"/>
        <v>4</v>
      </c>
      <c r="AT121" s="2" t="str">
        <f t="shared" si="41"/>
        <v>NIGHT</v>
      </c>
      <c r="AU121" s="2" t="str">
        <f t="shared" si="39"/>
        <v>MSINIGHT</v>
      </c>
      <c r="AV121" s="94">
        <f>(IF(ISNA(AP121),AO121+AR121,SUM($AO121,$AR121,IFERROR($AP121,"0"))))+Table2[[#This Row],[WAITING TIMES]]</f>
        <v>530</v>
      </c>
      <c r="AW121" s="94">
        <f>VLOOKUP(AN121,Invoicing!A:K,11,FALSE)</f>
        <v>20</v>
      </c>
      <c r="AY121" s="48"/>
      <c r="AZ121" s="94">
        <f t="shared" si="40"/>
        <v>550</v>
      </c>
      <c r="BA121" s="133">
        <f>VLOOKUP(AN121,Invoicing!A:J,10,FALSE)</f>
        <v>70</v>
      </c>
      <c r="BB121" s="133">
        <f>VLOOKUP(AN121,Invoicing!A:L,12,FALSE)</f>
        <v>1</v>
      </c>
      <c r="BC121" s="2" t="s">
        <v>66</v>
      </c>
    </row>
    <row r="122" spans="1:55">
      <c r="A122" s="38" t="s">
        <v>285</v>
      </c>
      <c r="B122" s="3" t="s">
        <v>77</v>
      </c>
      <c r="C122" s="11">
        <v>46044.634722222225</v>
      </c>
      <c r="D122" s="11">
        <v>46044.083333333336</v>
      </c>
      <c r="E122" s="11" t="s">
        <v>71</v>
      </c>
      <c r="F122" s="11" t="s">
        <v>286</v>
      </c>
      <c r="G122" s="11" t="s">
        <v>59</v>
      </c>
      <c r="H122" s="11" t="s">
        <v>287</v>
      </c>
      <c r="I122" s="3" t="s">
        <v>288</v>
      </c>
      <c r="J122" s="86" t="s">
        <v>100</v>
      </c>
      <c r="K122" s="12">
        <v>46045.5625</v>
      </c>
      <c r="L122" s="12">
        <v>46045.5625</v>
      </c>
      <c r="M122" s="12">
        <v>46045.5625</v>
      </c>
      <c r="N122" s="12">
        <v>46045.576388888891</v>
      </c>
      <c r="O122" s="12" t="s">
        <v>63</v>
      </c>
      <c r="P122" s="85" t="s">
        <v>64</v>
      </c>
      <c r="Q122" s="3">
        <v>1</v>
      </c>
      <c r="R122" s="1">
        <f t="shared" si="22"/>
        <v>4</v>
      </c>
      <c r="S122" s="1">
        <f t="shared" si="23"/>
        <v>1</v>
      </c>
      <c r="T122" s="126">
        <f t="shared" si="24"/>
        <v>46045.5625</v>
      </c>
      <c r="U122" s="127">
        <f t="shared" si="25"/>
        <v>0.92777777777519077</v>
      </c>
      <c r="V122" s="128">
        <f>Table2[[#This Row],[ATA A OFRECIMIENTO]]*24</f>
        <v>22.266666666604578</v>
      </c>
      <c r="W122" s="1" t="str">
        <f t="shared" si="26"/>
        <v>YES</v>
      </c>
      <c r="X122" s="127">
        <f t="shared" si="27"/>
        <v>0</v>
      </c>
      <c r="Y122" s="128">
        <f>Table2[[#This Row],[DEL. AVAILABLE A SLOT]]*24</f>
        <v>0</v>
      </c>
      <c r="Z122" s="1" t="str">
        <f t="shared" si="28"/>
        <v>SI</v>
      </c>
      <c r="AA122" s="127">
        <f t="shared" si="29"/>
        <v>0.92777777777519077</v>
      </c>
      <c r="AB122" s="128">
        <f>Table2[[#This Row],[ATA A TIMESLOT]]*24</f>
        <v>22.266666666604578</v>
      </c>
      <c r="AC122" s="127">
        <f t="shared" si="30"/>
        <v>0</v>
      </c>
      <c r="AD122" s="127" t="str">
        <f t="shared" si="31"/>
        <v>SI</v>
      </c>
      <c r="AE122" s="128">
        <f>Table2[[#This Row],[PUNTUALIDAD (H)]]*24</f>
        <v>0</v>
      </c>
      <c r="AF122" s="127">
        <f t="shared" si="32"/>
        <v>0.94166666666569654</v>
      </c>
      <c r="AG122" s="128">
        <f>Table2[[#This Row],[ATA TO UNLOADING]]*24</f>
        <v>22.599999999976717</v>
      </c>
      <c r="AH122" s="128" t="str">
        <f>IF(Table2[[#This Row],[ATA TO UNLOADING 2]]&lt;=48,"YES","NO")</f>
        <v>YES</v>
      </c>
      <c r="AJ122" s="129">
        <f t="shared" si="33"/>
        <v>0.5625</v>
      </c>
      <c r="AK122" s="2" t="s">
        <v>64</v>
      </c>
      <c r="AL122" s="2" t="str">
        <f t="shared" si="34"/>
        <v>4/26</v>
      </c>
      <c r="AM122" s="2" t="str">
        <f t="shared" si="35"/>
        <v>TTNU1228436</v>
      </c>
      <c r="AN122" s="130" t="str">
        <f t="shared" si="36"/>
        <v>LOGIX</v>
      </c>
      <c r="AO122" s="141">
        <f>IF($O122="TRUCK",
VLOOKUP($AU122,Invoicing!$A$16:$B$56,MATCH($AO$1,Invoicing!$A$16:$B$16,0),FALSE)+IF(OR($B122="DCD",$B122="HPD2"),23.5,0),
VLOOKUP($AU122,Invoicing!$N$15:$O$19,MATCH($AO$1,Invoicing!$N$15:$O$15,0),FALSE)+IF(OR($B122="DCD",$B122="HPD2"),23.5,0))</f>
        <v>573.5</v>
      </c>
      <c r="AP122" s="131" t="e">
        <f>VLOOKUP($E122,Invoicing!$A$1:$H$12,MATCH(TRACKER!$P122,Invoicing!$A$1:$H$1,0),FALSE)</f>
        <v>#N/A</v>
      </c>
      <c r="AQ122" s="131">
        <f>VLOOKUP($E122,Invoicing!$A$1:$H$12,MATCH(TRACKER!$Q$1,Invoicing!$A$1:$H$1,0),FALSE)</f>
        <v>50</v>
      </c>
      <c r="AR122" s="131">
        <f t="shared" si="42"/>
        <v>50</v>
      </c>
      <c r="AS122" s="2">
        <f t="shared" si="38"/>
        <v>5</v>
      </c>
      <c r="AT122" s="2" t="str">
        <f t="shared" si="41"/>
        <v>WEEK</v>
      </c>
      <c r="AU122" s="2" t="str">
        <f t="shared" si="39"/>
        <v>LOGIXWEEK</v>
      </c>
      <c r="AV122" s="94">
        <f>(IF(ISNA(AP122),AO122+AR122,SUM($AO122,$AR122,IFERROR($AP122,"0"))))+Table2[[#This Row],[WAITING TIMES]]</f>
        <v>623.5</v>
      </c>
      <c r="AW122" s="94">
        <f>VLOOKUP(AN122,Invoicing!A:K,11,FALSE)</f>
        <v>20</v>
      </c>
      <c r="AY122" s="48"/>
      <c r="AZ122" s="94">
        <f t="shared" si="40"/>
        <v>643.5</v>
      </c>
      <c r="BA122" s="133">
        <f>VLOOKUP(AN122,Invoicing!A:J,10,FALSE)</f>
        <v>70</v>
      </c>
      <c r="BB122" s="133">
        <f>VLOOKUP(AN122,Invoicing!A:L,12,FALSE)</f>
        <v>1</v>
      </c>
      <c r="BC122" s="2" t="s">
        <v>66</v>
      </c>
    </row>
    <row r="123" spans="1:55">
      <c r="A123" s="38" t="s">
        <v>289</v>
      </c>
      <c r="B123" s="3" t="s">
        <v>77</v>
      </c>
      <c r="C123" s="11">
        <v>46045.997916666667</v>
      </c>
      <c r="D123" s="11">
        <v>46046.25</v>
      </c>
      <c r="E123" s="11" t="s">
        <v>83</v>
      </c>
      <c r="F123" s="11" t="s">
        <v>290</v>
      </c>
      <c r="G123" s="11" t="s">
        <v>59</v>
      </c>
      <c r="H123" s="11" t="s">
        <v>91</v>
      </c>
      <c r="I123" s="3" t="s">
        <v>291</v>
      </c>
      <c r="J123" s="86" t="s">
        <v>82</v>
      </c>
      <c r="K123" s="11">
        <v>46047.25</v>
      </c>
      <c r="L123" s="12">
        <v>46047.254861111112</v>
      </c>
      <c r="M123" s="12">
        <v>46047.25</v>
      </c>
      <c r="N123" s="12">
        <v>46047.270833333336</v>
      </c>
      <c r="O123" s="12" t="s">
        <v>63</v>
      </c>
      <c r="P123" s="85" t="s">
        <v>64</v>
      </c>
      <c r="Q123" s="3">
        <v>0</v>
      </c>
      <c r="R123" s="1">
        <f t="shared" si="22"/>
        <v>4</v>
      </c>
      <c r="S123" s="1">
        <f t="shared" si="23"/>
        <v>1</v>
      </c>
      <c r="T123" s="126">
        <f t="shared" si="24"/>
        <v>46047.254861111112</v>
      </c>
      <c r="U123" s="127">
        <f t="shared" si="25"/>
        <v>1.2520833333328483</v>
      </c>
      <c r="V123" s="128">
        <f>Table2[[#This Row],[ATA A OFRECIMIENTO]]*24</f>
        <v>30.049999999988358</v>
      </c>
      <c r="W123" s="1" t="str">
        <f t="shared" si="26"/>
        <v>YES</v>
      </c>
      <c r="X123" s="127">
        <f t="shared" si="27"/>
        <v>0</v>
      </c>
      <c r="Y123" s="128">
        <f>Table2[[#This Row],[DEL. AVAILABLE A SLOT]]*24</f>
        <v>0</v>
      </c>
      <c r="Z123" s="1" t="str">
        <f t="shared" si="28"/>
        <v>SI</v>
      </c>
      <c r="AA123" s="127">
        <f t="shared" si="29"/>
        <v>1.2520833333328483</v>
      </c>
      <c r="AB123" s="128">
        <f>Table2[[#This Row],[ATA A TIMESLOT]]*24</f>
        <v>30.049999999988358</v>
      </c>
      <c r="AC123" s="127">
        <f t="shared" si="30"/>
        <v>4.8611111124046147E-3</v>
      </c>
      <c r="AD123" s="127" t="str">
        <f t="shared" si="31"/>
        <v>SI</v>
      </c>
      <c r="AE123" s="128">
        <f>Table2[[#This Row],[PUNTUALIDAD (H)]]*24</f>
        <v>0.11666666669771075</v>
      </c>
      <c r="AF123" s="127">
        <f t="shared" si="32"/>
        <v>1.2729166666686069</v>
      </c>
      <c r="AG123" s="128">
        <f>Table2[[#This Row],[ATA TO UNLOADING]]*24</f>
        <v>30.550000000046566</v>
      </c>
      <c r="AH123" s="128" t="str">
        <f>IF(Table2[[#This Row],[ATA TO UNLOADING 2]]&lt;=48,"YES","NO")</f>
        <v>YES</v>
      </c>
      <c r="AJ123" s="129">
        <f t="shared" si="33"/>
        <v>0.25</v>
      </c>
      <c r="AK123" s="2" t="s">
        <v>64</v>
      </c>
      <c r="AL123" s="2" t="str">
        <f t="shared" si="34"/>
        <v>4/26</v>
      </c>
      <c r="AM123" s="2" t="str">
        <f t="shared" si="35"/>
        <v>MRKU9462370</v>
      </c>
      <c r="AN123" s="130" t="str">
        <f t="shared" si="36"/>
        <v>OM TRANSPORT</v>
      </c>
      <c r="AO123" s="141">
        <f>IF($O123="TRUCK",
VLOOKUP($AU123,Invoicing!$A$16:$B$56,MATCH($AO$1,Invoicing!$A$16:$B$16,0),FALSE)+IF(OR($B123="DCD",$B123="HPD2"),23.5,0),
VLOOKUP($AU123,Invoicing!$N$15:$O$19,MATCH($AO$1,Invoicing!$N$15:$O$15,0),FALSE)+IF(OR($B123="DCD",$B123="HPD2"),23.5,0))</f>
        <v>573.5</v>
      </c>
      <c r="AP123" s="131" t="e">
        <f>VLOOKUP($E123,Invoicing!$A$1:$H$12,MATCH(TRACKER!$P123,Invoicing!$A$1:$H$1,0),FALSE)</f>
        <v>#N/A</v>
      </c>
      <c r="AQ123" s="131">
        <f>VLOOKUP($E123,Invoicing!$A$1:$H$12,MATCH(TRACKER!$Q$1,Invoicing!$A$1:$H$1,0),FALSE)</f>
        <v>50</v>
      </c>
      <c r="AR123" s="131">
        <f t="shared" si="42"/>
        <v>0</v>
      </c>
      <c r="AS123" s="2">
        <f t="shared" si="38"/>
        <v>7</v>
      </c>
      <c r="AT123" s="2" t="str">
        <f t="shared" si="41"/>
        <v>SUNDAY</v>
      </c>
      <c r="AU123" s="2" t="str">
        <f t="shared" si="39"/>
        <v>OM TRANSPORTSUNDAY</v>
      </c>
      <c r="AV123" s="94">
        <f>(IF(ISNA(AP123),AO123+AR123,SUM($AO123,$AR123,IFERROR($AP123,"0"))))+Table2[[#This Row],[WAITING TIMES]]</f>
        <v>573.5</v>
      </c>
      <c r="AW123" s="94">
        <f>VLOOKUP(AN123,Invoicing!A:K,11,FALSE)</f>
        <v>20</v>
      </c>
      <c r="AY123" s="48"/>
      <c r="AZ123" s="94">
        <f t="shared" si="40"/>
        <v>593.5</v>
      </c>
      <c r="BA123" s="133">
        <f>VLOOKUP(AN123,Invoicing!A:J,10,FALSE)</f>
        <v>70</v>
      </c>
      <c r="BB123" s="133">
        <f>VLOOKUP(AN123,Invoicing!A:L,12,FALSE)</f>
        <v>1</v>
      </c>
      <c r="BC123" s="2" t="s">
        <v>66</v>
      </c>
    </row>
    <row r="124" spans="1:55">
      <c r="A124" s="38" t="s">
        <v>289</v>
      </c>
      <c r="B124" s="3" t="s">
        <v>77</v>
      </c>
      <c r="C124" s="11">
        <v>46045.997916666667</v>
      </c>
      <c r="D124" s="11">
        <v>46046.25</v>
      </c>
      <c r="E124" s="11" t="s">
        <v>98</v>
      </c>
      <c r="F124" s="11" t="s">
        <v>292</v>
      </c>
      <c r="G124" s="11" t="s">
        <v>59</v>
      </c>
      <c r="H124" s="11" t="s">
        <v>91</v>
      </c>
      <c r="I124" s="3" t="s">
        <v>293</v>
      </c>
      <c r="J124" s="86" t="s">
        <v>82</v>
      </c>
      <c r="K124" s="11">
        <v>46047.25</v>
      </c>
      <c r="L124" s="12">
        <v>46047.212500000001</v>
      </c>
      <c r="M124" s="12">
        <v>46047.25</v>
      </c>
      <c r="N124" s="12">
        <v>46047.298611111109</v>
      </c>
      <c r="O124" s="12" t="s">
        <v>63</v>
      </c>
      <c r="P124" s="85" t="s">
        <v>15</v>
      </c>
      <c r="Q124" s="3">
        <v>0</v>
      </c>
      <c r="R124" s="1">
        <f t="shared" si="22"/>
        <v>4</v>
      </c>
      <c r="S124" s="1">
        <f t="shared" si="23"/>
        <v>1</v>
      </c>
      <c r="T124" s="126">
        <f t="shared" si="24"/>
        <v>46047.212500000001</v>
      </c>
      <c r="U124" s="127">
        <f t="shared" si="25"/>
        <v>1.2520833333328483</v>
      </c>
      <c r="V124" s="128">
        <f>Table2[[#This Row],[ATA A OFRECIMIENTO]]*24</f>
        <v>30.049999999988358</v>
      </c>
      <c r="W124" s="1" t="str">
        <f t="shared" si="26"/>
        <v>YES</v>
      </c>
      <c r="X124" s="127">
        <f t="shared" si="27"/>
        <v>0</v>
      </c>
      <c r="Y124" s="128">
        <f>Table2[[#This Row],[DEL. AVAILABLE A SLOT]]*24</f>
        <v>0</v>
      </c>
      <c r="Z124" s="1" t="str">
        <f t="shared" si="28"/>
        <v>SI</v>
      </c>
      <c r="AA124" s="127">
        <f t="shared" si="29"/>
        <v>1.2520833333328483</v>
      </c>
      <c r="AB124" s="128">
        <f>Table2[[#This Row],[ATA A TIMESLOT]]*24</f>
        <v>30.049999999988358</v>
      </c>
      <c r="AC124" s="127">
        <f t="shared" si="30"/>
        <v>0</v>
      </c>
      <c r="AD124" s="127" t="str">
        <f t="shared" si="31"/>
        <v>SI</v>
      </c>
      <c r="AE124" s="128">
        <f>Table2[[#This Row],[PUNTUALIDAD (H)]]*24</f>
        <v>0</v>
      </c>
      <c r="AF124" s="127">
        <f t="shared" si="32"/>
        <v>1.3006944444423425</v>
      </c>
      <c r="AG124" s="128">
        <f>Table2[[#This Row],[ATA TO UNLOADING]]*24</f>
        <v>31.21666666661622</v>
      </c>
      <c r="AH124" s="128" t="str">
        <f>IF(Table2[[#This Row],[ATA TO UNLOADING 2]]&lt;=48,"YES","NO")</f>
        <v>YES</v>
      </c>
      <c r="AJ124" s="129">
        <f t="shared" si="33"/>
        <v>0.25</v>
      </c>
      <c r="AK124" s="2" t="s">
        <v>64</v>
      </c>
      <c r="AL124" s="2" t="str">
        <f t="shared" si="34"/>
        <v>4/26</v>
      </c>
      <c r="AM124" s="2" t="str">
        <f t="shared" si="35"/>
        <v>UETU6704740</v>
      </c>
      <c r="AN124" s="130" t="str">
        <f t="shared" si="36"/>
        <v>MSI</v>
      </c>
      <c r="AO124" s="141">
        <f>IF($O124="TRUCK",
VLOOKUP($AU124,Invoicing!$A$16:$B$56,MATCH($AO$1,Invoicing!$A$16:$B$16,0),FALSE)+IF(OR($B124="DCD",$B124="HPD2"),23.5,0),
VLOOKUP($AU124,Invoicing!$N$15:$O$19,MATCH($AO$1,Invoicing!$N$15:$O$15,0),FALSE)+IF(OR($B124="DCD",$B124="HPD2"),23.5,0))</f>
        <v>523.5</v>
      </c>
      <c r="AP124" s="131">
        <f>VLOOKUP($E124,Invoicing!$A$1:$H$12,MATCH(TRACKER!$P124,Invoicing!$A$1:$H$1,0),FALSE)</f>
        <v>120</v>
      </c>
      <c r="AQ124" s="131">
        <f>VLOOKUP($E124,Invoicing!$A$1:$H$12,MATCH(TRACKER!$Q$1,Invoicing!$A$1:$H$1,0),FALSE)</f>
        <v>50</v>
      </c>
      <c r="AR124" s="131">
        <f t="shared" si="42"/>
        <v>0</v>
      </c>
      <c r="AS124" s="2">
        <f t="shared" si="38"/>
        <v>7</v>
      </c>
      <c r="AT124" s="2" t="str">
        <f t="shared" si="41"/>
        <v>SUNDAY</v>
      </c>
      <c r="AU124" s="2" t="str">
        <f t="shared" si="39"/>
        <v>MSISUNDAY</v>
      </c>
      <c r="AV124" s="94">
        <f>(IF(ISNA(AP124),AO124+AR124,SUM($AO124,$AR124,IFERROR($AP124,"0"))))+Table2[[#This Row],[WAITING TIMES]]</f>
        <v>643.5</v>
      </c>
      <c r="AW124" s="94">
        <f>VLOOKUP(AN124,Invoicing!A:K,11,FALSE)</f>
        <v>20</v>
      </c>
      <c r="AY124" s="48"/>
      <c r="AZ124" s="94">
        <f t="shared" si="40"/>
        <v>663.5</v>
      </c>
      <c r="BA124" s="133">
        <f>VLOOKUP(AN124,Invoicing!A:J,10,FALSE)</f>
        <v>70</v>
      </c>
      <c r="BB124" s="133">
        <f>VLOOKUP(AN124,Invoicing!A:L,12,FALSE)</f>
        <v>1</v>
      </c>
      <c r="BC124" s="2" t="s">
        <v>66</v>
      </c>
    </row>
    <row r="125" spans="1:55">
      <c r="A125" s="38" t="s">
        <v>289</v>
      </c>
      <c r="B125" s="3" t="s">
        <v>77</v>
      </c>
      <c r="C125" s="11">
        <v>46045.997916666667</v>
      </c>
      <c r="D125" s="11">
        <v>46046.25</v>
      </c>
      <c r="E125" s="11" t="s">
        <v>83</v>
      </c>
      <c r="F125" s="11" t="s">
        <v>294</v>
      </c>
      <c r="G125" s="11" t="s">
        <v>133</v>
      </c>
      <c r="H125" s="11" t="s">
        <v>91</v>
      </c>
      <c r="I125" s="3" t="s">
        <v>295</v>
      </c>
      <c r="J125" s="86" t="s">
        <v>62</v>
      </c>
      <c r="K125" s="11">
        <v>46047.25</v>
      </c>
      <c r="L125" s="12">
        <v>46047.319444444445</v>
      </c>
      <c r="M125" s="12">
        <v>46047.291666666664</v>
      </c>
      <c r="N125" s="12">
        <v>46047.347222222219</v>
      </c>
      <c r="O125" s="12" t="s">
        <v>63</v>
      </c>
      <c r="P125" s="85" t="s">
        <v>64</v>
      </c>
      <c r="Q125" s="3">
        <v>0</v>
      </c>
      <c r="R125" s="1">
        <f t="shared" si="22"/>
        <v>4</v>
      </c>
      <c r="S125" s="1">
        <f t="shared" si="23"/>
        <v>1</v>
      </c>
      <c r="T125" s="126">
        <f t="shared" si="24"/>
        <v>46047.319444444445</v>
      </c>
      <c r="U125" s="127">
        <f t="shared" si="25"/>
        <v>1.2520833333328483</v>
      </c>
      <c r="V125" s="128">
        <f>Table2[[#This Row],[ATA A OFRECIMIENTO]]*24</f>
        <v>30.049999999988358</v>
      </c>
      <c r="W125" s="1" t="str">
        <f t="shared" si="26"/>
        <v>YES</v>
      </c>
      <c r="X125" s="127">
        <f t="shared" si="27"/>
        <v>4.1666666664241347E-2</v>
      </c>
      <c r="Y125" s="128">
        <f>Table2[[#This Row],[DEL. AVAILABLE A SLOT]]*24</f>
        <v>0.99999999994179234</v>
      </c>
      <c r="Z125" s="1" t="str">
        <f t="shared" si="28"/>
        <v>SI</v>
      </c>
      <c r="AA125" s="127">
        <f t="shared" si="29"/>
        <v>1.2937499999970896</v>
      </c>
      <c r="AB125" s="128">
        <f>Table2[[#This Row],[ATA A TIMESLOT]]*24</f>
        <v>31.049999999930151</v>
      </c>
      <c r="AC125" s="127">
        <f t="shared" si="30"/>
        <v>2.7777777781011537E-2</v>
      </c>
      <c r="AD125" s="127" t="str">
        <f t="shared" si="31"/>
        <v>NO</v>
      </c>
      <c r="AE125" s="128">
        <f>Table2[[#This Row],[PUNTUALIDAD (H)]]*24</f>
        <v>0.66666666674427688</v>
      </c>
      <c r="AF125" s="127">
        <f t="shared" si="32"/>
        <v>1.3493055555518367</v>
      </c>
      <c r="AG125" s="128">
        <f>Table2[[#This Row],[ATA TO UNLOADING]]*24</f>
        <v>32.383333333244082</v>
      </c>
      <c r="AH125" s="128" t="str">
        <f>IF(Table2[[#This Row],[ATA TO UNLOADING 2]]&lt;=48,"YES","NO")</f>
        <v>YES</v>
      </c>
      <c r="AJ125" s="129">
        <f t="shared" si="33"/>
        <v>0.29166666666424135</v>
      </c>
      <c r="AK125" s="2" t="s">
        <v>64</v>
      </c>
      <c r="AL125" s="2" t="str">
        <f t="shared" si="34"/>
        <v>4/26</v>
      </c>
      <c r="AM125" s="2" t="str">
        <f t="shared" si="35"/>
        <v>HAMU3628130</v>
      </c>
      <c r="AN125" s="130" t="str">
        <f t="shared" si="36"/>
        <v>OM TRANSPORT</v>
      </c>
      <c r="AO125" s="141">
        <f>IF($O125="TRUCK",
VLOOKUP($AU125,Invoicing!$A$16:$B$56,MATCH($AO$1,Invoicing!$A$16:$B$16,0),FALSE)+IF(OR($B125="DCD",$B125="HPD2"),23.5,0),
VLOOKUP($AU125,Invoicing!$N$15:$O$19,MATCH($AO$1,Invoicing!$N$15:$O$15,0),FALSE)+IF(OR($B125="DCD",$B125="HPD2"),23.5,0))</f>
        <v>573.5</v>
      </c>
      <c r="AP125" s="131" t="e">
        <f>VLOOKUP($E125,Invoicing!$A$1:$H$12,MATCH(TRACKER!$P125,Invoicing!$A$1:$H$1,0),FALSE)</f>
        <v>#N/A</v>
      </c>
      <c r="AQ125" s="131">
        <f>VLOOKUP($E125,Invoicing!$A$1:$H$12,MATCH(TRACKER!$Q$1,Invoicing!$A$1:$H$1,0),FALSE)</f>
        <v>50</v>
      </c>
      <c r="AR125" s="131">
        <f t="shared" si="42"/>
        <v>0</v>
      </c>
      <c r="AS125" s="2">
        <f t="shared" si="38"/>
        <v>7</v>
      </c>
      <c r="AT125" s="2" t="str">
        <f t="shared" si="41"/>
        <v>SUNDAY</v>
      </c>
      <c r="AU125" s="2" t="str">
        <f t="shared" si="39"/>
        <v>OM TRANSPORTSUNDAY</v>
      </c>
      <c r="AV125" s="94">
        <f>(IF(ISNA(AP125),AO125+AR125,SUM($AO125,$AR125,IFERROR($AP125,"0"))))+Table2[[#This Row],[WAITING TIMES]]</f>
        <v>573.5</v>
      </c>
      <c r="AW125" s="94">
        <f>VLOOKUP(AN125,Invoicing!A:K,11,FALSE)</f>
        <v>20</v>
      </c>
      <c r="AY125" s="48"/>
      <c r="AZ125" s="94">
        <f t="shared" si="40"/>
        <v>593.5</v>
      </c>
      <c r="BA125" s="133">
        <f>VLOOKUP(AN125,Invoicing!A:J,10,FALSE)</f>
        <v>70</v>
      </c>
      <c r="BB125" s="133">
        <f>VLOOKUP(AN125,Invoicing!A:L,12,FALSE)</f>
        <v>1</v>
      </c>
      <c r="BC125" s="2" t="s">
        <v>66</v>
      </c>
    </row>
    <row r="126" spans="1:55">
      <c r="A126" s="38" t="s">
        <v>289</v>
      </c>
      <c r="B126" s="3" t="s">
        <v>77</v>
      </c>
      <c r="C126" s="11">
        <v>46045.997916666667</v>
      </c>
      <c r="D126" s="11">
        <v>46046.25</v>
      </c>
      <c r="E126" s="11" t="s">
        <v>71</v>
      </c>
      <c r="F126" s="11" t="s">
        <v>296</v>
      </c>
      <c r="G126" s="11" t="s">
        <v>59</v>
      </c>
      <c r="H126" s="11" t="s">
        <v>91</v>
      </c>
      <c r="I126" s="3" t="s">
        <v>297</v>
      </c>
      <c r="J126" s="86" t="s">
        <v>82</v>
      </c>
      <c r="K126" s="11">
        <v>46047.25</v>
      </c>
      <c r="L126" s="12">
        <v>46047.32916666667</v>
      </c>
      <c r="M126" s="12">
        <v>46047.333333333336</v>
      </c>
      <c r="N126" s="12">
        <v>46047.340277777781</v>
      </c>
      <c r="O126" s="12" t="s">
        <v>63</v>
      </c>
      <c r="P126" s="85" t="s">
        <v>64</v>
      </c>
      <c r="Q126" s="3">
        <v>0</v>
      </c>
      <c r="R126" s="1">
        <f t="shared" si="22"/>
        <v>4</v>
      </c>
      <c r="S126" s="1">
        <f t="shared" si="23"/>
        <v>1</v>
      </c>
      <c r="T126" s="126">
        <f t="shared" si="24"/>
        <v>46047.32916666667</v>
      </c>
      <c r="U126" s="127">
        <f t="shared" si="25"/>
        <v>1.2520833333328483</v>
      </c>
      <c r="V126" s="128">
        <f>Table2[[#This Row],[ATA A OFRECIMIENTO]]*24</f>
        <v>30.049999999988358</v>
      </c>
      <c r="W126" s="1" t="str">
        <f t="shared" si="26"/>
        <v>YES</v>
      </c>
      <c r="X126" s="127">
        <f t="shared" si="27"/>
        <v>8.3333333335758653E-2</v>
      </c>
      <c r="Y126" s="128">
        <f>Table2[[#This Row],[DEL. AVAILABLE A SLOT]]*24</f>
        <v>2.0000000000582077</v>
      </c>
      <c r="Z126" s="1" t="str">
        <f t="shared" si="28"/>
        <v>SI</v>
      </c>
      <c r="AA126" s="127">
        <f t="shared" si="29"/>
        <v>1.3354166666686069</v>
      </c>
      <c r="AB126" s="128">
        <f>Table2[[#This Row],[ATA A TIMESLOT]]*24</f>
        <v>32.050000000046566</v>
      </c>
      <c r="AC126" s="127">
        <f t="shared" si="30"/>
        <v>0</v>
      </c>
      <c r="AD126" s="127" t="str">
        <f t="shared" si="31"/>
        <v>SI</v>
      </c>
      <c r="AE126" s="128">
        <f>Table2[[#This Row],[PUNTUALIDAD (H)]]*24</f>
        <v>0</v>
      </c>
      <c r="AF126" s="127">
        <f t="shared" si="32"/>
        <v>1.3423611111138598</v>
      </c>
      <c r="AG126" s="128">
        <f>Table2[[#This Row],[ATA TO UNLOADING]]*24</f>
        <v>32.216666666732635</v>
      </c>
      <c r="AH126" s="128" t="str">
        <f>IF(Table2[[#This Row],[ATA TO UNLOADING 2]]&lt;=48,"YES","NO")</f>
        <v>YES</v>
      </c>
      <c r="AJ126" s="129">
        <f t="shared" si="33"/>
        <v>0.33333333333575865</v>
      </c>
      <c r="AK126" s="2" t="s">
        <v>64</v>
      </c>
      <c r="AL126" s="2" t="str">
        <f t="shared" si="34"/>
        <v>4/26</v>
      </c>
      <c r="AM126" s="2" t="str">
        <f t="shared" si="35"/>
        <v>MRKU7607263</v>
      </c>
      <c r="AN126" s="130" t="str">
        <f t="shared" si="36"/>
        <v>LOGIX</v>
      </c>
      <c r="AO126" s="141">
        <f>IF($O126="TRUCK",
VLOOKUP($AU126,Invoicing!$A$16:$B$56,MATCH($AO$1,Invoicing!$A$16:$B$16,0),FALSE)+IF(OR($B126="DCD",$B126="HPD2"),23.5,0),
VLOOKUP($AU126,Invoicing!$N$15:$O$19,MATCH($AO$1,Invoicing!$N$15:$O$15,0),FALSE)+IF(OR($B126="DCD",$B126="HPD2"),23.5,0))</f>
        <v>573.5</v>
      </c>
      <c r="AP126" s="131" t="e">
        <f>VLOOKUP($E126,Invoicing!$A$1:$H$12,MATCH(TRACKER!$P126,Invoicing!$A$1:$H$1,0),FALSE)</f>
        <v>#N/A</v>
      </c>
      <c r="AQ126" s="131">
        <f>VLOOKUP($E126,Invoicing!$A$1:$H$12,MATCH(TRACKER!$Q$1,Invoicing!$A$1:$H$1,0),FALSE)</f>
        <v>50</v>
      </c>
      <c r="AR126" s="131">
        <f t="shared" si="42"/>
        <v>0</v>
      </c>
      <c r="AS126" s="2">
        <f t="shared" si="38"/>
        <v>7</v>
      </c>
      <c r="AT126" s="2" t="str">
        <f t="shared" si="41"/>
        <v>SUNDAY</v>
      </c>
      <c r="AU126" s="2" t="str">
        <f t="shared" si="39"/>
        <v>LOGIXSUNDAY</v>
      </c>
      <c r="AV126" s="94">
        <f>(IF(ISNA(AP126),AO126+AR126,SUM($AO126,$AR126,IFERROR($AP126,"0"))))+Table2[[#This Row],[WAITING TIMES]]</f>
        <v>573.5</v>
      </c>
      <c r="AW126" s="94">
        <f>VLOOKUP(AN126,Invoicing!A:K,11,FALSE)</f>
        <v>20</v>
      </c>
      <c r="AY126" s="48"/>
      <c r="AZ126" s="94">
        <f t="shared" si="40"/>
        <v>593.5</v>
      </c>
      <c r="BA126" s="133">
        <f>VLOOKUP(AN126,Invoicing!A:J,10,FALSE)</f>
        <v>70</v>
      </c>
      <c r="BB126" s="133">
        <f>VLOOKUP(AN126,Invoicing!A:L,12,FALSE)</f>
        <v>1</v>
      </c>
      <c r="BC126" s="2" t="s">
        <v>66</v>
      </c>
    </row>
    <row r="127" spans="1:55">
      <c r="A127" s="38" t="s">
        <v>289</v>
      </c>
      <c r="B127" s="3" t="s">
        <v>77</v>
      </c>
      <c r="C127" s="11">
        <v>46045.997916666667</v>
      </c>
      <c r="D127" s="11">
        <v>46046.25</v>
      </c>
      <c r="E127" s="11" t="s">
        <v>98</v>
      </c>
      <c r="F127" s="11" t="s">
        <v>290</v>
      </c>
      <c r="G127" s="11" t="s">
        <v>59</v>
      </c>
      <c r="H127" s="11" t="s">
        <v>91</v>
      </c>
      <c r="I127" s="3" t="s">
        <v>298</v>
      </c>
      <c r="J127" s="86" t="s">
        <v>100</v>
      </c>
      <c r="K127" s="11">
        <v>46047.25</v>
      </c>
      <c r="L127" s="12">
        <v>46047.336805555555</v>
      </c>
      <c r="M127" s="12">
        <v>46047.333333333336</v>
      </c>
      <c r="N127" s="12">
        <v>46047.34375</v>
      </c>
      <c r="O127" s="12" t="s">
        <v>63</v>
      </c>
      <c r="P127" s="85" t="s">
        <v>64</v>
      </c>
      <c r="Q127" s="3">
        <v>1</v>
      </c>
      <c r="R127" s="1">
        <f t="shared" si="22"/>
        <v>4</v>
      </c>
      <c r="S127" s="1">
        <f t="shared" si="23"/>
        <v>1</v>
      </c>
      <c r="T127" s="126">
        <f t="shared" si="24"/>
        <v>46047.336805555555</v>
      </c>
      <c r="U127" s="127">
        <f t="shared" si="25"/>
        <v>1.2520833333328483</v>
      </c>
      <c r="V127" s="128">
        <f>Table2[[#This Row],[ATA A OFRECIMIENTO]]*24</f>
        <v>30.049999999988358</v>
      </c>
      <c r="W127" s="1" t="str">
        <f t="shared" si="26"/>
        <v>YES</v>
      </c>
      <c r="X127" s="127">
        <f t="shared" si="27"/>
        <v>8.3333333335758653E-2</v>
      </c>
      <c r="Y127" s="128">
        <f>Table2[[#This Row],[DEL. AVAILABLE A SLOT]]*24</f>
        <v>2.0000000000582077</v>
      </c>
      <c r="Z127" s="1" t="str">
        <f t="shared" si="28"/>
        <v>SI</v>
      </c>
      <c r="AA127" s="127">
        <f t="shared" si="29"/>
        <v>1.3354166666686069</v>
      </c>
      <c r="AB127" s="128">
        <f>Table2[[#This Row],[ATA A TIMESLOT]]*24</f>
        <v>32.050000000046566</v>
      </c>
      <c r="AC127" s="127">
        <f t="shared" si="30"/>
        <v>3.4722222189884633E-3</v>
      </c>
      <c r="AD127" s="127" t="str">
        <f t="shared" si="31"/>
        <v>SI</v>
      </c>
      <c r="AE127" s="128">
        <f>Table2[[#This Row],[PUNTUALIDAD (H)]]*24</f>
        <v>8.3333333255723119E-2</v>
      </c>
      <c r="AF127" s="127">
        <f t="shared" si="32"/>
        <v>1.3458333333328483</v>
      </c>
      <c r="AG127" s="128">
        <f>Table2[[#This Row],[ATA TO UNLOADING]]*24</f>
        <v>32.299999999988358</v>
      </c>
      <c r="AH127" s="128" t="str">
        <f>IF(Table2[[#This Row],[ATA TO UNLOADING 2]]&lt;=48,"YES","NO")</f>
        <v>YES</v>
      </c>
      <c r="AJ127" s="129">
        <f t="shared" si="33"/>
        <v>0.33333333333575865</v>
      </c>
      <c r="AK127" s="2" t="s">
        <v>64</v>
      </c>
      <c r="AL127" s="2" t="str">
        <f t="shared" si="34"/>
        <v>4/26</v>
      </c>
      <c r="AM127" s="2" t="str">
        <f t="shared" si="35"/>
        <v>MRSU3224470</v>
      </c>
      <c r="AN127" s="130" t="str">
        <f t="shared" si="36"/>
        <v>MSI</v>
      </c>
      <c r="AO127" s="141">
        <f>IF($O127="TRUCK",
VLOOKUP($AU127,Invoicing!$A$16:$B$56,MATCH($AO$1,Invoicing!$A$16:$B$16,0),FALSE)+IF(OR($B127="DCD",$B127="HPD2"),23.5,0),
VLOOKUP($AU127,Invoicing!$N$15:$O$19,MATCH($AO$1,Invoicing!$N$15:$O$15,0),FALSE)+IF(OR($B127="DCD",$B127="HPD2"),23.5,0))</f>
        <v>523.5</v>
      </c>
      <c r="AP127" s="131" t="e">
        <f>VLOOKUP($E127,Invoicing!$A$1:$H$12,MATCH(TRACKER!$P127,Invoicing!$A$1:$H$1,0),FALSE)</f>
        <v>#N/A</v>
      </c>
      <c r="AQ127" s="131">
        <f>VLOOKUP($E127,Invoicing!$A$1:$H$12,MATCH(TRACKER!$Q$1,Invoicing!$A$1:$H$1,0),FALSE)</f>
        <v>50</v>
      </c>
      <c r="AR127" s="131">
        <f t="shared" si="42"/>
        <v>50</v>
      </c>
      <c r="AS127" s="2">
        <f t="shared" si="38"/>
        <v>7</v>
      </c>
      <c r="AT127" s="2" t="str">
        <f t="shared" si="41"/>
        <v>SUNDAY</v>
      </c>
      <c r="AU127" s="2" t="str">
        <f t="shared" si="39"/>
        <v>MSISUNDAY</v>
      </c>
      <c r="AV127" s="94">
        <f>(IF(ISNA(AP127),AO127+AR127,SUM($AO127,$AR127,IFERROR($AP127,"0"))))+Table2[[#This Row],[WAITING TIMES]]</f>
        <v>573.5</v>
      </c>
      <c r="AW127" s="94">
        <f>VLOOKUP(AN127,Invoicing!A:K,11,FALSE)</f>
        <v>20</v>
      </c>
      <c r="AY127" s="48"/>
      <c r="AZ127" s="94">
        <f t="shared" si="40"/>
        <v>593.5</v>
      </c>
      <c r="BA127" s="133">
        <f>VLOOKUP(AN127,Invoicing!A:J,10,FALSE)</f>
        <v>70</v>
      </c>
      <c r="BB127" s="133">
        <f>VLOOKUP(AN127,Invoicing!A:L,12,FALSE)</f>
        <v>1</v>
      </c>
      <c r="BC127" s="2" t="s">
        <v>66</v>
      </c>
    </row>
    <row r="128" spans="1:55">
      <c r="A128" s="38" t="s">
        <v>289</v>
      </c>
      <c r="B128" s="3" t="s">
        <v>77</v>
      </c>
      <c r="C128" s="11">
        <v>46045.997916666667</v>
      </c>
      <c r="D128" s="11">
        <v>46046.25</v>
      </c>
      <c r="E128" s="11" t="s">
        <v>83</v>
      </c>
      <c r="F128" s="11" t="s">
        <v>290</v>
      </c>
      <c r="G128" s="11" t="s">
        <v>59</v>
      </c>
      <c r="H128" s="11" t="s">
        <v>91</v>
      </c>
      <c r="I128" s="3" t="s">
        <v>299</v>
      </c>
      <c r="J128" s="86" t="s">
        <v>100</v>
      </c>
      <c r="K128" s="11">
        <v>46047.25</v>
      </c>
      <c r="L128" s="12">
        <v>46047.333333333336</v>
      </c>
      <c r="M128" s="12">
        <v>46047.333333333336</v>
      </c>
      <c r="N128" s="12">
        <v>46047.34375</v>
      </c>
      <c r="O128" s="12" t="s">
        <v>63</v>
      </c>
      <c r="P128" s="85" t="s">
        <v>64</v>
      </c>
      <c r="Q128" s="3">
        <v>0</v>
      </c>
      <c r="R128" s="1">
        <f t="shared" si="22"/>
        <v>4</v>
      </c>
      <c r="S128" s="1">
        <f t="shared" si="23"/>
        <v>1</v>
      </c>
      <c r="T128" s="126">
        <f t="shared" si="24"/>
        <v>46047.333333333336</v>
      </c>
      <c r="U128" s="127">
        <f t="shared" si="25"/>
        <v>1.2520833333328483</v>
      </c>
      <c r="V128" s="128">
        <f>Table2[[#This Row],[ATA A OFRECIMIENTO]]*24</f>
        <v>30.049999999988358</v>
      </c>
      <c r="W128" s="1" t="str">
        <f t="shared" si="26"/>
        <v>YES</v>
      </c>
      <c r="X128" s="127">
        <f t="shared" si="27"/>
        <v>8.3333333335758653E-2</v>
      </c>
      <c r="Y128" s="128">
        <f>Table2[[#This Row],[DEL. AVAILABLE A SLOT]]*24</f>
        <v>2.0000000000582077</v>
      </c>
      <c r="Z128" s="1" t="str">
        <f t="shared" si="28"/>
        <v>SI</v>
      </c>
      <c r="AA128" s="127">
        <f t="shared" si="29"/>
        <v>1.3354166666686069</v>
      </c>
      <c r="AB128" s="128">
        <f>Table2[[#This Row],[ATA A TIMESLOT]]*24</f>
        <v>32.050000000046566</v>
      </c>
      <c r="AC128" s="127">
        <f t="shared" si="30"/>
        <v>0</v>
      </c>
      <c r="AD128" s="127" t="str">
        <f t="shared" si="31"/>
        <v>SI</v>
      </c>
      <c r="AE128" s="128">
        <f>Table2[[#This Row],[PUNTUALIDAD (H)]]*24</f>
        <v>0</v>
      </c>
      <c r="AF128" s="127">
        <f t="shared" si="32"/>
        <v>1.3458333333328483</v>
      </c>
      <c r="AG128" s="128">
        <f>Table2[[#This Row],[ATA TO UNLOADING]]*24</f>
        <v>32.299999999988358</v>
      </c>
      <c r="AH128" s="128" t="str">
        <f>IF(Table2[[#This Row],[ATA TO UNLOADING 2]]&lt;=48,"YES","NO")</f>
        <v>YES</v>
      </c>
      <c r="AJ128" s="129">
        <f t="shared" si="33"/>
        <v>0.33333333333575865</v>
      </c>
      <c r="AK128" s="2" t="s">
        <v>64</v>
      </c>
      <c r="AL128" s="2" t="str">
        <f t="shared" si="34"/>
        <v>4/26</v>
      </c>
      <c r="AM128" s="2" t="str">
        <f t="shared" si="35"/>
        <v>MRSU6856290</v>
      </c>
      <c r="AN128" s="130" t="str">
        <f t="shared" si="36"/>
        <v>OM TRANSPORT</v>
      </c>
      <c r="AO128" s="141">
        <f>IF($O128="TRUCK",
VLOOKUP($AU128,Invoicing!$A$16:$B$56,MATCH($AO$1,Invoicing!$A$16:$B$16,0),FALSE)+IF(OR($B128="DCD",$B128="HPD2"),23.5,0),
VLOOKUP($AU128,Invoicing!$N$15:$O$19,MATCH($AO$1,Invoicing!$N$15:$O$15,0),FALSE)+IF(OR($B128="DCD",$B128="HPD2"),23.5,0))</f>
        <v>573.5</v>
      </c>
      <c r="AP128" s="131" t="e">
        <f>VLOOKUP($E128,Invoicing!$A$1:$H$12,MATCH(TRACKER!$P128,Invoicing!$A$1:$H$1,0),FALSE)</f>
        <v>#N/A</v>
      </c>
      <c r="AQ128" s="131">
        <f>VLOOKUP($E128,Invoicing!$A$1:$H$12,MATCH(TRACKER!$Q$1,Invoicing!$A$1:$H$1,0),FALSE)</f>
        <v>50</v>
      </c>
      <c r="AR128" s="131">
        <f t="shared" si="42"/>
        <v>0</v>
      </c>
      <c r="AS128" s="2">
        <f t="shared" si="38"/>
        <v>7</v>
      </c>
      <c r="AT128" s="2" t="str">
        <f t="shared" si="41"/>
        <v>SUNDAY</v>
      </c>
      <c r="AU128" s="2" t="str">
        <f t="shared" si="39"/>
        <v>OM TRANSPORTSUNDAY</v>
      </c>
      <c r="AV128" s="94">
        <f>(IF(ISNA(AP128),AO128+AR128,SUM($AO128,$AR128,IFERROR($AP128,"0"))))+Table2[[#This Row],[WAITING TIMES]]</f>
        <v>573.5</v>
      </c>
      <c r="AW128" s="94">
        <f>VLOOKUP(AN128,Invoicing!A:K,11,FALSE)</f>
        <v>20</v>
      </c>
      <c r="AY128" s="48"/>
      <c r="AZ128" s="94">
        <f t="shared" si="40"/>
        <v>593.5</v>
      </c>
      <c r="BA128" s="133">
        <f>VLOOKUP(AN128,Invoicing!A:J,10,FALSE)</f>
        <v>70</v>
      </c>
      <c r="BB128" s="133">
        <f>VLOOKUP(AN128,Invoicing!A:L,12,FALSE)</f>
        <v>1</v>
      </c>
      <c r="BC128" s="2" t="s">
        <v>66</v>
      </c>
    </row>
    <row r="129" spans="1:55">
      <c r="A129" s="38" t="s">
        <v>289</v>
      </c>
      <c r="B129" s="3" t="s">
        <v>77</v>
      </c>
      <c r="C129" s="11">
        <v>46045.997916666667</v>
      </c>
      <c r="D129" s="11">
        <v>46046.25</v>
      </c>
      <c r="E129" s="11" t="s">
        <v>98</v>
      </c>
      <c r="F129" s="11" t="s">
        <v>300</v>
      </c>
      <c r="G129" s="11" t="s">
        <v>59</v>
      </c>
      <c r="H129" s="11" t="s">
        <v>91</v>
      </c>
      <c r="I129" s="3" t="s">
        <v>301</v>
      </c>
      <c r="J129" s="86" t="s">
        <v>82</v>
      </c>
      <c r="K129" s="11">
        <v>46047.25</v>
      </c>
      <c r="L129" s="12">
        <v>46047.355555555558</v>
      </c>
      <c r="M129" s="12">
        <v>46047.375</v>
      </c>
      <c r="N129" s="12">
        <v>46047.385416666664</v>
      </c>
      <c r="O129" s="12" t="s">
        <v>63</v>
      </c>
      <c r="P129" s="85" t="s">
        <v>15</v>
      </c>
      <c r="Q129" s="3">
        <v>0</v>
      </c>
      <c r="R129" s="1">
        <f t="shared" si="22"/>
        <v>4</v>
      </c>
      <c r="S129" s="1">
        <f t="shared" si="23"/>
        <v>1</v>
      </c>
      <c r="T129" s="126">
        <f t="shared" si="24"/>
        <v>46047.355555555558</v>
      </c>
      <c r="U129" s="127">
        <f t="shared" si="25"/>
        <v>1.2520833333328483</v>
      </c>
      <c r="V129" s="128">
        <f>Table2[[#This Row],[ATA A OFRECIMIENTO]]*24</f>
        <v>30.049999999988358</v>
      </c>
      <c r="W129" s="1" t="str">
        <f t="shared" si="26"/>
        <v>YES</v>
      </c>
      <c r="X129" s="127">
        <f t="shared" si="27"/>
        <v>0.125</v>
      </c>
      <c r="Y129" s="128">
        <f>Table2[[#This Row],[DEL. AVAILABLE A SLOT]]*24</f>
        <v>3</v>
      </c>
      <c r="Z129" s="1" t="str">
        <f t="shared" si="28"/>
        <v>SI</v>
      </c>
      <c r="AA129" s="127">
        <f t="shared" si="29"/>
        <v>1.3770833333328483</v>
      </c>
      <c r="AB129" s="128">
        <f>Table2[[#This Row],[ATA A TIMESLOT]]*24</f>
        <v>33.049999999988358</v>
      </c>
      <c r="AC129" s="127">
        <f t="shared" si="30"/>
        <v>0</v>
      </c>
      <c r="AD129" s="127" t="str">
        <f t="shared" si="31"/>
        <v>SI</v>
      </c>
      <c r="AE129" s="128">
        <f>Table2[[#This Row],[PUNTUALIDAD (H)]]*24</f>
        <v>0</v>
      </c>
      <c r="AF129" s="127">
        <f t="shared" si="32"/>
        <v>1.3874999999970896</v>
      </c>
      <c r="AG129" s="128">
        <f>Table2[[#This Row],[ATA TO UNLOADING]]*24</f>
        <v>33.299999999930151</v>
      </c>
      <c r="AH129" s="128" t="str">
        <f>IF(Table2[[#This Row],[ATA TO UNLOADING 2]]&lt;=48,"YES","NO")</f>
        <v>YES</v>
      </c>
      <c r="AJ129" s="129">
        <f t="shared" si="33"/>
        <v>0.375</v>
      </c>
      <c r="AK129" s="2" t="s">
        <v>64</v>
      </c>
      <c r="AL129" s="2" t="str">
        <f t="shared" si="34"/>
        <v>4/26</v>
      </c>
      <c r="AM129" s="2" t="str">
        <f t="shared" si="35"/>
        <v>GCXU5772020</v>
      </c>
      <c r="AN129" s="130" t="str">
        <f t="shared" si="36"/>
        <v>MSI</v>
      </c>
      <c r="AO129" s="141">
        <f>IF($O129="TRUCK",
VLOOKUP($AU129,Invoicing!$A$16:$B$56,MATCH($AO$1,Invoicing!$A$16:$B$16,0),FALSE)+IF(OR($B129="DCD",$B129="HPD2"),23.5,0),
VLOOKUP($AU129,Invoicing!$N$15:$O$19,MATCH($AO$1,Invoicing!$N$15:$O$15,0),FALSE)+IF(OR($B129="DCD",$B129="HPD2"),23.5,0))</f>
        <v>523.5</v>
      </c>
      <c r="AP129" s="131">
        <f>VLOOKUP($E129,Invoicing!$A$1:$H$12,MATCH(TRACKER!$P129,Invoicing!$A$1:$H$1,0),FALSE)</f>
        <v>120</v>
      </c>
      <c r="AQ129" s="131">
        <f>VLOOKUP($E129,Invoicing!$A$1:$H$12,MATCH(TRACKER!$Q$1,Invoicing!$A$1:$H$1,0),FALSE)</f>
        <v>50</v>
      </c>
      <c r="AR129" s="131">
        <f t="shared" si="42"/>
        <v>0</v>
      </c>
      <c r="AS129" s="2">
        <f t="shared" si="38"/>
        <v>7</v>
      </c>
      <c r="AT129" s="2" t="str">
        <f t="shared" si="41"/>
        <v>SUNDAY</v>
      </c>
      <c r="AU129" s="2" t="str">
        <f t="shared" si="39"/>
        <v>MSISUNDAY</v>
      </c>
      <c r="AV129" s="94">
        <f>(IF(ISNA(AP129),AO129+AR129,SUM($AO129,$AR129,IFERROR($AP129,"0"))))+Table2[[#This Row],[WAITING TIMES]]</f>
        <v>763.5</v>
      </c>
      <c r="AW129" s="94">
        <f>VLOOKUP(AN129,Invoicing!A:K,11,FALSE)</f>
        <v>20</v>
      </c>
      <c r="AX129" s="48">
        <v>120</v>
      </c>
      <c r="AY129" s="48" t="s">
        <v>302</v>
      </c>
      <c r="AZ129" s="94">
        <f t="shared" si="40"/>
        <v>783.5</v>
      </c>
      <c r="BA129" s="133">
        <f>VLOOKUP(AN129,Invoicing!A:J,10,FALSE)</f>
        <v>70</v>
      </c>
      <c r="BB129" s="133">
        <f>VLOOKUP(AN129,Invoicing!A:L,12,FALSE)</f>
        <v>1</v>
      </c>
      <c r="BC129" s="2" t="s">
        <v>66</v>
      </c>
    </row>
    <row r="130" spans="1:55">
      <c r="A130" s="38" t="s">
        <v>289</v>
      </c>
      <c r="B130" s="3" t="s">
        <v>77</v>
      </c>
      <c r="C130" s="11">
        <v>46045.997916666667</v>
      </c>
      <c r="D130" s="11">
        <v>46046.25</v>
      </c>
      <c r="E130" s="11" t="s">
        <v>71</v>
      </c>
      <c r="F130" s="11" t="s">
        <v>290</v>
      </c>
      <c r="G130" s="11" t="s">
        <v>59</v>
      </c>
      <c r="H130" s="11" t="s">
        <v>91</v>
      </c>
      <c r="I130" s="3" t="s">
        <v>303</v>
      </c>
      <c r="J130" s="86" t="s">
        <v>100</v>
      </c>
      <c r="K130" s="11">
        <v>46047.25</v>
      </c>
      <c r="L130" s="12">
        <v>46047.4</v>
      </c>
      <c r="M130" s="12">
        <v>46047.395833333336</v>
      </c>
      <c r="N130" s="12">
        <v>46047.40625</v>
      </c>
      <c r="O130" s="12" t="s">
        <v>63</v>
      </c>
      <c r="P130" s="85" t="s">
        <v>64</v>
      </c>
      <c r="Q130" s="3">
        <v>0</v>
      </c>
      <c r="R130" s="1">
        <f t="shared" ref="R130:R193" si="43">IF(M130="","",WEEKNUM(T130,2))</f>
        <v>4</v>
      </c>
      <c r="S130" s="1">
        <f t="shared" ref="S130:S193" si="44">IF(M130="","",MONTH(T130))</f>
        <v>1</v>
      </c>
      <c r="T130" s="126">
        <f t="shared" ref="T130:T193" si="45">IF(ISBLANK(L130),IF(ISBLANK(N130),"00:00",N130),L130)</f>
        <v>46047.4</v>
      </c>
      <c r="U130" s="127">
        <f t="shared" ref="U130:U193" si="46">(K130-C130)</f>
        <v>1.2520833333328483</v>
      </c>
      <c r="V130" s="128">
        <f>Table2[[#This Row],[ATA A OFRECIMIENTO]]*24</f>
        <v>30.049999999988358</v>
      </c>
      <c r="W130" s="1" t="str">
        <f t="shared" ref="W130:W193" si="47">IF(U130="","",IF(U130&lt;=2,"YES","NO"))</f>
        <v>YES</v>
      </c>
      <c r="X130" s="127">
        <f t="shared" ref="X130:X193" si="48">(M130-K130)</f>
        <v>0.14583333333575865</v>
      </c>
      <c r="Y130" s="128">
        <f>Table2[[#This Row],[DEL. AVAILABLE A SLOT]]*24</f>
        <v>3.5000000000582077</v>
      </c>
      <c r="Z130" s="1" t="str">
        <f t="shared" ref="Z130:Z193" si="49">IF(X130="","",IF(X130&lt;=1,"SI","NO"))</f>
        <v>SI</v>
      </c>
      <c r="AA130" s="127">
        <f t="shared" ref="AA130:AA193" si="50">(M130-C130)</f>
        <v>1.3979166666686069</v>
      </c>
      <c r="AB130" s="128">
        <f>Table2[[#This Row],[ATA A TIMESLOT]]*24</f>
        <v>33.550000000046566</v>
      </c>
      <c r="AC130" s="127">
        <f t="shared" ref="AC130:AC193" si="51">IF(T130&lt; M130, TIME(0,0,0), T130-M130)</f>
        <v>4.166666665696539E-3</v>
      </c>
      <c r="AD130" s="127" t="str">
        <f t="shared" ref="AD130:AD193" si="52">IF(AC130&gt;TIME(0,40,0),"NO","SI")</f>
        <v>SI</v>
      </c>
      <c r="AE130" s="128">
        <f>Table2[[#This Row],[PUNTUALIDAD (H)]]*24</f>
        <v>9.9999999976716936E-2</v>
      </c>
      <c r="AF130" s="127">
        <f t="shared" ref="AF130:AF193" si="53">(N130-C130)</f>
        <v>1.4083333333328483</v>
      </c>
      <c r="AG130" s="128">
        <f>Table2[[#This Row],[ATA TO UNLOADING]]*24</f>
        <v>33.799999999988358</v>
      </c>
      <c r="AH130" s="128" t="str">
        <f>IF(Table2[[#This Row],[ATA TO UNLOADING 2]]&lt;=48,"YES","NO")</f>
        <v>YES</v>
      </c>
      <c r="AJ130" s="129">
        <f t="shared" ref="AJ130:AJ193" si="54">MOD(M130,1)</f>
        <v>0.39583333333575865</v>
      </c>
      <c r="AK130" s="2" t="s">
        <v>64</v>
      </c>
      <c r="AL130" s="2" t="str">
        <f t="shared" ref="AL130:AL193" si="55">IF(M130="","",_xlfn.ISOWEEKNUM(M130)&amp;"/"&amp;RIGHT(YEAR(M130),2))</f>
        <v>4/26</v>
      </c>
      <c r="AM130" s="2" t="str">
        <f t="shared" ref="AM130:AM193" si="56">I130</f>
        <v>MRSU5190846</v>
      </c>
      <c r="AN130" s="130" t="str">
        <f t="shared" ref="AN130:AN193" si="57">E130</f>
        <v>LOGIX</v>
      </c>
      <c r="AO130" s="141">
        <f>IF($O130="TRUCK",
VLOOKUP($AU130,Invoicing!$A$16:$B$56,MATCH($AO$1,Invoicing!$A$16:$B$16,0),FALSE)+IF(OR($B130="DCD",$B130="HPD2"),23.5,0),
VLOOKUP($AU130,Invoicing!$N$15:$O$19,MATCH($AO$1,Invoicing!$N$15:$O$15,0),FALSE)+IF(OR($B130="DCD",$B130="HPD2"),23.5,0))</f>
        <v>573.5</v>
      </c>
      <c r="AP130" s="131" t="e">
        <f>VLOOKUP($E130,Invoicing!$A$1:$H$12,MATCH(TRACKER!$P130,Invoicing!$A$1:$H$1,0),FALSE)</f>
        <v>#N/A</v>
      </c>
      <c r="AQ130" s="131">
        <f>VLOOKUP($E130,Invoicing!$A$1:$H$12,MATCH(TRACKER!$Q$1,Invoicing!$A$1:$H$1,0),FALSE)</f>
        <v>50</v>
      </c>
      <c r="AR130" s="131">
        <f t="shared" ref="AR130:AR163" si="58">IF($Q130&lt;&gt;0,$Q130*$AQ130,0)</f>
        <v>0</v>
      </c>
      <c r="AS130" s="2">
        <f t="shared" ref="AS130:AS193" si="59">WEEKDAY(M130,2)</f>
        <v>7</v>
      </c>
      <c r="AT130" s="2" t="str">
        <f t="shared" si="41"/>
        <v>SUNDAY</v>
      </c>
      <c r="AU130" s="2" t="str">
        <f t="shared" ref="AU130:AU193" si="60">AN130&amp;AT130</f>
        <v>LOGIXSUNDAY</v>
      </c>
      <c r="AV130" s="94">
        <f>(IF(ISNA(AP130),AO130+AR130,SUM($AO130,$AR130,IFERROR($AP130,"0"))))+Table2[[#This Row],[WAITING TIMES]]</f>
        <v>573.5</v>
      </c>
      <c r="AW130" s="94">
        <f>VLOOKUP(AN130,Invoicing!A:K,11,FALSE)</f>
        <v>20</v>
      </c>
      <c r="AY130" s="48"/>
      <c r="AZ130" s="94">
        <f t="shared" ref="AZ130:AZ193" si="61">AV130+AW130</f>
        <v>593.5</v>
      </c>
      <c r="BA130" s="133">
        <f>VLOOKUP(AN130,Invoicing!A:J,10,FALSE)</f>
        <v>70</v>
      </c>
      <c r="BB130" s="133">
        <f>VLOOKUP(AN130,Invoicing!A:L,12,FALSE)</f>
        <v>1</v>
      </c>
      <c r="BC130" s="2" t="s">
        <v>66</v>
      </c>
    </row>
    <row r="131" spans="1:55">
      <c r="A131" s="38" t="s">
        <v>289</v>
      </c>
      <c r="B131" s="3" t="s">
        <v>77</v>
      </c>
      <c r="C131" s="11">
        <v>46045.997916666667</v>
      </c>
      <c r="D131" s="11">
        <v>46046.25</v>
      </c>
      <c r="E131" s="11" t="s">
        <v>98</v>
      </c>
      <c r="F131" s="11" t="s">
        <v>296</v>
      </c>
      <c r="G131" s="11" t="s">
        <v>59</v>
      </c>
      <c r="H131" s="11" t="s">
        <v>91</v>
      </c>
      <c r="I131" s="3" t="s">
        <v>304</v>
      </c>
      <c r="J131" s="86" t="s">
        <v>100</v>
      </c>
      <c r="K131" s="11">
        <v>46047.25</v>
      </c>
      <c r="L131" s="12">
        <v>46047.370138888888</v>
      </c>
      <c r="M131" s="12">
        <v>46047.395833333336</v>
      </c>
      <c r="N131" s="12">
        <v>46047.385416666664</v>
      </c>
      <c r="O131" s="12" t="s">
        <v>63</v>
      </c>
      <c r="P131" s="85" t="s">
        <v>64</v>
      </c>
      <c r="Q131" s="3">
        <v>1</v>
      </c>
      <c r="R131" s="1">
        <f t="shared" si="43"/>
        <v>4</v>
      </c>
      <c r="S131" s="1">
        <f t="shared" si="44"/>
        <v>1</v>
      </c>
      <c r="T131" s="126">
        <f t="shared" si="45"/>
        <v>46047.370138888888</v>
      </c>
      <c r="U131" s="127">
        <f t="shared" si="46"/>
        <v>1.2520833333328483</v>
      </c>
      <c r="V131" s="128">
        <f>Table2[[#This Row],[ATA A OFRECIMIENTO]]*24</f>
        <v>30.049999999988358</v>
      </c>
      <c r="W131" s="1" t="str">
        <f t="shared" si="47"/>
        <v>YES</v>
      </c>
      <c r="X131" s="127">
        <f t="shared" si="48"/>
        <v>0.14583333333575865</v>
      </c>
      <c r="Y131" s="128">
        <f>Table2[[#This Row],[DEL. AVAILABLE A SLOT]]*24</f>
        <v>3.5000000000582077</v>
      </c>
      <c r="Z131" s="1" t="str">
        <f t="shared" si="49"/>
        <v>SI</v>
      </c>
      <c r="AA131" s="127">
        <f t="shared" si="50"/>
        <v>1.3979166666686069</v>
      </c>
      <c r="AB131" s="128">
        <f>Table2[[#This Row],[ATA A TIMESLOT]]*24</f>
        <v>33.550000000046566</v>
      </c>
      <c r="AC131" s="127">
        <f t="shared" si="51"/>
        <v>0</v>
      </c>
      <c r="AD131" s="127" t="str">
        <f t="shared" si="52"/>
        <v>SI</v>
      </c>
      <c r="AE131" s="128">
        <f>Table2[[#This Row],[PUNTUALIDAD (H)]]*24</f>
        <v>0</v>
      </c>
      <c r="AF131" s="127">
        <f t="shared" si="53"/>
        <v>1.3874999999970896</v>
      </c>
      <c r="AG131" s="128">
        <f>Table2[[#This Row],[ATA TO UNLOADING]]*24</f>
        <v>33.299999999930151</v>
      </c>
      <c r="AH131" s="128" t="str">
        <f>IF(Table2[[#This Row],[ATA TO UNLOADING 2]]&lt;=48,"YES","NO")</f>
        <v>YES</v>
      </c>
      <c r="AJ131" s="129">
        <f t="shared" si="54"/>
        <v>0.39583333333575865</v>
      </c>
      <c r="AK131" s="2" t="s">
        <v>64</v>
      </c>
      <c r="AL131" s="2" t="str">
        <f t="shared" si="55"/>
        <v>4/26</v>
      </c>
      <c r="AM131" s="2" t="str">
        <f t="shared" si="56"/>
        <v>UETU5614739</v>
      </c>
      <c r="AN131" s="130" t="str">
        <f t="shared" si="57"/>
        <v>MSI</v>
      </c>
      <c r="AO131" s="141">
        <f>IF($O131="TRUCK",
VLOOKUP($AU131,Invoicing!$A$16:$B$56,MATCH($AO$1,Invoicing!$A$16:$B$16,0),FALSE)+IF(OR($B131="DCD",$B131="HPD2"),23.5,0),
VLOOKUP($AU131,Invoicing!$N$15:$O$19,MATCH($AO$1,Invoicing!$N$15:$O$15,0),FALSE)+IF(OR($B131="DCD",$B131="HPD2"),23.5,0))</f>
        <v>523.5</v>
      </c>
      <c r="AP131" s="131" t="e">
        <f>VLOOKUP($E131,Invoicing!$A$1:$H$12,MATCH(TRACKER!$P131,Invoicing!$A$1:$H$1,0),FALSE)</f>
        <v>#N/A</v>
      </c>
      <c r="AQ131" s="131">
        <f>VLOOKUP($E131,Invoicing!$A$1:$H$12,MATCH(TRACKER!$Q$1,Invoicing!$A$1:$H$1,0),FALSE)</f>
        <v>50</v>
      </c>
      <c r="AR131" s="131">
        <f t="shared" si="58"/>
        <v>50</v>
      </c>
      <c r="AS131" s="2">
        <f t="shared" si="59"/>
        <v>7</v>
      </c>
      <c r="AT131" s="2" t="str">
        <f t="shared" ref="AT131:AT194" si="62">IF(AS131=7,"SUNDAY",IF(AS131=6,"SATURDAY",IF(AK131="NIGHT","NIGHT",IF(AS131&lt;=5,"WEEK","SUNDAY"))))</f>
        <v>SUNDAY</v>
      </c>
      <c r="AU131" s="2" t="str">
        <f t="shared" si="60"/>
        <v>MSISUNDAY</v>
      </c>
      <c r="AV131" s="94">
        <f>(IF(ISNA(AP131),AO131+AR131,SUM($AO131,$AR131,IFERROR($AP131,"0"))))+Table2[[#This Row],[WAITING TIMES]]</f>
        <v>573.5</v>
      </c>
      <c r="AW131" s="94">
        <f>VLOOKUP(AN131,Invoicing!A:K,11,FALSE)</f>
        <v>20</v>
      </c>
      <c r="AY131" s="48"/>
      <c r="AZ131" s="94">
        <f t="shared" si="61"/>
        <v>593.5</v>
      </c>
      <c r="BA131" s="133">
        <f>VLOOKUP(AN131,Invoicing!A:J,10,FALSE)</f>
        <v>70</v>
      </c>
      <c r="BB131" s="133">
        <f>VLOOKUP(AN131,Invoicing!A:L,12,FALSE)</f>
        <v>1</v>
      </c>
      <c r="BC131" s="2" t="s">
        <v>66</v>
      </c>
    </row>
    <row r="132" spans="1:55">
      <c r="A132" s="38" t="s">
        <v>289</v>
      </c>
      <c r="B132" s="3" t="s">
        <v>77</v>
      </c>
      <c r="C132" s="11">
        <v>46045.997916666667</v>
      </c>
      <c r="D132" s="11">
        <v>46046.25</v>
      </c>
      <c r="E132" s="11" t="s">
        <v>83</v>
      </c>
      <c r="F132" s="11" t="s">
        <v>305</v>
      </c>
      <c r="G132" s="11" t="s">
        <v>59</v>
      </c>
      <c r="H132" s="11" t="s">
        <v>91</v>
      </c>
      <c r="I132" s="3" t="s">
        <v>306</v>
      </c>
      <c r="J132" s="86" t="s">
        <v>82</v>
      </c>
      <c r="K132" s="11">
        <v>46047.25</v>
      </c>
      <c r="L132" s="12">
        <v>46047.414583333331</v>
      </c>
      <c r="M132" s="12">
        <v>46047.416666666664</v>
      </c>
      <c r="N132" s="12">
        <v>46047.447916666664</v>
      </c>
      <c r="O132" s="12" t="s">
        <v>63</v>
      </c>
      <c r="P132" s="85" t="s">
        <v>15</v>
      </c>
      <c r="Q132" s="3">
        <v>0</v>
      </c>
      <c r="R132" s="1">
        <f t="shared" si="43"/>
        <v>4</v>
      </c>
      <c r="S132" s="1">
        <f t="shared" si="44"/>
        <v>1</v>
      </c>
      <c r="T132" s="126">
        <f t="shared" si="45"/>
        <v>46047.414583333331</v>
      </c>
      <c r="U132" s="127">
        <f t="shared" si="46"/>
        <v>1.2520833333328483</v>
      </c>
      <c r="V132" s="128">
        <f>Table2[[#This Row],[ATA A OFRECIMIENTO]]*24</f>
        <v>30.049999999988358</v>
      </c>
      <c r="W132" s="1" t="str">
        <f t="shared" si="47"/>
        <v>YES</v>
      </c>
      <c r="X132" s="127">
        <f t="shared" si="48"/>
        <v>0.16666666666424135</v>
      </c>
      <c r="Y132" s="128">
        <f>Table2[[#This Row],[DEL. AVAILABLE A SLOT]]*24</f>
        <v>3.9999999999417923</v>
      </c>
      <c r="Z132" s="1" t="str">
        <f t="shared" si="49"/>
        <v>SI</v>
      </c>
      <c r="AA132" s="127">
        <f t="shared" si="50"/>
        <v>1.4187499999970896</v>
      </c>
      <c r="AB132" s="128">
        <f>Table2[[#This Row],[ATA A TIMESLOT]]*24</f>
        <v>34.049999999930151</v>
      </c>
      <c r="AC132" s="127">
        <f t="shared" si="51"/>
        <v>0</v>
      </c>
      <c r="AD132" s="127" t="str">
        <f t="shared" si="52"/>
        <v>SI</v>
      </c>
      <c r="AE132" s="128">
        <f>Table2[[#This Row],[PUNTUALIDAD (H)]]*24</f>
        <v>0</v>
      </c>
      <c r="AF132" s="127">
        <f t="shared" si="53"/>
        <v>1.4499999999970896</v>
      </c>
      <c r="AG132" s="128">
        <f>Table2[[#This Row],[ATA TO UNLOADING]]*24</f>
        <v>34.799999999930151</v>
      </c>
      <c r="AH132" s="128" t="str">
        <f>IF(Table2[[#This Row],[ATA TO UNLOADING 2]]&lt;=48,"YES","NO")</f>
        <v>YES</v>
      </c>
      <c r="AJ132" s="129">
        <f t="shared" si="54"/>
        <v>0.41666666666424135</v>
      </c>
      <c r="AK132" s="2" t="s">
        <v>64</v>
      </c>
      <c r="AL132" s="2" t="str">
        <f t="shared" si="55"/>
        <v>4/26</v>
      </c>
      <c r="AM132" s="2" t="str">
        <f t="shared" si="56"/>
        <v>MRSU6984687</v>
      </c>
      <c r="AN132" s="130" t="str">
        <f t="shared" si="57"/>
        <v>OM TRANSPORT</v>
      </c>
      <c r="AO132" s="141">
        <f>IF($O132="TRUCK",
VLOOKUP($AU132,Invoicing!$A$16:$B$56,MATCH($AO$1,Invoicing!$A$16:$B$16,0),FALSE)+IF(OR($B132="DCD",$B132="HPD2"),23.5,0),
VLOOKUP($AU132,Invoicing!$N$15:$O$19,MATCH($AO$1,Invoicing!$N$15:$O$15,0),FALSE)+IF(OR($B132="DCD",$B132="HPD2"),23.5,0))</f>
        <v>573.5</v>
      </c>
      <c r="AP132" s="131">
        <f>VLOOKUP($E132,Invoicing!$A$1:$H$12,MATCH(TRACKER!$P132,Invoicing!$A$1:$H$1,0),FALSE)</f>
        <v>110</v>
      </c>
      <c r="AQ132" s="131">
        <f>VLOOKUP($E132,Invoicing!$A$1:$H$12,MATCH(TRACKER!$Q$1,Invoicing!$A$1:$H$1,0),FALSE)</f>
        <v>50</v>
      </c>
      <c r="AR132" s="131">
        <f t="shared" si="58"/>
        <v>0</v>
      </c>
      <c r="AS132" s="2">
        <f t="shared" si="59"/>
        <v>7</v>
      </c>
      <c r="AT132" s="2" t="str">
        <f t="shared" si="62"/>
        <v>SUNDAY</v>
      </c>
      <c r="AU132" s="2" t="str">
        <f t="shared" si="60"/>
        <v>OM TRANSPORTSUNDAY</v>
      </c>
      <c r="AV132" s="94">
        <f>(IF(ISNA(AP132),AO132+AR132,SUM($AO132,$AR132,IFERROR($AP132,"0"))))+Table2[[#This Row],[WAITING TIMES]]</f>
        <v>807.25</v>
      </c>
      <c r="AW132" s="94">
        <f>VLOOKUP(AN132,Invoicing!A:K,11,FALSE)</f>
        <v>20</v>
      </c>
      <c r="AX132" s="48">
        <v>123.75</v>
      </c>
      <c r="AY132" s="48" t="s">
        <v>307</v>
      </c>
      <c r="AZ132" s="94">
        <f t="shared" si="61"/>
        <v>827.25</v>
      </c>
      <c r="BA132" s="133">
        <f>VLOOKUP(AN132,Invoicing!A:J,10,FALSE)</f>
        <v>70</v>
      </c>
      <c r="BB132" s="133">
        <f>VLOOKUP(AN132,Invoicing!A:L,12,FALSE)</f>
        <v>1</v>
      </c>
      <c r="BC132" s="2" t="s">
        <v>66</v>
      </c>
    </row>
    <row r="133" spans="1:55">
      <c r="A133" s="38" t="s">
        <v>289</v>
      </c>
      <c r="B133" s="3" t="s">
        <v>77</v>
      </c>
      <c r="C133" s="11">
        <v>46045.997916666667</v>
      </c>
      <c r="D133" s="11">
        <v>46046.25</v>
      </c>
      <c r="E133" s="11" t="s">
        <v>83</v>
      </c>
      <c r="F133" s="11" t="s">
        <v>290</v>
      </c>
      <c r="G133" s="11" t="s">
        <v>59</v>
      </c>
      <c r="H133" s="11" t="s">
        <v>91</v>
      </c>
      <c r="I133" s="3" t="s">
        <v>308</v>
      </c>
      <c r="J133" s="86" t="s">
        <v>100</v>
      </c>
      <c r="K133" s="11">
        <v>46047.25</v>
      </c>
      <c r="L133" s="12">
        <v>46047.425000000003</v>
      </c>
      <c r="M133" s="12">
        <v>46047.479166666672</v>
      </c>
      <c r="N133" s="12">
        <v>46047.450694444444</v>
      </c>
      <c r="O133" s="12" t="s">
        <v>63</v>
      </c>
      <c r="P133" s="85" t="s">
        <v>64</v>
      </c>
      <c r="Q133" s="3">
        <v>0</v>
      </c>
      <c r="R133" s="1">
        <f t="shared" si="43"/>
        <v>4</v>
      </c>
      <c r="S133" s="1">
        <f t="shared" si="44"/>
        <v>1</v>
      </c>
      <c r="T133" s="126">
        <f t="shared" si="45"/>
        <v>46047.425000000003</v>
      </c>
      <c r="U133" s="127">
        <f t="shared" si="46"/>
        <v>1.2520833333328483</v>
      </c>
      <c r="V133" s="128">
        <f>Table2[[#This Row],[ATA A OFRECIMIENTO]]*24</f>
        <v>30.049999999988358</v>
      </c>
      <c r="W133" s="1" t="str">
        <f t="shared" si="47"/>
        <v>YES</v>
      </c>
      <c r="X133" s="127">
        <f t="shared" si="48"/>
        <v>0.22916666667151731</v>
      </c>
      <c r="Y133" s="128">
        <f>Table2[[#This Row],[DEL. AVAILABLE A SLOT]]*24</f>
        <v>5.5000000001164153</v>
      </c>
      <c r="Z133" s="1" t="str">
        <f t="shared" si="49"/>
        <v>SI</v>
      </c>
      <c r="AA133" s="127">
        <f t="shared" si="50"/>
        <v>1.4812500000043656</v>
      </c>
      <c r="AB133" s="128">
        <f>Table2[[#This Row],[ATA A TIMESLOT]]*24</f>
        <v>35.550000000104774</v>
      </c>
      <c r="AC133" s="127">
        <f t="shared" si="51"/>
        <v>0</v>
      </c>
      <c r="AD133" s="127" t="str">
        <f t="shared" si="52"/>
        <v>SI</v>
      </c>
      <c r="AE133" s="128">
        <f>Table2[[#This Row],[PUNTUALIDAD (H)]]*24</f>
        <v>0</v>
      </c>
      <c r="AF133" s="127">
        <f t="shared" si="53"/>
        <v>1.452777777776646</v>
      </c>
      <c r="AG133" s="128">
        <f>Table2[[#This Row],[ATA TO UNLOADING]]*24</f>
        <v>34.866666666639503</v>
      </c>
      <c r="AH133" s="128" t="str">
        <f>IF(Table2[[#This Row],[ATA TO UNLOADING 2]]&lt;=48,"YES","NO")</f>
        <v>YES</v>
      </c>
      <c r="AJ133" s="129">
        <f t="shared" si="54"/>
        <v>0.47916666667151731</v>
      </c>
      <c r="AK133" s="2" t="s">
        <v>64</v>
      </c>
      <c r="AL133" s="2" t="str">
        <f t="shared" si="55"/>
        <v>4/26</v>
      </c>
      <c r="AM133" s="2" t="str">
        <f t="shared" si="56"/>
        <v>CAAU6561543</v>
      </c>
      <c r="AN133" s="130" t="str">
        <f t="shared" si="57"/>
        <v>OM TRANSPORT</v>
      </c>
      <c r="AO133" s="141">
        <f>IF($O133="TRUCK",
VLOOKUP($AU133,Invoicing!$A$16:$B$56,MATCH($AO$1,Invoicing!$A$16:$B$16,0),FALSE)+IF(OR($B133="DCD",$B133="HPD2"),23.5,0),
VLOOKUP($AU133,Invoicing!$N$15:$O$19,MATCH($AO$1,Invoicing!$N$15:$O$15,0),FALSE)+IF(OR($B133="DCD",$B133="HPD2"),23.5,0))</f>
        <v>573.5</v>
      </c>
      <c r="AP133" s="131" t="e">
        <f>VLOOKUP($E133,Invoicing!$A$1:$H$12,MATCH(TRACKER!$P133,Invoicing!$A$1:$H$1,0),FALSE)</f>
        <v>#N/A</v>
      </c>
      <c r="AQ133" s="131">
        <f>VLOOKUP($E133,Invoicing!$A$1:$H$12,MATCH(TRACKER!$Q$1,Invoicing!$A$1:$H$1,0),FALSE)</f>
        <v>50</v>
      </c>
      <c r="AR133" s="131">
        <f t="shared" si="58"/>
        <v>0</v>
      </c>
      <c r="AS133" s="2">
        <f t="shared" si="59"/>
        <v>7</v>
      </c>
      <c r="AT133" s="2" t="str">
        <f t="shared" si="62"/>
        <v>SUNDAY</v>
      </c>
      <c r="AU133" s="2" t="str">
        <f t="shared" si="60"/>
        <v>OM TRANSPORTSUNDAY</v>
      </c>
      <c r="AV133" s="94">
        <f>(IF(ISNA(AP133),AO133+AR133,SUM($AO133,$AR133,IFERROR($AP133,"0"))))+Table2[[#This Row],[WAITING TIMES]]</f>
        <v>573.5</v>
      </c>
      <c r="AW133" s="94">
        <f>VLOOKUP(AN133,Invoicing!A:K,11,FALSE)</f>
        <v>20</v>
      </c>
      <c r="AY133" s="48"/>
      <c r="AZ133" s="94">
        <f t="shared" si="61"/>
        <v>593.5</v>
      </c>
      <c r="BA133" s="133">
        <f>VLOOKUP(AN133,Invoicing!A:J,10,FALSE)</f>
        <v>70</v>
      </c>
      <c r="BB133" s="133">
        <f>VLOOKUP(AN133,Invoicing!A:L,12,FALSE)</f>
        <v>1</v>
      </c>
      <c r="BC133" s="2" t="s">
        <v>66</v>
      </c>
    </row>
    <row r="134" spans="1:55">
      <c r="A134" s="38" t="s">
        <v>289</v>
      </c>
      <c r="B134" s="3" t="s">
        <v>77</v>
      </c>
      <c r="C134" s="11">
        <v>46045.997916666667</v>
      </c>
      <c r="D134" s="11">
        <v>46046.25</v>
      </c>
      <c r="E134" s="11" t="s">
        <v>98</v>
      </c>
      <c r="F134" s="11" t="s">
        <v>300</v>
      </c>
      <c r="G134" s="11" t="s">
        <v>59</v>
      </c>
      <c r="H134" s="11" t="s">
        <v>91</v>
      </c>
      <c r="I134" s="3" t="s">
        <v>309</v>
      </c>
      <c r="J134" s="86" t="s">
        <v>82</v>
      </c>
      <c r="K134" s="11">
        <v>46047.25</v>
      </c>
      <c r="L134" s="12">
        <v>46047.505555555559</v>
      </c>
      <c r="M134" s="12">
        <v>46047.5</v>
      </c>
      <c r="N134" s="12">
        <v>46047.534722222219</v>
      </c>
      <c r="O134" s="12" t="s">
        <v>63</v>
      </c>
      <c r="P134" s="85" t="s">
        <v>15</v>
      </c>
      <c r="Q134" s="3">
        <v>0</v>
      </c>
      <c r="R134" s="1">
        <f t="shared" si="43"/>
        <v>4</v>
      </c>
      <c r="S134" s="1">
        <f t="shared" si="44"/>
        <v>1</v>
      </c>
      <c r="T134" s="126">
        <f t="shared" si="45"/>
        <v>46047.505555555559</v>
      </c>
      <c r="U134" s="127">
        <f t="shared" si="46"/>
        <v>1.2520833333328483</v>
      </c>
      <c r="V134" s="128">
        <f>Table2[[#This Row],[ATA A OFRECIMIENTO]]*24</f>
        <v>30.049999999988358</v>
      </c>
      <c r="W134" s="1" t="str">
        <f t="shared" si="47"/>
        <v>YES</v>
      </c>
      <c r="X134" s="127">
        <f t="shared" si="48"/>
        <v>0.25</v>
      </c>
      <c r="Y134" s="128">
        <f>Table2[[#This Row],[DEL. AVAILABLE A SLOT]]*24</f>
        <v>6</v>
      </c>
      <c r="Z134" s="1" t="str">
        <f t="shared" si="49"/>
        <v>SI</v>
      </c>
      <c r="AA134" s="127">
        <f t="shared" si="50"/>
        <v>1.5020833333328483</v>
      </c>
      <c r="AB134" s="128">
        <f>Table2[[#This Row],[ATA A TIMESLOT]]*24</f>
        <v>36.049999999988358</v>
      </c>
      <c r="AC134" s="127">
        <f t="shared" si="51"/>
        <v>5.5555555591126904E-3</v>
      </c>
      <c r="AD134" s="127" t="str">
        <f t="shared" si="52"/>
        <v>SI</v>
      </c>
      <c r="AE134" s="128">
        <f>Table2[[#This Row],[PUNTUALIDAD (H)]]*24</f>
        <v>0.13333333341870457</v>
      </c>
      <c r="AF134" s="127">
        <f t="shared" si="53"/>
        <v>1.5368055555518367</v>
      </c>
      <c r="AG134" s="128">
        <f>Table2[[#This Row],[ATA TO UNLOADING]]*24</f>
        <v>36.883333333244082</v>
      </c>
      <c r="AH134" s="128" t="str">
        <f>IF(Table2[[#This Row],[ATA TO UNLOADING 2]]&lt;=48,"YES","NO")</f>
        <v>YES</v>
      </c>
      <c r="AJ134" s="129">
        <f t="shared" si="54"/>
        <v>0.5</v>
      </c>
      <c r="AK134" s="2" t="s">
        <v>64</v>
      </c>
      <c r="AL134" s="2" t="str">
        <f t="shared" si="55"/>
        <v>4/26</v>
      </c>
      <c r="AM134" s="2" t="str">
        <f t="shared" si="56"/>
        <v>MRSU3406807</v>
      </c>
      <c r="AN134" s="130" t="str">
        <f t="shared" si="57"/>
        <v>MSI</v>
      </c>
      <c r="AO134" s="141">
        <f>IF($O134="TRUCK",
VLOOKUP($AU134,Invoicing!$A$16:$B$56,MATCH($AO$1,Invoicing!$A$16:$B$16,0),FALSE)+IF(OR($B134="DCD",$B134="HPD2"),23.5,0),
VLOOKUP($AU134,Invoicing!$N$15:$O$19,MATCH($AO$1,Invoicing!$N$15:$O$15,0),FALSE)+IF(OR($B134="DCD",$B134="HPD2"),23.5,0))</f>
        <v>523.5</v>
      </c>
      <c r="AP134" s="131">
        <f>VLOOKUP($E134,Invoicing!$A$1:$H$12,MATCH(TRACKER!$P134,Invoicing!$A$1:$H$1,0),FALSE)</f>
        <v>120</v>
      </c>
      <c r="AQ134" s="131">
        <f>VLOOKUP($E134,Invoicing!$A$1:$H$12,MATCH(TRACKER!$Q$1,Invoicing!$A$1:$H$1,0),FALSE)</f>
        <v>50</v>
      </c>
      <c r="AR134" s="131">
        <f t="shared" si="58"/>
        <v>0</v>
      </c>
      <c r="AS134" s="2">
        <f t="shared" si="59"/>
        <v>7</v>
      </c>
      <c r="AT134" s="2" t="str">
        <f t="shared" si="62"/>
        <v>SUNDAY</v>
      </c>
      <c r="AU134" s="2" t="str">
        <f t="shared" si="60"/>
        <v>MSISUNDAY</v>
      </c>
      <c r="AV134" s="94">
        <f>(IF(ISNA(AP134),AO134+AR134,SUM($AO134,$AR134,IFERROR($AP134,"0"))))+Table2[[#This Row],[WAITING TIMES]]</f>
        <v>763.5</v>
      </c>
      <c r="AW134" s="94">
        <f>VLOOKUP(AN134,Invoicing!A:K,11,FALSE)</f>
        <v>20</v>
      </c>
      <c r="AX134" s="48">
        <v>120</v>
      </c>
      <c r="AY134" s="48" t="s">
        <v>310</v>
      </c>
      <c r="AZ134" s="94">
        <f t="shared" si="61"/>
        <v>783.5</v>
      </c>
      <c r="BA134" s="133">
        <f>VLOOKUP(AN134,Invoicing!A:J,10,FALSE)</f>
        <v>70</v>
      </c>
      <c r="BB134" s="133">
        <f>VLOOKUP(AN134,Invoicing!A:L,12,FALSE)</f>
        <v>1</v>
      </c>
      <c r="BC134" s="2" t="s">
        <v>66</v>
      </c>
    </row>
    <row r="135" spans="1:55">
      <c r="A135" s="38" t="s">
        <v>289</v>
      </c>
      <c r="B135" s="3" t="s">
        <v>77</v>
      </c>
      <c r="C135" s="11">
        <v>46045.997916666667</v>
      </c>
      <c r="D135" s="11">
        <v>46046.25</v>
      </c>
      <c r="E135" s="11" t="s">
        <v>71</v>
      </c>
      <c r="F135" s="11" t="s">
        <v>294</v>
      </c>
      <c r="G135" s="11" t="s">
        <v>133</v>
      </c>
      <c r="H135" s="11" t="s">
        <v>91</v>
      </c>
      <c r="I135" s="3" t="s">
        <v>311</v>
      </c>
      <c r="J135" s="86" t="s">
        <v>62</v>
      </c>
      <c r="K135" s="11">
        <v>46047.25</v>
      </c>
      <c r="L135" s="12">
        <v>46047.541666666664</v>
      </c>
      <c r="M135" s="12">
        <v>46047.520833333336</v>
      </c>
      <c r="N135" s="12">
        <v>46047.541666666664</v>
      </c>
      <c r="O135" s="12" t="s">
        <v>63</v>
      </c>
      <c r="P135" s="85" t="s">
        <v>64</v>
      </c>
      <c r="Q135" s="3">
        <v>1</v>
      </c>
      <c r="R135" s="1">
        <f t="shared" si="43"/>
        <v>4</v>
      </c>
      <c r="S135" s="1">
        <f t="shared" si="44"/>
        <v>1</v>
      </c>
      <c r="T135" s="126">
        <f t="shared" si="45"/>
        <v>46047.541666666664</v>
      </c>
      <c r="U135" s="127">
        <f t="shared" si="46"/>
        <v>1.2520833333328483</v>
      </c>
      <c r="V135" s="128">
        <f>Table2[[#This Row],[ATA A OFRECIMIENTO]]*24</f>
        <v>30.049999999988358</v>
      </c>
      <c r="W135" s="1" t="str">
        <f t="shared" si="47"/>
        <v>YES</v>
      </c>
      <c r="X135" s="127">
        <f t="shared" si="48"/>
        <v>0.27083333333575865</v>
      </c>
      <c r="Y135" s="128">
        <f>Table2[[#This Row],[DEL. AVAILABLE A SLOT]]*24</f>
        <v>6.5000000000582077</v>
      </c>
      <c r="Z135" s="1" t="str">
        <f t="shared" si="49"/>
        <v>SI</v>
      </c>
      <c r="AA135" s="127">
        <f t="shared" si="50"/>
        <v>1.5229166666686069</v>
      </c>
      <c r="AB135" s="128">
        <f>Table2[[#This Row],[ATA A TIMESLOT]]*24</f>
        <v>36.550000000046566</v>
      </c>
      <c r="AC135" s="127">
        <f t="shared" si="51"/>
        <v>2.0833333328482695E-2</v>
      </c>
      <c r="AD135" s="127" t="str">
        <f t="shared" si="52"/>
        <v>SI</v>
      </c>
      <c r="AE135" s="128">
        <f>Table2[[#This Row],[PUNTUALIDAD (H)]]*24</f>
        <v>0.49999999988358468</v>
      </c>
      <c r="AF135" s="127">
        <f t="shared" si="53"/>
        <v>1.5437499999970896</v>
      </c>
      <c r="AG135" s="128">
        <f>Table2[[#This Row],[ATA TO UNLOADING]]*24</f>
        <v>37.049999999930151</v>
      </c>
      <c r="AH135" s="128" t="str">
        <f>IF(Table2[[#This Row],[ATA TO UNLOADING 2]]&lt;=48,"YES","NO")</f>
        <v>YES</v>
      </c>
      <c r="AJ135" s="129">
        <f t="shared" si="54"/>
        <v>0.52083333333575865</v>
      </c>
      <c r="AK135" s="2" t="s">
        <v>64</v>
      </c>
      <c r="AL135" s="2" t="str">
        <f t="shared" si="55"/>
        <v>4/26</v>
      </c>
      <c r="AM135" s="2" t="str">
        <f t="shared" si="56"/>
        <v>HAMU1219826</v>
      </c>
      <c r="AN135" s="130" t="str">
        <f t="shared" si="57"/>
        <v>LOGIX</v>
      </c>
      <c r="AO135" s="141">
        <f>IF($O135="TRUCK",
VLOOKUP($AU135,Invoicing!$A$16:$B$56,MATCH($AO$1,Invoicing!$A$16:$B$16,0),FALSE)+IF(OR($B135="DCD",$B135="HPD2"),23.5,0),
VLOOKUP($AU135,Invoicing!$N$15:$O$19,MATCH($AO$1,Invoicing!$N$15:$O$15,0),FALSE)+IF(OR($B135="DCD",$B135="HPD2"),23.5,0))</f>
        <v>573.5</v>
      </c>
      <c r="AP135" s="131" t="e">
        <f>VLOOKUP($E135,Invoicing!$A$1:$H$12,MATCH(TRACKER!$P135,Invoicing!$A$1:$H$1,0),FALSE)</f>
        <v>#N/A</v>
      </c>
      <c r="AQ135" s="131">
        <f>VLOOKUP($E135,Invoicing!$A$1:$H$12,MATCH(TRACKER!$Q$1,Invoicing!$A$1:$H$1,0),FALSE)</f>
        <v>50</v>
      </c>
      <c r="AR135" s="131">
        <f t="shared" si="58"/>
        <v>50</v>
      </c>
      <c r="AS135" s="2">
        <f t="shared" si="59"/>
        <v>7</v>
      </c>
      <c r="AT135" s="2" t="str">
        <f t="shared" si="62"/>
        <v>SUNDAY</v>
      </c>
      <c r="AU135" s="2" t="str">
        <f t="shared" si="60"/>
        <v>LOGIXSUNDAY</v>
      </c>
      <c r="AV135" s="94">
        <f>(IF(ISNA(AP135),AO135+AR135,SUM($AO135,$AR135,IFERROR($AP135,"0"))))+Table2[[#This Row],[WAITING TIMES]]</f>
        <v>623.5</v>
      </c>
      <c r="AW135" s="94">
        <f>VLOOKUP(AN135,Invoicing!A:K,11,FALSE)</f>
        <v>20</v>
      </c>
      <c r="AY135" s="48"/>
      <c r="AZ135" s="94">
        <f t="shared" si="61"/>
        <v>643.5</v>
      </c>
      <c r="BA135" s="133">
        <f>VLOOKUP(AN135,Invoicing!A:J,10,FALSE)</f>
        <v>70</v>
      </c>
      <c r="BB135" s="133">
        <f>VLOOKUP(AN135,Invoicing!A:L,12,FALSE)</f>
        <v>1</v>
      </c>
      <c r="BC135" s="2" t="s">
        <v>66</v>
      </c>
    </row>
    <row r="136" spans="1:55">
      <c r="A136" s="38" t="s">
        <v>289</v>
      </c>
      <c r="B136" s="3" t="s">
        <v>77</v>
      </c>
      <c r="C136" s="11">
        <v>46045.997916666667</v>
      </c>
      <c r="D136" s="11">
        <v>46046.25</v>
      </c>
      <c r="E136" s="11" t="s">
        <v>83</v>
      </c>
      <c r="F136" s="11" t="s">
        <v>300</v>
      </c>
      <c r="G136" s="11" t="s">
        <v>59</v>
      </c>
      <c r="H136" s="11" t="s">
        <v>91</v>
      </c>
      <c r="I136" s="3" t="s">
        <v>312</v>
      </c>
      <c r="J136" s="86" t="s">
        <v>82</v>
      </c>
      <c r="K136" s="11">
        <v>46047.25</v>
      </c>
      <c r="L136" s="12">
        <v>46047.554166666669</v>
      </c>
      <c r="M136" s="12">
        <v>46047.583333333336</v>
      </c>
      <c r="N136" s="12">
        <v>46047.607638888891</v>
      </c>
      <c r="O136" s="12" t="s">
        <v>63</v>
      </c>
      <c r="P136" s="85" t="s">
        <v>15</v>
      </c>
      <c r="Q136" s="3">
        <v>0</v>
      </c>
      <c r="R136" s="1">
        <f t="shared" si="43"/>
        <v>4</v>
      </c>
      <c r="S136" s="1">
        <f t="shared" si="44"/>
        <v>1</v>
      </c>
      <c r="T136" s="126">
        <f t="shared" si="45"/>
        <v>46047.554166666669</v>
      </c>
      <c r="U136" s="127">
        <f t="shared" si="46"/>
        <v>1.2520833333328483</v>
      </c>
      <c r="V136" s="128">
        <f>Table2[[#This Row],[ATA A OFRECIMIENTO]]*24</f>
        <v>30.049999999988358</v>
      </c>
      <c r="W136" s="1" t="str">
        <f t="shared" si="47"/>
        <v>YES</v>
      </c>
      <c r="X136" s="127">
        <f t="shared" si="48"/>
        <v>0.33333333333575865</v>
      </c>
      <c r="Y136" s="128">
        <f>Table2[[#This Row],[DEL. AVAILABLE A SLOT]]*24</f>
        <v>8.0000000000582077</v>
      </c>
      <c r="Z136" s="1" t="str">
        <f t="shared" si="49"/>
        <v>SI</v>
      </c>
      <c r="AA136" s="127">
        <f t="shared" si="50"/>
        <v>1.5854166666686069</v>
      </c>
      <c r="AB136" s="128">
        <f>Table2[[#This Row],[ATA A TIMESLOT]]*24</f>
        <v>38.050000000046566</v>
      </c>
      <c r="AC136" s="127">
        <f t="shared" si="51"/>
        <v>0</v>
      </c>
      <c r="AD136" s="127" t="str">
        <f t="shared" si="52"/>
        <v>SI</v>
      </c>
      <c r="AE136" s="128">
        <f>Table2[[#This Row],[PUNTUALIDAD (H)]]*24</f>
        <v>0</v>
      </c>
      <c r="AF136" s="127">
        <f t="shared" si="53"/>
        <v>1.609722222223354</v>
      </c>
      <c r="AG136" s="128">
        <f>Table2[[#This Row],[ATA TO UNLOADING]]*24</f>
        <v>38.633333333360497</v>
      </c>
      <c r="AH136" s="128" t="str">
        <f>IF(Table2[[#This Row],[ATA TO UNLOADING 2]]&lt;=48,"YES","NO")</f>
        <v>YES</v>
      </c>
      <c r="AJ136" s="129">
        <f t="shared" si="54"/>
        <v>0.58333333333575865</v>
      </c>
      <c r="AK136" s="2" t="s">
        <v>64</v>
      </c>
      <c r="AL136" s="2" t="str">
        <f t="shared" si="55"/>
        <v>4/26</v>
      </c>
      <c r="AM136" s="2" t="str">
        <f t="shared" si="56"/>
        <v>GAOU7142800</v>
      </c>
      <c r="AN136" s="130" t="str">
        <f t="shared" si="57"/>
        <v>OM TRANSPORT</v>
      </c>
      <c r="AO136" s="141">
        <f>IF($O136="TRUCK",
VLOOKUP($AU136,Invoicing!$A$16:$B$56,MATCH($AO$1,Invoicing!$A$16:$B$16,0),FALSE)+IF(OR($B136="DCD",$B136="HPD2"),23.5,0),
VLOOKUP($AU136,Invoicing!$N$15:$O$19,MATCH($AO$1,Invoicing!$N$15:$O$15,0),FALSE)+IF(OR($B136="DCD",$B136="HPD2"),23.5,0))</f>
        <v>573.5</v>
      </c>
      <c r="AP136" s="131">
        <f>VLOOKUP($E136,Invoicing!$A$1:$H$12,MATCH(TRACKER!$P136,Invoicing!$A$1:$H$1,0),FALSE)</f>
        <v>110</v>
      </c>
      <c r="AQ136" s="131">
        <f>VLOOKUP($E136,Invoicing!$A$1:$H$12,MATCH(TRACKER!$Q$1,Invoicing!$A$1:$H$1,0),FALSE)</f>
        <v>50</v>
      </c>
      <c r="AR136" s="131">
        <f t="shared" si="58"/>
        <v>0</v>
      </c>
      <c r="AS136" s="2">
        <f t="shared" si="59"/>
        <v>7</v>
      </c>
      <c r="AT136" s="2" t="str">
        <f t="shared" si="62"/>
        <v>SUNDAY</v>
      </c>
      <c r="AU136" s="2" t="str">
        <f t="shared" si="60"/>
        <v>OM TRANSPORTSUNDAY</v>
      </c>
      <c r="AV136" s="94">
        <f>(IF(ISNA(AP136),AO136+AR136,SUM($AO136,$AR136,IFERROR($AP136,"0"))))+Table2[[#This Row],[WAITING TIMES]]</f>
        <v>807.25</v>
      </c>
      <c r="AW136" s="94">
        <f>VLOOKUP(AN136,Invoicing!A:K,11,FALSE)</f>
        <v>20</v>
      </c>
      <c r="AX136" s="48">
        <v>123.75</v>
      </c>
      <c r="AY136" s="48" t="s">
        <v>313</v>
      </c>
      <c r="AZ136" s="94">
        <f t="shared" si="61"/>
        <v>827.25</v>
      </c>
      <c r="BA136" s="133">
        <f>VLOOKUP(AN136,Invoicing!A:J,10,FALSE)</f>
        <v>70</v>
      </c>
      <c r="BB136" s="133">
        <f>VLOOKUP(AN136,Invoicing!A:L,12,FALSE)</f>
        <v>1</v>
      </c>
      <c r="BC136" s="2" t="s">
        <v>66</v>
      </c>
    </row>
    <row r="137" spans="1:55">
      <c r="A137" s="38" t="s">
        <v>289</v>
      </c>
      <c r="B137" s="3" t="s">
        <v>77</v>
      </c>
      <c r="C137" s="11">
        <v>46045.997916666667</v>
      </c>
      <c r="D137" s="11">
        <v>46046.25</v>
      </c>
      <c r="E137" s="11" t="s">
        <v>57</v>
      </c>
      <c r="F137" s="11" t="s">
        <v>290</v>
      </c>
      <c r="G137" s="11" t="s">
        <v>59</v>
      </c>
      <c r="H137" s="11" t="s">
        <v>91</v>
      </c>
      <c r="I137" s="3" t="s">
        <v>314</v>
      </c>
      <c r="J137" s="86" t="s">
        <v>100</v>
      </c>
      <c r="K137" s="11">
        <v>46047.25</v>
      </c>
      <c r="L137" s="12">
        <v>46047.616666666669</v>
      </c>
      <c r="M137" s="12">
        <v>46047.604166666664</v>
      </c>
      <c r="N137" s="12">
        <v>46047.625</v>
      </c>
      <c r="O137" s="12" t="s">
        <v>63</v>
      </c>
      <c r="P137" s="85" t="s">
        <v>64</v>
      </c>
      <c r="Q137" s="3">
        <v>0</v>
      </c>
      <c r="R137" s="1">
        <f t="shared" si="43"/>
        <v>4</v>
      </c>
      <c r="S137" s="1">
        <f t="shared" si="44"/>
        <v>1</v>
      </c>
      <c r="T137" s="126">
        <f t="shared" si="45"/>
        <v>46047.616666666669</v>
      </c>
      <c r="U137" s="127">
        <f t="shared" si="46"/>
        <v>1.2520833333328483</v>
      </c>
      <c r="V137" s="128">
        <f>Table2[[#This Row],[ATA A OFRECIMIENTO]]*24</f>
        <v>30.049999999988358</v>
      </c>
      <c r="W137" s="1" t="str">
        <f t="shared" si="47"/>
        <v>YES</v>
      </c>
      <c r="X137" s="127">
        <f t="shared" si="48"/>
        <v>0.35416666666424135</v>
      </c>
      <c r="Y137" s="128">
        <f>Table2[[#This Row],[DEL. AVAILABLE A SLOT]]*24</f>
        <v>8.4999999999417923</v>
      </c>
      <c r="Z137" s="1" t="str">
        <f t="shared" si="49"/>
        <v>SI</v>
      </c>
      <c r="AA137" s="127">
        <f t="shared" si="50"/>
        <v>1.6062499999970896</v>
      </c>
      <c r="AB137" s="128">
        <f>Table2[[#This Row],[ATA A TIMESLOT]]*24</f>
        <v>38.549999999930151</v>
      </c>
      <c r="AC137" s="127">
        <f t="shared" si="51"/>
        <v>1.2500000004365575E-2</v>
      </c>
      <c r="AD137" s="127" t="str">
        <f t="shared" si="52"/>
        <v>SI</v>
      </c>
      <c r="AE137" s="128">
        <f>Table2[[#This Row],[PUNTUALIDAD (H)]]*24</f>
        <v>0.30000000010477379</v>
      </c>
      <c r="AF137" s="127">
        <f t="shared" si="53"/>
        <v>1.6270833333328483</v>
      </c>
      <c r="AG137" s="128">
        <f>Table2[[#This Row],[ATA TO UNLOADING]]*24</f>
        <v>39.049999999988358</v>
      </c>
      <c r="AH137" s="128" t="str">
        <f>IF(Table2[[#This Row],[ATA TO UNLOADING 2]]&lt;=48,"YES","NO")</f>
        <v>YES</v>
      </c>
      <c r="AJ137" s="129">
        <f t="shared" si="54"/>
        <v>0.60416666666424135</v>
      </c>
      <c r="AK137" s="2" t="s">
        <v>64</v>
      </c>
      <c r="AL137" s="2" t="str">
        <f t="shared" si="55"/>
        <v>4/26</v>
      </c>
      <c r="AM137" s="2" t="str">
        <f t="shared" si="56"/>
        <v>MRKU4705590</v>
      </c>
      <c r="AN137" s="130" t="str">
        <f t="shared" si="57"/>
        <v>CTK TRANSPORT</v>
      </c>
      <c r="AO137" s="141">
        <f>IF($O137="TRUCK",
VLOOKUP($AU137,Invoicing!$A$16:$B$56,MATCH($AO$1,Invoicing!$A$16:$B$16,0),FALSE)+IF(OR($B137="DCD",$B137="HPD2"),23.5,0),
VLOOKUP($AU137,Invoicing!$N$15:$O$19,MATCH($AO$1,Invoicing!$N$15:$O$15,0),FALSE)+IF(OR($B137="DCD",$B137="HPD2"),23.5,0))</f>
        <v>648.5</v>
      </c>
      <c r="AP137" s="131" t="e">
        <f>VLOOKUP($E137,Invoicing!$A$1:$H$12,MATCH(TRACKER!$P137,Invoicing!$A$1:$H$1,0),FALSE)</f>
        <v>#N/A</v>
      </c>
      <c r="AQ137" s="131">
        <f>VLOOKUP($E137,Invoicing!$A$1:$H$12,MATCH(TRACKER!$Q$1,Invoicing!$A$1:$H$1,0),FALSE)</f>
        <v>50</v>
      </c>
      <c r="AR137" s="131">
        <f t="shared" si="58"/>
        <v>0</v>
      </c>
      <c r="AS137" s="2">
        <f t="shared" si="59"/>
        <v>7</v>
      </c>
      <c r="AT137" s="2" t="str">
        <f t="shared" si="62"/>
        <v>SUNDAY</v>
      </c>
      <c r="AU137" s="2" t="str">
        <f t="shared" si="60"/>
        <v>CTK TRANSPORTSUNDAY</v>
      </c>
      <c r="AV137" s="94">
        <f>(IF(ISNA(AP137),AO137+AR137,SUM($AO137,$AR137,IFERROR($AP137,"0"))))+Table2[[#This Row],[WAITING TIMES]]</f>
        <v>648.5</v>
      </c>
      <c r="AW137" s="94">
        <f>VLOOKUP(AN137,Invoicing!A:K,11,FALSE)</f>
        <v>20</v>
      </c>
      <c r="AY137" s="48"/>
      <c r="AZ137" s="94">
        <f t="shared" si="61"/>
        <v>668.5</v>
      </c>
      <c r="BA137" s="133">
        <f>VLOOKUP(AN137,Invoicing!A:J,10,FALSE)</f>
        <v>70</v>
      </c>
      <c r="BB137" s="133">
        <f>VLOOKUP(AN137,Invoicing!A:L,12,FALSE)</f>
        <v>1</v>
      </c>
      <c r="BC137" s="2" t="s">
        <v>66</v>
      </c>
    </row>
    <row r="138" spans="1:55">
      <c r="A138" s="38" t="s">
        <v>289</v>
      </c>
      <c r="B138" s="3" t="s">
        <v>77</v>
      </c>
      <c r="C138" s="11">
        <v>46045.997916666667</v>
      </c>
      <c r="D138" s="11">
        <v>46046.25</v>
      </c>
      <c r="E138" s="11" t="s">
        <v>98</v>
      </c>
      <c r="F138" s="11" t="s">
        <v>292</v>
      </c>
      <c r="G138" s="11" t="s">
        <v>59</v>
      </c>
      <c r="H138" s="11" t="s">
        <v>91</v>
      </c>
      <c r="I138" s="3" t="s">
        <v>315</v>
      </c>
      <c r="J138" s="86" t="s">
        <v>82</v>
      </c>
      <c r="K138" s="11">
        <v>46047.25</v>
      </c>
      <c r="L138" s="12">
        <v>46047.660416666666</v>
      </c>
      <c r="M138" s="12">
        <v>46047.666666666664</v>
      </c>
      <c r="N138" s="12">
        <v>46047.690972222219</v>
      </c>
      <c r="O138" s="12" t="s">
        <v>63</v>
      </c>
      <c r="P138" s="85" t="s">
        <v>15</v>
      </c>
      <c r="Q138" s="3">
        <v>0</v>
      </c>
      <c r="R138" s="1">
        <f t="shared" si="43"/>
        <v>4</v>
      </c>
      <c r="S138" s="1">
        <f t="shared" si="44"/>
        <v>1</v>
      </c>
      <c r="T138" s="126">
        <f t="shared" si="45"/>
        <v>46047.660416666666</v>
      </c>
      <c r="U138" s="127">
        <f t="shared" si="46"/>
        <v>1.2520833333328483</v>
      </c>
      <c r="V138" s="128">
        <f>Table2[[#This Row],[ATA A OFRECIMIENTO]]*24</f>
        <v>30.049999999988358</v>
      </c>
      <c r="W138" s="1" t="str">
        <f t="shared" si="47"/>
        <v>YES</v>
      </c>
      <c r="X138" s="127">
        <f t="shared" si="48"/>
        <v>0.41666666666424135</v>
      </c>
      <c r="Y138" s="128">
        <f>Table2[[#This Row],[DEL. AVAILABLE A SLOT]]*24</f>
        <v>9.9999999999417923</v>
      </c>
      <c r="Z138" s="1" t="str">
        <f t="shared" si="49"/>
        <v>SI</v>
      </c>
      <c r="AA138" s="127">
        <f t="shared" si="50"/>
        <v>1.6687499999970896</v>
      </c>
      <c r="AB138" s="128">
        <f>Table2[[#This Row],[ATA A TIMESLOT]]*24</f>
        <v>40.049999999930151</v>
      </c>
      <c r="AC138" s="127">
        <f t="shared" si="51"/>
        <v>0</v>
      </c>
      <c r="AD138" s="127" t="str">
        <f t="shared" si="52"/>
        <v>SI</v>
      </c>
      <c r="AE138" s="128">
        <f>Table2[[#This Row],[PUNTUALIDAD (H)]]*24</f>
        <v>0</v>
      </c>
      <c r="AF138" s="127">
        <f t="shared" si="53"/>
        <v>1.6930555555518367</v>
      </c>
      <c r="AG138" s="128">
        <f>Table2[[#This Row],[ATA TO UNLOADING]]*24</f>
        <v>40.633333333244082</v>
      </c>
      <c r="AH138" s="128" t="str">
        <f>IF(Table2[[#This Row],[ATA TO UNLOADING 2]]&lt;=48,"YES","NO")</f>
        <v>YES</v>
      </c>
      <c r="AJ138" s="129">
        <f t="shared" si="54"/>
        <v>0.66666666666424135</v>
      </c>
      <c r="AK138" s="2" t="s">
        <v>64</v>
      </c>
      <c r="AL138" s="2" t="str">
        <f t="shared" si="55"/>
        <v>4/26</v>
      </c>
      <c r="AM138" s="2" t="str">
        <f t="shared" si="56"/>
        <v>CAAU8138947</v>
      </c>
      <c r="AN138" s="130" t="str">
        <f t="shared" si="57"/>
        <v>MSI</v>
      </c>
      <c r="AO138" s="141">
        <f>IF($O138="TRUCK",
VLOOKUP($AU138,Invoicing!$A$16:$B$56,MATCH($AO$1,Invoicing!$A$16:$B$16,0),FALSE)+IF(OR($B138="DCD",$B138="HPD2"),23.5,0),
VLOOKUP($AU138,Invoicing!$N$15:$O$19,MATCH($AO$1,Invoicing!$N$15:$O$15,0),FALSE)+IF(OR($B138="DCD",$B138="HPD2"),23.5,0))</f>
        <v>523.5</v>
      </c>
      <c r="AP138" s="131">
        <f>VLOOKUP($E138,Invoicing!$A$1:$H$12,MATCH(TRACKER!$P138,Invoicing!$A$1:$H$1,0),FALSE)</f>
        <v>120</v>
      </c>
      <c r="AQ138" s="131">
        <f>VLOOKUP($E138,Invoicing!$A$1:$H$12,MATCH(TRACKER!$Q$1,Invoicing!$A$1:$H$1,0),FALSE)</f>
        <v>50</v>
      </c>
      <c r="AR138" s="131">
        <f t="shared" si="58"/>
        <v>0</v>
      </c>
      <c r="AS138" s="2">
        <f t="shared" si="59"/>
        <v>7</v>
      </c>
      <c r="AT138" s="2" t="str">
        <f t="shared" si="62"/>
        <v>SUNDAY</v>
      </c>
      <c r="AU138" s="2" t="str">
        <f t="shared" si="60"/>
        <v>MSISUNDAY</v>
      </c>
      <c r="AV138" s="94">
        <f>(IF(ISNA(AP138),AO138+AR138,SUM($AO138,$AR138,IFERROR($AP138,"0"))))+Table2[[#This Row],[WAITING TIMES]]</f>
        <v>688.5</v>
      </c>
      <c r="AW138" s="94">
        <f>VLOOKUP(AN138,Invoicing!A:K,11,FALSE)</f>
        <v>20</v>
      </c>
      <c r="AX138" s="48">
        <v>45</v>
      </c>
      <c r="AY138" s="48" t="s">
        <v>316</v>
      </c>
      <c r="AZ138" s="94">
        <f t="shared" si="61"/>
        <v>708.5</v>
      </c>
      <c r="BA138" s="133">
        <f>VLOOKUP(AN138,Invoicing!A:J,10,FALSE)</f>
        <v>70</v>
      </c>
      <c r="BB138" s="133">
        <f>VLOOKUP(AN138,Invoicing!A:L,12,FALSE)</f>
        <v>1</v>
      </c>
      <c r="BC138" s="2" t="s">
        <v>66</v>
      </c>
    </row>
    <row r="139" spans="1:55">
      <c r="A139" s="38" t="s">
        <v>289</v>
      </c>
      <c r="B139" s="3" t="s">
        <v>77</v>
      </c>
      <c r="C139" s="11">
        <v>46045.997916666667</v>
      </c>
      <c r="D139" s="11">
        <v>46046.25</v>
      </c>
      <c r="E139" s="11" t="s">
        <v>71</v>
      </c>
      <c r="F139" s="11" t="s">
        <v>290</v>
      </c>
      <c r="G139" s="11" t="s">
        <v>59</v>
      </c>
      <c r="H139" s="11" t="s">
        <v>91</v>
      </c>
      <c r="I139" s="3" t="s">
        <v>317</v>
      </c>
      <c r="J139" s="86" t="s">
        <v>82</v>
      </c>
      <c r="K139" s="11">
        <v>46047.25</v>
      </c>
      <c r="L139" s="12">
        <v>46047.557638888888</v>
      </c>
      <c r="M139" s="12">
        <v>46047.666666666664</v>
      </c>
      <c r="N139" s="12">
        <v>46047.570138888892</v>
      </c>
      <c r="O139" s="12" t="s">
        <v>63</v>
      </c>
      <c r="P139" s="85" t="s">
        <v>64</v>
      </c>
      <c r="Q139" s="3">
        <v>0</v>
      </c>
      <c r="R139" s="1">
        <f t="shared" si="43"/>
        <v>4</v>
      </c>
      <c r="S139" s="1">
        <f t="shared" si="44"/>
        <v>1</v>
      </c>
      <c r="T139" s="126">
        <f t="shared" si="45"/>
        <v>46047.557638888888</v>
      </c>
      <c r="U139" s="127">
        <f t="shared" si="46"/>
        <v>1.2520833333328483</v>
      </c>
      <c r="V139" s="128">
        <f>Table2[[#This Row],[ATA A OFRECIMIENTO]]*24</f>
        <v>30.049999999988358</v>
      </c>
      <c r="W139" s="1" t="str">
        <f t="shared" si="47"/>
        <v>YES</v>
      </c>
      <c r="X139" s="127">
        <f t="shared" si="48"/>
        <v>0.41666666666424135</v>
      </c>
      <c r="Y139" s="128">
        <f>Table2[[#This Row],[DEL. AVAILABLE A SLOT]]*24</f>
        <v>9.9999999999417923</v>
      </c>
      <c r="Z139" s="1" t="str">
        <f t="shared" si="49"/>
        <v>SI</v>
      </c>
      <c r="AA139" s="127">
        <f t="shared" si="50"/>
        <v>1.6687499999970896</v>
      </c>
      <c r="AB139" s="128">
        <f>Table2[[#This Row],[ATA A TIMESLOT]]*24</f>
        <v>40.049999999930151</v>
      </c>
      <c r="AC139" s="127">
        <f t="shared" si="51"/>
        <v>0</v>
      </c>
      <c r="AD139" s="127" t="str">
        <f t="shared" si="52"/>
        <v>SI</v>
      </c>
      <c r="AE139" s="128">
        <f>Table2[[#This Row],[PUNTUALIDAD (H)]]*24</f>
        <v>0</v>
      </c>
      <c r="AF139" s="127">
        <f t="shared" si="53"/>
        <v>1.5722222222248092</v>
      </c>
      <c r="AG139" s="128">
        <f>Table2[[#This Row],[ATA TO UNLOADING]]*24</f>
        <v>37.733333333395422</v>
      </c>
      <c r="AH139" s="128" t="str">
        <f>IF(Table2[[#This Row],[ATA TO UNLOADING 2]]&lt;=48,"YES","NO")</f>
        <v>YES</v>
      </c>
      <c r="AJ139" s="129">
        <f t="shared" si="54"/>
        <v>0.66666666666424135</v>
      </c>
      <c r="AK139" s="2" t="s">
        <v>64</v>
      </c>
      <c r="AL139" s="2" t="str">
        <f t="shared" si="55"/>
        <v>4/26</v>
      </c>
      <c r="AM139" s="2" t="str">
        <f t="shared" si="56"/>
        <v>MIEU3010201</v>
      </c>
      <c r="AN139" s="130" t="str">
        <f t="shared" si="57"/>
        <v>LOGIX</v>
      </c>
      <c r="AO139" s="141">
        <f>IF($O139="TRUCK",
VLOOKUP($AU139,Invoicing!$A$16:$B$56,MATCH($AO$1,Invoicing!$A$16:$B$16,0),FALSE)+IF(OR($B139="DCD",$B139="HPD2"),23.5,0),
VLOOKUP($AU139,Invoicing!$N$15:$O$19,MATCH($AO$1,Invoicing!$N$15:$O$15,0),FALSE)+IF(OR($B139="DCD",$B139="HPD2"),23.5,0))</f>
        <v>573.5</v>
      </c>
      <c r="AP139" s="131" t="e">
        <f>VLOOKUP($E139,Invoicing!$A$1:$H$12,MATCH(TRACKER!$P139,Invoicing!$A$1:$H$1,0),FALSE)</f>
        <v>#N/A</v>
      </c>
      <c r="AQ139" s="131">
        <f>VLOOKUP($E139,Invoicing!$A$1:$H$12,MATCH(TRACKER!$Q$1,Invoicing!$A$1:$H$1,0),FALSE)</f>
        <v>50</v>
      </c>
      <c r="AR139" s="131">
        <f t="shared" si="58"/>
        <v>0</v>
      </c>
      <c r="AS139" s="2">
        <f t="shared" si="59"/>
        <v>7</v>
      </c>
      <c r="AT139" s="2" t="str">
        <f t="shared" si="62"/>
        <v>SUNDAY</v>
      </c>
      <c r="AU139" s="2" t="str">
        <f t="shared" si="60"/>
        <v>LOGIXSUNDAY</v>
      </c>
      <c r="AV139" s="94">
        <f>(IF(ISNA(AP139),AO139+AR139,SUM($AO139,$AR139,IFERROR($AP139,"0"))))+Table2[[#This Row],[WAITING TIMES]]</f>
        <v>573.5</v>
      </c>
      <c r="AW139" s="94">
        <f>VLOOKUP(AN139,Invoicing!A:K,11,FALSE)</f>
        <v>20</v>
      </c>
      <c r="AY139" s="48"/>
      <c r="AZ139" s="94">
        <f t="shared" si="61"/>
        <v>593.5</v>
      </c>
      <c r="BA139" s="133">
        <f>VLOOKUP(AN139,Invoicing!A:J,10,FALSE)</f>
        <v>70</v>
      </c>
      <c r="BB139" s="133">
        <f>VLOOKUP(AN139,Invoicing!A:L,12,FALSE)</f>
        <v>1</v>
      </c>
      <c r="BC139" s="2" t="s">
        <v>66</v>
      </c>
    </row>
    <row r="140" spans="1:55">
      <c r="A140" s="38" t="s">
        <v>289</v>
      </c>
      <c r="B140" s="3" t="s">
        <v>77</v>
      </c>
      <c r="C140" s="11">
        <v>46045.997916666667</v>
      </c>
      <c r="D140" s="11">
        <v>46046.25</v>
      </c>
      <c r="E140" s="11" t="s">
        <v>57</v>
      </c>
      <c r="F140" s="11" t="s">
        <v>294</v>
      </c>
      <c r="G140" s="11" t="s">
        <v>133</v>
      </c>
      <c r="H140" s="11" t="s">
        <v>91</v>
      </c>
      <c r="I140" s="3" t="s">
        <v>318</v>
      </c>
      <c r="J140" s="86" t="s">
        <v>82</v>
      </c>
      <c r="K140" s="11">
        <v>46047.25</v>
      </c>
      <c r="L140" s="12">
        <v>46047.375</v>
      </c>
      <c r="M140" s="12">
        <v>46047.75</v>
      </c>
      <c r="N140" s="12">
        <v>46047.392361111109</v>
      </c>
      <c r="O140" s="12" t="s">
        <v>63</v>
      </c>
      <c r="P140" s="85" t="s">
        <v>64</v>
      </c>
      <c r="Q140" s="3">
        <v>0</v>
      </c>
      <c r="R140" s="1">
        <f t="shared" si="43"/>
        <v>4</v>
      </c>
      <c r="S140" s="1">
        <f t="shared" si="44"/>
        <v>1</v>
      </c>
      <c r="T140" s="126">
        <f t="shared" si="45"/>
        <v>46047.375</v>
      </c>
      <c r="U140" s="127">
        <f t="shared" si="46"/>
        <v>1.2520833333328483</v>
      </c>
      <c r="V140" s="128">
        <f>Table2[[#This Row],[ATA A OFRECIMIENTO]]*24</f>
        <v>30.049999999988358</v>
      </c>
      <c r="W140" s="1" t="str">
        <f t="shared" si="47"/>
        <v>YES</v>
      </c>
      <c r="X140" s="127">
        <f t="shared" si="48"/>
        <v>0.5</v>
      </c>
      <c r="Y140" s="128">
        <f>Table2[[#This Row],[DEL. AVAILABLE A SLOT]]*24</f>
        <v>12</v>
      </c>
      <c r="Z140" s="1" t="str">
        <f t="shared" si="49"/>
        <v>SI</v>
      </c>
      <c r="AA140" s="127">
        <f t="shared" si="50"/>
        <v>1.7520833333328483</v>
      </c>
      <c r="AB140" s="128">
        <f>Table2[[#This Row],[ATA A TIMESLOT]]*24</f>
        <v>42.049999999988358</v>
      </c>
      <c r="AC140" s="127">
        <f t="shared" si="51"/>
        <v>0</v>
      </c>
      <c r="AD140" s="127" t="str">
        <f t="shared" si="52"/>
        <v>SI</v>
      </c>
      <c r="AE140" s="128">
        <f>Table2[[#This Row],[PUNTUALIDAD (H)]]*24</f>
        <v>0</v>
      </c>
      <c r="AF140" s="127">
        <f t="shared" si="53"/>
        <v>1.3944444444423425</v>
      </c>
      <c r="AG140" s="128">
        <f>Table2[[#This Row],[ATA TO UNLOADING]]*24</f>
        <v>33.46666666661622</v>
      </c>
      <c r="AH140" s="128" t="str">
        <f>IF(Table2[[#This Row],[ATA TO UNLOADING 2]]&lt;=48,"YES","NO")</f>
        <v>YES</v>
      </c>
      <c r="AJ140" s="129">
        <f t="shared" si="54"/>
        <v>0.75</v>
      </c>
      <c r="AK140" s="2" t="s">
        <v>64</v>
      </c>
      <c r="AL140" s="2" t="str">
        <f t="shared" si="55"/>
        <v>4/26</v>
      </c>
      <c r="AM140" s="2" t="str">
        <f t="shared" si="56"/>
        <v>HAMU2345557</v>
      </c>
      <c r="AN140" s="130" t="str">
        <f t="shared" si="57"/>
        <v>CTK TRANSPORT</v>
      </c>
      <c r="AO140" s="141">
        <f>IF($O140="TRUCK",
VLOOKUP($AU140,Invoicing!$A$16:$B$56,MATCH($AO$1,Invoicing!$A$16:$B$16,0),FALSE)+IF(OR($B140="DCD",$B140="HPD2"),23.5,0),
VLOOKUP($AU140,Invoicing!$N$15:$O$19,MATCH($AO$1,Invoicing!$N$15:$O$15,0),FALSE)+IF(OR($B140="DCD",$B140="HPD2"),23.5,0))</f>
        <v>648.5</v>
      </c>
      <c r="AP140" s="131" t="e">
        <f>VLOOKUP($E140,Invoicing!$A$1:$H$12,MATCH(TRACKER!$P140,Invoicing!$A$1:$H$1,0),FALSE)</f>
        <v>#N/A</v>
      </c>
      <c r="AQ140" s="131">
        <f>VLOOKUP($E140,Invoicing!$A$1:$H$12,MATCH(TRACKER!$Q$1,Invoicing!$A$1:$H$1,0),FALSE)</f>
        <v>50</v>
      </c>
      <c r="AR140" s="131">
        <f t="shared" si="58"/>
        <v>0</v>
      </c>
      <c r="AS140" s="2">
        <f t="shared" si="59"/>
        <v>7</v>
      </c>
      <c r="AT140" s="2" t="str">
        <f t="shared" si="62"/>
        <v>SUNDAY</v>
      </c>
      <c r="AU140" s="2" t="str">
        <f t="shared" si="60"/>
        <v>CTK TRANSPORTSUNDAY</v>
      </c>
      <c r="AV140" s="94">
        <f>(IF(ISNA(AP140),AO140+AR140,SUM($AO140,$AR140,IFERROR($AP140,"0"))))+Table2[[#This Row],[WAITING TIMES]]</f>
        <v>648.5</v>
      </c>
      <c r="AW140" s="94">
        <f>VLOOKUP(AN140,Invoicing!A:K,11,FALSE)</f>
        <v>20</v>
      </c>
      <c r="AY140" s="48"/>
      <c r="AZ140" s="94">
        <f t="shared" si="61"/>
        <v>668.5</v>
      </c>
      <c r="BA140" s="133">
        <f>VLOOKUP(AN140,Invoicing!A:J,10,FALSE)</f>
        <v>70</v>
      </c>
      <c r="BB140" s="133">
        <f>VLOOKUP(AN140,Invoicing!A:L,12,FALSE)</f>
        <v>1</v>
      </c>
      <c r="BC140" s="2" t="s">
        <v>66</v>
      </c>
    </row>
    <row r="141" spans="1:55">
      <c r="A141" s="38" t="s">
        <v>289</v>
      </c>
      <c r="B141" s="3" t="s">
        <v>77</v>
      </c>
      <c r="C141" s="11">
        <v>46045.997916666667</v>
      </c>
      <c r="D141" s="11">
        <v>46046.25</v>
      </c>
      <c r="E141" s="11" t="s">
        <v>83</v>
      </c>
      <c r="F141" s="11" t="s">
        <v>292</v>
      </c>
      <c r="G141" s="11" t="s">
        <v>59</v>
      </c>
      <c r="H141" s="11" t="s">
        <v>91</v>
      </c>
      <c r="I141" s="3" t="s">
        <v>319</v>
      </c>
      <c r="J141" s="86" t="s">
        <v>82</v>
      </c>
      <c r="K141" s="11">
        <v>46047.25</v>
      </c>
      <c r="L141" s="12">
        <v>46047.761111111111</v>
      </c>
      <c r="M141" s="12">
        <v>46047.791666666664</v>
      </c>
      <c r="N141" s="12">
        <v>46047.819444444445</v>
      </c>
      <c r="O141" s="12" t="s">
        <v>63</v>
      </c>
      <c r="P141" s="85" t="s">
        <v>15</v>
      </c>
      <c r="Q141" s="3">
        <v>0</v>
      </c>
      <c r="R141" s="1">
        <f t="shared" si="43"/>
        <v>4</v>
      </c>
      <c r="S141" s="1">
        <f t="shared" si="44"/>
        <v>1</v>
      </c>
      <c r="T141" s="126">
        <f t="shared" si="45"/>
        <v>46047.761111111111</v>
      </c>
      <c r="U141" s="127">
        <f t="shared" si="46"/>
        <v>1.2520833333328483</v>
      </c>
      <c r="V141" s="128">
        <f>Table2[[#This Row],[ATA A OFRECIMIENTO]]*24</f>
        <v>30.049999999988358</v>
      </c>
      <c r="W141" s="1" t="str">
        <f t="shared" si="47"/>
        <v>YES</v>
      </c>
      <c r="X141" s="127">
        <f t="shared" si="48"/>
        <v>0.54166666666424135</v>
      </c>
      <c r="Y141" s="128">
        <f>Table2[[#This Row],[DEL. AVAILABLE A SLOT]]*24</f>
        <v>12.999999999941792</v>
      </c>
      <c r="Z141" s="1" t="str">
        <f t="shared" si="49"/>
        <v>SI</v>
      </c>
      <c r="AA141" s="127">
        <f t="shared" si="50"/>
        <v>1.7937499999970896</v>
      </c>
      <c r="AB141" s="128">
        <f>Table2[[#This Row],[ATA A TIMESLOT]]*24</f>
        <v>43.049999999930151</v>
      </c>
      <c r="AC141" s="127">
        <f t="shared" si="51"/>
        <v>0</v>
      </c>
      <c r="AD141" s="127" t="str">
        <f t="shared" si="52"/>
        <v>SI</v>
      </c>
      <c r="AE141" s="128">
        <f>Table2[[#This Row],[PUNTUALIDAD (H)]]*24</f>
        <v>0</v>
      </c>
      <c r="AF141" s="127">
        <f t="shared" si="53"/>
        <v>1.8215277777781012</v>
      </c>
      <c r="AG141" s="128">
        <f>Table2[[#This Row],[ATA TO UNLOADING]]*24</f>
        <v>43.716666666674428</v>
      </c>
      <c r="AH141" s="128" t="str">
        <f>IF(Table2[[#This Row],[ATA TO UNLOADING 2]]&lt;=48,"YES","NO")</f>
        <v>YES</v>
      </c>
      <c r="AJ141" s="129">
        <f t="shared" si="54"/>
        <v>0.79166666666424135</v>
      </c>
      <c r="AK141" s="2" t="s">
        <v>64</v>
      </c>
      <c r="AL141" s="2" t="str">
        <f t="shared" si="55"/>
        <v>4/26</v>
      </c>
      <c r="AM141" s="2" t="str">
        <f t="shared" si="56"/>
        <v>GAOU7183326</v>
      </c>
      <c r="AN141" s="130" t="str">
        <f t="shared" si="57"/>
        <v>OM TRANSPORT</v>
      </c>
      <c r="AO141" s="141">
        <f>IF($O141="TRUCK",
VLOOKUP($AU141,Invoicing!$A$16:$B$56,MATCH($AO$1,Invoicing!$A$16:$B$16,0),FALSE)+IF(OR($B141="DCD",$B141="HPD2"),23.5,0),
VLOOKUP($AU141,Invoicing!$N$15:$O$19,MATCH($AO$1,Invoicing!$N$15:$O$15,0),FALSE)+IF(OR($B141="DCD",$B141="HPD2"),23.5,0))</f>
        <v>573.5</v>
      </c>
      <c r="AP141" s="131">
        <f>VLOOKUP($E141,Invoicing!$A$1:$H$12,MATCH(TRACKER!$P141,Invoicing!$A$1:$H$1,0),FALSE)</f>
        <v>110</v>
      </c>
      <c r="AQ141" s="131">
        <f>VLOOKUP($E141,Invoicing!$A$1:$H$12,MATCH(TRACKER!$Q$1,Invoicing!$A$1:$H$1,0),FALSE)</f>
        <v>50</v>
      </c>
      <c r="AR141" s="131">
        <f t="shared" si="58"/>
        <v>0</v>
      </c>
      <c r="AS141" s="2">
        <f t="shared" si="59"/>
        <v>7</v>
      </c>
      <c r="AT141" s="2" t="str">
        <f t="shared" si="62"/>
        <v>SUNDAY</v>
      </c>
      <c r="AU141" s="2" t="str">
        <f t="shared" si="60"/>
        <v>OM TRANSPORTSUNDAY</v>
      </c>
      <c r="AV141" s="94">
        <f>(IF(ISNA(AP141),AO141+AR141,SUM($AO141,$AR141,IFERROR($AP141,"0"))))+Table2[[#This Row],[WAITING TIMES]]</f>
        <v>863.5</v>
      </c>
      <c r="AW141" s="94">
        <f>VLOOKUP(AN141,Invoicing!A:K,11,FALSE)</f>
        <v>20</v>
      </c>
      <c r="AX141" s="48">
        <v>180</v>
      </c>
      <c r="AY141" s="48" t="s">
        <v>320</v>
      </c>
      <c r="AZ141" s="94">
        <f t="shared" si="61"/>
        <v>883.5</v>
      </c>
      <c r="BA141" s="133">
        <f>VLOOKUP(AN141,Invoicing!A:J,10,FALSE)</f>
        <v>70</v>
      </c>
      <c r="BB141" s="133">
        <f>VLOOKUP(AN141,Invoicing!A:L,12,FALSE)</f>
        <v>1</v>
      </c>
      <c r="BC141" s="2" t="s">
        <v>66</v>
      </c>
    </row>
    <row r="142" spans="1:55">
      <c r="A142" s="38" t="s">
        <v>289</v>
      </c>
      <c r="B142" s="3" t="s">
        <v>77</v>
      </c>
      <c r="C142" s="11">
        <v>46045.997916666667</v>
      </c>
      <c r="D142" s="11">
        <v>46046.25</v>
      </c>
      <c r="E142" s="11" t="s">
        <v>98</v>
      </c>
      <c r="F142" s="11" t="s">
        <v>300</v>
      </c>
      <c r="G142" s="11" t="s">
        <v>59</v>
      </c>
      <c r="H142" s="11" t="s">
        <v>91</v>
      </c>
      <c r="I142" s="3" t="s">
        <v>321</v>
      </c>
      <c r="J142" s="86" t="s">
        <v>82</v>
      </c>
      <c r="K142" s="11">
        <v>46047.25</v>
      </c>
      <c r="L142" s="12">
        <v>46047.878472222219</v>
      </c>
      <c r="M142" s="12">
        <v>46047.875</v>
      </c>
      <c r="N142" s="12">
        <v>46047.916666666664</v>
      </c>
      <c r="O142" s="12" t="s">
        <v>63</v>
      </c>
      <c r="P142" s="85" t="s">
        <v>15</v>
      </c>
      <c r="Q142" s="3">
        <v>0</v>
      </c>
      <c r="R142" s="1">
        <f t="shared" si="43"/>
        <v>4</v>
      </c>
      <c r="S142" s="1">
        <f t="shared" si="44"/>
        <v>1</v>
      </c>
      <c r="T142" s="126">
        <f t="shared" si="45"/>
        <v>46047.878472222219</v>
      </c>
      <c r="U142" s="127">
        <f t="shared" si="46"/>
        <v>1.2520833333328483</v>
      </c>
      <c r="V142" s="128">
        <f>Table2[[#This Row],[ATA A OFRECIMIENTO]]*24</f>
        <v>30.049999999988358</v>
      </c>
      <c r="W142" s="1" t="str">
        <f t="shared" si="47"/>
        <v>YES</v>
      </c>
      <c r="X142" s="127">
        <f t="shared" si="48"/>
        <v>0.625</v>
      </c>
      <c r="Y142" s="128">
        <f>Table2[[#This Row],[DEL. AVAILABLE A SLOT]]*24</f>
        <v>15</v>
      </c>
      <c r="Z142" s="1" t="str">
        <f t="shared" si="49"/>
        <v>SI</v>
      </c>
      <c r="AA142" s="127">
        <f t="shared" si="50"/>
        <v>1.8770833333328483</v>
      </c>
      <c r="AB142" s="128">
        <f>Table2[[#This Row],[ATA A TIMESLOT]]*24</f>
        <v>45.049999999988358</v>
      </c>
      <c r="AC142" s="127">
        <f t="shared" si="51"/>
        <v>3.4722222189884633E-3</v>
      </c>
      <c r="AD142" s="127" t="str">
        <f t="shared" si="52"/>
        <v>SI</v>
      </c>
      <c r="AE142" s="128">
        <f>Table2[[#This Row],[PUNTUALIDAD (H)]]*24</f>
        <v>8.3333333255723119E-2</v>
      </c>
      <c r="AF142" s="127">
        <f t="shared" si="53"/>
        <v>1.9187499999970896</v>
      </c>
      <c r="AG142" s="128">
        <f>Table2[[#This Row],[ATA TO UNLOADING]]*24</f>
        <v>46.049999999930151</v>
      </c>
      <c r="AH142" s="128" t="str">
        <f>IF(Table2[[#This Row],[ATA TO UNLOADING 2]]&lt;=48,"YES","NO")</f>
        <v>YES</v>
      </c>
      <c r="AJ142" s="129">
        <f t="shared" si="54"/>
        <v>0.875</v>
      </c>
      <c r="AK142" s="49" t="s">
        <v>36</v>
      </c>
      <c r="AL142" s="2" t="str">
        <f t="shared" si="55"/>
        <v>4/26</v>
      </c>
      <c r="AM142" s="2" t="str">
        <f t="shared" si="56"/>
        <v>GCXU6257956</v>
      </c>
      <c r="AN142" s="130" t="str">
        <f t="shared" si="57"/>
        <v>MSI</v>
      </c>
      <c r="AO142" s="141">
        <f>IF($O142="TRUCK",
VLOOKUP($AU142,Invoicing!$A$16:$B$56,MATCH($AO$1,Invoicing!$A$16:$B$16,0),FALSE)+IF(OR($B142="DCD",$B142="HPD2"),23.5,0),
VLOOKUP($AU142,Invoicing!$N$15:$O$19,MATCH($AO$1,Invoicing!$N$15:$O$15,0),FALSE)+IF(OR($B142="DCD",$B142="HPD2"),23.5,0))</f>
        <v>523.5</v>
      </c>
      <c r="AP142" s="131">
        <f>VLOOKUP($E142,Invoicing!$A$1:$H$12,MATCH(TRACKER!$P142,Invoicing!$A$1:$H$1,0),FALSE)</f>
        <v>120</v>
      </c>
      <c r="AQ142" s="131">
        <f>VLOOKUP($E142,Invoicing!$A$1:$H$12,MATCH(TRACKER!$Q$1,Invoicing!$A$1:$H$1,0),FALSE)</f>
        <v>50</v>
      </c>
      <c r="AR142" s="131">
        <f t="shared" si="58"/>
        <v>0</v>
      </c>
      <c r="AS142" s="2">
        <f t="shared" si="59"/>
        <v>7</v>
      </c>
      <c r="AT142" s="2" t="str">
        <f t="shared" si="62"/>
        <v>SUNDAY</v>
      </c>
      <c r="AU142" s="2" t="str">
        <f t="shared" si="60"/>
        <v>MSISUNDAY</v>
      </c>
      <c r="AV142" s="94">
        <f>(IF(ISNA(AP142),AO142+AR142,SUM($AO142,$AR142,IFERROR($AP142,"0"))))+Table2[[#This Row],[WAITING TIMES]]</f>
        <v>1123.5</v>
      </c>
      <c r="AW142" s="94">
        <f>VLOOKUP(AN142,Invoicing!A:K,11,FALSE)</f>
        <v>20</v>
      </c>
      <c r="AX142" s="48">
        <v>480</v>
      </c>
      <c r="AY142" s="48" t="s">
        <v>322</v>
      </c>
      <c r="AZ142" s="94">
        <f t="shared" si="61"/>
        <v>1143.5</v>
      </c>
      <c r="BA142" s="133">
        <f>VLOOKUP(AN142,Invoicing!A:J,10,FALSE)</f>
        <v>70</v>
      </c>
      <c r="BB142" s="133">
        <f>VLOOKUP(AN142,Invoicing!A:L,12,FALSE)</f>
        <v>1</v>
      </c>
      <c r="BC142" s="2" t="s">
        <v>66</v>
      </c>
    </row>
    <row r="143" spans="1:55">
      <c r="A143" s="38" t="s">
        <v>289</v>
      </c>
      <c r="B143" s="3" t="s">
        <v>77</v>
      </c>
      <c r="C143" s="11">
        <v>46045.997916666667</v>
      </c>
      <c r="D143" s="11">
        <v>46046.25</v>
      </c>
      <c r="E143" s="11" t="s">
        <v>98</v>
      </c>
      <c r="F143" s="11" t="s">
        <v>294</v>
      </c>
      <c r="G143" s="11" t="s">
        <v>133</v>
      </c>
      <c r="H143" s="11" t="s">
        <v>91</v>
      </c>
      <c r="I143" s="3" t="s">
        <v>323</v>
      </c>
      <c r="J143" s="86" t="s">
        <v>82</v>
      </c>
      <c r="K143" s="11">
        <v>46047.25</v>
      </c>
      <c r="L143" s="12">
        <v>46047.737500000003</v>
      </c>
      <c r="M143" s="12">
        <v>46047.75</v>
      </c>
      <c r="N143" s="12">
        <v>46047.759027777778</v>
      </c>
      <c r="O143" s="12" t="s">
        <v>63</v>
      </c>
      <c r="P143" s="85" t="s">
        <v>64</v>
      </c>
      <c r="Q143" s="3">
        <v>0</v>
      </c>
      <c r="R143" s="1">
        <f t="shared" si="43"/>
        <v>4</v>
      </c>
      <c r="S143" s="1">
        <f t="shared" si="44"/>
        <v>1</v>
      </c>
      <c r="T143" s="126">
        <f t="shared" si="45"/>
        <v>46047.737500000003</v>
      </c>
      <c r="U143" s="127">
        <f t="shared" si="46"/>
        <v>1.2520833333328483</v>
      </c>
      <c r="V143" s="128">
        <f>Table2[[#This Row],[ATA A OFRECIMIENTO]]*24</f>
        <v>30.049999999988358</v>
      </c>
      <c r="W143" s="1" t="str">
        <f t="shared" si="47"/>
        <v>YES</v>
      </c>
      <c r="X143" s="127">
        <f t="shared" si="48"/>
        <v>0.5</v>
      </c>
      <c r="Y143" s="128">
        <f>Table2[[#This Row],[DEL. AVAILABLE A SLOT]]*24</f>
        <v>12</v>
      </c>
      <c r="Z143" s="1" t="str">
        <f t="shared" si="49"/>
        <v>SI</v>
      </c>
      <c r="AA143" s="127">
        <f t="shared" si="50"/>
        <v>1.7520833333328483</v>
      </c>
      <c r="AB143" s="128">
        <f>Table2[[#This Row],[ATA A TIMESLOT]]*24</f>
        <v>42.049999999988358</v>
      </c>
      <c r="AC143" s="127">
        <f t="shared" si="51"/>
        <v>0</v>
      </c>
      <c r="AD143" s="127" t="str">
        <f t="shared" si="52"/>
        <v>SI</v>
      </c>
      <c r="AE143" s="128">
        <f>Table2[[#This Row],[PUNTUALIDAD (H)]]*24</f>
        <v>0</v>
      </c>
      <c r="AF143" s="127">
        <f t="shared" si="53"/>
        <v>1.7611111111109494</v>
      </c>
      <c r="AG143" s="128">
        <f>Table2[[#This Row],[ATA TO UNLOADING]]*24</f>
        <v>42.266666666662786</v>
      </c>
      <c r="AH143" s="128" t="str">
        <f>IF(Table2[[#This Row],[ATA TO UNLOADING 2]]&lt;=48,"YES","NO")</f>
        <v>YES</v>
      </c>
      <c r="AJ143" s="129">
        <f t="shared" si="54"/>
        <v>0.75</v>
      </c>
      <c r="AK143" s="2" t="s">
        <v>64</v>
      </c>
      <c r="AL143" s="2" t="str">
        <f t="shared" si="55"/>
        <v>4/26</v>
      </c>
      <c r="AM143" s="2" t="str">
        <f t="shared" si="56"/>
        <v>UACU5396951</v>
      </c>
      <c r="AN143" s="130" t="str">
        <f t="shared" si="57"/>
        <v>MSI</v>
      </c>
      <c r="AO143" s="141">
        <f>IF($O143="TRUCK",
VLOOKUP($AU143,Invoicing!$A$16:$B$56,MATCH($AO$1,Invoicing!$A$16:$B$16,0),FALSE)+IF(OR($B143="DCD",$B143="HPD2"),23.5,0),
VLOOKUP($AU143,Invoicing!$N$15:$O$19,MATCH($AO$1,Invoicing!$N$15:$O$15,0),FALSE)+IF(OR($B143="DCD",$B143="HPD2"),23.5,0))</f>
        <v>523.5</v>
      </c>
      <c r="AP143" s="131" t="e">
        <f>VLOOKUP($E143,Invoicing!$A$1:$H$12,MATCH(TRACKER!$P143,Invoicing!$A$1:$H$1,0),FALSE)</f>
        <v>#N/A</v>
      </c>
      <c r="AQ143" s="131">
        <f>VLOOKUP($E143,Invoicing!$A$1:$H$12,MATCH(TRACKER!$Q$1,Invoicing!$A$1:$H$1,0),FALSE)</f>
        <v>50</v>
      </c>
      <c r="AR143" s="131">
        <f t="shared" si="58"/>
        <v>0</v>
      </c>
      <c r="AS143" s="2">
        <f t="shared" si="59"/>
        <v>7</v>
      </c>
      <c r="AT143" s="2" t="str">
        <f t="shared" si="62"/>
        <v>SUNDAY</v>
      </c>
      <c r="AU143" s="2" t="str">
        <f t="shared" si="60"/>
        <v>MSISUNDAY</v>
      </c>
      <c r="AV143" s="94">
        <f>(IF(ISNA(AP143),AO143+AR143,SUM($AO143,$AR143,IFERROR($AP143,"0"))))+Table2[[#This Row],[WAITING TIMES]]</f>
        <v>523.5</v>
      </c>
      <c r="AW143" s="94">
        <f>VLOOKUP(AN143,Invoicing!A:K,11,FALSE)</f>
        <v>20</v>
      </c>
      <c r="AY143" s="48"/>
      <c r="AZ143" s="94">
        <f t="shared" si="61"/>
        <v>543.5</v>
      </c>
      <c r="BA143" s="133">
        <f>VLOOKUP(AN143,Invoicing!A:J,10,FALSE)</f>
        <v>70</v>
      </c>
      <c r="BB143" s="133">
        <f>VLOOKUP(AN143,Invoicing!A:L,12,FALSE)</f>
        <v>1</v>
      </c>
      <c r="BC143" s="2" t="s">
        <v>66</v>
      </c>
    </row>
    <row r="144" spans="1:55">
      <c r="A144" s="38" t="s">
        <v>289</v>
      </c>
      <c r="B144" s="3" t="s">
        <v>77</v>
      </c>
      <c r="C144" s="11">
        <v>46045.997916666667</v>
      </c>
      <c r="D144" s="11">
        <v>46046.25</v>
      </c>
      <c r="E144" s="11" t="s">
        <v>83</v>
      </c>
      <c r="F144" s="11" t="s">
        <v>290</v>
      </c>
      <c r="G144" s="11" t="s">
        <v>59</v>
      </c>
      <c r="H144" s="11" t="s">
        <v>91</v>
      </c>
      <c r="I144" s="3" t="s">
        <v>324</v>
      </c>
      <c r="J144" s="86" t="s">
        <v>82</v>
      </c>
      <c r="K144" s="11">
        <v>46047.25</v>
      </c>
      <c r="L144" s="12">
        <v>46047.92291666667</v>
      </c>
      <c r="M144" s="12">
        <v>46047.958333333336</v>
      </c>
      <c r="N144" s="12">
        <v>46047.940972222219</v>
      </c>
      <c r="O144" s="12" t="s">
        <v>63</v>
      </c>
      <c r="P144" s="85" t="s">
        <v>64</v>
      </c>
      <c r="Q144" s="3">
        <v>0</v>
      </c>
      <c r="R144" s="1">
        <f t="shared" si="43"/>
        <v>4</v>
      </c>
      <c r="S144" s="1">
        <f t="shared" si="44"/>
        <v>1</v>
      </c>
      <c r="T144" s="126">
        <f t="shared" si="45"/>
        <v>46047.92291666667</v>
      </c>
      <c r="U144" s="127">
        <f t="shared" si="46"/>
        <v>1.2520833333328483</v>
      </c>
      <c r="V144" s="128">
        <f>Table2[[#This Row],[ATA A OFRECIMIENTO]]*24</f>
        <v>30.049999999988358</v>
      </c>
      <c r="W144" s="1" t="str">
        <f t="shared" si="47"/>
        <v>YES</v>
      </c>
      <c r="X144" s="127">
        <f t="shared" si="48"/>
        <v>0.70833333333575865</v>
      </c>
      <c r="Y144" s="128">
        <f>Table2[[#This Row],[DEL. AVAILABLE A SLOT]]*24</f>
        <v>17.000000000058208</v>
      </c>
      <c r="Z144" s="1" t="str">
        <f t="shared" si="49"/>
        <v>SI</v>
      </c>
      <c r="AA144" s="127">
        <f t="shared" si="50"/>
        <v>1.9604166666686069</v>
      </c>
      <c r="AB144" s="128">
        <f>Table2[[#This Row],[ATA A TIMESLOT]]*24</f>
        <v>47.050000000046566</v>
      </c>
      <c r="AC144" s="127">
        <f t="shared" si="51"/>
        <v>0</v>
      </c>
      <c r="AD144" s="127" t="str">
        <f t="shared" si="52"/>
        <v>SI</v>
      </c>
      <c r="AE144" s="128">
        <f>Table2[[#This Row],[PUNTUALIDAD (H)]]*24</f>
        <v>0</v>
      </c>
      <c r="AF144" s="127">
        <f t="shared" si="53"/>
        <v>1.9430555555518367</v>
      </c>
      <c r="AG144" s="128">
        <f>Table2[[#This Row],[ATA TO UNLOADING]]*24</f>
        <v>46.633333333244082</v>
      </c>
      <c r="AH144" s="128" t="str">
        <f>IF(Table2[[#This Row],[ATA TO UNLOADING 2]]&lt;=48,"YES","NO")</f>
        <v>YES</v>
      </c>
      <c r="AJ144" s="129">
        <f t="shared" si="54"/>
        <v>0.95833333333575865</v>
      </c>
      <c r="AK144" s="49" t="s">
        <v>36</v>
      </c>
      <c r="AL144" s="2" t="str">
        <f t="shared" si="55"/>
        <v>4/26</v>
      </c>
      <c r="AM144" s="2" t="str">
        <f t="shared" si="56"/>
        <v>TRHU4298280</v>
      </c>
      <c r="AN144" s="130" t="str">
        <f t="shared" si="57"/>
        <v>OM TRANSPORT</v>
      </c>
      <c r="AO144" s="141">
        <f>IF($O144="TRUCK",
VLOOKUP($AU144,Invoicing!$A$16:$B$56,MATCH($AO$1,Invoicing!$A$16:$B$16,0),FALSE)+IF(OR($B144="DCD",$B144="HPD2"),23.5,0),
VLOOKUP($AU144,Invoicing!$N$15:$O$19,MATCH($AO$1,Invoicing!$N$15:$O$15,0),FALSE)+IF(OR($B144="DCD",$B144="HPD2"),23.5,0))</f>
        <v>573.5</v>
      </c>
      <c r="AP144" s="131" t="e">
        <f>VLOOKUP($E144,Invoicing!$A$1:$H$12,MATCH(TRACKER!$P144,Invoicing!$A$1:$H$1,0),FALSE)</f>
        <v>#N/A</v>
      </c>
      <c r="AQ144" s="131">
        <f>VLOOKUP($E144,Invoicing!$A$1:$H$12,MATCH(TRACKER!$Q$1,Invoicing!$A$1:$H$1,0),FALSE)</f>
        <v>50</v>
      </c>
      <c r="AR144" s="131">
        <f t="shared" si="58"/>
        <v>0</v>
      </c>
      <c r="AS144" s="2">
        <f t="shared" si="59"/>
        <v>7</v>
      </c>
      <c r="AT144" s="2" t="str">
        <f t="shared" si="62"/>
        <v>SUNDAY</v>
      </c>
      <c r="AU144" s="2" t="str">
        <f t="shared" si="60"/>
        <v>OM TRANSPORTSUNDAY</v>
      </c>
      <c r="AV144" s="94">
        <f>(IF(ISNA(AP144),AO144+AR144,SUM($AO144,$AR144,IFERROR($AP144,"0"))))+Table2[[#This Row],[WAITING TIMES]]</f>
        <v>596</v>
      </c>
      <c r="AW144" s="94">
        <f>VLOOKUP(AN144,Invoicing!A:K,11,FALSE)</f>
        <v>20</v>
      </c>
      <c r="AX144" s="48">
        <v>22.5</v>
      </c>
      <c r="AY144" s="48" t="s">
        <v>325</v>
      </c>
      <c r="AZ144" s="94">
        <f t="shared" si="61"/>
        <v>616</v>
      </c>
      <c r="BA144" s="133">
        <f>VLOOKUP(AN144,Invoicing!A:J,10,FALSE)</f>
        <v>70</v>
      </c>
      <c r="BB144" s="133">
        <f>VLOOKUP(AN144,Invoicing!A:L,12,FALSE)</f>
        <v>1</v>
      </c>
      <c r="BC144" s="2" t="s">
        <v>66</v>
      </c>
    </row>
    <row r="145" spans="1:55">
      <c r="A145" s="38" t="s">
        <v>289</v>
      </c>
      <c r="B145" s="3" t="s">
        <v>77</v>
      </c>
      <c r="C145" s="11">
        <v>46045.997916666667</v>
      </c>
      <c r="D145" s="11">
        <v>46046.25</v>
      </c>
      <c r="E145" s="11" t="s">
        <v>57</v>
      </c>
      <c r="F145" s="11" t="s">
        <v>290</v>
      </c>
      <c r="G145" s="11" t="s">
        <v>59</v>
      </c>
      <c r="H145" s="11" t="s">
        <v>91</v>
      </c>
      <c r="I145" s="3" t="s">
        <v>326</v>
      </c>
      <c r="J145" s="86" t="s">
        <v>82</v>
      </c>
      <c r="K145" s="11">
        <v>46047.25</v>
      </c>
      <c r="L145" s="12">
        <v>46047.745138888888</v>
      </c>
      <c r="M145" s="12">
        <v>46047.791666666664</v>
      </c>
      <c r="N145" s="12">
        <v>46047.760416666664</v>
      </c>
      <c r="O145" s="12" t="s">
        <v>63</v>
      </c>
      <c r="P145" s="85" t="s">
        <v>64</v>
      </c>
      <c r="Q145" s="3">
        <v>0</v>
      </c>
      <c r="R145" s="1">
        <f t="shared" si="43"/>
        <v>4</v>
      </c>
      <c r="S145" s="1">
        <f t="shared" si="44"/>
        <v>1</v>
      </c>
      <c r="T145" s="126">
        <f t="shared" si="45"/>
        <v>46047.745138888888</v>
      </c>
      <c r="U145" s="127">
        <f t="shared" si="46"/>
        <v>1.2520833333328483</v>
      </c>
      <c r="V145" s="128">
        <f>Table2[[#This Row],[ATA A OFRECIMIENTO]]*24</f>
        <v>30.049999999988358</v>
      </c>
      <c r="W145" s="1" t="str">
        <f t="shared" si="47"/>
        <v>YES</v>
      </c>
      <c r="X145" s="127">
        <f t="shared" si="48"/>
        <v>0.54166666666424135</v>
      </c>
      <c r="Y145" s="128">
        <f>Table2[[#This Row],[DEL. AVAILABLE A SLOT]]*24</f>
        <v>12.999999999941792</v>
      </c>
      <c r="Z145" s="1" t="str">
        <f t="shared" si="49"/>
        <v>SI</v>
      </c>
      <c r="AA145" s="127">
        <f t="shared" si="50"/>
        <v>1.7937499999970896</v>
      </c>
      <c r="AB145" s="128">
        <f>Table2[[#This Row],[ATA A TIMESLOT]]*24</f>
        <v>43.049999999930151</v>
      </c>
      <c r="AC145" s="127">
        <f t="shared" si="51"/>
        <v>0</v>
      </c>
      <c r="AD145" s="127" t="str">
        <f t="shared" si="52"/>
        <v>SI</v>
      </c>
      <c r="AE145" s="128">
        <f>Table2[[#This Row],[PUNTUALIDAD (H)]]*24</f>
        <v>0</v>
      </c>
      <c r="AF145" s="127">
        <f t="shared" si="53"/>
        <v>1.7624999999970896</v>
      </c>
      <c r="AG145" s="128">
        <f>Table2[[#This Row],[ATA TO UNLOADING]]*24</f>
        <v>42.299999999930151</v>
      </c>
      <c r="AH145" s="128" t="str">
        <f>IF(Table2[[#This Row],[ATA TO UNLOADING 2]]&lt;=48,"YES","NO")</f>
        <v>YES</v>
      </c>
      <c r="AJ145" s="129">
        <f t="shared" si="54"/>
        <v>0.79166666666424135</v>
      </c>
      <c r="AK145" s="2" t="s">
        <v>64</v>
      </c>
      <c r="AL145" s="2" t="str">
        <f t="shared" si="55"/>
        <v>4/26</v>
      </c>
      <c r="AM145" s="2" t="str">
        <f t="shared" si="56"/>
        <v>MSKU1386017</v>
      </c>
      <c r="AN145" s="130" t="str">
        <f t="shared" si="57"/>
        <v>CTK TRANSPORT</v>
      </c>
      <c r="AO145" s="141">
        <f>IF($O145="TRUCK",
VLOOKUP($AU145,Invoicing!$A$16:$B$56,MATCH($AO$1,Invoicing!$A$16:$B$16,0),FALSE)+IF(OR($B145="DCD",$B145="HPD2"),23.5,0),
VLOOKUP($AU145,Invoicing!$N$15:$O$19,MATCH($AO$1,Invoicing!$N$15:$O$15,0),FALSE)+IF(OR($B145="DCD",$B145="HPD2"),23.5,0))</f>
        <v>648.5</v>
      </c>
      <c r="AP145" s="131" t="e">
        <f>VLOOKUP($E145,Invoicing!$A$1:$H$12,MATCH(TRACKER!$P145,Invoicing!$A$1:$H$1,0),FALSE)</f>
        <v>#N/A</v>
      </c>
      <c r="AQ145" s="131">
        <f>VLOOKUP($E145,Invoicing!$A$1:$H$12,MATCH(TRACKER!$Q$1,Invoicing!$A$1:$H$1,0),FALSE)</f>
        <v>50</v>
      </c>
      <c r="AR145" s="131">
        <f t="shared" si="58"/>
        <v>0</v>
      </c>
      <c r="AS145" s="2">
        <f t="shared" si="59"/>
        <v>7</v>
      </c>
      <c r="AT145" s="2" t="str">
        <f t="shared" si="62"/>
        <v>SUNDAY</v>
      </c>
      <c r="AU145" s="2" t="str">
        <f t="shared" si="60"/>
        <v>CTK TRANSPORTSUNDAY</v>
      </c>
      <c r="AV145" s="94">
        <f>(IF(ISNA(AP145),AO145+AR145,SUM($AO145,$AR145,IFERROR($AP145,"0"))))+Table2[[#This Row],[WAITING TIMES]]</f>
        <v>648.5</v>
      </c>
      <c r="AW145" s="94">
        <f>VLOOKUP(AN145,Invoicing!A:K,11,FALSE)</f>
        <v>20</v>
      </c>
      <c r="AY145" s="48"/>
      <c r="AZ145" s="94">
        <f t="shared" si="61"/>
        <v>668.5</v>
      </c>
      <c r="BA145" s="133">
        <f>VLOOKUP(AN145,Invoicing!A:J,10,FALSE)</f>
        <v>70</v>
      </c>
      <c r="BB145" s="133">
        <f>VLOOKUP(AN145,Invoicing!A:L,12,FALSE)</f>
        <v>1</v>
      </c>
      <c r="BC145" s="2" t="s">
        <v>66</v>
      </c>
    </row>
    <row r="146" spans="1:55">
      <c r="A146" s="38" t="s">
        <v>289</v>
      </c>
      <c r="B146" s="3" t="s">
        <v>77</v>
      </c>
      <c r="C146" s="11">
        <v>46045.997916666667</v>
      </c>
      <c r="D146" s="11">
        <v>46046.25</v>
      </c>
      <c r="E146" s="11" t="s">
        <v>57</v>
      </c>
      <c r="F146" s="11" t="s">
        <v>296</v>
      </c>
      <c r="G146" s="11" t="s">
        <v>59</v>
      </c>
      <c r="H146" s="11" t="s">
        <v>91</v>
      </c>
      <c r="I146" s="3" t="s">
        <v>327</v>
      </c>
      <c r="J146" s="86" t="s">
        <v>82</v>
      </c>
      <c r="K146" s="11">
        <v>46047.25</v>
      </c>
      <c r="L146" s="12">
        <v>46048.340277777781</v>
      </c>
      <c r="M146" s="12">
        <v>46048.333333333336</v>
      </c>
      <c r="N146" s="12">
        <v>46048.333333333336</v>
      </c>
      <c r="O146" s="12" t="s">
        <v>63</v>
      </c>
      <c r="P146" s="85" t="s">
        <v>64</v>
      </c>
      <c r="Q146" s="3">
        <v>0</v>
      </c>
      <c r="R146" s="1">
        <f t="shared" si="43"/>
        <v>5</v>
      </c>
      <c r="S146" s="1">
        <f t="shared" si="44"/>
        <v>1</v>
      </c>
      <c r="T146" s="126">
        <f t="shared" si="45"/>
        <v>46048.340277777781</v>
      </c>
      <c r="U146" s="127">
        <f t="shared" si="46"/>
        <v>1.2520833333328483</v>
      </c>
      <c r="V146" s="128">
        <f>Table2[[#This Row],[ATA A OFRECIMIENTO]]*24</f>
        <v>30.049999999988358</v>
      </c>
      <c r="W146" s="1" t="str">
        <f t="shared" si="47"/>
        <v>YES</v>
      </c>
      <c r="X146" s="127">
        <f t="shared" si="48"/>
        <v>1.0833333333357587</v>
      </c>
      <c r="Y146" s="128">
        <f>Table2[[#This Row],[DEL. AVAILABLE A SLOT]]*24</f>
        <v>26.000000000058208</v>
      </c>
      <c r="Z146" s="1" t="str">
        <f t="shared" si="49"/>
        <v>NO</v>
      </c>
      <c r="AA146" s="127">
        <f t="shared" si="50"/>
        <v>2.3354166666686069</v>
      </c>
      <c r="AB146" s="128">
        <f>Table2[[#This Row],[ATA A TIMESLOT]]*24</f>
        <v>56.050000000046566</v>
      </c>
      <c r="AC146" s="127">
        <f t="shared" si="51"/>
        <v>6.9444444452528842E-3</v>
      </c>
      <c r="AD146" s="127" t="str">
        <f t="shared" si="52"/>
        <v>SI</v>
      </c>
      <c r="AE146" s="128">
        <f>Table2[[#This Row],[PUNTUALIDAD (H)]]*24</f>
        <v>0.16666666668606922</v>
      </c>
      <c r="AF146" s="127">
        <f t="shared" si="53"/>
        <v>2.3354166666686069</v>
      </c>
      <c r="AG146" s="128">
        <f>Table2[[#This Row],[ATA TO UNLOADING]]*24</f>
        <v>56.050000000046566</v>
      </c>
      <c r="AH146" s="128" t="str">
        <f>IF(Table2[[#This Row],[ATA TO UNLOADING 2]]&lt;=48,"YES","NO")</f>
        <v>NO</v>
      </c>
      <c r="AJ146" s="129">
        <f t="shared" si="54"/>
        <v>0.33333333333575865</v>
      </c>
      <c r="AK146" s="2" t="s">
        <v>64</v>
      </c>
      <c r="AL146" s="2" t="str">
        <f t="shared" si="55"/>
        <v>5/26</v>
      </c>
      <c r="AM146" s="2" t="str">
        <f t="shared" si="56"/>
        <v>SUDU6973617</v>
      </c>
      <c r="AN146" s="130" t="str">
        <f t="shared" si="57"/>
        <v>CTK TRANSPORT</v>
      </c>
      <c r="AO146" s="141">
        <f>IF($O146="TRUCK",
VLOOKUP($AU146,Invoicing!$A$16:$B$56,MATCH($AO$1,Invoicing!$A$16:$B$16,0),FALSE)+IF(OR($B146="DCD",$B146="HPD2"),23.5,0),
VLOOKUP($AU146,Invoicing!$N$15:$O$19,MATCH($AO$1,Invoicing!$N$15:$O$15,0),FALSE)+IF(OR($B146="DCD",$B146="HPD2"),23.5,0))</f>
        <v>573.5</v>
      </c>
      <c r="AP146" s="131" t="e">
        <f>VLOOKUP($E146,Invoicing!$A$1:$H$12,MATCH(TRACKER!$P146,Invoicing!$A$1:$H$1,0),FALSE)</f>
        <v>#N/A</v>
      </c>
      <c r="AQ146" s="131">
        <f>VLOOKUP($E146,Invoicing!$A$1:$H$12,MATCH(TRACKER!$Q$1,Invoicing!$A$1:$H$1,0),FALSE)</f>
        <v>50</v>
      </c>
      <c r="AR146" s="131">
        <f t="shared" si="58"/>
        <v>0</v>
      </c>
      <c r="AS146" s="2">
        <f t="shared" si="59"/>
        <v>1</v>
      </c>
      <c r="AT146" s="2" t="str">
        <f t="shared" si="62"/>
        <v>WEEK</v>
      </c>
      <c r="AU146" s="2" t="str">
        <f t="shared" si="60"/>
        <v>CTK TRANSPORTWEEK</v>
      </c>
      <c r="AV146" s="94">
        <f>(IF(ISNA(AP146),AO146+AR146,SUM($AO146,$AR146,IFERROR($AP146,"0"))))+Table2[[#This Row],[WAITING TIMES]]</f>
        <v>711</v>
      </c>
      <c r="AW146" s="94">
        <f>VLOOKUP(AN146,Invoicing!A:K,11,FALSE)</f>
        <v>20</v>
      </c>
      <c r="AX146" s="48">
        <v>137.5</v>
      </c>
      <c r="AY146" s="94" t="s">
        <v>328</v>
      </c>
      <c r="AZ146" s="94">
        <f t="shared" si="61"/>
        <v>731</v>
      </c>
      <c r="BA146" s="133">
        <f>VLOOKUP(AN146,Invoicing!A:J,10,FALSE)</f>
        <v>70</v>
      </c>
      <c r="BB146" s="133">
        <f>VLOOKUP(AN146,Invoicing!A:L,12,FALSE)</f>
        <v>1</v>
      </c>
      <c r="BC146" s="2" t="s">
        <v>66</v>
      </c>
    </row>
    <row r="147" spans="1:55">
      <c r="A147" s="87" t="s">
        <v>289</v>
      </c>
      <c r="B147" s="91" t="s">
        <v>77</v>
      </c>
      <c r="C147" s="89">
        <v>46045.997916666667</v>
      </c>
      <c r="D147" s="89">
        <v>46046.25</v>
      </c>
      <c r="E147" s="89" t="s">
        <v>71</v>
      </c>
      <c r="F147" s="89" t="s">
        <v>290</v>
      </c>
      <c r="G147" s="89" t="s">
        <v>59</v>
      </c>
      <c r="H147" s="89" t="s">
        <v>91</v>
      </c>
      <c r="I147" s="91" t="s">
        <v>329</v>
      </c>
      <c r="J147" s="88" t="s">
        <v>82</v>
      </c>
      <c r="K147" s="89">
        <v>46047.25</v>
      </c>
      <c r="L147" s="90">
        <v>46048.463888888888</v>
      </c>
      <c r="M147" s="90">
        <v>46048.458333333336</v>
      </c>
      <c r="N147" s="90">
        <v>46048.489583333336</v>
      </c>
      <c r="O147" s="90" t="s">
        <v>63</v>
      </c>
      <c r="P147" s="93" t="s">
        <v>64</v>
      </c>
      <c r="Q147" s="91">
        <v>0</v>
      </c>
      <c r="R147" s="1">
        <f t="shared" si="43"/>
        <v>5</v>
      </c>
      <c r="S147" s="1">
        <f t="shared" si="44"/>
        <v>1</v>
      </c>
      <c r="T147" s="126">
        <f t="shared" si="45"/>
        <v>46048.463888888888</v>
      </c>
      <c r="U147" s="127">
        <f t="shared" si="46"/>
        <v>1.2520833333328483</v>
      </c>
      <c r="V147" s="128">
        <f>Table2[[#This Row],[ATA A OFRECIMIENTO]]*24</f>
        <v>30.049999999988358</v>
      </c>
      <c r="W147" s="1" t="str">
        <f t="shared" si="47"/>
        <v>YES</v>
      </c>
      <c r="X147" s="127">
        <f t="shared" si="48"/>
        <v>1.2083333333357587</v>
      </c>
      <c r="Y147" s="128">
        <f>Table2[[#This Row],[DEL. AVAILABLE A SLOT]]*24</f>
        <v>29.000000000058208</v>
      </c>
      <c r="Z147" s="1" t="str">
        <f t="shared" si="49"/>
        <v>NO</v>
      </c>
      <c r="AA147" s="127">
        <f t="shared" si="50"/>
        <v>2.4604166666686069</v>
      </c>
      <c r="AB147" s="128">
        <f>Table2[[#This Row],[ATA A TIMESLOT]]*24</f>
        <v>59.050000000046566</v>
      </c>
      <c r="AC147" s="127">
        <f t="shared" si="51"/>
        <v>5.5555555518367328E-3</v>
      </c>
      <c r="AD147" s="127" t="str">
        <f t="shared" si="52"/>
        <v>SI</v>
      </c>
      <c r="AE147" s="128">
        <f>Table2[[#This Row],[PUNTUALIDAD (H)]]*24</f>
        <v>0.13333333324408159</v>
      </c>
      <c r="AF147" s="127">
        <f t="shared" si="53"/>
        <v>2.4916666666686069</v>
      </c>
      <c r="AG147" s="128">
        <f>Table2[[#This Row],[ATA TO UNLOADING]]*24</f>
        <v>59.800000000046566</v>
      </c>
      <c r="AH147" s="128" t="str">
        <f>IF(Table2[[#This Row],[ATA TO UNLOADING 2]]&lt;=48,"YES","NO")</f>
        <v>NO</v>
      </c>
      <c r="AJ147" s="129">
        <f t="shared" si="54"/>
        <v>0.45833333333575865</v>
      </c>
      <c r="AK147" s="2" t="s">
        <v>64</v>
      </c>
      <c r="AL147" s="2" t="str">
        <f t="shared" si="55"/>
        <v>5/26</v>
      </c>
      <c r="AM147" s="2" t="str">
        <f t="shared" si="56"/>
        <v>MRSU5598592</v>
      </c>
      <c r="AN147" s="130" t="str">
        <f t="shared" si="57"/>
        <v>LOGIX</v>
      </c>
      <c r="AO147" s="141">
        <f>IF($O147="TRUCK",
VLOOKUP($AU147,Invoicing!$A$16:$B$56,MATCH($AO$1,Invoicing!$A$16:$B$16,0),FALSE)+IF(OR($B147="DCD",$B147="HPD2"),23.5,0),
VLOOKUP($AU147,Invoicing!$N$15:$O$19,MATCH($AO$1,Invoicing!$N$15:$O$15,0),FALSE)+IF(OR($B147="DCD",$B147="HPD2"),23.5,0))</f>
        <v>573.5</v>
      </c>
      <c r="AP147" s="131" t="e">
        <f>VLOOKUP($E147,Invoicing!$A$1:$H$12,MATCH(TRACKER!$P147,Invoicing!$A$1:$H$1,0),FALSE)</f>
        <v>#N/A</v>
      </c>
      <c r="AQ147" s="131">
        <f>VLOOKUP($E147,Invoicing!$A$1:$H$12,MATCH(TRACKER!$Q$1,Invoicing!$A$1:$H$1,0),FALSE)</f>
        <v>50</v>
      </c>
      <c r="AR147" s="131">
        <f t="shared" si="58"/>
        <v>0</v>
      </c>
      <c r="AS147" s="2">
        <f t="shared" si="59"/>
        <v>1</v>
      </c>
      <c r="AT147" s="2" t="str">
        <f t="shared" si="62"/>
        <v>WEEK</v>
      </c>
      <c r="AU147" s="2" t="str">
        <f t="shared" si="60"/>
        <v>LOGIXWEEK</v>
      </c>
      <c r="AV147" s="94">
        <f>(IF(ISNA(AP147),AO147+AR147,SUM($AO147,$AR147,IFERROR($AP147,"0"))))+Table2[[#This Row],[WAITING TIMES]]</f>
        <v>573.5</v>
      </c>
      <c r="AW147" s="94">
        <f>VLOOKUP(AN147,Invoicing!A:K,11,FALSE)</f>
        <v>20</v>
      </c>
      <c r="AY147" s="48"/>
      <c r="AZ147" s="94">
        <f t="shared" si="61"/>
        <v>593.5</v>
      </c>
      <c r="BA147" s="133">
        <f>VLOOKUP(AN147,Invoicing!A:J,10,FALSE)</f>
        <v>70</v>
      </c>
      <c r="BB147" s="133">
        <f>VLOOKUP(AN147,Invoicing!A:L,12,FALSE)</f>
        <v>1</v>
      </c>
      <c r="BC147" s="2" t="s">
        <v>66</v>
      </c>
    </row>
    <row r="148" spans="1:55">
      <c r="A148" s="134" t="s">
        <v>330</v>
      </c>
      <c r="B148" s="86" t="s">
        <v>56</v>
      </c>
      <c r="C148" s="11">
        <v>46049.946527777778</v>
      </c>
      <c r="D148" s="11">
        <v>46049.958333333336</v>
      </c>
      <c r="E148" s="11" t="s">
        <v>98</v>
      </c>
      <c r="F148" s="11" t="s">
        <v>331</v>
      </c>
      <c r="G148" s="11" t="s">
        <v>59</v>
      </c>
      <c r="H148" s="11" t="s">
        <v>68</v>
      </c>
      <c r="I148" s="86" t="s">
        <v>332</v>
      </c>
      <c r="J148" s="86" t="s">
        <v>100</v>
      </c>
      <c r="K148" s="11">
        <v>46051.25</v>
      </c>
      <c r="L148" s="12">
        <v>46051.375</v>
      </c>
      <c r="M148" s="12">
        <v>46051.333333333336</v>
      </c>
      <c r="N148" s="12">
        <v>46051.381944444445</v>
      </c>
      <c r="O148" s="12" t="s">
        <v>63</v>
      </c>
      <c r="P148" s="135" t="s">
        <v>64</v>
      </c>
      <c r="Q148" s="3">
        <v>1</v>
      </c>
      <c r="R148" s="1">
        <f t="shared" si="43"/>
        <v>5</v>
      </c>
      <c r="S148" s="1">
        <f t="shared" si="44"/>
        <v>1</v>
      </c>
      <c r="T148" s="126">
        <f t="shared" si="45"/>
        <v>46051.375</v>
      </c>
      <c r="U148" s="127">
        <f t="shared" si="46"/>
        <v>1.3034722222218988</v>
      </c>
      <c r="V148" s="128">
        <f>Table2[[#This Row],[ATA A OFRECIMIENTO]]*24</f>
        <v>31.283333333325572</v>
      </c>
      <c r="W148" s="1" t="str">
        <f t="shared" si="47"/>
        <v>YES</v>
      </c>
      <c r="X148" s="127">
        <f t="shared" si="48"/>
        <v>8.3333333335758653E-2</v>
      </c>
      <c r="Y148" s="128">
        <f>Table2[[#This Row],[DEL. AVAILABLE A SLOT]]*24</f>
        <v>2.0000000000582077</v>
      </c>
      <c r="Z148" s="1" t="str">
        <f t="shared" si="49"/>
        <v>SI</v>
      </c>
      <c r="AA148" s="127">
        <f t="shared" si="50"/>
        <v>1.3868055555576575</v>
      </c>
      <c r="AB148" s="128">
        <f>Table2[[#This Row],[ATA A TIMESLOT]]*24</f>
        <v>33.28333333338378</v>
      </c>
      <c r="AC148" s="127">
        <f t="shared" si="51"/>
        <v>4.1666666664241347E-2</v>
      </c>
      <c r="AD148" s="127" t="str">
        <f t="shared" si="52"/>
        <v>NO</v>
      </c>
      <c r="AE148" s="128">
        <f>Table2[[#This Row],[PUNTUALIDAD (H)]]*24</f>
        <v>0.99999999994179234</v>
      </c>
      <c r="AF148" s="127">
        <f t="shared" si="53"/>
        <v>1.4354166666671517</v>
      </c>
      <c r="AG148" s="128">
        <f>Table2[[#This Row],[ATA TO UNLOADING]]*24</f>
        <v>34.450000000011642</v>
      </c>
      <c r="AH148" s="128" t="str">
        <f>IF(Table2[[#This Row],[ATA TO UNLOADING 2]]&lt;=48,"YES","NO")</f>
        <v>YES</v>
      </c>
      <c r="AJ148" s="129">
        <f t="shared" si="54"/>
        <v>0.33333333333575865</v>
      </c>
      <c r="AK148" s="2" t="s">
        <v>64</v>
      </c>
      <c r="AL148" s="2" t="str">
        <f t="shared" si="55"/>
        <v>5/26</v>
      </c>
      <c r="AM148" s="2" t="str">
        <f t="shared" si="56"/>
        <v>CAIU5858524</v>
      </c>
      <c r="AN148" s="130" t="str">
        <f t="shared" si="57"/>
        <v>MSI</v>
      </c>
      <c r="AO148" s="141">
        <f>IF($O148="TRUCK",
VLOOKUP($AU148,Invoicing!$A$16:$B$56,MATCH($AO$1,Invoicing!$A$16:$B$16,0),FALSE)+IF(OR($B148="DCD",$B148="HPD2"),23.5,0),
VLOOKUP($AU148,Invoicing!$N$15:$O$19,MATCH($AO$1,Invoicing!$N$15:$O$15,0),FALSE)+IF(OR($B148="DCD",$B148="HPD2"),23.5,0))</f>
        <v>480</v>
      </c>
      <c r="AP148" s="131" t="e">
        <f>VLOOKUP($E148,Invoicing!$A$1:$H$12,MATCH(TRACKER!$P148,Invoicing!$A$1:$H$1,0),FALSE)</f>
        <v>#N/A</v>
      </c>
      <c r="AQ148" s="131">
        <f>VLOOKUP($E148,Invoicing!$A$1:$H$12,MATCH(TRACKER!$Q$1,Invoicing!$A$1:$H$1,0),FALSE)</f>
        <v>50</v>
      </c>
      <c r="AR148" s="131">
        <f t="shared" si="58"/>
        <v>50</v>
      </c>
      <c r="AS148" s="2">
        <f t="shared" si="59"/>
        <v>4</v>
      </c>
      <c r="AT148" s="2" t="str">
        <f t="shared" si="62"/>
        <v>WEEK</v>
      </c>
      <c r="AU148" s="2" t="str">
        <f t="shared" si="60"/>
        <v>MSIWEEK</v>
      </c>
      <c r="AV148" s="94">
        <f>(IF(ISNA(AP148),AO148+AR148,SUM($AO148,$AR148,IFERROR($AP148,"0"))))+Table2[[#This Row],[WAITING TIMES]]</f>
        <v>635</v>
      </c>
      <c r="AW148" s="48">
        <f>VLOOKUP(AN148,Invoicing!A:K,11,FALSE)</f>
        <v>20</v>
      </c>
      <c r="AX148" s="48">
        <v>105</v>
      </c>
      <c r="AY148" s="48" t="s">
        <v>333</v>
      </c>
      <c r="AZ148" s="48">
        <f t="shared" si="61"/>
        <v>655</v>
      </c>
      <c r="BA148" s="132">
        <f>VLOOKUP(AN148,Invoicing!A:J,10,FALSE)</f>
        <v>70</v>
      </c>
      <c r="BB148" s="132">
        <f>VLOOKUP(AN148,Invoicing!A:L,12,FALSE)</f>
        <v>1</v>
      </c>
      <c r="BC148" s="2" t="s">
        <v>66</v>
      </c>
    </row>
    <row r="149" spans="1:55">
      <c r="A149" s="134" t="s">
        <v>330</v>
      </c>
      <c r="B149" s="86" t="s">
        <v>56</v>
      </c>
      <c r="C149" s="11">
        <v>46049.946527777778</v>
      </c>
      <c r="D149" s="11">
        <v>46049.958333333336</v>
      </c>
      <c r="E149" s="11" t="s">
        <v>73</v>
      </c>
      <c r="F149" s="11" t="s">
        <v>334</v>
      </c>
      <c r="G149" s="11" t="s">
        <v>133</v>
      </c>
      <c r="H149" s="11" t="s">
        <v>60</v>
      </c>
      <c r="I149" s="86" t="s">
        <v>335</v>
      </c>
      <c r="J149" s="86" t="s">
        <v>100</v>
      </c>
      <c r="K149" s="11">
        <v>46051.25</v>
      </c>
      <c r="L149" s="12">
        <v>46052.25</v>
      </c>
      <c r="M149" s="12">
        <v>46052.25</v>
      </c>
      <c r="N149" s="12">
        <v>46052.256944444445</v>
      </c>
      <c r="O149" s="12" t="s">
        <v>63</v>
      </c>
      <c r="P149" s="135" t="s">
        <v>64</v>
      </c>
      <c r="Q149" s="3">
        <v>1</v>
      </c>
      <c r="R149" s="1">
        <f t="shared" si="43"/>
        <v>5</v>
      </c>
      <c r="S149" s="1">
        <f t="shared" si="44"/>
        <v>1</v>
      </c>
      <c r="T149" s="126">
        <f t="shared" si="45"/>
        <v>46052.25</v>
      </c>
      <c r="U149" s="127">
        <f t="shared" si="46"/>
        <v>1.3034722222218988</v>
      </c>
      <c r="V149" s="128">
        <f>Table2[[#This Row],[ATA A OFRECIMIENTO]]*24</f>
        <v>31.283333333325572</v>
      </c>
      <c r="W149" s="1" t="str">
        <f t="shared" si="47"/>
        <v>YES</v>
      </c>
      <c r="X149" s="127">
        <f t="shared" si="48"/>
        <v>1</v>
      </c>
      <c r="Y149" s="128">
        <f>Table2[[#This Row],[DEL. AVAILABLE A SLOT]]*24</f>
        <v>24</v>
      </c>
      <c r="Z149" s="1" t="str">
        <f t="shared" si="49"/>
        <v>SI</v>
      </c>
      <c r="AA149" s="127">
        <f t="shared" si="50"/>
        <v>2.3034722222218988</v>
      </c>
      <c r="AB149" s="128">
        <f>Table2[[#This Row],[ATA A TIMESLOT]]*24</f>
        <v>55.283333333325572</v>
      </c>
      <c r="AC149" s="127">
        <f t="shared" si="51"/>
        <v>0</v>
      </c>
      <c r="AD149" s="127" t="str">
        <f t="shared" si="52"/>
        <v>SI</v>
      </c>
      <c r="AE149" s="128">
        <f>Table2[[#This Row],[PUNTUALIDAD (H)]]*24</f>
        <v>0</v>
      </c>
      <c r="AF149" s="127">
        <f t="shared" si="53"/>
        <v>2.3104166666671517</v>
      </c>
      <c r="AG149" s="128">
        <f>Table2[[#This Row],[ATA TO UNLOADING]]*24</f>
        <v>55.450000000011642</v>
      </c>
      <c r="AH149" s="128" t="str">
        <f>IF(Table2[[#This Row],[ATA TO UNLOADING 2]]&lt;=48,"YES","NO")</f>
        <v>NO</v>
      </c>
      <c r="AJ149" s="129">
        <f t="shared" si="54"/>
        <v>0.25</v>
      </c>
      <c r="AK149" s="2" t="s">
        <v>64</v>
      </c>
      <c r="AL149" s="2" t="str">
        <f t="shared" si="55"/>
        <v>5/26</v>
      </c>
      <c r="AM149" s="2" t="str">
        <f t="shared" si="56"/>
        <v>HAMU3112185</v>
      </c>
      <c r="AN149" s="130" t="str">
        <f t="shared" si="57"/>
        <v>OTL</v>
      </c>
      <c r="AO149" s="141">
        <f>IF($O149="TRUCK",
VLOOKUP($AU149,Invoicing!$A$16:$B$56,MATCH($AO$1,Invoicing!$A$16:$B$16,0),FALSE)+IF(OR($B149="DCD",$B149="HPD2"),23.5,0),
VLOOKUP($AU149,Invoicing!$N$15:$O$19,MATCH($AO$1,Invoicing!$N$15:$O$15,0),FALSE)+IF(OR($B149="DCD",$B149="HPD2"),23.5,0))</f>
        <v>530</v>
      </c>
      <c r="AP149" s="131" t="e">
        <f>VLOOKUP($E149,Invoicing!$A$1:$H$12,MATCH(TRACKER!$P149,Invoicing!$A$1:$H$1,0),FALSE)</f>
        <v>#N/A</v>
      </c>
      <c r="AQ149" s="131">
        <f>VLOOKUP($E149,Invoicing!$A$1:$H$12,MATCH(TRACKER!$Q$1,Invoicing!$A$1:$H$1,0),FALSE)</f>
        <v>60</v>
      </c>
      <c r="AR149" s="131">
        <f t="shared" si="58"/>
        <v>60</v>
      </c>
      <c r="AS149" s="2">
        <f t="shared" si="59"/>
        <v>5</v>
      </c>
      <c r="AT149" s="2" t="str">
        <f t="shared" si="62"/>
        <v>WEEK</v>
      </c>
      <c r="AU149" s="2" t="str">
        <f t="shared" si="60"/>
        <v>OTLWEEK</v>
      </c>
      <c r="AV149" s="94">
        <f>(IF(ISNA(AP149),AO149+AR149,SUM($AO149,$AR149,IFERROR($AP149,"0"))))+Table2[[#This Row],[WAITING TIMES]]</f>
        <v>665</v>
      </c>
      <c r="AW149" s="48">
        <f>VLOOKUP(AN149,Invoicing!A:K,11,FALSE)</f>
        <v>20</v>
      </c>
      <c r="AX149" s="48">
        <v>75</v>
      </c>
      <c r="AY149" s="48" t="s">
        <v>336</v>
      </c>
      <c r="AZ149" s="48">
        <f t="shared" si="61"/>
        <v>685</v>
      </c>
      <c r="BA149" s="132">
        <f>VLOOKUP(AN149,Invoicing!A:J,10,FALSE)</f>
        <v>70</v>
      </c>
      <c r="BB149" s="132">
        <f>VLOOKUP(AN149,Invoicing!A:L,12,FALSE)</f>
        <v>1</v>
      </c>
      <c r="BC149" s="2" t="s">
        <v>66</v>
      </c>
    </row>
    <row r="150" spans="1:55">
      <c r="A150" s="134" t="s">
        <v>330</v>
      </c>
      <c r="B150" s="86" t="s">
        <v>56</v>
      </c>
      <c r="C150" s="11">
        <v>46049.946527777778</v>
      </c>
      <c r="D150" s="11">
        <v>46049.958333333336</v>
      </c>
      <c r="E150" s="11" t="s">
        <v>83</v>
      </c>
      <c r="F150" s="11" t="s">
        <v>337</v>
      </c>
      <c r="G150" s="11" t="s">
        <v>59</v>
      </c>
      <c r="H150" s="11" t="s">
        <v>60</v>
      </c>
      <c r="I150" s="86" t="s">
        <v>338</v>
      </c>
      <c r="J150" s="86" t="s">
        <v>100</v>
      </c>
      <c r="K150" s="11">
        <v>46051.25</v>
      </c>
      <c r="L150" s="12">
        <v>46051.25</v>
      </c>
      <c r="M150" s="12">
        <v>46051.25</v>
      </c>
      <c r="N150" s="12">
        <v>46051.256944444445</v>
      </c>
      <c r="O150" s="12" t="s">
        <v>63</v>
      </c>
      <c r="P150" s="135" t="s">
        <v>64</v>
      </c>
      <c r="Q150" s="3">
        <v>2</v>
      </c>
      <c r="R150" s="1">
        <f t="shared" si="43"/>
        <v>5</v>
      </c>
      <c r="S150" s="1">
        <f t="shared" si="44"/>
        <v>1</v>
      </c>
      <c r="T150" s="126">
        <f t="shared" si="45"/>
        <v>46051.25</v>
      </c>
      <c r="U150" s="127">
        <f t="shared" si="46"/>
        <v>1.3034722222218988</v>
      </c>
      <c r="V150" s="128">
        <f>Table2[[#This Row],[ATA A OFRECIMIENTO]]*24</f>
        <v>31.283333333325572</v>
      </c>
      <c r="W150" s="1" t="str">
        <f t="shared" si="47"/>
        <v>YES</v>
      </c>
      <c r="X150" s="127">
        <f t="shared" si="48"/>
        <v>0</v>
      </c>
      <c r="Y150" s="128">
        <f>Table2[[#This Row],[DEL. AVAILABLE A SLOT]]*24</f>
        <v>0</v>
      </c>
      <c r="Z150" s="1" t="str">
        <f t="shared" si="49"/>
        <v>SI</v>
      </c>
      <c r="AA150" s="127">
        <f t="shared" si="50"/>
        <v>1.3034722222218988</v>
      </c>
      <c r="AB150" s="128">
        <f>Table2[[#This Row],[ATA A TIMESLOT]]*24</f>
        <v>31.283333333325572</v>
      </c>
      <c r="AC150" s="127">
        <f t="shared" si="51"/>
        <v>0</v>
      </c>
      <c r="AD150" s="127" t="str">
        <f t="shared" si="52"/>
        <v>SI</v>
      </c>
      <c r="AE150" s="128">
        <f>Table2[[#This Row],[PUNTUALIDAD (H)]]*24</f>
        <v>0</v>
      </c>
      <c r="AF150" s="127">
        <f t="shared" si="53"/>
        <v>1.3104166666671517</v>
      </c>
      <c r="AG150" s="128">
        <f>Table2[[#This Row],[ATA TO UNLOADING]]*24</f>
        <v>31.450000000011642</v>
      </c>
      <c r="AH150" s="128" t="str">
        <f>IF(Table2[[#This Row],[ATA TO UNLOADING 2]]&lt;=48,"YES","NO")</f>
        <v>YES</v>
      </c>
      <c r="AJ150" s="129">
        <f t="shared" si="54"/>
        <v>0.25</v>
      </c>
      <c r="AK150" s="2" t="s">
        <v>64</v>
      </c>
      <c r="AL150" s="2" t="str">
        <f t="shared" si="55"/>
        <v>5/26</v>
      </c>
      <c r="AM150" s="2" t="str">
        <f t="shared" si="56"/>
        <v>MAEU9175455</v>
      </c>
      <c r="AN150" s="130" t="str">
        <f t="shared" si="57"/>
        <v>OM TRANSPORT</v>
      </c>
      <c r="AO150" s="141">
        <f>IF($O150="TRUCK",
VLOOKUP($AU150,Invoicing!$A$16:$B$56,MATCH($AO$1,Invoicing!$A$16:$B$16,0),FALSE)+IF(OR($B150="DCD",$B150="HPD2"),23.5,0),
VLOOKUP($AU150,Invoicing!$N$15:$O$19,MATCH($AO$1,Invoicing!$N$15:$O$15,0),FALSE)+IF(OR($B150="DCD",$B150="HPD2"),23.5,0))</f>
        <v>475</v>
      </c>
      <c r="AP150" s="131" t="e">
        <f>VLOOKUP($E150,Invoicing!$A$1:$H$12,MATCH(TRACKER!$P150,Invoicing!$A$1:$H$1,0),FALSE)</f>
        <v>#N/A</v>
      </c>
      <c r="AQ150" s="131">
        <f>VLOOKUP($E150,Invoicing!$A$1:$H$12,MATCH(TRACKER!$Q$1,Invoicing!$A$1:$H$1,0),FALSE)</f>
        <v>50</v>
      </c>
      <c r="AR150" s="131">
        <f t="shared" si="58"/>
        <v>100</v>
      </c>
      <c r="AS150" s="2">
        <f t="shared" si="59"/>
        <v>4</v>
      </c>
      <c r="AT150" s="2" t="str">
        <f t="shared" si="62"/>
        <v>WEEK</v>
      </c>
      <c r="AU150" s="2" t="str">
        <f t="shared" si="60"/>
        <v>OM TRANSPORTWEEK</v>
      </c>
      <c r="AV150" s="94">
        <f>(IF(ISNA(AP150),AO150+AR150,SUM($AO150,$AR150,IFERROR($AP150,"0"))))+Table2[[#This Row],[WAITING TIMES]]</f>
        <v>597.5</v>
      </c>
      <c r="AW150" s="48">
        <f>VLOOKUP(AN150,Invoicing!A:K,11,FALSE)</f>
        <v>20</v>
      </c>
      <c r="AX150" s="48">
        <v>22.5</v>
      </c>
      <c r="AY150" s="48" t="s">
        <v>339</v>
      </c>
      <c r="AZ150" s="48">
        <f t="shared" si="61"/>
        <v>617.5</v>
      </c>
      <c r="BA150" s="132">
        <f>VLOOKUP(AN150,Invoicing!A:J,10,FALSE)</f>
        <v>70</v>
      </c>
      <c r="BB150" s="132">
        <f>VLOOKUP(AN150,Invoicing!A:L,12,FALSE)</f>
        <v>1</v>
      </c>
      <c r="BC150" s="2" t="s">
        <v>66</v>
      </c>
    </row>
    <row r="151" spans="1:55">
      <c r="A151" s="134" t="s">
        <v>330</v>
      </c>
      <c r="B151" s="86" t="s">
        <v>56</v>
      </c>
      <c r="C151" s="11">
        <v>46049.946527777778</v>
      </c>
      <c r="D151" s="11">
        <v>46049.958333333336</v>
      </c>
      <c r="E151" s="11" t="s">
        <v>98</v>
      </c>
      <c r="F151" s="11" t="s">
        <v>331</v>
      </c>
      <c r="G151" s="11" t="s">
        <v>59</v>
      </c>
      <c r="H151" s="11" t="s">
        <v>68</v>
      </c>
      <c r="I151" s="86" t="s">
        <v>340</v>
      </c>
      <c r="J151" s="86" t="s">
        <v>100</v>
      </c>
      <c r="K151" s="11">
        <v>46051.25</v>
      </c>
      <c r="L151" s="12">
        <v>46051.427083333336</v>
      </c>
      <c r="M151" s="12">
        <v>46051.458333333336</v>
      </c>
      <c r="N151" s="12">
        <v>46051.434027777781</v>
      </c>
      <c r="O151" s="12" t="s">
        <v>63</v>
      </c>
      <c r="P151" s="135" t="s">
        <v>64</v>
      </c>
      <c r="Q151" s="3">
        <v>0</v>
      </c>
      <c r="R151" s="1">
        <f t="shared" si="43"/>
        <v>5</v>
      </c>
      <c r="S151" s="1">
        <f t="shared" si="44"/>
        <v>1</v>
      </c>
      <c r="T151" s="126">
        <f t="shared" si="45"/>
        <v>46051.427083333336</v>
      </c>
      <c r="U151" s="127">
        <f t="shared" si="46"/>
        <v>1.3034722222218988</v>
      </c>
      <c r="V151" s="128">
        <f>Table2[[#This Row],[ATA A OFRECIMIENTO]]*24</f>
        <v>31.283333333325572</v>
      </c>
      <c r="W151" s="1" t="str">
        <f t="shared" si="47"/>
        <v>YES</v>
      </c>
      <c r="X151" s="127">
        <f t="shared" si="48"/>
        <v>0.20833333333575865</v>
      </c>
      <c r="Y151" s="128">
        <f>Table2[[#This Row],[DEL. AVAILABLE A SLOT]]*24</f>
        <v>5.0000000000582077</v>
      </c>
      <c r="Z151" s="1" t="str">
        <f t="shared" si="49"/>
        <v>SI</v>
      </c>
      <c r="AA151" s="127">
        <f t="shared" si="50"/>
        <v>1.5118055555576575</v>
      </c>
      <c r="AB151" s="128">
        <f>Table2[[#This Row],[ATA A TIMESLOT]]*24</f>
        <v>36.28333333338378</v>
      </c>
      <c r="AC151" s="127">
        <f t="shared" si="51"/>
        <v>0</v>
      </c>
      <c r="AD151" s="127" t="str">
        <f t="shared" si="52"/>
        <v>SI</v>
      </c>
      <c r="AE151" s="128">
        <f>Table2[[#This Row],[PUNTUALIDAD (H)]]*24</f>
        <v>0</v>
      </c>
      <c r="AF151" s="127">
        <f t="shared" si="53"/>
        <v>1.4875000000029104</v>
      </c>
      <c r="AG151" s="128">
        <f>Table2[[#This Row],[ATA TO UNLOADING]]*24</f>
        <v>35.700000000069849</v>
      </c>
      <c r="AH151" s="128" t="str">
        <f>IF(Table2[[#This Row],[ATA TO UNLOADING 2]]&lt;=48,"YES","NO")</f>
        <v>YES</v>
      </c>
      <c r="AJ151" s="129">
        <f t="shared" si="54"/>
        <v>0.45833333333575865</v>
      </c>
      <c r="AK151" s="2" t="s">
        <v>64</v>
      </c>
      <c r="AL151" s="2" t="str">
        <f t="shared" si="55"/>
        <v>5/26</v>
      </c>
      <c r="AM151" s="2" t="str">
        <f t="shared" si="56"/>
        <v>MAEU9242430</v>
      </c>
      <c r="AN151" s="130" t="str">
        <f t="shared" si="57"/>
        <v>MSI</v>
      </c>
      <c r="AO151" s="141">
        <f>IF($O151="TRUCK",
VLOOKUP($AU151,Invoicing!$A$16:$B$56,MATCH($AO$1,Invoicing!$A$16:$B$16,0),FALSE)+IF(OR($B151="DCD",$B151="HPD2"),23.5,0),
VLOOKUP($AU151,Invoicing!$N$15:$O$19,MATCH($AO$1,Invoicing!$N$15:$O$15,0),FALSE)+IF(OR($B151="DCD",$B151="HPD2"),23.5,0))</f>
        <v>480</v>
      </c>
      <c r="AP151" s="131" t="e">
        <f>VLOOKUP($E151,Invoicing!$A$1:$H$12,MATCH(TRACKER!$P151,Invoicing!$A$1:$H$1,0),FALSE)</f>
        <v>#N/A</v>
      </c>
      <c r="AQ151" s="131">
        <f>VLOOKUP($E151,Invoicing!$A$1:$H$12,MATCH(TRACKER!$Q$1,Invoicing!$A$1:$H$1,0),FALSE)</f>
        <v>50</v>
      </c>
      <c r="AR151" s="131">
        <f t="shared" si="58"/>
        <v>0</v>
      </c>
      <c r="AS151" s="2">
        <f t="shared" si="59"/>
        <v>4</v>
      </c>
      <c r="AT151" s="2" t="str">
        <f t="shared" si="62"/>
        <v>WEEK</v>
      </c>
      <c r="AU151" s="2" t="str">
        <f t="shared" si="60"/>
        <v>MSIWEEK</v>
      </c>
      <c r="AV151" s="94">
        <f>(IF(ISNA(AP151),AO151+AR151,SUM($AO151,$AR151,IFERROR($AP151,"0"))))+Table2[[#This Row],[WAITING TIMES]]</f>
        <v>480</v>
      </c>
      <c r="AW151" s="48">
        <f>VLOOKUP(AN151,Invoicing!A:K,11,FALSE)</f>
        <v>20</v>
      </c>
      <c r="AY151" s="48"/>
      <c r="AZ151" s="48">
        <f t="shared" si="61"/>
        <v>500</v>
      </c>
      <c r="BA151" s="132">
        <f>VLOOKUP(AN151,Invoicing!A:J,10,FALSE)</f>
        <v>70</v>
      </c>
      <c r="BB151" s="132">
        <f>VLOOKUP(AN151,Invoicing!A:L,12,FALSE)</f>
        <v>1</v>
      </c>
      <c r="BC151" s="2" t="s">
        <v>66</v>
      </c>
    </row>
    <row r="152" spans="1:55">
      <c r="A152" s="134" t="s">
        <v>330</v>
      </c>
      <c r="B152" s="86" t="s">
        <v>56</v>
      </c>
      <c r="C152" s="11">
        <v>46049.946527777778</v>
      </c>
      <c r="D152" s="11">
        <v>46049.958333333336</v>
      </c>
      <c r="E152" s="11" t="s">
        <v>98</v>
      </c>
      <c r="F152" s="11" t="s">
        <v>331</v>
      </c>
      <c r="G152" s="11" t="s">
        <v>59</v>
      </c>
      <c r="H152" s="11" t="s">
        <v>68</v>
      </c>
      <c r="I152" s="86" t="s">
        <v>341</v>
      </c>
      <c r="J152" s="86" t="s">
        <v>100</v>
      </c>
      <c r="K152" s="11">
        <v>46051.25</v>
      </c>
      <c r="L152" s="12">
        <v>46051.642361111109</v>
      </c>
      <c r="M152" s="12">
        <v>46051.666666666664</v>
      </c>
      <c r="N152" s="12">
        <v>46051.649305555555</v>
      </c>
      <c r="O152" s="12" t="s">
        <v>63</v>
      </c>
      <c r="P152" s="135" t="s">
        <v>64</v>
      </c>
      <c r="Q152" s="3">
        <v>1</v>
      </c>
      <c r="R152" s="1">
        <f t="shared" si="43"/>
        <v>5</v>
      </c>
      <c r="S152" s="1">
        <f t="shared" si="44"/>
        <v>1</v>
      </c>
      <c r="T152" s="126">
        <f t="shared" si="45"/>
        <v>46051.642361111109</v>
      </c>
      <c r="U152" s="127">
        <f t="shared" si="46"/>
        <v>1.3034722222218988</v>
      </c>
      <c r="V152" s="128">
        <f>Table2[[#This Row],[ATA A OFRECIMIENTO]]*24</f>
        <v>31.283333333325572</v>
      </c>
      <c r="W152" s="1" t="str">
        <f t="shared" si="47"/>
        <v>YES</v>
      </c>
      <c r="X152" s="127">
        <f t="shared" si="48"/>
        <v>0.41666666666424135</v>
      </c>
      <c r="Y152" s="128">
        <f>Table2[[#This Row],[DEL. AVAILABLE A SLOT]]*24</f>
        <v>9.9999999999417923</v>
      </c>
      <c r="Z152" s="1" t="str">
        <f t="shared" si="49"/>
        <v>SI</v>
      </c>
      <c r="AA152" s="127">
        <f t="shared" si="50"/>
        <v>1.7201388888861402</v>
      </c>
      <c r="AB152" s="128">
        <f>Table2[[#This Row],[ATA A TIMESLOT]]*24</f>
        <v>41.283333333267365</v>
      </c>
      <c r="AC152" s="127">
        <f t="shared" si="51"/>
        <v>0</v>
      </c>
      <c r="AD152" s="127" t="str">
        <f t="shared" si="52"/>
        <v>SI</v>
      </c>
      <c r="AE152" s="128">
        <f>Table2[[#This Row],[PUNTUALIDAD (H)]]*24</f>
        <v>0</v>
      </c>
      <c r="AF152" s="127">
        <f t="shared" si="53"/>
        <v>1.702777777776646</v>
      </c>
      <c r="AG152" s="128">
        <f>Table2[[#This Row],[ATA TO UNLOADING]]*24</f>
        <v>40.866666666639503</v>
      </c>
      <c r="AH152" s="128" t="str">
        <f>IF(Table2[[#This Row],[ATA TO UNLOADING 2]]&lt;=48,"YES","NO")</f>
        <v>YES</v>
      </c>
      <c r="AJ152" s="129">
        <f t="shared" si="54"/>
        <v>0.66666666666424135</v>
      </c>
      <c r="AK152" s="2" t="s">
        <v>64</v>
      </c>
      <c r="AL152" s="2" t="str">
        <f t="shared" si="55"/>
        <v>5/26</v>
      </c>
      <c r="AM152" s="2" t="str">
        <f t="shared" si="56"/>
        <v>MAEU9264059</v>
      </c>
      <c r="AN152" s="130" t="str">
        <f t="shared" si="57"/>
        <v>MSI</v>
      </c>
      <c r="AO152" s="141">
        <f>IF($O152="TRUCK",
VLOOKUP($AU152,Invoicing!$A$16:$B$56,MATCH($AO$1,Invoicing!$A$16:$B$16,0),FALSE)+IF(OR($B152="DCD",$B152="HPD2"),23.5,0),
VLOOKUP($AU152,Invoicing!$N$15:$O$19,MATCH($AO$1,Invoicing!$N$15:$O$15,0),FALSE)+IF(OR($B152="DCD",$B152="HPD2"),23.5,0))</f>
        <v>480</v>
      </c>
      <c r="AP152" s="131" t="e">
        <f>VLOOKUP($E152,Invoicing!$A$1:$H$12,MATCH(TRACKER!$P152,Invoicing!$A$1:$H$1,0),FALSE)</f>
        <v>#N/A</v>
      </c>
      <c r="AQ152" s="131">
        <f>VLOOKUP($E152,Invoicing!$A$1:$H$12,MATCH(TRACKER!$Q$1,Invoicing!$A$1:$H$1,0),FALSE)</f>
        <v>50</v>
      </c>
      <c r="AR152" s="131">
        <f t="shared" si="58"/>
        <v>50</v>
      </c>
      <c r="AS152" s="2">
        <f t="shared" si="59"/>
        <v>4</v>
      </c>
      <c r="AT152" s="2" t="str">
        <f t="shared" si="62"/>
        <v>WEEK</v>
      </c>
      <c r="AU152" s="2" t="str">
        <f t="shared" si="60"/>
        <v>MSIWEEK</v>
      </c>
      <c r="AV152" s="94">
        <f>(IF(ISNA(AP152),AO152+AR152,SUM($AO152,$AR152,IFERROR($AP152,"0"))))+Table2[[#This Row],[WAITING TIMES]]</f>
        <v>530</v>
      </c>
      <c r="AW152" s="48">
        <f>VLOOKUP(AN152,Invoicing!A:K,11,FALSE)</f>
        <v>20</v>
      </c>
      <c r="AY152" s="48"/>
      <c r="AZ152" s="48">
        <f t="shared" si="61"/>
        <v>550</v>
      </c>
      <c r="BA152" s="132">
        <f>VLOOKUP(AN152,Invoicing!A:J,10,FALSE)</f>
        <v>70</v>
      </c>
      <c r="BB152" s="132">
        <f>VLOOKUP(AN152,Invoicing!A:L,12,FALSE)</f>
        <v>1</v>
      </c>
      <c r="BC152" s="2" t="s">
        <v>66</v>
      </c>
    </row>
    <row r="153" spans="1:55">
      <c r="A153" s="134" t="s">
        <v>330</v>
      </c>
      <c r="B153" s="86" t="s">
        <v>56</v>
      </c>
      <c r="C153" s="11">
        <v>46049.946527777778</v>
      </c>
      <c r="D153" s="11">
        <v>46049.958333333336</v>
      </c>
      <c r="E153" s="11" t="s">
        <v>57</v>
      </c>
      <c r="F153" s="11" t="s">
        <v>337</v>
      </c>
      <c r="G153" s="11" t="s">
        <v>59</v>
      </c>
      <c r="H153" s="11" t="s">
        <v>60</v>
      </c>
      <c r="I153" s="86" t="s">
        <v>342</v>
      </c>
      <c r="J153" s="86" t="s">
        <v>62</v>
      </c>
      <c r="K153" s="11">
        <v>46051.25</v>
      </c>
      <c r="L153" s="12">
        <v>46051.875</v>
      </c>
      <c r="M153" s="12">
        <v>46051.875</v>
      </c>
      <c r="N153" s="12">
        <v>46051.916666666664</v>
      </c>
      <c r="O153" s="12" t="s">
        <v>63</v>
      </c>
      <c r="P153" s="135" t="s">
        <v>64</v>
      </c>
      <c r="Q153" s="3">
        <v>1</v>
      </c>
      <c r="R153" s="1">
        <f t="shared" si="43"/>
        <v>5</v>
      </c>
      <c r="S153" s="1">
        <f t="shared" si="44"/>
        <v>1</v>
      </c>
      <c r="T153" s="126">
        <f t="shared" si="45"/>
        <v>46051.875</v>
      </c>
      <c r="U153" s="127">
        <f t="shared" si="46"/>
        <v>1.3034722222218988</v>
      </c>
      <c r="V153" s="128">
        <f>Table2[[#This Row],[ATA A OFRECIMIENTO]]*24</f>
        <v>31.283333333325572</v>
      </c>
      <c r="W153" s="1" t="str">
        <f t="shared" si="47"/>
        <v>YES</v>
      </c>
      <c r="X153" s="127">
        <f t="shared" si="48"/>
        <v>0.625</v>
      </c>
      <c r="Y153" s="128">
        <f>Table2[[#This Row],[DEL. AVAILABLE A SLOT]]*24</f>
        <v>15</v>
      </c>
      <c r="Z153" s="1" t="str">
        <f t="shared" si="49"/>
        <v>SI</v>
      </c>
      <c r="AA153" s="127">
        <f t="shared" si="50"/>
        <v>1.9284722222218988</v>
      </c>
      <c r="AB153" s="128">
        <f>Table2[[#This Row],[ATA A TIMESLOT]]*24</f>
        <v>46.283333333325572</v>
      </c>
      <c r="AC153" s="127">
        <f t="shared" si="51"/>
        <v>0</v>
      </c>
      <c r="AD153" s="127" t="str">
        <f t="shared" si="52"/>
        <v>SI</v>
      </c>
      <c r="AE153" s="128">
        <f>Table2[[#This Row],[PUNTUALIDAD (H)]]*24</f>
        <v>0</v>
      </c>
      <c r="AF153" s="127">
        <f t="shared" si="53"/>
        <v>1.9701388888861402</v>
      </c>
      <c r="AG153" s="128">
        <f>Table2[[#This Row],[ATA TO UNLOADING]]*24</f>
        <v>47.283333333267365</v>
      </c>
      <c r="AH153" s="128" t="str">
        <f>IF(Table2[[#This Row],[ATA TO UNLOADING 2]]&lt;=48,"YES","NO")</f>
        <v>YES</v>
      </c>
      <c r="AJ153" s="129">
        <f t="shared" si="54"/>
        <v>0.875</v>
      </c>
      <c r="AK153" s="49" t="s">
        <v>36</v>
      </c>
      <c r="AL153" s="2" t="str">
        <f t="shared" si="55"/>
        <v>5/26</v>
      </c>
      <c r="AM153" s="2" t="str">
        <f t="shared" si="56"/>
        <v>MRKU0134507</v>
      </c>
      <c r="AN153" s="130" t="str">
        <f t="shared" si="57"/>
        <v>CTK TRANSPORT</v>
      </c>
      <c r="AO153" s="141">
        <f>IF($O153="TRUCK",
VLOOKUP($AU153,Invoicing!$A$16:$B$56,MATCH($AO$1,Invoicing!$A$16:$B$16,0),FALSE)+IF(OR($B153="DCD",$B153="HPD2"),23.5,0),
VLOOKUP($AU153,Invoicing!$N$15:$O$19,MATCH($AO$1,Invoicing!$N$15:$O$15,0),FALSE)+IF(OR($B153="DCD",$B153="HPD2"),23.5,0))</f>
        <v>600</v>
      </c>
      <c r="AP153" s="131" t="e">
        <f>VLOOKUP($E153,Invoicing!$A$1:$H$12,MATCH(TRACKER!$P153,Invoicing!$A$1:$H$1,0),FALSE)</f>
        <v>#N/A</v>
      </c>
      <c r="AQ153" s="131">
        <f>VLOOKUP($E153,Invoicing!$A$1:$H$12,MATCH(TRACKER!$Q$1,Invoicing!$A$1:$H$1,0),FALSE)</f>
        <v>50</v>
      </c>
      <c r="AR153" s="131">
        <f t="shared" si="58"/>
        <v>50</v>
      </c>
      <c r="AS153" s="2">
        <f t="shared" si="59"/>
        <v>4</v>
      </c>
      <c r="AT153" s="2" t="str">
        <f t="shared" si="62"/>
        <v>NIGHT</v>
      </c>
      <c r="AU153" s="2" t="str">
        <f t="shared" si="60"/>
        <v>CTK TRANSPORTNIGHT</v>
      </c>
      <c r="AV153" s="94">
        <f>(IF(ISNA(AP153),AO153+AR153,SUM($AO153,$AR153,IFERROR($AP153,"0"))))+Table2[[#This Row],[WAITING TIMES]]</f>
        <v>650</v>
      </c>
      <c r="AW153" s="48">
        <f>VLOOKUP(AN153,Invoicing!A:K,11,FALSE)</f>
        <v>20</v>
      </c>
      <c r="AY153" s="48"/>
      <c r="AZ153" s="48">
        <f t="shared" si="61"/>
        <v>670</v>
      </c>
      <c r="BA153" s="132">
        <f>VLOOKUP(AN153,Invoicing!A:J,10,FALSE)</f>
        <v>70</v>
      </c>
      <c r="BB153" s="132">
        <f>VLOOKUP(AN153,Invoicing!A:L,12,FALSE)</f>
        <v>1</v>
      </c>
      <c r="BC153" s="2" t="s">
        <v>66</v>
      </c>
    </row>
    <row r="154" spans="1:55">
      <c r="A154" s="134" t="s">
        <v>330</v>
      </c>
      <c r="B154" s="86" t="s">
        <v>56</v>
      </c>
      <c r="C154" s="11">
        <v>46049.946527777778</v>
      </c>
      <c r="D154" s="11">
        <v>46049.958333333336</v>
      </c>
      <c r="E154" s="11" t="s">
        <v>98</v>
      </c>
      <c r="F154" s="11" t="s">
        <v>343</v>
      </c>
      <c r="G154" s="11" t="s">
        <v>59</v>
      </c>
      <c r="H154" s="11" t="s">
        <v>144</v>
      </c>
      <c r="I154" s="86" t="s">
        <v>344</v>
      </c>
      <c r="J154" s="86" t="s">
        <v>100</v>
      </c>
      <c r="K154" s="11">
        <v>46051.25</v>
      </c>
      <c r="L154" s="12">
        <v>46051.680555555555</v>
      </c>
      <c r="M154" s="12">
        <v>46051.666666666664</v>
      </c>
      <c r="N154" s="12">
        <v>46051.6875</v>
      </c>
      <c r="O154" s="12" t="s">
        <v>63</v>
      </c>
      <c r="P154" s="135" t="s">
        <v>64</v>
      </c>
      <c r="Q154" s="3">
        <v>0</v>
      </c>
      <c r="R154" s="1">
        <f t="shared" si="43"/>
        <v>5</v>
      </c>
      <c r="S154" s="1">
        <f t="shared" si="44"/>
        <v>1</v>
      </c>
      <c r="T154" s="126">
        <f t="shared" si="45"/>
        <v>46051.680555555555</v>
      </c>
      <c r="U154" s="127">
        <f t="shared" si="46"/>
        <v>1.3034722222218988</v>
      </c>
      <c r="V154" s="128">
        <f>Table2[[#This Row],[ATA A OFRECIMIENTO]]*24</f>
        <v>31.283333333325572</v>
      </c>
      <c r="W154" s="1" t="str">
        <f t="shared" si="47"/>
        <v>YES</v>
      </c>
      <c r="X154" s="127">
        <f t="shared" si="48"/>
        <v>0.41666666666424135</v>
      </c>
      <c r="Y154" s="128">
        <f>Table2[[#This Row],[DEL. AVAILABLE A SLOT]]*24</f>
        <v>9.9999999999417923</v>
      </c>
      <c r="Z154" s="1" t="str">
        <f t="shared" si="49"/>
        <v>SI</v>
      </c>
      <c r="AA154" s="127">
        <f t="shared" si="50"/>
        <v>1.7201388888861402</v>
      </c>
      <c r="AB154" s="128">
        <f>Table2[[#This Row],[ATA A TIMESLOT]]*24</f>
        <v>41.283333333267365</v>
      </c>
      <c r="AC154" s="127">
        <f t="shared" si="51"/>
        <v>1.3888888890505768E-2</v>
      </c>
      <c r="AD154" s="127" t="str">
        <f t="shared" si="52"/>
        <v>SI</v>
      </c>
      <c r="AE154" s="128">
        <f>Table2[[#This Row],[PUNTUALIDAD (H)]]*24</f>
        <v>0.33333333337213844</v>
      </c>
      <c r="AF154" s="127">
        <f t="shared" si="53"/>
        <v>1.7409722222218988</v>
      </c>
      <c r="AG154" s="128">
        <f>Table2[[#This Row],[ATA TO UNLOADING]]*24</f>
        <v>41.783333333325572</v>
      </c>
      <c r="AH154" s="128" t="str">
        <f>IF(Table2[[#This Row],[ATA TO UNLOADING 2]]&lt;=48,"YES","NO")</f>
        <v>YES</v>
      </c>
      <c r="AJ154" s="129">
        <f t="shared" si="54"/>
        <v>0.66666666666424135</v>
      </c>
      <c r="AK154" s="2" t="s">
        <v>64</v>
      </c>
      <c r="AL154" s="2" t="str">
        <f t="shared" si="55"/>
        <v>5/26</v>
      </c>
      <c r="AM154" s="2" t="str">
        <f t="shared" si="56"/>
        <v>MRKU0943775</v>
      </c>
      <c r="AN154" s="130" t="str">
        <f t="shared" si="57"/>
        <v>MSI</v>
      </c>
      <c r="AO154" s="141">
        <f>IF($O154="TRUCK",
VLOOKUP($AU154,Invoicing!$A$16:$B$56,MATCH($AO$1,Invoicing!$A$16:$B$16,0),FALSE)+IF(OR($B154="DCD",$B154="HPD2"),23.5,0),
VLOOKUP($AU154,Invoicing!$N$15:$O$19,MATCH($AO$1,Invoicing!$N$15:$O$15,0),FALSE)+IF(OR($B154="DCD",$B154="HPD2"),23.5,0))</f>
        <v>480</v>
      </c>
      <c r="AP154" s="131" t="e">
        <f>VLOOKUP($E154,Invoicing!$A$1:$H$12,MATCH(TRACKER!$P154,Invoicing!$A$1:$H$1,0),FALSE)</f>
        <v>#N/A</v>
      </c>
      <c r="AQ154" s="131">
        <f>VLOOKUP($E154,Invoicing!$A$1:$H$12,MATCH(TRACKER!$Q$1,Invoicing!$A$1:$H$1,0),FALSE)</f>
        <v>50</v>
      </c>
      <c r="AR154" s="131">
        <f t="shared" si="58"/>
        <v>0</v>
      </c>
      <c r="AS154" s="2">
        <f t="shared" si="59"/>
        <v>4</v>
      </c>
      <c r="AT154" s="2" t="str">
        <f t="shared" si="62"/>
        <v>WEEK</v>
      </c>
      <c r="AU154" s="2" t="str">
        <f t="shared" si="60"/>
        <v>MSIWEEK</v>
      </c>
      <c r="AV154" s="94">
        <f>(IF(ISNA(AP154),AO154+AR154,SUM($AO154,$AR154,IFERROR($AP154,"0"))))+Table2[[#This Row],[WAITING TIMES]]</f>
        <v>480</v>
      </c>
      <c r="AW154" s="48">
        <f>VLOOKUP(AN154,Invoicing!A:K,11,FALSE)</f>
        <v>20</v>
      </c>
      <c r="AY154" s="48"/>
      <c r="AZ154" s="48">
        <f t="shared" si="61"/>
        <v>500</v>
      </c>
      <c r="BA154" s="132">
        <f>VLOOKUP(AN154,Invoicing!A:J,10,FALSE)</f>
        <v>70</v>
      </c>
      <c r="BB154" s="132">
        <f>VLOOKUP(AN154,Invoicing!A:L,12,FALSE)</f>
        <v>1</v>
      </c>
      <c r="BC154" s="2" t="s">
        <v>66</v>
      </c>
    </row>
    <row r="155" spans="1:55">
      <c r="A155" s="134" t="s">
        <v>330</v>
      </c>
      <c r="B155" s="86" t="s">
        <v>56</v>
      </c>
      <c r="C155" s="11">
        <v>46049.946527777778</v>
      </c>
      <c r="D155" s="11">
        <v>46049.958333333336</v>
      </c>
      <c r="E155" s="11" t="s">
        <v>71</v>
      </c>
      <c r="F155" s="11" t="s">
        <v>345</v>
      </c>
      <c r="G155" s="11" t="s">
        <v>59</v>
      </c>
      <c r="H155" s="11" t="s">
        <v>266</v>
      </c>
      <c r="I155" s="86" t="s">
        <v>346</v>
      </c>
      <c r="J155" s="86" t="s">
        <v>82</v>
      </c>
      <c r="K155" s="11">
        <v>46051.25</v>
      </c>
      <c r="L155" s="12">
        <v>46051.78125</v>
      </c>
      <c r="M155" s="12">
        <v>46051.78125</v>
      </c>
      <c r="N155" s="12">
        <v>46051.815972222219</v>
      </c>
      <c r="O155" s="12" t="s">
        <v>63</v>
      </c>
      <c r="P155" s="135" t="s">
        <v>64</v>
      </c>
      <c r="Q155" s="3">
        <v>0</v>
      </c>
      <c r="R155" s="1">
        <f t="shared" si="43"/>
        <v>5</v>
      </c>
      <c r="S155" s="1">
        <f t="shared" si="44"/>
        <v>1</v>
      </c>
      <c r="T155" s="126">
        <f t="shared" si="45"/>
        <v>46051.78125</v>
      </c>
      <c r="U155" s="127">
        <f t="shared" si="46"/>
        <v>1.3034722222218988</v>
      </c>
      <c r="V155" s="128">
        <f>Table2[[#This Row],[ATA A OFRECIMIENTO]]*24</f>
        <v>31.283333333325572</v>
      </c>
      <c r="W155" s="1" t="str">
        <f t="shared" si="47"/>
        <v>YES</v>
      </c>
      <c r="X155" s="127">
        <f t="shared" si="48"/>
        <v>0.53125</v>
      </c>
      <c r="Y155" s="128">
        <f>Table2[[#This Row],[DEL. AVAILABLE A SLOT]]*24</f>
        <v>12.75</v>
      </c>
      <c r="Z155" s="1" t="str">
        <f t="shared" si="49"/>
        <v>SI</v>
      </c>
      <c r="AA155" s="127">
        <f t="shared" si="50"/>
        <v>1.8347222222218988</v>
      </c>
      <c r="AB155" s="128">
        <f>Table2[[#This Row],[ATA A TIMESLOT]]*24</f>
        <v>44.033333333325572</v>
      </c>
      <c r="AC155" s="127">
        <f t="shared" si="51"/>
        <v>0</v>
      </c>
      <c r="AD155" s="127" t="str">
        <f t="shared" si="52"/>
        <v>SI</v>
      </c>
      <c r="AE155" s="128">
        <f>Table2[[#This Row],[PUNTUALIDAD (H)]]*24</f>
        <v>0</v>
      </c>
      <c r="AF155" s="127">
        <f t="shared" si="53"/>
        <v>1.8694444444408873</v>
      </c>
      <c r="AG155" s="128">
        <f>Table2[[#This Row],[ATA TO UNLOADING]]*24</f>
        <v>44.866666666581295</v>
      </c>
      <c r="AH155" s="128" t="str">
        <f>IF(Table2[[#This Row],[ATA TO UNLOADING 2]]&lt;=48,"YES","NO")</f>
        <v>YES</v>
      </c>
      <c r="AJ155" s="129">
        <f t="shared" si="54"/>
        <v>0.78125</v>
      </c>
      <c r="AK155" s="2" t="s">
        <v>64</v>
      </c>
      <c r="AL155" s="2" t="str">
        <f t="shared" si="55"/>
        <v>5/26</v>
      </c>
      <c r="AM155" s="2" t="str">
        <f t="shared" si="56"/>
        <v>MRSU0084728</v>
      </c>
      <c r="AN155" s="130" t="str">
        <f t="shared" si="57"/>
        <v>LOGIX</v>
      </c>
      <c r="AO155" s="141">
        <f>IF($O155="TRUCK",
VLOOKUP($AU155,Invoicing!$A$16:$B$56,MATCH($AO$1,Invoicing!$A$16:$B$16,0),FALSE)+IF(OR($B155="DCD",$B155="HPD2"),23.5,0),
VLOOKUP($AU155,Invoicing!$N$15:$O$19,MATCH($AO$1,Invoicing!$N$15:$O$15,0),FALSE)+IF(OR($B155="DCD",$B155="HPD2"),23.5,0))</f>
        <v>550</v>
      </c>
      <c r="AP155" s="131" t="e">
        <f>VLOOKUP($E155,Invoicing!$A$1:$H$12,MATCH(TRACKER!$P155,Invoicing!$A$1:$H$1,0),FALSE)</f>
        <v>#N/A</v>
      </c>
      <c r="AQ155" s="131">
        <f>VLOOKUP($E155,Invoicing!$A$1:$H$12,MATCH(TRACKER!$Q$1,Invoicing!$A$1:$H$1,0),FALSE)</f>
        <v>50</v>
      </c>
      <c r="AR155" s="131">
        <f t="shared" si="58"/>
        <v>0</v>
      </c>
      <c r="AS155" s="2">
        <f t="shared" si="59"/>
        <v>4</v>
      </c>
      <c r="AT155" s="2" t="str">
        <f t="shared" si="62"/>
        <v>WEEK</v>
      </c>
      <c r="AU155" s="2" t="str">
        <f t="shared" si="60"/>
        <v>LOGIXWEEK</v>
      </c>
      <c r="AV155" s="94">
        <f>(IF(ISNA(AP155),AO155+AR155,SUM($AO155,$AR155,IFERROR($AP155,"0"))))+Table2[[#This Row],[WAITING TIMES]]</f>
        <v>550</v>
      </c>
      <c r="AW155" s="48">
        <f>VLOOKUP(AN155,Invoicing!A:K,11,FALSE)</f>
        <v>20</v>
      </c>
      <c r="AY155" s="48"/>
      <c r="AZ155" s="48">
        <f t="shared" si="61"/>
        <v>570</v>
      </c>
      <c r="BA155" s="132">
        <f>VLOOKUP(AN155,Invoicing!A:J,10,FALSE)</f>
        <v>70</v>
      </c>
      <c r="BB155" s="132">
        <f>VLOOKUP(AN155,Invoicing!A:L,12,FALSE)</f>
        <v>1</v>
      </c>
      <c r="BC155" s="2" t="s">
        <v>66</v>
      </c>
    </row>
    <row r="156" spans="1:55">
      <c r="A156" s="134" t="s">
        <v>330</v>
      </c>
      <c r="B156" s="86" t="s">
        <v>56</v>
      </c>
      <c r="C156" s="11">
        <v>46049.946527777778</v>
      </c>
      <c r="D156" s="11">
        <v>46049.958333333336</v>
      </c>
      <c r="E156" s="11" t="s">
        <v>71</v>
      </c>
      <c r="F156" s="11" t="s">
        <v>331</v>
      </c>
      <c r="G156" s="11" t="s">
        <v>59</v>
      </c>
      <c r="H156" s="11" t="s">
        <v>68</v>
      </c>
      <c r="I156" s="86" t="s">
        <v>347</v>
      </c>
      <c r="J156" s="86" t="s">
        <v>100</v>
      </c>
      <c r="K156" s="11">
        <v>46051.25</v>
      </c>
      <c r="L156" s="12">
        <v>46052.40625</v>
      </c>
      <c r="M156" s="12">
        <v>46052.395833333336</v>
      </c>
      <c r="N156" s="12">
        <v>46052.413194444445</v>
      </c>
      <c r="O156" s="12" t="s">
        <v>63</v>
      </c>
      <c r="P156" s="135" t="s">
        <v>64</v>
      </c>
      <c r="Q156" s="3">
        <v>0</v>
      </c>
      <c r="R156" s="1">
        <f t="shared" si="43"/>
        <v>5</v>
      </c>
      <c r="S156" s="1">
        <f t="shared" si="44"/>
        <v>1</v>
      </c>
      <c r="T156" s="126">
        <f t="shared" si="45"/>
        <v>46052.40625</v>
      </c>
      <c r="U156" s="127">
        <f t="shared" si="46"/>
        <v>1.3034722222218988</v>
      </c>
      <c r="V156" s="128">
        <f>Table2[[#This Row],[ATA A OFRECIMIENTO]]*24</f>
        <v>31.283333333325572</v>
      </c>
      <c r="W156" s="1" t="str">
        <f t="shared" si="47"/>
        <v>YES</v>
      </c>
      <c r="X156" s="127">
        <f t="shared" si="48"/>
        <v>1.1458333333357587</v>
      </c>
      <c r="Y156" s="128">
        <f>Table2[[#This Row],[DEL. AVAILABLE A SLOT]]*24</f>
        <v>27.500000000058208</v>
      </c>
      <c r="Z156" s="1" t="str">
        <f t="shared" si="49"/>
        <v>NO</v>
      </c>
      <c r="AA156" s="127">
        <f t="shared" si="50"/>
        <v>2.4493055555576575</v>
      </c>
      <c r="AB156" s="128">
        <f>Table2[[#This Row],[ATA A TIMESLOT]]*24</f>
        <v>58.78333333338378</v>
      </c>
      <c r="AC156" s="127">
        <f t="shared" si="51"/>
        <v>1.0416666664241347E-2</v>
      </c>
      <c r="AD156" s="127" t="str">
        <f t="shared" si="52"/>
        <v>SI</v>
      </c>
      <c r="AE156" s="128">
        <f>Table2[[#This Row],[PUNTUALIDAD (H)]]*24</f>
        <v>0.24999999994179234</v>
      </c>
      <c r="AF156" s="127">
        <f t="shared" si="53"/>
        <v>2.4666666666671517</v>
      </c>
      <c r="AG156" s="128">
        <f>Table2[[#This Row],[ATA TO UNLOADING]]*24</f>
        <v>59.200000000011642</v>
      </c>
      <c r="AH156" s="128" t="str">
        <f>IF(Table2[[#This Row],[ATA TO UNLOADING 2]]&lt;=48,"YES","NO")</f>
        <v>NO</v>
      </c>
      <c r="AJ156" s="129">
        <f t="shared" si="54"/>
        <v>0.39583333333575865</v>
      </c>
      <c r="AK156" s="2" t="s">
        <v>64</v>
      </c>
      <c r="AL156" s="2" t="str">
        <f t="shared" si="55"/>
        <v>5/26</v>
      </c>
      <c r="AM156" s="2" t="str">
        <f t="shared" si="56"/>
        <v>MRSU4771445</v>
      </c>
      <c r="AN156" s="130" t="str">
        <f t="shared" si="57"/>
        <v>LOGIX</v>
      </c>
      <c r="AO156" s="141">
        <f>IF($O156="TRUCK",
VLOOKUP($AU156,Invoicing!$A$16:$B$56,MATCH($AO$1,Invoicing!$A$16:$B$16,0),FALSE)+IF(OR($B156="DCD",$B156="HPD2"),23.5,0),
VLOOKUP($AU156,Invoicing!$N$15:$O$19,MATCH($AO$1,Invoicing!$N$15:$O$15,0),FALSE)+IF(OR($B156="DCD",$B156="HPD2"),23.5,0))</f>
        <v>550</v>
      </c>
      <c r="AP156" s="131" t="e">
        <f>VLOOKUP($E156,Invoicing!$A$1:$H$12,MATCH(TRACKER!$P156,Invoicing!$A$1:$H$1,0),FALSE)</f>
        <v>#N/A</v>
      </c>
      <c r="AQ156" s="131">
        <f>VLOOKUP($E156,Invoicing!$A$1:$H$12,MATCH(TRACKER!$Q$1,Invoicing!$A$1:$H$1,0),FALSE)</f>
        <v>50</v>
      </c>
      <c r="AR156" s="131">
        <f t="shared" si="58"/>
        <v>0</v>
      </c>
      <c r="AS156" s="2">
        <f t="shared" si="59"/>
        <v>5</v>
      </c>
      <c r="AT156" s="2" t="str">
        <f t="shared" si="62"/>
        <v>WEEK</v>
      </c>
      <c r="AU156" s="2" t="str">
        <f t="shared" si="60"/>
        <v>LOGIXWEEK</v>
      </c>
      <c r="AV156" s="94">
        <f>(IF(ISNA(AP156),AO156+AR156,SUM($AO156,$AR156,IFERROR($AP156,"0"))))+Table2[[#This Row],[WAITING TIMES]]</f>
        <v>550</v>
      </c>
      <c r="AW156" s="48">
        <f>VLOOKUP(AN156,Invoicing!A:K,11,FALSE)</f>
        <v>20</v>
      </c>
      <c r="AY156" s="48"/>
      <c r="AZ156" s="48">
        <f t="shared" si="61"/>
        <v>570</v>
      </c>
      <c r="BA156" s="132">
        <f>VLOOKUP(AN156,Invoicing!A:J,10,FALSE)</f>
        <v>70</v>
      </c>
      <c r="BB156" s="132">
        <f>VLOOKUP(AN156,Invoicing!A:L,12,FALSE)</f>
        <v>1</v>
      </c>
      <c r="BC156" s="2" t="s">
        <v>66</v>
      </c>
    </row>
    <row r="157" spans="1:55">
      <c r="A157" s="134" t="s">
        <v>330</v>
      </c>
      <c r="B157" s="86" t="s">
        <v>56</v>
      </c>
      <c r="C157" s="11">
        <v>46049.946527777778</v>
      </c>
      <c r="D157" s="11">
        <v>46049.958333333336</v>
      </c>
      <c r="E157" s="11" t="s">
        <v>83</v>
      </c>
      <c r="F157" s="11" t="s">
        <v>331</v>
      </c>
      <c r="G157" s="11" t="s">
        <v>59</v>
      </c>
      <c r="H157" s="11" t="s">
        <v>68</v>
      </c>
      <c r="I157" s="86" t="s">
        <v>348</v>
      </c>
      <c r="J157" s="86" t="s">
        <v>100</v>
      </c>
      <c r="K157" s="11">
        <v>46051.25</v>
      </c>
      <c r="L157" s="12">
        <v>46052.295138888891</v>
      </c>
      <c r="M157" s="12">
        <v>46052.3125</v>
      </c>
      <c r="N157" s="12">
        <v>46052.32708333333</v>
      </c>
      <c r="O157" s="12" t="s">
        <v>63</v>
      </c>
      <c r="P157" s="135" t="s">
        <v>64</v>
      </c>
      <c r="Q157" s="3">
        <v>0</v>
      </c>
      <c r="R157" s="1">
        <f t="shared" si="43"/>
        <v>5</v>
      </c>
      <c r="S157" s="1">
        <f t="shared" si="44"/>
        <v>1</v>
      </c>
      <c r="T157" s="126">
        <f t="shared" si="45"/>
        <v>46052.295138888891</v>
      </c>
      <c r="U157" s="127">
        <f t="shared" si="46"/>
        <v>1.3034722222218988</v>
      </c>
      <c r="V157" s="128">
        <f>Table2[[#This Row],[ATA A OFRECIMIENTO]]*24</f>
        <v>31.283333333325572</v>
      </c>
      <c r="W157" s="1" t="str">
        <f t="shared" si="47"/>
        <v>YES</v>
      </c>
      <c r="X157" s="127">
        <f t="shared" si="48"/>
        <v>1.0625</v>
      </c>
      <c r="Y157" s="128">
        <f>Table2[[#This Row],[DEL. AVAILABLE A SLOT]]*24</f>
        <v>25.5</v>
      </c>
      <c r="Z157" s="1" t="str">
        <f t="shared" si="49"/>
        <v>NO</v>
      </c>
      <c r="AA157" s="127">
        <f t="shared" si="50"/>
        <v>2.3659722222218988</v>
      </c>
      <c r="AB157" s="128">
        <f>Table2[[#This Row],[ATA A TIMESLOT]]*24</f>
        <v>56.783333333325572</v>
      </c>
      <c r="AC157" s="127">
        <f t="shared" si="51"/>
        <v>0</v>
      </c>
      <c r="AD157" s="127" t="str">
        <f t="shared" si="52"/>
        <v>SI</v>
      </c>
      <c r="AE157" s="128">
        <f>Table2[[#This Row],[PUNTUALIDAD (H)]]*24</f>
        <v>0</v>
      </c>
      <c r="AF157" s="127">
        <f t="shared" si="53"/>
        <v>2.3805555555518367</v>
      </c>
      <c r="AG157" s="128">
        <f>Table2[[#This Row],[ATA TO UNLOADING]]*24</f>
        <v>57.133333333244082</v>
      </c>
      <c r="AH157" s="128" t="str">
        <f>IF(Table2[[#This Row],[ATA TO UNLOADING 2]]&lt;=48,"YES","NO")</f>
        <v>NO</v>
      </c>
      <c r="AJ157" s="129">
        <f t="shared" si="54"/>
        <v>0.3125</v>
      </c>
      <c r="AK157" s="2" t="s">
        <v>64</v>
      </c>
      <c r="AL157" s="2" t="str">
        <f t="shared" si="55"/>
        <v>5/26</v>
      </c>
      <c r="AM157" s="2" t="str">
        <f t="shared" si="56"/>
        <v>MRSU5296139</v>
      </c>
      <c r="AN157" s="130" t="str">
        <f t="shared" si="57"/>
        <v>OM TRANSPORT</v>
      </c>
      <c r="AO157" s="141">
        <f>IF($O157="TRUCK",
VLOOKUP($AU157,Invoicing!$A$16:$B$56,MATCH($AO$1,Invoicing!$A$16:$B$16,0),FALSE)+IF(OR($B157="DCD",$B157="HPD2"),23.5,0),
VLOOKUP($AU157,Invoicing!$N$15:$O$19,MATCH($AO$1,Invoicing!$N$15:$O$15,0),FALSE)+IF(OR($B157="DCD",$B157="HPD2"),23.5,0))</f>
        <v>475</v>
      </c>
      <c r="AP157" s="131" t="e">
        <f>VLOOKUP($E157,Invoicing!$A$1:$H$12,MATCH(TRACKER!$P157,Invoicing!$A$1:$H$1,0),FALSE)</f>
        <v>#N/A</v>
      </c>
      <c r="AQ157" s="131">
        <f>VLOOKUP($E157,Invoicing!$A$1:$H$12,MATCH(TRACKER!$Q$1,Invoicing!$A$1:$H$1,0),FALSE)</f>
        <v>50</v>
      </c>
      <c r="AR157" s="131">
        <f t="shared" si="58"/>
        <v>0</v>
      </c>
      <c r="AS157" s="2">
        <f t="shared" si="59"/>
        <v>5</v>
      </c>
      <c r="AT157" s="2" t="str">
        <f t="shared" si="62"/>
        <v>WEEK</v>
      </c>
      <c r="AU157" s="2" t="str">
        <f t="shared" si="60"/>
        <v>OM TRANSPORTWEEK</v>
      </c>
      <c r="AV157" s="94">
        <f>(IF(ISNA(AP157),AO157+AR157,SUM($AO157,$AR157,IFERROR($AP157,"0"))))+Table2[[#This Row],[WAITING TIMES]]</f>
        <v>475</v>
      </c>
      <c r="AW157" s="48">
        <f>VLOOKUP(AN157,Invoicing!A:K,11,FALSE)</f>
        <v>20</v>
      </c>
      <c r="AY157" s="48"/>
      <c r="AZ157" s="48">
        <f t="shared" si="61"/>
        <v>495</v>
      </c>
      <c r="BA157" s="132">
        <f>VLOOKUP(AN157,Invoicing!A:J,10,FALSE)</f>
        <v>70</v>
      </c>
      <c r="BB157" s="132">
        <f>VLOOKUP(AN157,Invoicing!A:L,12,FALSE)</f>
        <v>1</v>
      </c>
      <c r="BC157" s="2" t="s">
        <v>66</v>
      </c>
    </row>
    <row r="158" spans="1:55">
      <c r="A158" s="134" t="s">
        <v>330</v>
      </c>
      <c r="B158" s="86" t="s">
        <v>56</v>
      </c>
      <c r="C158" s="11">
        <v>46049.946527777778</v>
      </c>
      <c r="D158" s="11">
        <v>46049.958333333336</v>
      </c>
      <c r="E158" s="11" t="s">
        <v>57</v>
      </c>
      <c r="F158" s="11" t="s">
        <v>331</v>
      </c>
      <c r="G158" s="11" t="s">
        <v>59</v>
      </c>
      <c r="H158" s="11" t="s">
        <v>68</v>
      </c>
      <c r="I158" s="86" t="s">
        <v>349</v>
      </c>
      <c r="J158" s="86" t="s">
        <v>100</v>
      </c>
      <c r="K158" s="11">
        <v>46051.25</v>
      </c>
      <c r="L158" s="12">
        <v>46052.336805555555</v>
      </c>
      <c r="M158" s="12">
        <v>46051.895833333336</v>
      </c>
      <c r="N158" s="12">
        <v>46052.34375</v>
      </c>
      <c r="O158" s="12" t="s">
        <v>63</v>
      </c>
      <c r="P158" s="135" t="s">
        <v>64</v>
      </c>
      <c r="Q158" s="3">
        <v>0</v>
      </c>
      <c r="R158" s="1">
        <f t="shared" si="43"/>
        <v>5</v>
      </c>
      <c r="S158" s="1">
        <f t="shared" si="44"/>
        <v>1</v>
      </c>
      <c r="T158" s="126">
        <f t="shared" si="45"/>
        <v>46052.336805555555</v>
      </c>
      <c r="U158" s="127">
        <f t="shared" si="46"/>
        <v>1.3034722222218988</v>
      </c>
      <c r="V158" s="128">
        <f>Table2[[#This Row],[ATA A OFRECIMIENTO]]*24</f>
        <v>31.283333333325572</v>
      </c>
      <c r="W158" s="1" t="str">
        <f t="shared" si="47"/>
        <v>YES</v>
      </c>
      <c r="X158" s="127">
        <f t="shared" si="48"/>
        <v>0.64583333333575865</v>
      </c>
      <c r="Y158" s="128">
        <f>Table2[[#This Row],[DEL. AVAILABLE A SLOT]]*24</f>
        <v>15.500000000058208</v>
      </c>
      <c r="Z158" s="1" t="str">
        <f t="shared" si="49"/>
        <v>SI</v>
      </c>
      <c r="AA158" s="127">
        <f t="shared" si="50"/>
        <v>1.9493055555576575</v>
      </c>
      <c r="AB158" s="128">
        <f>Table2[[#This Row],[ATA A TIMESLOT]]*24</f>
        <v>46.78333333338378</v>
      </c>
      <c r="AC158" s="127">
        <f t="shared" si="51"/>
        <v>0.44097222221898846</v>
      </c>
      <c r="AD158" s="127" t="str">
        <f t="shared" si="52"/>
        <v>NO</v>
      </c>
      <c r="AE158" s="128">
        <f>Table2[[#This Row],[PUNTUALIDAD (H)]]*24</f>
        <v>10.583333333255723</v>
      </c>
      <c r="AF158" s="127">
        <f t="shared" si="53"/>
        <v>2.3972222222218988</v>
      </c>
      <c r="AG158" s="128">
        <f>Table2[[#This Row],[ATA TO UNLOADING]]*24</f>
        <v>57.533333333325572</v>
      </c>
      <c r="AH158" s="128" t="str">
        <f>IF(Table2[[#This Row],[ATA TO UNLOADING 2]]&lt;=48,"YES","NO")</f>
        <v>NO</v>
      </c>
      <c r="AJ158" s="129">
        <f t="shared" si="54"/>
        <v>0.89583333333575865</v>
      </c>
      <c r="AK158" s="49" t="s">
        <v>36</v>
      </c>
      <c r="AL158" s="2" t="str">
        <f t="shared" si="55"/>
        <v>5/26</v>
      </c>
      <c r="AM158" s="2" t="str">
        <f t="shared" si="56"/>
        <v>MRSU6712890</v>
      </c>
      <c r="AN158" s="130" t="str">
        <f t="shared" si="57"/>
        <v>CTK TRANSPORT</v>
      </c>
      <c r="AO158" s="141">
        <f>IF($O158="TRUCK",
VLOOKUP($AU158,Invoicing!$A$16:$B$56,MATCH($AO$1,Invoicing!$A$16:$B$16,0),FALSE)+IF(OR($B158="DCD",$B158="HPD2"),23.5,0),
VLOOKUP($AU158,Invoicing!$N$15:$O$19,MATCH($AO$1,Invoicing!$N$15:$O$15,0),FALSE)+IF(OR($B158="DCD",$B158="HPD2"),23.5,0))</f>
        <v>600</v>
      </c>
      <c r="AP158" s="131" t="e">
        <f>VLOOKUP($E158,Invoicing!$A$1:$H$12,MATCH(TRACKER!$P158,Invoicing!$A$1:$H$1,0),FALSE)</f>
        <v>#N/A</v>
      </c>
      <c r="AQ158" s="131">
        <f>VLOOKUP($E158,Invoicing!$A$1:$H$12,MATCH(TRACKER!$Q$1,Invoicing!$A$1:$H$1,0),FALSE)</f>
        <v>50</v>
      </c>
      <c r="AR158" s="131">
        <f t="shared" si="58"/>
        <v>0</v>
      </c>
      <c r="AS158" s="2">
        <f t="shared" si="59"/>
        <v>4</v>
      </c>
      <c r="AT158" s="2" t="str">
        <f t="shared" si="62"/>
        <v>NIGHT</v>
      </c>
      <c r="AU158" s="2" t="str">
        <f t="shared" si="60"/>
        <v>CTK TRANSPORTNIGHT</v>
      </c>
      <c r="AV158" s="94">
        <f>(IF(ISNA(AP158),AO158+AR158,SUM($AO158,$AR158,IFERROR($AP158,"0"))))+Table2[[#This Row],[WAITING TIMES]]</f>
        <v>600</v>
      </c>
      <c r="AW158" s="48">
        <f>VLOOKUP(AN158,Invoicing!A:K,11,FALSE)</f>
        <v>20</v>
      </c>
      <c r="AY158" s="48"/>
      <c r="AZ158" s="48">
        <f t="shared" si="61"/>
        <v>620</v>
      </c>
      <c r="BA158" s="132">
        <f>VLOOKUP(AN158,Invoicing!A:J,10,FALSE)</f>
        <v>70</v>
      </c>
      <c r="BB158" s="132">
        <f>VLOOKUP(AN158,Invoicing!A:L,12,FALSE)</f>
        <v>1</v>
      </c>
      <c r="BC158" s="2" t="s">
        <v>66</v>
      </c>
    </row>
    <row r="159" spans="1:55">
      <c r="A159" s="134" t="s">
        <v>330</v>
      </c>
      <c r="B159" s="86" t="s">
        <v>56</v>
      </c>
      <c r="C159" s="11">
        <v>46049.946527777778</v>
      </c>
      <c r="D159" s="11">
        <v>46049.958333333336</v>
      </c>
      <c r="E159" s="11" t="s">
        <v>57</v>
      </c>
      <c r="F159" s="11" t="s">
        <v>331</v>
      </c>
      <c r="G159" s="11" t="s">
        <v>59</v>
      </c>
      <c r="H159" s="11" t="s">
        <v>68</v>
      </c>
      <c r="I159" s="86" t="s">
        <v>350</v>
      </c>
      <c r="J159" s="86" t="s">
        <v>100</v>
      </c>
      <c r="K159" s="11">
        <v>46051.25</v>
      </c>
      <c r="L159" s="12">
        <v>46051.506944444445</v>
      </c>
      <c r="M159" s="12">
        <v>46051.520833333336</v>
      </c>
      <c r="N159" s="12">
        <v>46051.506944444445</v>
      </c>
      <c r="O159" s="12" t="s">
        <v>63</v>
      </c>
      <c r="P159" s="135" t="s">
        <v>64</v>
      </c>
      <c r="Q159" s="3">
        <v>2</v>
      </c>
      <c r="R159" s="1">
        <f t="shared" si="43"/>
        <v>5</v>
      </c>
      <c r="S159" s="1">
        <f t="shared" si="44"/>
        <v>1</v>
      </c>
      <c r="T159" s="126">
        <f t="shared" si="45"/>
        <v>46051.506944444445</v>
      </c>
      <c r="U159" s="127">
        <f t="shared" si="46"/>
        <v>1.3034722222218988</v>
      </c>
      <c r="V159" s="128">
        <f>Table2[[#This Row],[ATA A OFRECIMIENTO]]*24</f>
        <v>31.283333333325572</v>
      </c>
      <c r="W159" s="1" t="str">
        <f t="shared" si="47"/>
        <v>YES</v>
      </c>
      <c r="X159" s="127">
        <f t="shared" si="48"/>
        <v>0.27083333333575865</v>
      </c>
      <c r="Y159" s="128">
        <f>Table2[[#This Row],[DEL. AVAILABLE A SLOT]]*24</f>
        <v>6.5000000000582077</v>
      </c>
      <c r="Z159" s="1" t="str">
        <f t="shared" si="49"/>
        <v>SI</v>
      </c>
      <c r="AA159" s="127">
        <f t="shared" si="50"/>
        <v>1.5743055555576575</v>
      </c>
      <c r="AB159" s="128">
        <f>Table2[[#This Row],[ATA A TIMESLOT]]*24</f>
        <v>37.78333333338378</v>
      </c>
      <c r="AC159" s="127">
        <f t="shared" si="51"/>
        <v>0</v>
      </c>
      <c r="AD159" s="127" t="str">
        <f t="shared" si="52"/>
        <v>SI</v>
      </c>
      <c r="AE159" s="128">
        <f>Table2[[#This Row],[PUNTUALIDAD (H)]]*24</f>
        <v>0</v>
      </c>
      <c r="AF159" s="127">
        <f t="shared" si="53"/>
        <v>1.5604166666671517</v>
      </c>
      <c r="AG159" s="128">
        <f>Table2[[#This Row],[ATA TO UNLOADING]]*24</f>
        <v>37.450000000011642</v>
      </c>
      <c r="AH159" s="128" t="str">
        <f>IF(Table2[[#This Row],[ATA TO UNLOADING 2]]&lt;=48,"YES","NO")</f>
        <v>YES</v>
      </c>
      <c r="AJ159" s="129">
        <f t="shared" si="54"/>
        <v>0.52083333333575865</v>
      </c>
      <c r="AK159" s="2" t="s">
        <v>64</v>
      </c>
      <c r="AL159" s="2" t="str">
        <f t="shared" si="55"/>
        <v>5/26</v>
      </c>
      <c r="AM159" s="2" t="str">
        <f t="shared" si="56"/>
        <v>MRSU8222778</v>
      </c>
      <c r="AN159" s="130" t="str">
        <f t="shared" si="57"/>
        <v>CTK TRANSPORT</v>
      </c>
      <c r="AO159" s="141">
        <f>IF($O159="TRUCK",
VLOOKUP($AU159,Invoicing!$A$16:$B$56,MATCH($AO$1,Invoicing!$A$16:$B$16,0),FALSE)+IF(OR($B159="DCD",$B159="HPD2"),23.5,0),
VLOOKUP($AU159,Invoicing!$N$15:$O$19,MATCH($AO$1,Invoicing!$N$15:$O$15,0),FALSE)+IF(OR($B159="DCD",$B159="HPD2"),23.5,0))</f>
        <v>550</v>
      </c>
      <c r="AP159" s="131" t="e">
        <f>VLOOKUP($E159,Invoicing!$A$1:$H$12,MATCH(TRACKER!$P159,Invoicing!$A$1:$H$1,0),FALSE)</f>
        <v>#N/A</v>
      </c>
      <c r="AQ159" s="131">
        <f>VLOOKUP($E159,Invoicing!$A$1:$H$12,MATCH(TRACKER!$Q$1,Invoicing!$A$1:$H$1,0),FALSE)</f>
        <v>50</v>
      </c>
      <c r="AR159" s="131">
        <f t="shared" si="58"/>
        <v>100</v>
      </c>
      <c r="AS159" s="2">
        <f t="shared" si="59"/>
        <v>4</v>
      </c>
      <c r="AT159" s="2" t="str">
        <f t="shared" si="62"/>
        <v>WEEK</v>
      </c>
      <c r="AU159" s="2" t="str">
        <f t="shared" si="60"/>
        <v>CTK TRANSPORTWEEK</v>
      </c>
      <c r="AV159" s="94">
        <f>(IF(ISNA(AP159),AO159+AR159,SUM($AO159,$AR159,IFERROR($AP159,"0"))))+Table2[[#This Row],[WAITING TIMES]]</f>
        <v>650</v>
      </c>
      <c r="AW159" s="48">
        <f>VLOOKUP(AN159,Invoicing!A:K,11,FALSE)</f>
        <v>20</v>
      </c>
      <c r="AY159" s="48"/>
      <c r="AZ159" s="48">
        <f t="shared" si="61"/>
        <v>670</v>
      </c>
      <c r="BA159" s="132">
        <f>VLOOKUP(AN159,Invoicing!A:J,10,FALSE)</f>
        <v>70</v>
      </c>
      <c r="BB159" s="132">
        <f>VLOOKUP(AN159,Invoicing!A:L,12,FALSE)</f>
        <v>1</v>
      </c>
      <c r="BC159" s="2" t="s">
        <v>66</v>
      </c>
    </row>
    <row r="160" spans="1:55">
      <c r="A160" s="134" t="s">
        <v>330</v>
      </c>
      <c r="B160" s="86" t="s">
        <v>56</v>
      </c>
      <c r="C160" s="11">
        <v>46049.946527777778</v>
      </c>
      <c r="D160" s="11">
        <v>46049.958333333336</v>
      </c>
      <c r="E160" s="11" t="s">
        <v>83</v>
      </c>
      <c r="F160" s="11" t="s">
        <v>343</v>
      </c>
      <c r="G160" s="11" t="s">
        <v>59</v>
      </c>
      <c r="H160" s="11" t="s">
        <v>144</v>
      </c>
      <c r="I160" s="86" t="s">
        <v>351</v>
      </c>
      <c r="J160" s="86" t="s">
        <v>100</v>
      </c>
      <c r="K160" s="11">
        <v>46051.25</v>
      </c>
      <c r="L160" s="12">
        <v>46052.25</v>
      </c>
      <c r="M160" s="12">
        <v>46052.25</v>
      </c>
      <c r="N160" s="12">
        <v>46052.256944444445</v>
      </c>
      <c r="O160" s="12" t="s">
        <v>63</v>
      </c>
      <c r="P160" s="135" t="s">
        <v>64</v>
      </c>
      <c r="Q160" s="3">
        <v>0</v>
      </c>
      <c r="R160" s="1">
        <f t="shared" si="43"/>
        <v>5</v>
      </c>
      <c r="S160" s="1">
        <f t="shared" si="44"/>
        <v>1</v>
      </c>
      <c r="T160" s="126">
        <f t="shared" si="45"/>
        <v>46052.25</v>
      </c>
      <c r="U160" s="127">
        <f t="shared" si="46"/>
        <v>1.3034722222218988</v>
      </c>
      <c r="V160" s="128">
        <f>Table2[[#This Row],[ATA A OFRECIMIENTO]]*24</f>
        <v>31.283333333325572</v>
      </c>
      <c r="W160" s="1" t="str">
        <f t="shared" si="47"/>
        <v>YES</v>
      </c>
      <c r="X160" s="127">
        <f t="shared" si="48"/>
        <v>1</v>
      </c>
      <c r="Y160" s="128">
        <f>Table2[[#This Row],[DEL. AVAILABLE A SLOT]]*24</f>
        <v>24</v>
      </c>
      <c r="Z160" s="1" t="str">
        <f t="shared" si="49"/>
        <v>SI</v>
      </c>
      <c r="AA160" s="127">
        <f t="shared" si="50"/>
        <v>2.3034722222218988</v>
      </c>
      <c r="AB160" s="128">
        <f>Table2[[#This Row],[ATA A TIMESLOT]]*24</f>
        <v>55.283333333325572</v>
      </c>
      <c r="AC160" s="127">
        <f t="shared" si="51"/>
        <v>0</v>
      </c>
      <c r="AD160" s="127" t="str">
        <f t="shared" si="52"/>
        <v>SI</v>
      </c>
      <c r="AE160" s="128">
        <f>Table2[[#This Row],[PUNTUALIDAD (H)]]*24</f>
        <v>0</v>
      </c>
      <c r="AF160" s="127">
        <f t="shared" si="53"/>
        <v>2.3104166666671517</v>
      </c>
      <c r="AG160" s="128">
        <f>Table2[[#This Row],[ATA TO UNLOADING]]*24</f>
        <v>55.450000000011642</v>
      </c>
      <c r="AH160" s="128" t="str">
        <f>IF(Table2[[#This Row],[ATA TO UNLOADING 2]]&lt;=48,"YES","NO")</f>
        <v>NO</v>
      </c>
      <c r="AJ160" s="129">
        <f t="shared" si="54"/>
        <v>0.25</v>
      </c>
      <c r="AK160" s="2" t="s">
        <v>64</v>
      </c>
      <c r="AL160" s="2" t="str">
        <f t="shared" si="55"/>
        <v>5/26</v>
      </c>
      <c r="AM160" s="2" t="str">
        <f t="shared" si="56"/>
        <v>MRSU9215069</v>
      </c>
      <c r="AN160" s="130" t="str">
        <f t="shared" si="57"/>
        <v>OM TRANSPORT</v>
      </c>
      <c r="AO160" s="141">
        <f>IF($O160="TRUCK",
VLOOKUP($AU160,Invoicing!$A$16:$B$56,MATCH($AO$1,Invoicing!$A$16:$B$16,0),FALSE)+IF(OR($B160="DCD",$B160="HPD2"),23.5,0),
VLOOKUP($AU160,Invoicing!$N$15:$O$19,MATCH($AO$1,Invoicing!$N$15:$O$15,0),FALSE)+IF(OR($B160="DCD",$B160="HPD2"),23.5,0))</f>
        <v>475</v>
      </c>
      <c r="AP160" s="131" t="e">
        <f>VLOOKUP($E160,Invoicing!$A$1:$H$12,MATCH(TRACKER!$P160,Invoicing!$A$1:$H$1,0),FALSE)</f>
        <v>#N/A</v>
      </c>
      <c r="AQ160" s="131">
        <f>VLOOKUP($E160,Invoicing!$A$1:$H$12,MATCH(TRACKER!$Q$1,Invoicing!$A$1:$H$1,0),FALSE)</f>
        <v>50</v>
      </c>
      <c r="AR160" s="131">
        <f t="shared" si="58"/>
        <v>0</v>
      </c>
      <c r="AS160" s="2">
        <f t="shared" si="59"/>
        <v>5</v>
      </c>
      <c r="AT160" s="2" t="str">
        <f t="shared" si="62"/>
        <v>WEEK</v>
      </c>
      <c r="AU160" s="2" t="str">
        <f t="shared" si="60"/>
        <v>OM TRANSPORTWEEK</v>
      </c>
      <c r="AV160" s="94">
        <f>(IF(ISNA(AP160),AO160+AR160,SUM($AO160,$AR160,IFERROR($AP160,"0"))))+Table2[[#This Row],[WAITING TIMES]]</f>
        <v>475</v>
      </c>
      <c r="AW160" s="48">
        <f>VLOOKUP(AN160,Invoicing!A:K,11,FALSE)</f>
        <v>20</v>
      </c>
      <c r="AY160" s="48"/>
      <c r="AZ160" s="48">
        <f t="shared" si="61"/>
        <v>495</v>
      </c>
      <c r="BA160" s="132">
        <f>VLOOKUP(AN160,Invoicing!A:J,10,FALSE)</f>
        <v>70</v>
      </c>
      <c r="BB160" s="132">
        <f>VLOOKUP(AN160,Invoicing!A:L,12,FALSE)</f>
        <v>1</v>
      </c>
      <c r="BC160" s="2" t="s">
        <v>66</v>
      </c>
    </row>
    <row r="161" spans="1:55">
      <c r="A161" s="134" t="s">
        <v>330</v>
      </c>
      <c r="B161" s="86" t="s">
        <v>56</v>
      </c>
      <c r="C161" s="11">
        <v>46049.946527777778</v>
      </c>
      <c r="D161" s="11">
        <v>46049.958333333336</v>
      </c>
      <c r="E161" s="11" t="s">
        <v>71</v>
      </c>
      <c r="F161" s="11" t="s">
        <v>331</v>
      </c>
      <c r="G161" s="11" t="s">
        <v>59</v>
      </c>
      <c r="H161" s="11" t="s">
        <v>68</v>
      </c>
      <c r="I161" s="86" t="s">
        <v>352</v>
      </c>
      <c r="J161" s="86" t="s">
        <v>100</v>
      </c>
      <c r="K161" s="11">
        <v>46051.25</v>
      </c>
      <c r="L161" s="12">
        <v>46051.475694444445</v>
      </c>
      <c r="M161" s="12">
        <v>46051.458333333336</v>
      </c>
      <c r="N161" s="12">
        <v>46051.482638888891</v>
      </c>
      <c r="O161" s="12" t="s">
        <v>63</v>
      </c>
      <c r="P161" s="135" t="s">
        <v>64</v>
      </c>
      <c r="Q161" s="3">
        <v>0</v>
      </c>
      <c r="R161" s="1">
        <f t="shared" si="43"/>
        <v>5</v>
      </c>
      <c r="S161" s="1">
        <f t="shared" si="44"/>
        <v>1</v>
      </c>
      <c r="T161" s="126">
        <f t="shared" si="45"/>
        <v>46051.475694444445</v>
      </c>
      <c r="U161" s="127">
        <f t="shared" si="46"/>
        <v>1.3034722222218988</v>
      </c>
      <c r="V161" s="128">
        <f>Table2[[#This Row],[ATA A OFRECIMIENTO]]*24</f>
        <v>31.283333333325572</v>
      </c>
      <c r="W161" s="1" t="str">
        <f t="shared" si="47"/>
        <v>YES</v>
      </c>
      <c r="X161" s="127">
        <f t="shared" si="48"/>
        <v>0.20833333333575865</v>
      </c>
      <c r="Y161" s="128">
        <f>Table2[[#This Row],[DEL. AVAILABLE A SLOT]]*24</f>
        <v>5.0000000000582077</v>
      </c>
      <c r="Z161" s="1" t="str">
        <f t="shared" si="49"/>
        <v>SI</v>
      </c>
      <c r="AA161" s="127">
        <f t="shared" si="50"/>
        <v>1.5118055555576575</v>
      </c>
      <c r="AB161" s="128">
        <f>Table2[[#This Row],[ATA A TIMESLOT]]*24</f>
        <v>36.28333333338378</v>
      </c>
      <c r="AC161" s="127">
        <f t="shared" si="51"/>
        <v>1.7361111109494232E-2</v>
      </c>
      <c r="AD161" s="127" t="str">
        <f t="shared" si="52"/>
        <v>SI</v>
      </c>
      <c r="AE161" s="128">
        <f>Table2[[#This Row],[PUNTUALIDAD (H)]]*24</f>
        <v>0.41666666662786156</v>
      </c>
      <c r="AF161" s="127">
        <f t="shared" si="53"/>
        <v>1.5361111111124046</v>
      </c>
      <c r="AG161" s="128">
        <f>Table2[[#This Row],[ATA TO UNLOADING]]*24</f>
        <v>36.866666666697711</v>
      </c>
      <c r="AH161" s="128" t="str">
        <f>IF(Table2[[#This Row],[ATA TO UNLOADING 2]]&lt;=48,"YES","NO")</f>
        <v>YES</v>
      </c>
      <c r="AJ161" s="129">
        <f t="shared" si="54"/>
        <v>0.45833333333575865</v>
      </c>
      <c r="AK161" s="2" t="s">
        <v>64</v>
      </c>
      <c r="AL161" s="2" t="str">
        <f t="shared" si="55"/>
        <v>5/26</v>
      </c>
      <c r="AM161" s="2" t="str">
        <f t="shared" si="56"/>
        <v>MSKU4659820</v>
      </c>
      <c r="AN161" s="130" t="str">
        <f t="shared" si="57"/>
        <v>LOGIX</v>
      </c>
      <c r="AO161" s="141">
        <f>IF($O161="TRUCK",
VLOOKUP($AU161,Invoicing!$A$16:$B$56,MATCH($AO$1,Invoicing!$A$16:$B$16,0),FALSE)+IF(OR($B161="DCD",$B161="HPD2"),23.5,0),
VLOOKUP($AU161,Invoicing!$N$15:$O$19,MATCH($AO$1,Invoicing!$N$15:$O$15,0),FALSE)+IF(OR($B161="DCD",$B161="HPD2"),23.5,0))</f>
        <v>550</v>
      </c>
      <c r="AP161" s="131" t="e">
        <f>VLOOKUP($E161,Invoicing!$A$1:$H$12,MATCH(TRACKER!$P161,Invoicing!$A$1:$H$1,0),FALSE)</f>
        <v>#N/A</v>
      </c>
      <c r="AQ161" s="131">
        <f>VLOOKUP($E161,Invoicing!$A$1:$H$12,MATCH(TRACKER!$Q$1,Invoicing!$A$1:$H$1,0),FALSE)</f>
        <v>50</v>
      </c>
      <c r="AR161" s="131">
        <f t="shared" si="58"/>
        <v>0</v>
      </c>
      <c r="AS161" s="2">
        <f t="shared" si="59"/>
        <v>4</v>
      </c>
      <c r="AT161" s="2" t="str">
        <f t="shared" si="62"/>
        <v>WEEK</v>
      </c>
      <c r="AU161" s="2" t="str">
        <f t="shared" si="60"/>
        <v>LOGIXWEEK</v>
      </c>
      <c r="AV161" s="94">
        <f>(IF(ISNA(AP161),AO161+AR161,SUM($AO161,$AR161,IFERROR($AP161,"0"))))+Table2[[#This Row],[WAITING TIMES]]</f>
        <v>550</v>
      </c>
      <c r="AW161" s="48">
        <f>VLOOKUP(AN161,Invoicing!A:K,11,FALSE)</f>
        <v>20</v>
      </c>
      <c r="AY161" s="48"/>
      <c r="AZ161" s="48">
        <f t="shared" si="61"/>
        <v>570</v>
      </c>
      <c r="BA161" s="132">
        <f>VLOOKUP(AN161,Invoicing!A:J,10,FALSE)</f>
        <v>70</v>
      </c>
      <c r="BB161" s="132">
        <f>VLOOKUP(AN161,Invoicing!A:L,12,FALSE)</f>
        <v>1</v>
      </c>
      <c r="BC161" s="2" t="s">
        <v>66</v>
      </c>
    </row>
    <row r="162" spans="1:55">
      <c r="A162" s="134" t="s">
        <v>330</v>
      </c>
      <c r="B162" s="86" t="s">
        <v>56</v>
      </c>
      <c r="C162" s="11">
        <v>46049.946527777778</v>
      </c>
      <c r="D162" s="11">
        <v>46049.958333333336</v>
      </c>
      <c r="E162" s="11" t="s">
        <v>83</v>
      </c>
      <c r="F162" s="11" t="s">
        <v>353</v>
      </c>
      <c r="G162" s="11" t="s">
        <v>59</v>
      </c>
      <c r="H162" s="11" t="s">
        <v>60</v>
      </c>
      <c r="I162" s="86" t="s">
        <v>354</v>
      </c>
      <c r="J162" s="86" t="s">
        <v>100</v>
      </c>
      <c r="K162" s="11">
        <v>46051.25</v>
      </c>
      <c r="L162" s="12">
        <v>46051.375</v>
      </c>
      <c r="M162" s="12">
        <v>46051.395833333336</v>
      </c>
      <c r="N162" s="12">
        <v>46051.381944444445</v>
      </c>
      <c r="O162" s="12" t="s">
        <v>63</v>
      </c>
      <c r="P162" s="135" t="s">
        <v>64</v>
      </c>
      <c r="Q162" s="3">
        <v>0</v>
      </c>
      <c r="R162" s="1">
        <f t="shared" si="43"/>
        <v>5</v>
      </c>
      <c r="S162" s="1">
        <f t="shared" si="44"/>
        <v>1</v>
      </c>
      <c r="T162" s="126">
        <f t="shared" si="45"/>
        <v>46051.375</v>
      </c>
      <c r="U162" s="127">
        <f t="shared" si="46"/>
        <v>1.3034722222218988</v>
      </c>
      <c r="V162" s="128">
        <f>Table2[[#This Row],[ATA A OFRECIMIENTO]]*24</f>
        <v>31.283333333325572</v>
      </c>
      <c r="W162" s="1" t="str">
        <f t="shared" si="47"/>
        <v>YES</v>
      </c>
      <c r="X162" s="127">
        <f t="shared" si="48"/>
        <v>0.14583333333575865</v>
      </c>
      <c r="Y162" s="128">
        <f>Table2[[#This Row],[DEL. AVAILABLE A SLOT]]*24</f>
        <v>3.5000000000582077</v>
      </c>
      <c r="Z162" s="1" t="str">
        <f t="shared" si="49"/>
        <v>SI</v>
      </c>
      <c r="AA162" s="127">
        <f t="shared" si="50"/>
        <v>1.4493055555576575</v>
      </c>
      <c r="AB162" s="128">
        <f>Table2[[#This Row],[ATA A TIMESLOT]]*24</f>
        <v>34.78333333338378</v>
      </c>
      <c r="AC162" s="127">
        <f t="shared" si="51"/>
        <v>0</v>
      </c>
      <c r="AD162" s="127" t="str">
        <f t="shared" si="52"/>
        <v>SI</v>
      </c>
      <c r="AE162" s="128">
        <f>Table2[[#This Row],[PUNTUALIDAD (H)]]*24</f>
        <v>0</v>
      </c>
      <c r="AF162" s="127">
        <f t="shared" si="53"/>
        <v>1.4354166666671517</v>
      </c>
      <c r="AG162" s="128">
        <f>Table2[[#This Row],[ATA TO UNLOADING]]*24</f>
        <v>34.450000000011642</v>
      </c>
      <c r="AH162" s="128" t="str">
        <f>IF(Table2[[#This Row],[ATA TO UNLOADING 2]]&lt;=48,"YES","NO")</f>
        <v>YES</v>
      </c>
      <c r="AJ162" s="129">
        <f t="shared" si="54"/>
        <v>0.39583333333575865</v>
      </c>
      <c r="AK162" s="2" t="s">
        <v>64</v>
      </c>
      <c r="AL162" s="2" t="str">
        <f t="shared" si="55"/>
        <v>5/26</v>
      </c>
      <c r="AM162" s="2" t="str">
        <f t="shared" si="56"/>
        <v>MSKU4721274</v>
      </c>
      <c r="AN162" s="130" t="str">
        <f t="shared" si="57"/>
        <v>OM TRANSPORT</v>
      </c>
      <c r="AO162" s="141">
        <f>IF($O162="TRUCK",
VLOOKUP($AU162,Invoicing!$A$16:$B$56,MATCH($AO$1,Invoicing!$A$16:$B$16,0),FALSE)+IF(OR($B162="DCD",$B162="HPD2"),23.5,0),
VLOOKUP($AU162,Invoicing!$N$15:$O$19,MATCH($AO$1,Invoicing!$N$15:$O$15,0),FALSE)+IF(OR($B162="DCD",$B162="HPD2"),23.5,0))</f>
        <v>475</v>
      </c>
      <c r="AP162" s="131" t="e">
        <f>VLOOKUP($E162,Invoicing!$A$1:$H$12,MATCH(TRACKER!$P162,Invoicing!$A$1:$H$1,0),FALSE)</f>
        <v>#N/A</v>
      </c>
      <c r="AQ162" s="131">
        <f>VLOOKUP($E162,Invoicing!$A$1:$H$12,MATCH(TRACKER!$Q$1,Invoicing!$A$1:$H$1,0),FALSE)</f>
        <v>50</v>
      </c>
      <c r="AR162" s="131">
        <f t="shared" si="58"/>
        <v>0</v>
      </c>
      <c r="AS162" s="2">
        <f t="shared" si="59"/>
        <v>4</v>
      </c>
      <c r="AT162" s="2" t="str">
        <f t="shared" si="62"/>
        <v>WEEK</v>
      </c>
      <c r="AU162" s="2" t="str">
        <f t="shared" si="60"/>
        <v>OM TRANSPORTWEEK</v>
      </c>
      <c r="AV162" s="94">
        <f>(IF(ISNA(AP162),AO162+AR162,SUM($AO162,$AR162,IFERROR($AP162,"0"))))+Table2[[#This Row],[WAITING TIMES]]</f>
        <v>475</v>
      </c>
      <c r="AW162" s="48">
        <f>VLOOKUP(AN162,Invoicing!A:K,11,FALSE)</f>
        <v>20</v>
      </c>
      <c r="AY162" s="48"/>
      <c r="AZ162" s="48">
        <f t="shared" si="61"/>
        <v>495</v>
      </c>
      <c r="BA162" s="132">
        <f>VLOOKUP(AN162,Invoicing!A:J,10,FALSE)</f>
        <v>70</v>
      </c>
      <c r="BB162" s="132">
        <f>VLOOKUP(AN162,Invoicing!A:L,12,FALSE)</f>
        <v>1</v>
      </c>
      <c r="BC162" s="2" t="s">
        <v>66</v>
      </c>
    </row>
    <row r="163" spans="1:55">
      <c r="A163" s="136" t="s">
        <v>330</v>
      </c>
      <c r="B163" s="88" t="s">
        <v>56</v>
      </c>
      <c r="C163" s="89">
        <v>46049.946527777778</v>
      </c>
      <c r="D163" s="89">
        <v>46049.958333333336</v>
      </c>
      <c r="E163" s="89" t="s">
        <v>71</v>
      </c>
      <c r="F163" s="89" t="s">
        <v>337</v>
      </c>
      <c r="G163" s="89" t="s">
        <v>59</v>
      </c>
      <c r="H163" s="89" t="s">
        <v>60</v>
      </c>
      <c r="I163" s="88" t="s">
        <v>355</v>
      </c>
      <c r="J163" s="88" t="s">
        <v>100</v>
      </c>
      <c r="K163" s="89">
        <v>46051.25</v>
      </c>
      <c r="L163" s="90">
        <v>46051.512499999997</v>
      </c>
      <c r="M163" s="90">
        <v>46051.510416666664</v>
      </c>
      <c r="N163" s="90">
        <v>46051.524305555555</v>
      </c>
      <c r="O163" s="90" t="s">
        <v>63</v>
      </c>
      <c r="P163" s="137" t="s">
        <v>64</v>
      </c>
      <c r="Q163" s="91">
        <v>1</v>
      </c>
      <c r="R163" s="1">
        <f t="shared" si="43"/>
        <v>5</v>
      </c>
      <c r="S163" s="1">
        <f t="shared" si="44"/>
        <v>1</v>
      </c>
      <c r="T163" s="126">
        <f t="shared" si="45"/>
        <v>46051.512499999997</v>
      </c>
      <c r="U163" s="127">
        <f t="shared" si="46"/>
        <v>1.3034722222218988</v>
      </c>
      <c r="V163" s="128">
        <f>Table2[[#This Row],[ATA A OFRECIMIENTO]]*24</f>
        <v>31.283333333325572</v>
      </c>
      <c r="W163" s="1" t="str">
        <f t="shared" si="47"/>
        <v>YES</v>
      </c>
      <c r="X163" s="127">
        <f t="shared" si="48"/>
        <v>0.26041666666424135</v>
      </c>
      <c r="Y163" s="128">
        <f>Table2[[#This Row],[DEL. AVAILABLE A SLOT]]*24</f>
        <v>6.2499999999417923</v>
      </c>
      <c r="Z163" s="1" t="str">
        <f t="shared" si="49"/>
        <v>SI</v>
      </c>
      <c r="AA163" s="127">
        <f t="shared" si="50"/>
        <v>1.5638888888861402</v>
      </c>
      <c r="AB163" s="128">
        <f>Table2[[#This Row],[ATA A TIMESLOT]]*24</f>
        <v>37.533333333267365</v>
      </c>
      <c r="AC163" s="127">
        <f t="shared" si="51"/>
        <v>2.0833333328482695E-3</v>
      </c>
      <c r="AD163" s="127" t="str">
        <f t="shared" si="52"/>
        <v>SI</v>
      </c>
      <c r="AE163" s="128">
        <f>Table2[[#This Row],[PUNTUALIDAD (H)]]*24</f>
        <v>4.9999999988358468E-2</v>
      </c>
      <c r="AF163" s="127">
        <f t="shared" si="53"/>
        <v>1.577777777776646</v>
      </c>
      <c r="AG163" s="128">
        <f>Table2[[#This Row],[ATA TO UNLOADING]]*24</f>
        <v>37.866666666639503</v>
      </c>
      <c r="AH163" s="128" t="str">
        <f>IF(Table2[[#This Row],[ATA TO UNLOADING 2]]&lt;=48,"YES","NO")</f>
        <v>YES</v>
      </c>
      <c r="AJ163" s="129">
        <f t="shared" si="54"/>
        <v>0.51041666666424135</v>
      </c>
      <c r="AK163" s="2" t="s">
        <v>64</v>
      </c>
      <c r="AL163" s="2" t="str">
        <f t="shared" si="55"/>
        <v>5/26</v>
      </c>
      <c r="AM163" s="2" t="str">
        <f t="shared" si="56"/>
        <v>MSKU7397678</v>
      </c>
      <c r="AN163" s="130" t="str">
        <f t="shared" si="57"/>
        <v>LOGIX</v>
      </c>
      <c r="AO163" s="141">
        <f>IF($O163="TRUCK",
VLOOKUP($AU163,Invoicing!$A$16:$B$56,MATCH($AO$1,Invoicing!$A$16:$B$16,0),FALSE)+IF(OR($B163="DCD",$B163="HPD2"),23.5,0),
VLOOKUP($AU163,Invoicing!$N$15:$O$19,MATCH($AO$1,Invoicing!$N$15:$O$15,0),FALSE)+IF(OR($B163="DCD",$B163="HPD2"),23.5,0))</f>
        <v>550</v>
      </c>
      <c r="AP163" s="131" t="e">
        <f>VLOOKUP($E163,Invoicing!$A$1:$H$12,MATCH(TRACKER!$P163,Invoicing!$A$1:$H$1,0),FALSE)</f>
        <v>#N/A</v>
      </c>
      <c r="AQ163" s="131">
        <f>VLOOKUP($E163,Invoicing!$A$1:$H$12,MATCH(TRACKER!$Q$1,Invoicing!$A$1:$H$1,0),FALSE)</f>
        <v>50</v>
      </c>
      <c r="AR163" s="131">
        <f t="shared" si="58"/>
        <v>50</v>
      </c>
      <c r="AS163" s="2">
        <f t="shared" si="59"/>
        <v>4</v>
      </c>
      <c r="AT163" s="2" t="str">
        <f t="shared" si="62"/>
        <v>WEEK</v>
      </c>
      <c r="AU163" s="2" t="str">
        <f t="shared" si="60"/>
        <v>LOGIXWEEK</v>
      </c>
      <c r="AV163" s="94">
        <f>(IF(ISNA(AP163),AO163+AR163,SUM($AO163,$AR163,IFERROR($AP163,"0"))))+Table2[[#This Row],[WAITING TIMES]]</f>
        <v>600</v>
      </c>
      <c r="AW163" s="48">
        <f>VLOOKUP(AN163,Invoicing!A:K,11,FALSE)</f>
        <v>20</v>
      </c>
      <c r="AY163" s="48"/>
      <c r="AZ163" s="48">
        <f t="shared" si="61"/>
        <v>620</v>
      </c>
      <c r="BA163" s="132">
        <f>VLOOKUP(AN163,Invoicing!A:J,10,FALSE)</f>
        <v>70</v>
      </c>
      <c r="BB163" s="132">
        <f>VLOOKUP(AN163,Invoicing!A:L,12,FALSE)</f>
        <v>1</v>
      </c>
      <c r="BC163" s="2" t="s">
        <v>66</v>
      </c>
    </row>
    <row r="164" spans="1:55">
      <c r="A164" s="134" t="s">
        <v>356</v>
      </c>
      <c r="B164" s="86" t="s">
        <v>77</v>
      </c>
      <c r="C164" s="11">
        <v>46052.552777777775</v>
      </c>
      <c r="D164" s="11">
        <v>46052.041666666664</v>
      </c>
      <c r="E164" s="11" t="s">
        <v>57</v>
      </c>
      <c r="F164" s="11" t="s">
        <v>357</v>
      </c>
      <c r="G164" s="11" t="s">
        <v>59</v>
      </c>
      <c r="H164" s="11" t="s">
        <v>91</v>
      </c>
      <c r="I164" s="86" t="s">
        <v>358</v>
      </c>
      <c r="J164" s="86" t="s">
        <v>82</v>
      </c>
      <c r="K164" s="11">
        <v>46053.75</v>
      </c>
      <c r="L164" s="12">
        <v>46054.374305555553</v>
      </c>
      <c r="M164" s="12">
        <v>46054.583333333336</v>
      </c>
      <c r="N164" s="12">
        <v>46054.413194444445</v>
      </c>
      <c r="O164" s="12" t="s">
        <v>63</v>
      </c>
      <c r="P164" s="138" t="s">
        <v>64</v>
      </c>
      <c r="Q164" s="3">
        <v>0</v>
      </c>
      <c r="R164" s="1">
        <f t="shared" si="43"/>
        <v>5</v>
      </c>
      <c r="S164" s="1">
        <f t="shared" si="44"/>
        <v>2</v>
      </c>
      <c r="T164" s="126">
        <f t="shared" si="45"/>
        <v>46054.374305555553</v>
      </c>
      <c r="U164" s="127">
        <f t="shared" si="46"/>
        <v>1.1972222222248092</v>
      </c>
      <c r="V164" s="128">
        <f>Table2[[#This Row],[ATA A OFRECIMIENTO]]*24</f>
        <v>28.733333333395422</v>
      </c>
      <c r="W164" s="1" t="str">
        <f t="shared" si="47"/>
        <v>YES</v>
      </c>
      <c r="X164" s="127">
        <f t="shared" si="48"/>
        <v>0.83333333333575865</v>
      </c>
      <c r="Y164" s="128">
        <f>Table2[[#This Row],[DEL. AVAILABLE A SLOT]]*24</f>
        <v>20.000000000058208</v>
      </c>
      <c r="Z164" s="1" t="str">
        <f t="shared" si="49"/>
        <v>SI</v>
      </c>
      <c r="AA164" s="127">
        <f t="shared" si="50"/>
        <v>2.0305555555605679</v>
      </c>
      <c r="AB164" s="128">
        <f>Table2[[#This Row],[ATA A TIMESLOT]]*24</f>
        <v>48.733333333453629</v>
      </c>
      <c r="AC164" s="127">
        <f t="shared" si="51"/>
        <v>0</v>
      </c>
      <c r="AD164" s="127" t="str">
        <f t="shared" si="52"/>
        <v>SI</v>
      </c>
      <c r="AE164" s="128">
        <f>Table2[[#This Row],[PUNTUALIDAD (H)]]*24</f>
        <v>0</v>
      </c>
      <c r="AF164" s="127">
        <f t="shared" si="53"/>
        <v>1.8604166666700621</v>
      </c>
      <c r="AG164" s="128">
        <f>Table2[[#This Row],[ATA TO UNLOADING]]*24</f>
        <v>44.650000000081491</v>
      </c>
      <c r="AH164" s="128" t="str">
        <f>IF(Table2[[#This Row],[ATA TO UNLOADING 2]]&lt;=48,"YES","NO")</f>
        <v>YES</v>
      </c>
      <c r="AJ164" s="129">
        <f t="shared" si="54"/>
        <v>0.58333333333575865</v>
      </c>
      <c r="AK164" s="2" t="s">
        <v>64</v>
      </c>
      <c r="AL164" s="2" t="str">
        <f t="shared" si="55"/>
        <v>5/26</v>
      </c>
      <c r="AM164" s="2" t="str">
        <f t="shared" si="56"/>
        <v>BEAU6267753</v>
      </c>
      <c r="AN164" s="130" t="str">
        <f t="shared" si="57"/>
        <v>CTK TRANSPORT</v>
      </c>
      <c r="AO164" s="141">
        <v>648.5</v>
      </c>
      <c r="AP164" s="131" t="e">
        <v>#N/A</v>
      </c>
      <c r="AQ164" s="131">
        <f>VLOOKUP($E164,Invoicing!$A$1:$H$12,MATCH(TRACKER!$Q$1,Invoicing!$A$1:$H$1,0),FALSE)</f>
        <v>50</v>
      </c>
      <c r="AR164" s="131">
        <v>0</v>
      </c>
      <c r="AS164" s="2">
        <f t="shared" si="59"/>
        <v>7</v>
      </c>
      <c r="AT164" s="2" t="str">
        <f t="shared" si="62"/>
        <v>SUNDAY</v>
      </c>
      <c r="AU164" s="2" t="str">
        <f t="shared" si="60"/>
        <v>CTK TRANSPORTSUNDAY</v>
      </c>
      <c r="AV164" s="94">
        <v>648.5</v>
      </c>
      <c r="AW164" s="48">
        <f>VLOOKUP(AN164,Invoicing!A:K,11,FALSE)</f>
        <v>20</v>
      </c>
      <c r="AY164" s="48"/>
      <c r="AZ164" s="48">
        <f t="shared" si="61"/>
        <v>668.5</v>
      </c>
      <c r="BA164" s="132">
        <f>VLOOKUP(AN164,Invoicing!A:J,10,FALSE)</f>
        <v>70</v>
      </c>
      <c r="BB164" s="132">
        <f>VLOOKUP(AN164,Invoicing!A:L,12,FALSE)</f>
        <v>1</v>
      </c>
      <c r="BC164" s="2" t="s">
        <v>359</v>
      </c>
    </row>
    <row r="165" spans="1:55">
      <c r="A165" s="134" t="s">
        <v>356</v>
      </c>
      <c r="B165" s="86" t="s">
        <v>77</v>
      </c>
      <c r="C165" s="11">
        <v>46052.552777777775</v>
      </c>
      <c r="D165" s="11">
        <v>46052.041666666664</v>
      </c>
      <c r="E165" s="11" t="s">
        <v>98</v>
      </c>
      <c r="F165" s="11" t="s">
        <v>360</v>
      </c>
      <c r="G165" s="11" t="s">
        <v>59</v>
      </c>
      <c r="H165" s="11" t="s">
        <v>91</v>
      </c>
      <c r="I165" s="86" t="s">
        <v>361</v>
      </c>
      <c r="J165" s="86" t="s">
        <v>82</v>
      </c>
      <c r="K165" s="11">
        <v>46053.75</v>
      </c>
      <c r="L165" s="12">
        <v>46054.316666666666</v>
      </c>
      <c r="M165" s="12">
        <v>46054.041666666664</v>
      </c>
      <c r="N165" s="12">
        <v>46054.34375</v>
      </c>
      <c r="O165" s="12" t="s">
        <v>63</v>
      </c>
      <c r="P165" s="138" t="s">
        <v>15</v>
      </c>
      <c r="Q165" s="3">
        <v>0</v>
      </c>
      <c r="R165" s="1">
        <f t="shared" si="43"/>
        <v>5</v>
      </c>
      <c r="S165" s="1">
        <f t="shared" si="44"/>
        <v>2</v>
      </c>
      <c r="T165" s="126">
        <f t="shared" si="45"/>
        <v>46054.316666666666</v>
      </c>
      <c r="U165" s="127">
        <f t="shared" si="46"/>
        <v>1.1972222222248092</v>
      </c>
      <c r="V165" s="128">
        <f>Table2[[#This Row],[ATA A OFRECIMIENTO]]*24</f>
        <v>28.733333333395422</v>
      </c>
      <c r="W165" s="1" t="str">
        <f t="shared" si="47"/>
        <v>YES</v>
      </c>
      <c r="X165" s="127">
        <f t="shared" si="48"/>
        <v>0.29166666666424135</v>
      </c>
      <c r="Y165" s="128">
        <f>Table2[[#This Row],[DEL. AVAILABLE A SLOT]]*24</f>
        <v>6.9999999999417923</v>
      </c>
      <c r="Z165" s="1" t="str">
        <f t="shared" si="49"/>
        <v>SI</v>
      </c>
      <c r="AA165" s="127">
        <f t="shared" si="50"/>
        <v>1.4888888888890506</v>
      </c>
      <c r="AB165" s="128">
        <f>Table2[[#This Row],[ATA A TIMESLOT]]*24</f>
        <v>35.733333333337214</v>
      </c>
      <c r="AC165" s="127">
        <f t="shared" si="51"/>
        <v>0.27500000000145519</v>
      </c>
      <c r="AD165" s="127" t="str">
        <f t="shared" si="52"/>
        <v>NO</v>
      </c>
      <c r="AE165" s="128">
        <f>Table2[[#This Row],[PUNTUALIDAD (H)]]*24</f>
        <v>6.6000000000349246</v>
      </c>
      <c r="AF165" s="127">
        <f t="shared" si="53"/>
        <v>1.7909722222248092</v>
      </c>
      <c r="AG165" s="128">
        <f>Table2[[#This Row],[ATA TO UNLOADING]]*24</f>
        <v>42.983333333395422</v>
      </c>
      <c r="AH165" s="128" t="str">
        <f>IF(Table2[[#This Row],[ATA TO UNLOADING 2]]&lt;=48,"YES","NO")</f>
        <v>YES</v>
      </c>
      <c r="AJ165" s="129">
        <f t="shared" si="54"/>
        <v>4.1666666664241347E-2</v>
      </c>
      <c r="AK165" s="49" t="s">
        <v>36</v>
      </c>
      <c r="AL165" s="2" t="str">
        <f t="shared" si="55"/>
        <v>5/26</v>
      </c>
      <c r="AM165" s="2" t="str">
        <f>I165</f>
        <v>CAAU7933603</v>
      </c>
      <c r="AN165" s="130" t="str">
        <f t="shared" si="57"/>
        <v>MSI</v>
      </c>
      <c r="AO165" s="141">
        <v>523.5</v>
      </c>
      <c r="AP165" s="131">
        <v>120</v>
      </c>
      <c r="AQ165" s="131">
        <f>VLOOKUP($E165,Invoicing!$A$1:$H$12,MATCH(TRACKER!$Q$1,Invoicing!$A$1:$H$1,0),FALSE)</f>
        <v>50</v>
      </c>
      <c r="AR165" s="131">
        <v>0</v>
      </c>
      <c r="AS165" s="2">
        <f t="shared" si="59"/>
        <v>7</v>
      </c>
      <c r="AT165" s="2" t="str">
        <f t="shared" si="62"/>
        <v>SUNDAY</v>
      </c>
      <c r="AU165" s="2" t="str">
        <f t="shared" si="60"/>
        <v>MSISUNDAY</v>
      </c>
      <c r="AV165" s="94">
        <v>1123.5</v>
      </c>
      <c r="AW165" s="48">
        <f>VLOOKUP(AN165,Invoicing!A:K,11,FALSE)</f>
        <v>20</v>
      </c>
      <c r="AX165" s="48">
        <v>480</v>
      </c>
      <c r="AY165" s="94" t="s">
        <v>362</v>
      </c>
      <c r="AZ165" s="48">
        <f t="shared" si="61"/>
        <v>1143.5</v>
      </c>
      <c r="BA165" s="132">
        <f>VLOOKUP(AN165,Invoicing!A:J,10,FALSE)</f>
        <v>70</v>
      </c>
      <c r="BB165" s="132">
        <f>VLOOKUP(AN165,Invoicing!A:L,12,FALSE)</f>
        <v>1</v>
      </c>
      <c r="BC165" s="2" t="s">
        <v>359</v>
      </c>
    </row>
    <row r="166" spans="1:55">
      <c r="A166" s="134" t="s">
        <v>356</v>
      </c>
      <c r="B166" s="86" t="s">
        <v>77</v>
      </c>
      <c r="C166" s="11">
        <v>46052.552777777775</v>
      </c>
      <c r="D166" s="11">
        <v>46052.041666666664</v>
      </c>
      <c r="E166" s="11" t="s">
        <v>98</v>
      </c>
      <c r="F166" s="11" t="s">
        <v>360</v>
      </c>
      <c r="G166" s="11" t="s">
        <v>59</v>
      </c>
      <c r="H166" s="11" t="s">
        <v>91</v>
      </c>
      <c r="I166" s="86" t="s">
        <v>363</v>
      </c>
      <c r="J166" s="86" t="s">
        <v>82</v>
      </c>
      <c r="K166" s="11">
        <v>46053.75</v>
      </c>
      <c r="L166" s="12">
        <v>46053.763194444444</v>
      </c>
      <c r="M166" s="12">
        <v>46053.75</v>
      </c>
      <c r="N166" s="12">
        <v>46054.072916666664</v>
      </c>
      <c r="O166" s="12" t="s">
        <v>63</v>
      </c>
      <c r="P166" s="138" t="s">
        <v>15</v>
      </c>
      <c r="Q166" s="3">
        <v>0</v>
      </c>
      <c r="R166" s="1">
        <f t="shared" si="43"/>
        <v>5</v>
      </c>
      <c r="S166" s="1">
        <f t="shared" si="44"/>
        <v>1</v>
      </c>
      <c r="T166" s="126">
        <f t="shared" si="45"/>
        <v>46053.763194444444</v>
      </c>
      <c r="U166" s="127">
        <f t="shared" si="46"/>
        <v>1.1972222222248092</v>
      </c>
      <c r="V166" s="128">
        <f>Table2[[#This Row],[ATA A OFRECIMIENTO]]*24</f>
        <v>28.733333333395422</v>
      </c>
      <c r="W166" s="1" t="str">
        <f t="shared" si="47"/>
        <v>YES</v>
      </c>
      <c r="X166" s="127">
        <f t="shared" si="48"/>
        <v>0</v>
      </c>
      <c r="Y166" s="128">
        <f>Table2[[#This Row],[DEL. AVAILABLE A SLOT]]*24</f>
        <v>0</v>
      </c>
      <c r="Z166" s="1" t="str">
        <f t="shared" si="49"/>
        <v>SI</v>
      </c>
      <c r="AA166" s="127">
        <f t="shared" si="50"/>
        <v>1.1972222222248092</v>
      </c>
      <c r="AB166" s="128">
        <f>Table2[[#This Row],[ATA A TIMESLOT]]*24</f>
        <v>28.733333333395422</v>
      </c>
      <c r="AC166" s="127">
        <f t="shared" si="51"/>
        <v>1.3194444443797693E-2</v>
      </c>
      <c r="AD166" s="127" t="str">
        <f t="shared" si="52"/>
        <v>SI</v>
      </c>
      <c r="AE166" s="128">
        <f>Table2[[#This Row],[PUNTUALIDAD (H)]]*24</f>
        <v>0.31666666665114462</v>
      </c>
      <c r="AF166" s="127">
        <f t="shared" si="53"/>
        <v>1.5201388888890506</v>
      </c>
      <c r="AG166" s="128">
        <f>Table2[[#This Row],[ATA TO UNLOADING]]*24</f>
        <v>36.483333333337214</v>
      </c>
      <c r="AH166" s="128" t="str">
        <f>IF(Table2[[#This Row],[ATA TO UNLOADING 2]]&lt;=48,"YES","NO")</f>
        <v>YES</v>
      </c>
      <c r="AJ166" s="129">
        <f t="shared" si="54"/>
        <v>0.75</v>
      </c>
      <c r="AK166" s="2" t="s">
        <v>64</v>
      </c>
      <c r="AL166" s="2" t="str">
        <f t="shared" si="55"/>
        <v>5/26</v>
      </c>
      <c r="AM166" s="2" t="str">
        <f t="shared" si="56"/>
        <v>CAAU9308122</v>
      </c>
      <c r="AN166" s="130" t="str">
        <f t="shared" si="57"/>
        <v>MSI</v>
      </c>
      <c r="AO166" s="141">
        <f>IF($O166="TRUCK",
VLOOKUP($AU166,Invoicing!$A$16:$B$56,MATCH($AO$1,Invoicing!$A$16:$B$16,0),FALSE)+IF(OR($B166="DCD",$B166="HPD2"),23.5,0),
VLOOKUP($AU166,Invoicing!$N$15:$O$19,MATCH($AO$1,Invoicing!$N$15:$O$15,0),FALSE)+IF(OR($B166="DCD",$B166="HPD2"),23.5,0))</f>
        <v>523.5</v>
      </c>
      <c r="AP166" s="131">
        <f>VLOOKUP($E166,Invoicing!$A$1:$H$12,MATCH(TRACKER!$P166,Invoicing!$A$1:$H$1,0),FALSE)</f>
        <v>120</v>
      </c>
      <c r="AQ166" s="131">
        <f>VLOOKUP($E166,Invoicing!$A$1:$H$12,MATCH(TRACKER!$Q$1,Invoicing!$A$1:$H$1,0),FALSE)</f>
        <v>50</v>
      </c>
      <c r="AR166" s="131">
        <f>IF($Q166&lt;&gt;0,$Q166*$AQ166,0)</f>
        <v>0</v>
      </c>
      <c r="AS166" s="2">
        <f t="shared" si="59"/>
        <v>6</v>
      </c>
      <c r="AT166" s="2" t="str">
        <f t="shared" si="62"/>
        <v>SATURDAY</v>
      </c>
      <c r="AU166" s="2" t="str">
        <f t="shared" si="60"/>
        <v>MSISATURDAY</v>
      </c>
      <c r="AV166" s="94">
        <f>(IF(ISNA(AP166),AO166+AR166,SUM($AO166,$AR166,IFERROR($AP166,"0"))))+Table2[[#This Row],[WAITING TIMES]]</f>
        <v>1183.5</v>
      </c>
      <c r="AW166" s="48">
        <f>VLOOKUP(AN166,Invoicing!A:K,11,FALSE)</f>
        <v>20</v>
      </c>
      <c r="AX166" s="48">
        <v>540</v>
      </c>
      <c r="AY166" s="48" t="s">
        <v>364</v>
      </c>
      <c r="AZ166" s="48">
        <f t="shared" si="61"/>
        <v>1203.5</v>
      </c>
      <c r="BA166" s="132">
        <f>VLOOKUP(AN166,Invoicing!A:J,10,FALSE)</f>
        <v>70</v>
      </c>
      <c r="BB166" s="132">
        <f>VLOOKUP(AN166,Invoicing!A:L,12,FALSE)</f>
        <v>1</v>
      </c>
      <c r="BC166" s="2" t="s">
        <v>66</v>
      </c>
    </row>
    <row r="167" spans="1:55">
      <c r="A167" s="134" t="s">
        <v>356</v>
      </c>
      <c r="B167" s="86" t="s">
        <v>77</v>
      </c>
      <c r="C167" s="11">
        <v>46052.552777777775</v>
      </c>
      <c r="D167" s="11">
        <v>46052.041666666664</v>
      </c>
      <c r="E167" s="11" t="s">
        <v>83</v>
      </c>
      <c r="F167" s="11" t="s">
        <v>365</v>
      </c>
      <c r="G167" s="11" t="s">
        <v>133</v>
      </c>
      <c r="H167" s="11" t="s">
        <v>91</v>
      </c>
      <c r="I167" s="86" t="s">
        <v>366</v>
      </c>
      <c r="J167" s="86" t="s">
        <v>100</v>
      </c>
      <c r="K167" s="11">
        <v>46053.75</v>
      </c>
      <c r="L167" s="12">
        <v>46054.40625</v>
      </c>
      <c r="M167" s="12">
        <v>46054.416666666664</v>
      </c>
      <c r="N167" s="12">
        <v>46054.40625</v>
      </c>
      <c r="O167" s="12" t="s">
        <v>63</v>
      </c>
      <c r="P167" s="138" t="s">
        <v>64</v>
      </c>
      <c r="Q167" s="3">
        <v>1</v>
      </c>
      <c r="R167" s="1">
        <f t="shared" si="43"/>
        <v>5</v>
      </c>
      <c r="S167" s="1">
        <f t="shared" si="44"/>
        <v>2</v>
      </c>
      <c r="T167" s="126">
        <f t="shared" si="45"/>
        <v>46054.40625</v>
      </c>
      <c r="U167" s="127">
        <f t="shared" si="46"/>
        <v>1.1972222222248092</v>
      </c>
      <c r="V167" s="128">
        <f>Table2[[#This Row],[ATA A OFRECIMIENTO]]*24</f>
        <v>28.733333333395422</v>
      </c>
      <c r="W167" s="1" t="str">
        <f t="shared" si="47"/>
        <v>YES</v>
      </c>
      <c r="X167" s="127">
        <f t="shared" si="48"/>
        <v>0.66666666666424135</v>
      </c>
      <c r="Y167" s="128">
        <f>Table2[[#This Row],[DEL. AVAILABLE A SLOT]]*24</f>
        <v>15.999999999941792</v>
      </c>
      <c r="Z167" s="1" t="str">
        <f t="shared" si="49"/>
        <v>SI</v>
      </c>
      <c r="AA167" s="127">
        <f t="shared" si="50"/>
        <v>1.8638888888890506</v>
      </c>
      <c r="AB167" s="128">
        <f>Table2[[#This Row],[ATA A TIMESLOT]]*24</f>
        <v>44.733333333337214</v>
      </c>
      <c r="AC167" s="127">
        <f t="shared" si="51"/>
        <v>0</v>
      </c>
      <c r="AD167" s="127" t="str">
        <f t="shared" si="52"/>
        <v>SI</v>
      </c>
      <c r="AE167" s="128">
        <f>Table2[[#This Row],[PUNTUALIDAD (H)]]*24</f>
        <v>0</v>
      </c>
      <c r="AF167" s="127">
        <f t="shared" si="53"/>
        <v>1.8534722222248092</v>
      </c>
      <c r="AG167" s="128">
        <f>Table2[[#This Row],[ATA TO UNLOADING]]*24</f>
        <v>44.483333333395422</v>
      </c>
      <c r="AH167" s="128" t="str">
        <f>IF(Table2[[#This Row],[ATA TO UNLOADING 2]]&lt;=48,"YES","NO")</f>
        <v>YES</v>
      </c>
      <c r="AJ167" s="129">
        <f t="shared" si="54"/>
        <v>0.41666666666424135</v>
      </c>
      <c r="AK167" s="2" t="s">
        <v>64</v>
      </c>
      <c r="AL167" s="2" t="str">
        <f t="shared" si="55"/>
        <v>5/26</v>
      </c>
      <c r="AM167" s="2" t="str">
        <f t="shared" si="56"/>
        <v>CAIU7944093</v>
      </c>
      <c r="AN167" s="130" t="str">
        <f t="shared" si="57"/>
        <v>OM TRANSPORT</v>
      </c>
      <c r="AO167" s="141">
        <v>573.5</v>
      </c>
      <c r="AP167" s="131" t="e">
        <v>#N/A</v>
      </c>
      <c r="AQ167" s="131">
        <f>VLOOKUP($E167,Invoicing!$A$1:$H$12,MATCH(TRACKER!$Q$1,Invoicing!$A$1:$H$1,0),FALSE)</f>
        <v>50</v>
      </c>
      <c r="AR167" s="131">
        <v>50</v>
      </c>
      <c r="AS167" s="2">
        <f t="shared" si="59"/>
        <v>7</v>
      </c>
      <c r="AT167" s="2" t="str">
        <f t="shared" si="62"/>
        <v>SUNDAY</v>
      </c>
      <c r="AU167" s="2" t="str">
        <f t="shared" si="60"/>
        <v>OM TRANSPORTSUNDAY</v>
      </c>
      <c r="AV167" s="94">
        <v>668.5</v>
      </c>
      <c r="AW167" s="48">
        <f>VLOOKUP(AN167,Invoicing!A:K,11,FALSE)</f>
        <v>20</v>
      </c>
      <c r="AX167" s="48">
        <v>45</v>
      </c>
      <c r="AY167" s="94" t="s">
        <v>367</v>
      </c>
      <c r="AZ167" s="48">
        <f t="shared" si="61"/>
        <v>688.5</v>
      </c>
      <c r="BA167" s="132">
        <f>VLOOKUP(AN167,Invoicing!A:J,10,FALSE)</f>
        <v>70</v>
      </c>
      <c r="BB167" s="132">
        <f>VLOOKUP(AN167,Invoicing!A:L,12,FALSE)</f>
        <v>1</v>
      </c>
      <c r="BC167" s="2" t="s">
        <v>359</v>
      </c>
    </row>
    <row r="168" spans="1:55">
      <c r="A168" s="134" t="s">
        <v>356</v>
      </c>
      <c r="B168" s="86" t="s">
        <v>77</v>
      </c>
      <c r="C168" s="11">
        <v>46052.552777777775</v>
      </c>
      <c r="D168" s="11">
        <v>46052.041666666664</v>
      </c>
      <c r="E168" s="11" t="s">
        <v>83</v>
      </c>
      <c r="F168" s="11" t="s">
        <v>368</v>
      </c>
      <c r="G168" s="11" t="s">
        <v>59</v>
      </c>
      <c r="H168" s="11" t="s">
        <v>91</v>
      </c>
      <c r="I168" s="86" t="s">
        <v>369</v>
      </c>
      <c r="J168" s="86" t="s">
        <v>82</v>
      </c>
      <c r="K168" s="11">
        <v>46053.75</v>
      </c>
      <c r="L168" s="12">
        <v>46054.302777777775</v>
      </c>
      <c r="M168" s="12">
        <v>46054.333333333336</v>
      </c>
      <c r="N168" s="12">
        <v>46054.329861111109</v>
      </c>
      <c r="O168" s="12" t="s">
        <v>63</v>
      </c>
      <c r="P168" s="138" t="s">
        <v>15</v>
      </c>
      <c r="Q168" s="3">
        <v>0</v>
      </c>
      <c r="R168" s="1">
        <f t="shared" si="43"/>
        <v>5</v>
      </c>
      <c r="S168" s="1">
        <f t="shared" si="44"/>
        <v>2</v>
      </c>
      <c r="T168" s="126">
        <f t="shared" si="45"/>
        <v>46054.302777777775</v>
      </c>
      <c r="U168" s="127">
        <f t="shared" si="46"/>
        <v>1.1972222222248092</v>
      </c>
      <c r="V168" s="128">
        <f>Table2[[#This Row],[ATA A OFRECIMIENTO]]*24</f>
        <v>28.733333333395422</v>
      </c>
      <c r="W168" s="1" t="str">
        <f t="shared" si="47"/>
        <v>YES</v>
      </c>
      <c r="X168" s="127">
        <f t="shared" si="48"/>
        <v>0.58333333333575865</v>
      </c>
      <c r="Y168" s="128">
        <f>Table2[[#This Row],[DEL. AVAILABLE A SLOT]]*24</f>
        <v>14.000000000058208</v>
      </c>
      <c r="Z168" s="1" t="str">
        <f t="shared" si="49"/>
        <v>SI</v>
      </c>
      <c r="AA168" s="127">
        <f t="shared" si="50"/>
        <v>1.7805555555605679</v>
      </c>
      <c r="AB168" s="128">
        <f>Table2[[#This Row],[ATA A TIMESLOT]]*24</f>
        <v>42.733333333453629</v>
      </c>
      <c r="AC168" s="127">
        <f t="shared" si="51"/>
        <v>0</v>
      </c>
      <c r="AD168" s="127" t="str">
        <f t="shared" si="52"/>
        <v>SI</v>
      </c>
      <c r="AE168" s="128">
        <f>Table2[[#This Row],[PUNTUALIDAD (H)]]*24</f>
        <v>0</v>
      </c>
      <c r="AF168" s="127">
        <f t="shared" si="53"/>
        <v>1.7770833333343035</v>
      </c>
      <c r="AG168" s="128">
        <f>Table2[[#This Row],[ATA TO UNLOADING]]*24</f>
        <v>42.650000000023283</v>
      </c>
      <c r="AH168" s="128" t="str">
        <f>IF(Table2[[#This Row],[ATA TO UNLOADING 2]]&lt;=48,"YES","NO")</f>
        <v>YES</v>
      </c>
      <c r="AJ168" s="129">
        <f t="shared" si="54"/>
        <v>0.33333333333575865</v>
      </c>
      <c r="AK168" s="2" t="s">
        <v>64</v>
      </c>
      <c r="AL168" s="2" t="str">
        <f t="shared" si="55"/>
        <v>5/26</v>
      </c>
      <c r="AM168" s="2" t="str">
        <f t="shared" si="56"/>
        <v>GAOU7387823</v>
      </c>
      <c r="AN168" s="130" t="str">
        <f t="shared" si="57"/>
        <v>OM TRANSPORT</v>
      </c>
      <c r="AO168" s="141">
        <v>573.5</v>
      </c>
      <c r="AP168" s="131">
        <v>110</v>
      </c>
      <c r="AQ168" s="131">
        <f>VLOOKUP($E168,Invoicing!$A$1:$H$12,MATCH(TRACKER!$Q$1,Invoicing!$A$1:$H$1,0),FALSE)</f>
        <v>50</v>
      </c>
      <c r="AR168" s="131">
        <v>0</v>
      </c>
      <c r="AS168" s="2">
        <f t="shared" si="59"/>
        <v>7</v>
      </c>
      <c r="AT168" s="2" t="str">
        <f t="shared" si="62"/>
        <v>SUNDAY</v>
      </c>
      <c r="AU168" s="2" t="str">
        <f t="shared" si="60"/>
        <v>OM TRANSPORTSUNDAY</v>
      </c>
      <c r="AV168" s="94">
        <v>784.75</v>
      </c>
      <c r="AW168" s="48">
        <f>VLOOKUP(AN168,Invoicing!A:K,11,FALSE)</f>
        <v>20</v>
      </c>
      <c r="AX168" s="48">
        <v>101.25</v>
      </c>
      <c r="AY168" s="94" t="s">
        <v>370</v>
      </c>
      <c r="AZ168" s="48">
        <f t="shared" si="61"/>
        <v>804.75</v>
      </c>
      <c r="BA168" s="132">
        <f>VLOOKUP(AN168,Invoicing!A:J,10,FALSE)</f>
        <v>70</v>
      </c>
      <c r="BB168" s="132">
        <f>VLOOKUP(AN168,Invoicing!A:L,12,FALSE)</f>
        <v>1</v>
      </c>
      <c r="BC168" s="2" t="s">
        <v>359</v>
      </c>
    </row>
    <row r="169" spans="1:55">
      <c r="A169" s="134" t="s">
        <v>356</v>
      </c>
      <c r="B169" s="86" t="s">
        <v>77</v>
      </c>
      <c r="C169" s="11">
        <v>46052.552777777775</v>
      </c>
      <c r="D169" s="11">
        <v>46052.041666666664</v>
      </c>
      <c r="E169" s="11" t="s">
        <v>71</v>
      </c>
      <c r="F169" s="11" t="s">
        <v>365</v>
      </c>
      <c r="G169" s="11" t="s">
        <v>133</v>
      </c>
      <c r="H169" s="11" t="s">
        <v>91</v>
      </c>
      <c r="I169" s="86" t="s">
        <v>371</v>
      </c>
      <c r="J169" s="86" t="s">
        <v>62</v>
      </c>
      <c r="K169" s="11">
        <v>46053.75</v>
      </c>
      <c r="L169" s="12">
        <v>46054.274305555555</v>
      </c>
      <c r="M169" s="12">
        <v>46054.291666666664</v>
      </c>
      <c r="N169" s="12">
        <v>46054.319444444445</v>
      </c>
      <c r="O169" s="12" t="s">
        <v>63</v>
      </c>
      <c r="P169" s="138" t="s">
        <v>64</v>
      </c>
      <c r="Q169" s="3">
        <v>0</v>
      </c>
      <c r="R169" s="1">
        <f t="shared" si="43"/>
        <v>5</v>
      </c>
      <c r="S169" s="1">
        <f t="shared" si="44"/>
        <v>2</v>
      </c>
      <c r="T169" s="126">
        <f t="shared" si="45"/>
        <v>46054.274305555555</v>
      </c>
      <c r="U169" s="127">
        <f t="shared" si="46"/>
        <v>1.1972222222248092</v>
      </c>
      <c r="V169" s="128">
        <f>Table2[[#This Row],[ATA A OFRECIMIENTO]]*24</f>
        <v>28.733333333395422</v>
      </c>
      <c r="W169" s="1" t="str">
        <f t="shared" si="47"/>
        <v>YES</v>
      </c>
      <c r="X169" s="127">
        <f t="shared" si="48"/>
        <v>0.54166666666424135</v>
      </c>
      <c r="Y169" s="128">
        <f>Table2[[#This Row],[DEL. AVAILABLE A SLOT]]*24</f>
        <v>12.999999999941792</v>
      </c>
      <c r="Z169" s="1" t="str">
        <f t="shared" si="49"/>
        <v>SI</v>
      </c>
      <c r="AA169" s="127">
        <f t="shared" si="50"/>
        <v>1.7388888888890506</v>
      </c>
      <c r="AB169" s="128">
        <f>Table2[[#This Row],[ATA A TIMESLOT]]*24</f>
        <v>41.733333333337214</v>
      </c>
      <c r="AC169" s="127">
        <f t="shared" si="51"/>
        <v>0</v>
      </c>
      <c r="AD169" s="127" t="str">
        <f t="shared" si="52"/>
        <v>SI</v>
      </c>
      <c r="AE169" s="128">
        <f>Table2[[#This Row],[PUNTUALIDAD (H)]]*24</f>
        <v>0</v>
      </c>
      <c r="AF169" s="127">
        <f t="shared" si="53"/>
        <v>1.7666666666700621</v>
      </c>
      <c r="AG169" s="128">
        <f>Table2[[#This Row],[ATA TO UNLOADING]]*24</f>
        <v>42.400000000081491</v>
      </c>
      <c r="AH169" s="128" t="str">
        <f>IF(Table2[[#This Row],[ATA TO UNLOADING 2]]&lt;=48,"YES","NO")</f>
        <v>YES</v>
      </c>
      <c r="AJ169" s="129">
        <f t="shared" si="54"/>
        <v>0.29166666666424135</v>
      </c>
      <c r="AK169" s="2" t="s">
        <v>64</v>
      </c>
      <c r="AL169" s="2" t="str">
        <f t="shared" si="55"/>
        <v>5/26</v>
      </c>
      <c r="AM169" s="2" t="str">
        <f t="shared" si="56"/>
        <v>HAMU4063090</v>
      </c>
      <c r="AN169" s="130" t="str">
        <f t="shared" si="57"/>
        <v>LOGIX</v>
      </c>
      <c r="AO169" s="141">
        <v>573.5</v>
      </c>
      <c r="AP169" s="131" t="e">
        <v>#N/A</v>
      </c>
      <c r="AQ169" s="131">
        <f>VLOOKUP($E169,Invoicing!$A$1:$H$12,MATCH(TRACKER!$Q$1,Invoicing!$A$1:$H$1,0),FALSE)</f>
        <v>50</v>
      </c>
      <c r="AR169" s="131">
        <v>0</v>
      </c>
      <c r="AS169" s="2">
        <f t="shared" si="59"/>
        <v>7</v>
      </c>
      <c r="AT169" s="2" t="str">
        <f t="shared" si="62"/>
        <v>SUNDAY</v>
      </c>
      <c r="AU169" s="2" t="str">
        <f t="shared" si="60"/>
        <v>LOGIXSUNDAY</v>
      </c>
      <c r="AV169" s="94">
        <v>573.5</v>
      </c>
      <c r="AW169" s="48">
        <f>VLOOKUP(AN169,Invoicing!A:K,11,FALSE)</f>
        <v>20</v>
      </c>
      <c r="AY169" s="48"/>
      <c r="AZ169" s="48">
        <f t="shared" si="61"/>
        <v>593.5</v>
      </c>
      <c r="BA169" s="132">
        <f>VLOOKUP(AN169,Invoicing!A:J,10,FALSE)</f>
        <v>70</v>
      </c>
      <c r="BB169" s="132">
        <f>VLOOKUP(AN169,Invoicing!A:L,12,FALSE)</f>
        <v>1</v>
      </c>
      <c r="BC169" s="2" t="s">
        <v>359</v>
      </c>
    </row>
    <row r="170" spans="1:55">
      <c r="A170" s="134" t="s">
        <v>356</v>
      </c>
      <c r="B170" s="86" t="s">
        <v>77</v>
      </c>
      <c r="C170" s="11">
        <v>46052.552777777775</v>
      </c>
      <c r="D170" s="11">
        <v>46052.041666666664</v>
      </c>
      <c r="E170" s="11" t="s">
        <v>98</v>
      </c>
      <c r="F170" s="11" t="s">
        <v>365</v>
      </c>
      <c r="G170" s="11" t="s">
        <v>133</v>
      </c>
      <c r="H170" s="11" t="s">
        <v>91</v>
      </c>
      <c r="I170" s="86" t="s">
        <v>372</v>
      </c>
      <c r="J170" s="86" t="s">
        <v>82</v>
      </c>
      <c r="K170" s="11">
        <v>46053.75</v>
      </c>
      <c r="L170" s="12">
        <v>46054.168749999997</v>
      </c>
      <c r="M170" s="12">
        <v>46054.166666666664</v>
      </c>
      <c r="N170" s="12">
        <v>46054.208333333336</v>
      </c>
      <c r="O170" s="12" t="s">
        <v>63</v>
      </c>
      <c r="P170" s="138" t="s">
        <v>64</v>
      </c>
      <c r="Q170" s="3">
        <v>0</v>
      </c>
      <c r="R170" s="1">
        <f t="shared" si="43"/>
        <v>5</v>
      </c>
      <c r="S170" s="1">
        <f t="shared" si="44"/>
        <v>2</v>
      </c>
      <c r="T170" s="126">
        <f t="shared" si="45"/>
        <v>46054.168749999997</v>
      </c>
      <c r="U170" s="127">
        <f t="shared" si="46"/>
        <v>1.1972222222248092</v>
      </c>
      <c r="V170" s="128">
        <f>Table2[[#This Row],[ATA A OFRECIMIENTO]]*24</f>
        <v>28.733333333395422</v>
      </c>
      <c r="W170" s="1" t="str">
        <f t="shared" si="47"/>
        <v>YES</v>
      </c>
      <c r="X170" s="127">
        <f t="shared" si="48"/>
        <v>0.41666666666424135</v>
      </c>
      <c r="Y170" s="128">
        <f>Table2[[#This Row],[DEL. AVAILABLE A SLOT]]*24</f>
        <v>9.9999999999417923</v>
      </c>
      <c r="Z170" s="1" t="str">
        <f t="shared" si="49"/>
        <v>SI</v>
      </c>
      <c r="AA170" s="127">
        <f t="shared" si="50"/>
        <v>1.6138888888890506</v>
      </c>
      <c r="AB170" s="128">
        <f>Table2[[#This Row],[ATA A TIMESLOT]]*24</f>
        <v>38.733333333337214</v>
      </c>
      <c r="AC170" s="127">
        <f t="shared" si="51"/>
        <v>2.0833333328482695E-3</v>
      </c>
      <c r="AD170" s="127" t="str">
        <f t="shared" si="52"/>
        <v>SI</v>
      </c>
      <c r="AE170" s="128">
        <f>Table2[[#This Row],[PUNTUALIDAD (H)]]*24</f>
        <v>4.9999999988358468E-2</v>
      </c>
      <c r="AF170" s="127">
        <f t="shared" si="53"/>
        <v>1.6555555555605679</v>
      </c>
      <c r="AG170" s="128">
        <f>Table2[[#This Row],[ATA TO UNLOADING]]*24</f>
        <v>39.733333333453629</v>
      </c>
      <c r="AH170" s="128" t="str">
        <f>IF(Table2[[#This Row],[ATA TO UNLOADING 2]]&lt;=48,"YES","NO")</f>
        <v>YES</v>
      </c>
      <c r="AJ170" s="129">
        <f t="shared" si="54"/>
        <v>0.16666666666424135</v>
      </c>
      <c r="AK170" s="49" t="s">
        <v>36</v>
      </c>
      <c r="AL170" s="2" t="str">
        <f t="shared" si="55"/>
        <v>5/26</v>
      </c>
      <c r="AM170" s="2" t="str">
        <f t="shared" si="56"/>
        <v>HLBU1771218</v>
      </c>
      <c r="AN170" s="130" t="str">
        <f t="shared" si="57"/>
        <v>MSI</v>
      </c>
      <c r="AO170" s="141">
        <v>523.5</v>
      </c>
      <c r="AP170" s="131" t="e">
        <v>#N/A</v>
      </c>
      <c r="AQ170" s="131">
        <f>VLOOKUP($E170,Invoicing!$A$1:$H$12,MATCH(TRACKER!$Q$1,Invoicing!$A$1:$H$1,0),FALSE)</f>
        <v>50</v>
      </c>
      <c r="AR170" s="131">
        <v>0</v>
      </c>
      <c r="AS170" s="2">
        <f t="shared" si="59"/>
        <v>7</v>
      </c>
      <c r="AT170" s="2" t="str">
        <f t="shared" si="62"/>
        <v>SUNDAY</v>
      </c>
      <c r="AU170" s="2" t="str">
        <f t="shared" si="60"/>
        <v>MSISUNDAY</v>
      </c>
      <c r="AV170" s="94">
        <v>523.5</v>
      </c>
      <c r="AW170" s="48">
        <f>VLOOKUP(AN170,Invoicing!A:K,11,FALSE)</f>
        <v>20</v>
      </c>
      <c r="AY170" s="48"/>
      <c r="AZ170" s="48">
        <f t="shared" si="61"/>
        <v>543.5</v>
      </c>
      <c r="BA170" s="132">
        <f>VLOOKUP(AN170,Invoicing!A:J,10,FALSE)</f>
        <v>70</v>
      </c>
      <c r="BB170" s="132">
        <f>VLOOKUP(AN170,Invoicing!A:L,12,FALSE)</f>
        <v>1</v>
      </c>
      <c r="BC170" s="2" t="s">
        <v>359</v>
      </c>
    </row>
    <row r="171" spans="1:55">
      <c r="A171" s="134" t="s">
        <v>356</v>
      </c>
      <c r="B171" s="86" t="s">
        <v>77</v>
      </c>
      <c r="C171" s="11">
        <v>46052.552777777775</v>
      </c>
      <c r="D171" s="11">
        <v>46052.041666666664</v>
      </c>
      <c r="E171" s="11" t="s">
        <v>57</v>
      </c>
      <c r="F171" s="11" t="s">
        <v>373</v>
      </c>
      <c r="G171" s="11" t="s">
        <v>59</v>
      </c>
      <c r="H171" s="11" t="s">
        <v>91</v>
      </c>
      <c r="I171" s="86" t="s">
        <v>374</v>
      </c>
      <c r="J171" s="86" t="s">
        <v>82</v>
      </c>
      <c r="K171" s="11">
        <v>46053.75</v>
      </c>
      <c r="L171" s="12">
        <v>46054.304166666669</v>
      </c>
      <c r="M171" s="12">
        <v>46054.291666666664</v>
      </c>
      <c r="N171" s="12">
        <v>46054.326388888891</v>
      </c>
      <c r="O171" s="12" t="s">
        <v>63</v>
      </c>
      <c r="P171" s="138" t="s">
        <v>64</v>
      </c>
      <c r="Q171" s="3">
        <v>0</v>
      </c>
      <c r="R171" s="1">
        <f t="shared" si="43"/>
        <v>5</v>
      </c>
      <c r="S171" s="1">
        <f t="shared" si="44"/>
        <v>2</v>
      </c>
      <c r="T171" s="126">
        <f t="shared" si="45"/>
        <v>46054.304166666669</v>
      </c>
      <c r="U171" s="127">
        <f t="shared" si="46"/>
        <v>1.1972222222248092</v>
      </c>
      <c r="V171" s="128">
        <f>Table2[[#This Row],[ATA A OFRECIMIENTO]]*24</f>
        <v>28.733333333395422</v>
      </c>
      <c r="W171" s="1" t="str">
        <f t="shared" si="47"/>
        <v>YES</v>
      </c>
      <c r="X171" s="127">
        <f t="shared" si="48"/>
        <v>0.54166666666424135</v>
      </c>
      <c r="Y171" s="128">
        <f>Table2[[#This Row],[DEL. AVAILABLE A SLOT]]*24</f>
        <v>12.999999999941792</v>
      </c>
      <c r="Z171" s="1" t="str">
        <f t="shared" si="49"/>
        <v>SI</v>
      </c>
      <c r="AA171" s="127">
        <f t="shared" si="50"/>
        <v>1.7388888888890506</v>
      </c>
      <c r="AB171" s="128">
        <f>Table2[[#This Row],[ATA A TIMESLOT]]*24</f>
        <v>41.733333333337214</v>
      </c>
      <c r="AC171" s="127">
        <f t="shared" si="51"/>
        <v>1.2500000004365575E-2</v>
      </c>
      <c r="AD171" s="127" t="str">
        <f t="shared" si="52"/>
        <v>SI</v>
      </c>
      <c r="AE171" s="128">
        <f>Table2[[#This Row],[PUNTUALIDAD (H)]]*24</f>
        <v>0.30000000010477379</v>
      </c>
      <c r="AF171" s="127">
        <f t="shared" si="53"/>
        <v>1.773611111115315</v>
      </c>
      <c r="AG171" s="128">
        <f>Table2[[#This Row],[ATA TO UNLOADING]]*24</f>
        <v>42.56666666676756</v>
      </c>
      <c r="AH171" s="128" t="str">
        <f>IF(Table2[[#This Row],[ATA TO UNLOADING 2]]&lt;=48,"YES","NO")</f>
        <v>YES</v>
      </c>
      <c r="AJ171" s="129">
        <f t="shared" si="54"/>
        <v>0.29166666666424135</v>
      </c>
      <c r="AK171" s="2" t="s">
        <v>64</v>
      </c>
      <c r="AL171" s="2" t="str">
        <f t="shared" si="55"/>
        <v>5/26</v>
      </c>
      <c r="AM171" s="2" t="str">
        <f t="shared" si="56"/>
        <v>MRKU0683410</v>
      </c>
      <c r="AN171" s="130" t="str">
        <f t="shared" si="57"/>
        <v>CTK TRANSPORT</v>
      </c>
      <c r="AO171" s="141">
        <v>648.5</v>
      </c>
      <c r="AP171" s="131" t="e">
        <v>#N/A</v>
      </c>
      <c r="AQ171" s="131">
        <f>VLOOKUP($E171,Invoicing!$A$1:$H$12,MATCH(TRACKER!$Q$1,Invoicing!$A$1:$H$1,0),FALSE)</f>
        <v>50</v>
      </c>
      <c r="AR171" s="131">
        <v>0</v>
      </c>
      <c r="AS171" s="2">
        <f t="shared" si="59"/>
        <v>7</v>
      </c>
      <c r="AT171" s="2" t="str">
        <f t="shared" si="62"/>
        <v>SUNDAY</v>
      </c>
      <c r="AU171" s="2" t="str">
        <f t="shared" si="60"/>
        <v>CTK TRANSPORTSUNDAY</v>
      </c>
      <c r="AV171" s="94">
        <v>648.5</v>
      </c>
      <c r="AW171" s="48">
        <f>VLOOKUP(AN171,Invoicing!A:K,11,FALSE)</f>
        <v>20</v>
      </c>
      <c r="AY171" s="48"/>
      <c r="AZ171" s="48">
        <f t="shared" si="61"/>
        <v>668.5</v>
      </c>
      <c r="BA171" s="132">
        <f>VLOOKUP(AN171,Invoicing!A:J,10,FALSE)</f>
        <v>70</v>
      </c>
      <c r="BB171" s="132">
        <f>VLOOKUP(AN171,Invoicing!A:L,12,FALSE)</f>
        <v>1</v>
      </c>
      <c r="BC171" s="2" t="s">
        <v>359</v>
      </c>
    </row>
    <row r="172" spans="1:55">
      <c r="A172" s="134" t="s">
        <v>356</v>
      </c>
      <c r="B172" s="86" t="s">
        <v>77</v>
      </c>
      <c r="C172" s="11">
        <v>46052.552777777775</v>
      </c>
      <c r="D172" s="11">
        <v>46052.041666666664</v>
      </c>
      <c r="E172" s="11" t="s">
        <v>71</v>
      </c>
      <c r="F172" s="11" t="s">
        <v>357</v>
      </c>
      <c r="G172" s="11" t="s">
        <v>59</v>
      </c>
      <c r="H172" s="11" t="s">
        <v>91</v>
      </c>
      <c r="I172" s="86" t="s">
        <v>375</v>
      </c>
      <c r="J172" s="86" t="s">
        <v>100</v>
      </c>
      <c r="K172" s="11">
        <v>46053.75</v>
      </c>
      <c r="L172" s="12">
        <v>46054.399305555555</v>
      </c>
      <c r="M172" s="12">
        <v>46054.333333333336</v>
      </c>
      <c r="N172" s="12">
        <v>46054.440972222219</v>
      </c>
      <c r="O172" s="12" t="s">
        <v>63</v>
      </c>
      <c r="P172" s="138" t="s">
        <v>64</v>
      </c>
      <c r="Q172" s="3">
        <v>2</v>
      </c>
      <c r="R172" s="1">
        <f t="shared" si="43"/>
        <v>5</v>
      </c>
      <c r="S172" s="1">
        <f t="shared" si="44"/>
        <v>2</v>
      </c>
      <c r="T172" s="126">
        <f t="shared" si="45"/>
        <v>46054.399305555555</v>
      </c>
      <c r="U172" s="127">
        <f t="shared" si="46"/>
        <v>1.1972222222248092</v>
      </c>
      <c r="V172" s="128">
        <f>Table2[[#This Row],[ATA A OFRECIMIENTO]]*24</f>
        <v>28.733333333395422</v>
      </c>
      <c r="W172" s="1" t="str">
        <f t="shared" si="47"/>
        <v>YES</v>
      </c>
      <c r="X172" s="127">
        <f t="shared" si="48"/>
        <v>0.58333333333575865</v>
      </c>
      <c r="Y172" s="128">
        <f>Table2[[#This Row],[DEL. AVAILABLE A SLOT]]*24</f>
        <v>14.000000000058208</v>
      </c>
      <c r="Z172" s="1" t="str">
        <f t="shared" si="49"/>
        <v>SI</v>
      </c>
      <c r="AA172" s="127">
        <f t="shared" si="50"/>
        <v>1.7805555555605679</v>
      </c>
      <c r="AB172" s="128">
        <f>Table2[[#This Row],[ATA A TIMESLOT]]*24</f>
        <v>42.733333333453629</v>
      </c>
      <c r="AC172" s="127">
        <f t="shared" si="51"/>
        <v>6.5972222218988463E-2</v>
      </c>
      <c r="AD172" s="127" t="str">
        <f t="shared" si="52"/>
        <v>NO</v>
      </c>
      <c r="AE172" s="128">
        <f>Table2[[#This Row],[PUNTUALIDAD (H)]]*24</f>
        <v>1.5833333332557231</v>
      </c>
      <c r="AF172" s="127">
        <f t="shared" si="53"/>
        <v>1.8881944444437977</v>
      </c>
      <c r="AG172" s="128">
        <f>Table2[[#This Row],[ATA TO UNLOADING]]*24</f>
        <v>45.316666666651145</v>
      </c>
      <c r="AH172" s="128" t="str">
        <f>IF(Table2[[#This Row],[ATA TO UNLOADING 2]]&lt;=48,"YES","NO")</f>
        <v>YES</v>
      </c>
      <c r="AJ172" s="129">
        <f t="shared" si="54"/>
        <v>0.33333333333575865</v>
      </c>
      <c r="AK172" s="2" t="s">
        <v>64</v>
      </c>
      <c r="AL172" s="2" t="str">
        <f t="shared" si="55"/>
        <v>5/26</v>
      </c>
      <c r="AM172" s="2" t="str">
        <f t="shared" si="56"/>
        <v>MRKU2416330</v>
      </c>
      <c r="AN172" s="130" t="str">
        <f t="shared" si="57"/>
        <v>LOGIX</v>
      </c>
      <c r="AO172" s="141">
        <v>573.5</v>
      </c>
      <c r="AP172" s="131" t="e">
        <v>#N/A</v>
      </c>
      <c r="AQ172" s="131">
        <f>VLOOKUP($E172,Invoicing!$A$1:$H$12,MATCH(TRACKER!$Q$1,Invoicing!$A$1:$H$1,0),FALSE)</f>
        <v>50</v>
      </c>
      <c r="AR172" s="131">
        <v>100</v>
      </c>
      <c r="AS172" s="2">
        <f t="shared" si="59"/>
        <v>7</v>
      </c>
      <c r="AT172" s="2" t="str">
        <f t="shared" si="62"/>
        <v>SUNDAY</v>
      </c>
      <c r="AU172" s="2" t="str">
        <f t="shared" si="60"/>
        <v>LOGIXSUNDAY</v>
      </c>
      <c r="AV172" s="94">
        <v>673.5</v>
      </c>
      <c r="AW172" s="48">
        <f>VLOOKUP(AN172,Invoicing!A:K,11,FALSE)</f>
        <v>20</v>
      </c>
      <c r="AY172" s="48"/>
      <c r="AZ172" s="48">
        <f t="shared" si="61"/>
        <v>693.5</v>
      </c>
      <c r="BA172" s="132">
        <f>VLOOKUP(AN172,Invoicing!A:J,10,FALSE)</f>
        <v>70</v>
      </c>
      <c r="BB172" s="132">
        <f>VLOOKUP(AN172,Invoicing!A:L,12,FALSE)</f>
        <v>1</v>
      </c>
      <c r="BC172" s="2" t="s">
        <v>359</v>
      </c>
    </row>
    <row r="173" spans="1:55">
      <c r="A173" s="134" t="s">
        <v>356</v>
      </c>
      <c r="B173" s="86" t="s">
        <v>77</v>
      </c>
      <c r="C173" s="11">
        <v>46052.552777777775</v>
      </c>
      <c r="D173" s="11">
        <v>46052.041666666664</v>
      </c>
      <c r="E173" s="11" t="s">
        <v>98</v>
      </c>
      <c r="F173" s="11" t="s">
        <v>376</v>
      </c>
      <c r="G173" s="11" t="s">
        <v>59</v>
      </c>
      <c r="H173" s="11" t="s">
        <v>91</v>
      </c>
      <c r="I173" s="86" t="s">
        <v>377</v>
      </c>
      <c r="J173" s="86" t="s">
        <v>100</v>
      </c>
      <c r="K173" s="11">
        <v>46053.75</v>
      </c>
      <c r="L173" s="12">
        <v>46054.565972222219</v>
      </c>
      <c r="M173" s="12">
        <v>46054.583333333336</v>
      </c>
      <c r="N173" s="12">
        <v>46054.572916666664</v>
      </c>
      <c r="O173" s="12" t="s">
        <v>63</v>
      </c>
      <c r="P173" s="138" t="s">
        <v>64</v>
      </c>
      <c r="Q173" s="3">
        <v>0</v>
      </c>
      <c r="R173" s="1">
        <f t="shared" si="43"/>
        <v>5</v>
      </c>
      <c r="S173" s="1">
        <f t="shared" si="44"/>
        <v>2</v>
      </c>
      <c r="T173" s="126">
        <f t="shared" si="45"/>
        <v>46054.565972222219</v>
      </c>
      <c r="U173" s="127">
        <f t="shared" si="46"/>
        <v>1.1972222222248092</v>
      </c>
      <c r="V173" s="128">
        <f>Table2[[#This Row],[ATA A OFRECIMIENTO]]*24</f>
        <v>28.733333333395422</v>
      </c>
      <c r="W173" s="1" t="str">
        <f t="shared" si="47"/>
        <v>YES</v>
      </c>
      <c r="X173" s="127">
        <f t="shared" si="48"/>
        <v>0.83333333333575865</v>
      </c>
      <c r="Y173" s="128">
        <f>Table2[[#This Row],[DEL. AVAILABLE A SLOT]]*24</f>
        <v>20.000000000058208</v>
      </c>
      <c r="Z173" s="1" t="str">
        <f t="shared" si="49"/>
        <v>SI</v>
      </c>
      <c r="AA173" s="127">
        <f t="shared" si="50"/>
        <v>2.0305555555605679</v>
      </c>
      <c r="AB173" s="128">
        <f>Table2[[#This Row],[ATA A TIMESLOT]]*24</f>
        <v>48.733333333453629</v>
      </c>
      <c r="AC173" s="127">
        <f t="shared" si="51"/>
        <v>0</v>
      </c>
      <c r="AD173" s="127" t="str">
        <f t="shared" si="52"/>
        <v>SI</v>
      </c>
      <c r="AE173" s="128">
        <f>Table2[[#This Row],[PUNTUALIDAD (H)]]*24</f>
        <v>0</v>
      </c>
      <c r="AF173" s="127">
        <f t="shared" si="53"/>
        <v>2.0201388888890506</v>
      </c>
      <c r="AG173" s="128">
        <f>Table2[[#This Row],[ATA TO UNLOADING]]*24</f>
        <v>48.483333333337214</v>
      </c>
      <c r="AH173" s="128" t="str">
        <f>IF(Table2[[#This Row],[ATA TO UNLOADING 2]]&lt;=48,"YES","NO")</f>
        <v>NO</v>
      </c>
      <c r="AJ173" s="129">
        <f t="shared" si="54"/>
        <v>0.58333333333575865</v>
      </c>
      <c r="AK173" s="2" t="s">
        <v>64</v>
      </c>
      <c r="AL173" s="2" t="str">
        <f t="shared" si="55"/>
        <v>5/26</v>
      </c>
      <c r="AM173" s="2" t="str">
        <f t="shared" si="56"/>
        <v>MRKU6230489</v>
      </c>
      <c r="AN173" s="130" t="str">
        <f t="shared" si="57"/>
        <v>MSI</v>
      </c>
      <c r="AO173" s="141">
        <v>523.5</v>
      </c>
      <c r="AP173" s="131" t="e">
        <v>#N/A</v>
      </c>
      <c r="AQ173" s="131">
        <f>VLOOKUP($E173,Invoicing!$A$1:$H$12,MATCH(TRACKER!$Q$1,Invoicing!$A$1:$H$1,0),FALSE)</f>
        <v>50</v>
      </c>
      <c r="AR173" s="131">
        <v>0</v>
      </c>
      <c r="AS173" s="2">
        <f t="shared" si="59"/>
        <v>7</v>
      </c>
      <c r="AT173" s="2" t="str">
        <f t="shared" si="62"/>
        <v>SUNDAY</v>
      </c>
      <c r="AU173" s="2" t="str">
        <f t="shared" si="60"/>
        <v>MSISUNDAY</v>
      </c>
      <c r="AV173" s="94">
        <v>523.5</v>
      </c>
      <c r="AW173" s="48">
        <f>VLOOKUP(AN173,Invoicing!A:K,11,FALSE)</f>
        <v>20</v>
      </c>
      <c r="AY173" s="48"/>
      <c r="AZ173" s="48">
        <f t="shared" si="61"/>
        <v>543.5</v>
      </c>
      <c r="BA173" s="132">
        <f>VLOOKUP(AN173,Invoicing!A:J,10,FALSE)</f>
        <v>70</v>
      </c>
      <c r="BB173" s="132">
        <f>VLOOKUP(AN173,Invoicing!A:L,12,FALSE)</f>
        <v>1</v>
      </c>
      <c r="BC173" s="2" t="s">
        <v>359</v>
      </c>
    </row>
    <row r="174" spans="1:55">
      <c r="A174" s="134" t="s">
        <v>356</v>
      </c>
      <c r="B174" s="86" t="s">
        <v>77</v>
      </c>
      <c r="C174" s="11">
        <v>46052.552777777775</v>
      </c>
      <c r="D174" s="11">
        <v>46052.041666666664</v>
      </c>
      <c r="E174" s="11" t="s">
        <v>71</v>
      </c>
      <c r="F174" s="11" t="s">
        <v>373</v>
      </c>
      <c r="G174" s="11" t="s">
        <v>59</v>
      </c>
      <c r="H174" s="11" t="s">
        <v>91</v>
      </c>
      <c r="I174" s="86" t="s">
        <v>378</v>
      </c>
      <c r="J174" s="86" t="s">
        <v>82</v>
      </c>
      <c r="K174" s="11">
        <v>46053.75</v>
      </c>
      <c r="L174" s="12">
        <v>46054.54791666667</v>
      </c>
      <c r="M174" s="12">
        <v>46054.666666666664</v>
      </c>
      <c r="N174" s="12">
        <v>46054.5625</v>
      </c>
      <c r="O174" s="12" t="s">
        <v>63</v>
      </c>
      <c r="P174" s="138" t="s">
        <v>64</v>
      </c>
      <c r="Q174" s="3">
        <v>0</v>
      </c>
      <c r="R174" s="1">
        <f t="shared" si="43"/>
        <v>5</v>
      </c>
      <c r="S174" s="1">
        <f t="shared" si="44"/>
        <v>2</v>
      </c>
      <c r="T174" s="126">
        <f t="shared" si="45"/>
        <v>46054.54791666667</v>
      </c>
      <c r="U174" s="127">
        <f t="shared" si="46"/>
        <v>1.1972222222248092</v>
      </c>
      <c r="V174" s="128">
        <f>Table2[[#This Row],[ATA A OFRECIMIENTO]]*24</f>
        <v>28.733333333395422</v>
      </c>
      <c r="W174" s="1" t="str">
        <f t="shared" si="47"/>
        <v>YES</v>
      </c>
      <c r="X174" s="127">
        <f t="shared" si="48"/>
        <v>0.91666666666424135</v>
      </c>
      <c r="Y174" s="128">
        <f>Table2[[#This Row],[DEL. AVAILABLE A SLOT]]*24</f>
        <v>21.999999999941792</v>
      </c>
      <c r="Z174" s="1" t="str">
        <f t="shared" si="49"/>
        <v>SI</v>
      </c>
      <c r="AA174" s="127">
        <f t="shared" si="50"/>
        <v>2.1138888888890506</v>
      </c>
      <c r="AB174" s="128">
        <f>Table2[[#This Row],[ATA A TIMESLOT]]*24</f>
        <v>50.733333333337214</v>
      </c>
      <c r="AC174" s="127">
        <f t="shared" si="51"/>
        <v>0</v>
      </c>
      <c r="AD174" s="127" t="str">
        <f t="shared" si="52"/>
        <v>SI</v>
      </c>
      <c r="AE174" s="128">
        <f>Table2[[#This Row],[PUNTUALIDAD (H)]]*24</f>
        <v>0</v>
      </c>
      <c r="AF174" s="127">
        <f t="shared" si="53"/>
        <v>2.0097222222248092</v>
      </c>
      <c r="AG174" s="128">
        <f>Table2[[#This Row],[ATA TO UNLOADING]]*24</f>
        <v>48.233333333395422</v>
      </c>
      <c r="AH174" s="128" t="str">
        <f>IF(Table2[[#This Row],[ATA TO UNLOADING 2]]&lt;=48,"YES","NO")</f>
        <v>NO</v>
      </c>
      <c r="AJ174" s="129">
        <f t="shared" si="54"/>
        <v>0.66666666666424135</v>
      </c>
      <c r="AK174" s="2" t="s">
        <v>64</v>
      </c>
      <c r="AL174" s="2" t="str">
        <f t="shared" si="55"/>
        <v>5/26</v>
      </c>
      <c r="AM174" s="2" t="str">
        <f t="shared" si="56"/>
        <v>MRKU6337693</v>
      </c>
      <c r="AN174" s="130" t="str">
        <f t="shared" si="57"/>
        <v>LOGIX</v>
      </c>
      <c r="AO174" s="141">
        <v>573.5</v>
      </c>
      <c r="AP174" s="131" t="e">
        <v>#N/A</v>
      </c>
      <c r="AQ174" s="131">
        <f>VLOOKUP($E174,Invoicing!$A$1:$H$12,MATCH(TRACKER!$Q$1,Invoicing!$A$1:$H$1,0),FALSE)</f>
        <v>50</v>
      </c>
      <c r="AR174" s="131">
        <v>0</v>
      </c>
      <c r="AS174" s="2">
        <f t="shared" si="59"/>
        <v>7</v>
      </c>
      <c r="AT174" s="2" t="str">
        <f t="shared" si="62"/>
        <v>SUNDAY</v>
      </c>
      <c r="AU174" s="2" t="str">
        <f t="shared" si="60"/>
        <v>LOGIXSUNDAY</v>
      </c>
      <c r="AV174" s="94">
        <v>573.5</v>
      </c>
      <c r="AW174" s="48">
        <f>VLOOKUP(AN174,Invoicing!A:K,11,FALSE)</f>
        <v>20</v>
      </c>
      <c r="AY174" s="48"/>
      <c r="AZ174" s="48">
        <f t="shared" si="61"/>
        <v>593.5</v>
      </c>
      <c r="BA174" s="132">
        <f>VLOOKUP(AN174,Invoicing!A:J,10,FALSE)</f>
        <v>70</v>
      </c>
      <c r="BB174" s="132">
        <f>VLOOKUP(AN174,Invoicing!A:L,12,FALSE)</f>
        <v>1</v>
      </c>
      <c r="BC174" s="2" t="s">
        <v>359</v>
      </c>
    </row>
    <row r="175" spans="1:55">
      <c r="A175" s="134" t="s">
        <v>356</v>
      </c>
      <c r="B175" s="86" t="s">
        <v>77</v>
      </c>
      <c r="C175" s="11">
        <v>46052.552777777775</v>
      </c>
      <c r="D175" s="11">
        <v>46052.041666666664</v>
      </c>
      <c r="E175" s="11" t="s">
        <v>98</v>
      </c>
      <c r="F175" s="11" t="s">
        <v>376</v>
      </c>
      <c r="G175" s="11" t="s">
        <v>59</v>
      </c>
      <c r="H175" s="11" t="s">
        <v>91</v>
      </c>
      <c r="I175" s="86" t="s">
        <v>379</v>
      </c>
      <c r="J175" s="86" t="s">
        <v>100</v>
      </c>
      <c r="K175" s="11">
        <v>46053.75</v>
      </c>
      <c r="L175" s="12">
        <v>46054.40625</v>
      </c>
      <c r="M175" s="12">
        <v>46054.416666666664</v>
      </c>
      <c r="N175" s="12">
        <v>46054.413194444445</v>
      </c>
      <c r="O175" s="12" t="s">
        <v>63</v>
      </c>
      <c r="P175" s="138" t="s">
        <v>64</v>
      </c>
      <c r="Q175" s="3">
        <v>0</v>
      </c>
      <c r="R175" s="1">
        <f t="shared" si="43"/>
        <v>5</v>
      </c>
      <c r="S175" s="1">
        <f t="shared" si="44"/>
        <v>2</v>
      </c>
      <c r="T175" s="126">
        <f t="shared" si="45"/>
        <v>46054.40625</v>
      </c>
      <c r="U175" s="127">
        <f t="shared" si="46"/>
        <v>1.1972222222248092</v>
      </c>
      <c r="V175" s="128">
        <f>Table2[[#This Row],[ATA A OFRECIMIENTO]]*24</f>
        <v>28.733333333395422</v>
      </c>
      <c r="W175" s="1" t="str">
        <f t="shared" si="47"/>
        <v>YES</v>
      </c>
      <c r="X175" s="127">
        <f t="shared" si="48"/>
        <v>0.66666666666424135</v>
      </c>
      <c r="Y175" s="128">
        <f>Table2[[#This Row],[DEL. AVAILABLE A SLOT]]*24</f>
        <v>15.999999999941792</v>
      </c>
      <c r="Z175" s="1" t="str">
        <f t="shared" si="49"/>
        <v>SI</v>
      </c>
      <c r="AA175" s="127">
        <f t="shared" si="50"/>
        <v>1.8638888888890506</v>
      </c>
      <c r="AB175" s="128">
        <f>Table2[[#This Row],[ATA A TIMESLOT]]*24</f>
        <v>44.733333333337214</v>
      </c>
      <c r="AC175" s="127">
        <f t="shared" si="51"/>
        <v>0</v>
      </c>
      <c r="AD175" s="127" t="str">
        <f t="shared" si="52"/>
        <v>SI</v>
      </c>
      <c r="AE175" s="128">
        <f>Table2[[#This Row],[PUNTUALIDAD (H)]]*24</f>
        <v>0</v>
      </c>
      <c r="AF175" s="127">
        <f t="shared" si="53"/>
        <v>1.8604166666700621</v>
      </c>
      <c r="AG175" s="128">
        <f>Table2[[#This Row],[ATA TO UNLOADING]]*24</f>
        <v>44.650000000081491</v>
      </c>
      <c r="AH175" s="128" t="str">
        <f>IF(Table2[[#This Row],[ATA TO UNLOADING 2]]&lt;=48,"YES","NO")</f>
        <v>YES</v>
      </c>
      <c r="AJ175" s="129">
        <f t="shared" si="54"/>
        <v>0.41666666666424135</v>
      </c>
      <c r="AK175" s="2" t="s">
        <v>64</v>
      </c>
      <c r="AL175" s="2" t="str">
        <f t="shared" si="55"/>
        <v>5/26</v>
      </c>
      <c r="AM175" s="2" t="str">
        <f t="shared" si="56"/>
        <v>MRSU4505424</v>
      </c>
      <c r="AN175" s="130" t="str">
        <f t="shared" si="57"/>
        <v>MSI</v>
      </c>
      <c r="AO175" s="141">
        <v>523.5</v>
      </c>
      <c r="AP175" s="131" t="e">
        <v>#N/A</v>
      </c>
      <c r="AQ175" s="131">
        <f>VLOOKUP($E175,Invoicing!$A$1:$H$12,MATCH(TRACKER!$Q$1,Invoicing!$A$1:$H$1,0),FALSE)</f>
        <v>50</v>
      </c>
      <c r="AR175" s="131">
        <v>0</v>
      </c>
      <c r="AS175" s="2">
        <f t="shared" si="59"/>
        <v>7</v>
      </c>
      <c r="AT175" s="2" t="str">
        <f t="shared" si="62"/>
        <v>SUNDAY</v>
      </c>
      <c r="AU175" s="2" t="str">
        <f t="shared" si="60"/>
        <v>MSISUNDAY</v>
      </c>
      <c r="AV175" s="94">
        <v>523.5</v>
      </c>
      <c r="AW175" s="48">
        <f>VLOOKUP(AN175,Invoicing!A:K,11,FALSE)</f>
        <v>20</v>
      </c>
      <c r="AY175" s="48"/>
      <c r="AZ175" s="48">
        <f t="shared" si="61"/>
        <v>543.5</v>
      </c>
      <c r="BA175" s="132">
        <f>VLOOKUP(AN175,Invoicing!A:J,10,FALSE)</f>
        <v>70</v>
      </c>
      <c r="BB175" s="132">
        <f>VLOOKUP(AN175,Invoicing!A:L,12,FALSE)</f>
        <v>1</v>
      </c>
      <c r="BC175" s="2" t="s">
        <v>359</v>
      </c>
    </row>
    <row r="176" spans="1:55">
      <c r="A176" s="134" t="s">
        <v>356</v>
      </c>
      <c r="B176" s="86" t="s">
        <v>77</v>
      </c>
      <c r="C176" s="11">
        <v>46052.552777777775</v>
      </c>
      <c r="D176" s="11">
        <v>46052.041666666664</v>
      </c>
      <c r="E176" s="11" t="s">
        <v>57</v>
      </c>
      <c r="F176" s="11" t="s">
        <v>357</v>
      </c>
      <c r="G176" s="11" t="s">
        <v>59</v>
      </c>
      <c r="H176" s="11" t="s">
        <v>91</v>
      </c>
      <c r="I176" s="86" t="s">
        <v>380</v>
      </c>
      <c r="J176" s="86" t="s">
        <v>82</v>
      </c>
      <c r="K176" s="11">
        <v>46053.75</v>
      </c>
      <c r="L176" s="12">
        <v>46054.729166666664</v>
      </c>
      <c r="M176" s="12">
        <v>46054.75</v>
      </c>
      <c r="N176" s="12">
        <v>46054.729166666664</v>
      </c>
      <c r="O176" s="12" t="s">
        <v>63</v>
      </c>
      <c r="P176" s="138" t="s">
        <v>64</v>
      </c>
      <c r="Q176" s="3">
        <v>0</v>
      </c>
      <c r="R176" s="1">
        <f t="shared" si="43"/>
        <v>5</v>
      </c>
      <c r="S176" s="1">
        <f t="shared" si="44"/>
        <v>2</v>
      </c>
      <c r="T176" s="126">
        <f t="shared" si="45"/>
        <v>46054.729166666664</v>
      </c>
      <c r="U176" s="127">
        <f t="shared" si="46"/>
        <v>1.1972222222248092</v>
      </c>
      <c r="V176" s="128">
        <f>Table2[[#This Row],[ATA A OFRECIMIENTO]]*24</f>
        <v>28.733333333395422</v>
      </c>
      <c r="W176" s="1" t="str">
        <f t="shared" si="47"/>
        <v>YES</v>
      </c>
      <c r="X176" s="127">
        <f t="shared" si="48"/>
        <v>1</v>
      </c>
      <c r="Y176" s="128">
        <f>Table2[[#This Row],[DEL. AVAILABLE A SLOT]]*24</f>
        <v>24</v>
      </c>
      <c r="Z176" s="1" t="str">
        <f t="shared" si="49"/>
        <v>SI</v>
      </c>
      <c r="AA176" s="127">
        <f t="shared" si="50"/>
        <v>2.1972222222248092</v>
      </c>
      <c r="AB176" s="128">
        <f>Table2[[#This Row],[ATA A TIMESLOT]]*24</f>
        <v>52.733333333395422</v>
      </c>
      <c r="AC176" s="127">
        <f t="shared" si="51"/>
        <v>0</v>
      </c>
      <c r="AD176" s="127" t="str">
        <f t="shared" si="52"/>
        <v>SI</v>
      </c>
      <c r="AE176" s="128">
        <f>Table2[[#This Row],[PUNTUALIDAD (H)]]*24</f>
        <v>0</v>
      </c>
      <c r="AF176" s="127">
        <f t="shared" si="53"/>
        <v>2.1763888888890506</v>
      </c>
      <c r="AG176" s="128">
        <f>Table2[[#This Row],[ATA TO UNLOADING]]*24</f>
        <v>52.233333333337214</v>
      </c>
      <c r="AH176" s="128" t="str">
        <f>IF(Table2[[#This Row],[ATA TO UNLOADING 2]]&lt;=48,"YES","NO")</f>
        <v>NO</v>
      </c>
      <c r="AJ176" s="129">
        <f t="shared" si="54"/>
        <v>0.75</v>
      </c>
      <c r="AK176" s="2" t="s">
        <v>64</v>
      </c>
      <c r="AL176" s="2" t="str">
        <f t="shared" si="55"/>
        <v>5/26</v>
      </c>
      <c r="AM176" s="2" t="str">
        <f t="shared" si="56"/>
        <v>MRSU5316256</v>
      </c>
      <c r="AN176" s="130" t="str">
        <f t="shared" si="57"/>
        <v>CTK TRANSPORT</v>
      </c>
      <c r="AO176" s="141">
        <v>648.5</v>
      </c>
      <c r="AP176" s="131" t="e">
        <v>#N/A</v>
      </c>
      <c r="AQ176" s="131">
        <f>VLOOKUP($E176,Invoicing!$A$1:$H$12,MATCH(TRACKER!$Q$1,Invoicing!$A$1:$H$1,0),FALSE)</f>
        <v>50</v>
      </c>
      <c r="AR176" s="131">
        <v>0</v>
      </c>
      <c r="AS176" s="2">
        <f t="shared" si="59"/>
        <v>7</v>
      </c>
      <c r="AT176" s="2" t="str">
        <f t="shared" si="62"/>
        <v>SUNDAY</v>
      </c>
      <c r="AU176" s="2" t="str">
        <f t="shared" si="60"/>
        <v>CTK TRANSPORTSUNDAY</v>
      </c>
      <c r="AV176" s="94">
        <v>648.5</v>
      </c>
      <c r="AW176" s="48">
        <f>VLOOKUP(AN176,Invoicing!A:K,11,FALSE)</f>
        <v>20</v>
      </c>
      <c r="AY176" s="48"/>
      <c r="AZ176" s="48">
        <f t="shared" si="61"/>
        <v>668.5</v>
      </c>
      <c r="BA176" s="132">
        <f>VLOOKUP(AN176,Invoicing!A:J,10,FALSE)</f>
        <v>70</v>
      </c>
      <c r="BB176" s="132">
        <f>VLOOKUP(AN176,Invoicing!A:L,12,FALSE)</f>
        <v>1</v>
      </c>
      <c r="BC176" s="2" t="s">
        <v>359</v>
      </c>
    </row>
    <row r="177" spans="1:55">
      <c r="A177" s="134" t="s">
        <v>356</v>
      </c>
      <c r="B177" s="86" t="s">
        <v>77</v>
      </c>
      <c r="C177" s="11">
        <v>46052.552777777775</v>
      </c>
      <c r="D177" s="11">
        <v>46052.041666666664</v>
      </c>
      <c r="E177" s="11" t="s">
        <v>83</v>
      </c>
      <c r="F177" s="11" t="s">
        <v>360</v>
      </c>
      <c r="G177" s="11" t="s">
        <v>59</v>
      </c>
      <c r="H177" s="11" t="s">
        <v>91</v>
      </c>
      <c r="I177" s="86" t="s">
        <v>381</v>
      </c>
      <c r="J177" s="86" t="s">
        <v>82</v>
      </c>
      <c r="K177" s="11">
        <v>46053.75</v>
      </c>
      <c r="L177" s="12">
        <v>46054.252083333333</v>
      </c>
      <c r="M177" s="12">
        <v>46054.25</v>
      </c>
      <c r="N177" s="12">
        <v>46054.302083333336</v>
      </c>
      <c r="O177" s="12" t="s">
        <v>63</v>
      </c>
      <c r="P177" s="138" t="s">
        <v>15</v>
      </c>
      <c r="Q177" s="3">
        <v>0</v>
      </c>
      <c r="R177" s="1">
        <f t="shared" si="43"/>
        <v>5</v>
      </c>
      <c r="S177" s="1">
        <f t="shared" si="44"/>
        <v>2</v>
      </c>
      <c r="T177" s="126">
        <f t="shared" si="45"/>
        <v>46054.252083333333</v>
      </c>
      <c r="U177" s="127">
        <f t="shared" si="46"/>
        <v>1.1972222222248092</v>
      </c>
      <c r="V177" s="128">
        <f>Table2[[#This Row],[ATA A OFRECIMIENTO]]*24</f>
        <v>28.733333333395422</v>
      </c>
      <c r="W177" s="1" t="str">
        <f t="shared" si="47"/>
        <v>YES</v>
      </c>
      <c r="X177" s="127">
        <f t="shared" si="48"/>
        <v>0.5</v>
      </c>
      <c r="Y177" s="128">
        <f>Table2[[#This Row],[DEL. AVAILABLE A SLOT]]*24</f>
        <v>12</v>
      </c>
      <c r="Z177" s="1" t="str">
        <f t="shared" si="49"/>
        <v>SI</v>
      </c>
      <c r="AA177" s="127">
        <f t="shared" si="50"/>
        <v>1.6972222222248092</v>
      </c>
      <c r="AB177" s="128">
        <f>Table2[[#This Row],[ATA A TIMESLOT]]*24</f>
        <v>40.733333333395422</v>
      </c>
      <c r="AC177" s="127">
        <f t="shared" si="51"/>
        <v>2.0833333328482695E-3</v>
      </c>
      <c r="AD177" s="127" t="str">
        <f t="shared" si="52"/>
        <v>SI</v>
      </c>
      <c r="AE177" s="128">
        <f>Table2[[#This Row],[PUNTUALIDAD (H)]]*24</f>
        <v>4.9999999988358468E-2</v>
      </c>
      <c r="AF177" s="127">
        <f t="shared" si="53"/>
        <v>1.7493055555605679</v>
      </c>
      <c r="AG177" s="128">
        <f>Table2[[#This Row],[ATA TO UNLOADING]]*24</f>
        <v>41.983333333453629</v>
      </c>
      <c r="AH177" s="128" t="str">
        <f>IF(Table2[[#This Row],[ATA TO UNLOADING 2]]&lt;=48,"YES","NO")</f>
        <v>YES</v>
      </c>
      <c r="AJ177" s="129">
        <f t="shared" si="54"/>
        <v>0.25</v>
      </c>
      <c r="AK177" s="2" t="s">
        <v>64</v>
      </c>
      <c r="AL177" s="2" t="str">
        <f t="shared" si="55"/>
        <v>5/26</v>
      </c>
      <c r="AM177" s="2" t="str">
        <f t="shared" si="56"/>
        <v>MRSU5993724</v>
      </c>
      <c r="AN177" s="130" t="str">
        <f t="shared" si="57"/>
        <v>OM TRANSPORT</v>
      </c>
      <c r="AO177" s="141">
        <v>573.5</v>
      </c>
      <c r="AP177" s="131">
        <v>110</v>
      </c>
      <c r="AQ177" s="131">
        <f>VLOOKUP($E177,Invoicing!$A$1:$H$12,MATCH(TRACKER!$Q$1,Invoicing!$A$1:$H$1,0),FALSE)</f>
        <v>50</v>
      </c>
      <c r="AR177" s="131">
        <v>0</v>
      </c>
      <c r="AS177" s="2">
        <f t="shared" si="59"/>
        <v>7</v>
      </c>
      <c r="AT177" s="2" t="str">
        <f t="shared" si="62"/>
        <v>SUNDAY</v>
      </c>
      <c r="AU177" s="2" t="str">
        <f t="shared" si="60"/>
        <v>OM TRANSPORTSUNDAY</v>
      </c>
      <c r="AV177" s="94">
        <v>796</v>
      </c>
      <c r="AW177" s="48">
        <f>VLOOKUP(AN177,Invoicing!A:K,11,FALSE)</f>
        <v>20</v>
      </c>
      <c r="AX177" s="48">
        <v>112.5</v>
      </c>
      <c r="AY177" s="94" t="s">
        <v>382</v>
      </c>
      <c r="AZ177" s="48">
        <f t="shared" si="61"/>
        <v>816</v>
      </c>
      <c r="BA177" s="132">
        <f>VLOOKUP(AN177,Invoicing!A:J,10,FALSE)</f>
        <v>70</v>
      </c>
      <c r="BB177" s="132">
        <f>VLOOKUP(AN177,Invoicing!A:L,12,FALSE)</f>
        <v>1</v>
      </c>
      <c r="BC177" s="2" t="s">
        <v>359</v>
      </c>
    </row>
    <row r="178" spans="1:55">
      <c r="A178" s="134" t="s">
        <v>356</v>
      </c>
      <c r="B178" s="86" t="s">
        <v>77</v>
      </c>
      <c r="C178" s="11">
        <v>46052.552777777775</v>
      </c>
      <c r="D178" s="11">
        <v>46052.041666666664</v>
      </c>
      <c r="E178" s="11" t="s">
        <v>98</v>
      </c>
      <c r="F178" s="11" t="s">
        <v>368</v>
      </c>
      <c r="G178" s="11" t="s">
        <v>59</v>
      </c>
      <c r="H178" s="11" t="s">
        <v>91</v>
      </c>
      <c r="I178" s="86" t="s">
        <v>383</v>
      </c>
      <c r="J178" s="86" t="s">
        <v>82</v>
      </c>
      <c r="K178" s="11">
        <v>46053.75</v>
      </c>
      <c r="L178" s="12">
        <v>46054.382638888892</v>
      </c>
      <c r="M178" s="12">
        <v>46054.458333333336</v>
      </c>
      <c r="N178" s="12">
        <v>46054.425694444442</v>
      </c>
      <c r="O178" s="12" t="s">
        <v>63</v>
      </c>
      <c r="P178" s="138" t="s">
        <v>15</v>
      </c>
      <c r="Q178" s="3">
        <v>0</v>
      </c>
      <c r="R178" s="1">
        <f t="shared" si="43"/>
        <v>5</v>
      </c>
      <c r="S178" s="1">
        <f t="shared" si="44"/>
        <v>2</v>
      </c>
      <c r="T178" s="126">
        <f t="shared" si="45"/>
        <v>46054.382638888892</v>
      </c>
      <c r="U178" s="127">
        <f t="shared" si="46"/>
        <v>1.1972222222248092</v>
      </c>
      <c r="V178" s="128">
        <f>Table2[[#This Row],[ATA A OFRECIMIENTO]]*24</f>
        <v>28.733333333395422</v>
      </c>
      <c r="W178" s="1" t="str">
        <f t="shared" si="47"/>
        <v>YES</v>
      </c>
      <c r="X178" s="127">
        <f t="shared" si="48"/>
        <v>0.70833333333575865</v>
      </c>
      <c r="Y178" s="128">
        <f>Table2[[#This Row],[DEL. AVAILABLE A SLOT]]*24</f>
        <v>17.000000000058208</v>
      </c>
      <c r="Z178" s="1" t="str">
        <f t="shared" si="49"/>
        <v>SI</v>
      </c>
      <c r="AA178" s="127">
        <f t="shared" si="50"/>
        <v>1.9055555555605679</v>
      </c>
      <c r="AB178" s="128">
        <f>Table2[[#This Row],[ATA A TIMESLOT]]*24</f>
        <v>45.733333333453629</v>
      </c>
      <c r="AC178" s="127">
        <f t="shared" si="51"/>
        <v>0</v>
      </c>
      <c r="AD178" s="127" t="str">
        <f t="shared" si="52"/>
        <v>SI</v>
      </c>
      <c r="AE178" s="128">
        <f>Table2[[#This Row],[PUNTUALIDAD (H)]]*24</f>
        <v>0</v>
      </c>
      <c r="AF178" s="127">
        <f t="shared" si="53"/>
        <v>1.8729166666671517</v>
      </c>
      <c r="AG178" s="128">
        <f>Table2[[#This Row],[ATA TO UNLOADING]]*24</f>
        <v>44.950000000011642</v>
      </c>
      <c r="AH178" s="128" t="str">
        <f>IF(Table2[[#This Row],[ATA TO UNLOADING 2]]&lt;=48,"YES","NO")</f>
        <v>YES</v>
      </c>
      <c r="AJ178" s="129">
        <f t="shared" si="54"/>
        <v>0.45833333333575865</v>
      </c>
      <c r="AK178" s="2" t="s">
        <v>64</v>
      </c>
      <c r="AL178" s="2" t="str">
        <f t="shared" si="55"/>
        <v>5/26</v>
      </c>
      <c r="AM178" s="2" t="str">
        <f t="shared" si="56"/>
        <v>MRSU7847159</v>
      </c>
      <c r="AN178" s="130" t="str">
        <f t="shared" si="57"/>
        <v>MSI</v>
      </c>
      <c r="AO178" s="141">
        <v>523.5</v>
      </c>
      <c r="AP178" s="131">
        <v>120</v>
      </c>
      <c r="AQ178" s="131">
        <f>VLOOKUP($E178,Invoicing!$A$1:$H$12,MATCH(TRACKER!$Q$1,Invoicing!$A$1:$H$1,0),FALSE)</f>
        <v>50</v>
      </c>
      <c r="AR178" s="131">
        <v>0</v>
      </c>
      <c r="AS178" s="2">
        <f t="shared" si="59"/>
        <v>7</v>
      </c>
      <c r="AT178" s="2" t="str">
        <f t="shared" si="62"/>
        <v>SUNDAY</v>
      </c>
      <c r="AU178" s="2" t="str">
        <f t="shared" si="60"/>
        <v>MSISUNDAY</v>
      </c>
      <c r="AV178" s="94">
        <v>748.5</v>
      </c>
      <c r="AW178" s="48">
        <f>VLOOKUP(AN178,Invoicing!A:K,11,FALSE)</f>
        <v>20</v>
      </c>
      <c r="AX178" s="48">
        <v>105</v>
      </c>
      <c r="AY178" s="94" t="s">
        <v>384</v>
      </c>
      <c r="AZ178" s="48">
        <f t="shared" si="61"/>
        <v>768.5</v>
      </c>
      <c r="BA178" s="132">
        <f>VLOOKUP(AN178,Invoicing!A:J,10,FALSE)</f>
        <v>70</v>
      </c>
      <c r="BB178" s="132">
        <f>VLOOKUP(AN178,Invoicing!A:L,12,FALSE)</f>
        <v>1</v>
      </c>
      <c r="BC178" s="2" t="s">
        <v>359</v>
      </c>
    </row>
    <row r="179" spans="1:55">
      <c r="A179" s="134" t="s">
        <v>356</v>
      </c>
      <c r="B179" s="86" t="s">
        <v>77</v>
      </c>
      <c r="C179" s="11">
        <v>46052.552777777775</v>
      </c>
      <c r="D179" s="11">
        <v>46052.041666666664</v>
      </c>
      <c r="E179" s="11" t="s">
        <v>57</v>
      </c>
      <c r="F179" s="11" t="s">
        <v>376</v>
      </c>
      <c r="G179" s="11" t="s">
        <v>59</v>
      </c>
      <c r="H179" s="11" t="s">
        <v>91</v>
      </c>
      <c r="I179" s="86" t="s">
        <v>385</v>
      </c>
      <c r="J179" s="86" t="s">
        <v>100</v>
      </c>
      <c r="K179" s="11">
        <v>46053.75</v>
      </c>
      <c r="L179" s="12">
        <v>46054.354166666664</v>
      </c>
      <c r="M179" s="12">
        <v>46054.333333333336</v>
      </c>
      <c r="N179" s="12">
        <v>46054.361111111109</v>
      </c>
      <c r="O179" s="12" t="s">
        <v>63</v>
      </c>
      <c r="P179" s="138" t="s">
        <v>64</v>
      </c>
      <c r="Q179" s="3">
        <v>0</v>
      </c>
      <c r="R179" s="1">
        <f t="shared" si="43"/>
        <v>5</v>
      </c>
      <c r="S179" s="1">
        <f t="shared" si="44"/>
        <v>2</v>
      </c>
      <c r="T179" s="126">
        <f t="shared" si="45"/>
        <v>46054.354166666664</v>
      </c>
      <c r="U179" s="127">
        <f t="shared" si="46"/>
        <v>1.1972222222248092</v>
      </c>
      <c r="V179" s="128">
        <f>Table2[[#This Row],[ATA A OFRECIMIENTO]]*24</f>
        <v>28.733333333395422</v>
      </c>
      <c r="W179" s="1" t="str">
        <f t="shared" si="47"/>
        <v>YES</v>
      </c>
      <c r="X179" s="127">
        <f t="shared" si="48"/>
        <v>0.58333333333575865</v>
      </c>
      <c r="Y179" s="128">
        <f>Table2[[#This Row],[DEL. AVAILABLE A SLOT]]*24</f>
        <v>14.000000000058208</v>
      </c>
      <c r="Z179" s="1" t="str">
        <f t="shared" si="49"/>
        <v>SI</v>
      </c>
      <c r="AA179" s="127">
        <f t="shared" si="50"/>
        <v>1.7805555555605679</v>
      </c>
      <c r="AB179" s="128">
        <f>Table2[[#This Row],[ATA A TIMESLOT]]*24</f>
        <v>42.733333333453629</v>
      </c>
      <c r="AC179" s="127">
        <f t="shared" si="51"/>
        <v>2.0833333328482695E-2</v>
      </c>
      <c r="AD179" s="127" t="str">
        <f t="shared" si="52"/>
        <v>SI</v>
      </c>
      <c r="AE179" s="128">
        <f>Table2[[#This Row],[PUNTUALIDAD (H)]]*24</f>
        <v>0.49999999988358468</v>
      </c>
      <c r="AF179" s="127">
        <f t="shared" si="53"/>
        <v>1.8083333333343035</v>
      </c>
      <c r="AG179" s="128">
        <f>Table2[[#This Row],[ATA TO UNLOADING]]*24</f>
        <v>43.400000000023283</v>
      </c>
      <c r="AH179" s="128" t="str">
        <f>IF(Table2[[#This Row],[ATA TO UNLOADING 2]]&lt;=48,"YES","NO")</f>
        <v>YES</v>
      </c>
      <c r="AJ179" s="129">
        <f t="shared" si="54"/>
        <v>0.33333333333575865</v>
      </c>
      <c r="AK179" s="2" t="s">
        <v>64</v>
      </c>
      <c r="AL179" s="2" t="str">
        <f t="shared" si="55"/>
        <v>5/26</v>
      </c>
      <c r="AM179" s="2" t="str">
        <f t="shared" si="56"/>
        <v>MRSU8769575</v>
      </c>
      <c r="AN179" s="130" t="str">
        <f t="shared" si="57"/>
        <v>CTK TRANSPORT</v>
      </c>
      <c r="AO179" s="141">
        <v>648.5</v>
      </c>
      <c r="AP179" s="131" t="e">
        <v>#N/A</v>
      </c>
      <c r="AQ179" s="131">
        <f>VLOOKUP($E179,Invoicing!$A$1:$H$12,MATCH(TRACKER!$Q$1,Invoicing!$A$1:$H$1,0),FALSE)</f>
        <v>50</v>
      </c>
      <c r="AR179" s="131">
        <v>0</v>
      </c>
      <c r="AS179" s="2">
        <f t="shared" si="59"/>
        <v>7</v>
      </c>
      <c r="AT179" s="2" t="str">
        <f t="shared" si="62"/>
        <v>SUNDAY</v>
      </c>
      <c r="AU179" s="2" t="str">
        <f t="shared" si="60"/>
        <v>CTK TRANSPORTSUNDAY</v>
      </c>
      <c r="AV179" s="94">
        <v>648.5</v>
      </c>
      <c r="AW179" s="48">
        <f>VLOOKUP(AN179,Invoicing!A:K,11,FALSE)</f>
        <v>20</v>
      </c>
      <c r="AY179" s="48"/>
      <c r="AZ179" s="48">
        <f t="shared" si="61"/>
        <v>668.5</v>
      </c>
      <c r="BA179" s="132">
        <f>VLOOKUP(AN179,Invoicing!A:J,10,FALSE)</f>
        <v>70</v>
      </c>
      <c r="BB179" s="132">
        <f>VLOOKUP(AN179,Invoicing!A:L,12,FALSE)</f>
        <v>1</v>
      </c>
      <c r="BC179" s="2" t="s">
        <v>359</v>
      </c>
    </row>
    <row r="180" spans="1:55">
      <c r="A180" s="134" t="s">
        <v>356</v>
      </c>
      <c r="B180" s="86" t="s">
        <v>77</v>
      </c>
      <c r="C180" s="11">
        <v>46052.552777777775</v>
      </c>
      <c r="D180" s="11">
        <v>46052.041666666664</v>
      </c>
      <c r="E180" s="11" t="s">
        <v>83</v>
      </c>
      <c r="F180" s="11" t="s">
        <v>376</v>
      </c>
      <c r="G180" s="11" t="s">
        <v>59</v>
      </c>
      <c r="H180" s="11" t="s">
        <v>91</v>
      </c>
      <c r="I180" s="86" t="s">
        <v>386</v>
      </c>
      <c r="J180" s="86" t="s">
        <v>82</v>
      </c>
      <c r="K180" s="11">
        <v>46053.75</v>
      </c>
      <c r="L180" s="12">
        <v>46054.302083333336</v>
      </c>
      <c r="M180" s="12">
        <v>46054.333333333336</v>
      </c>
      <c r="N180" s="12">
        <v>46054.326388888891</v>
      </c>
      <c r="O180" s="12" t="s">
        <v>63</v>
      </c>
      <c r="P180" s="138" t="s">
        <v>64</v>
      </c>
      <c r="Q180" s="3">
        <v>0</v>
      </c>
      <c r="R180" s="1">
        <f t="shared" si="43"/>
        <v>5</v>
      </c>
      <c r="S180" s="1">
        <f t="shared" si="44"/>
        <v>2</v>
      </c>
      <c r="T180" s="126">
        <f t="shared" si="45"/>
        <v>46054.302083333336</v>
      </c>
      <c r="U180" s="127">
        <f t="shared" si="46"/>
        <v>1.1972222222248092</v>
      </c>
      <c r="V180" s="128">
        <f>Table2[[#This Row],[ATA A OFRECIMIENTO]]*24</f>
        <v>28.733333333395422</v>
      </c>
      <c r="W180" s="1" t="str">
        <f t="shared" si="47"/>
        <v>YES</v>
      </c>
      <c r="X180" s="127">
        <f t="shared" si="48"/>
        <v>0.58333333333575865</v>
      </c>
      <c r="Y180" s="128">
        <f>Table2[[#This Row],[DEL. AVAILABLE A SLOT]]*24</f>
        <v>14.000000000058208</v>
      </c>
      <c r="Z180" s="1" t="str">
        <f t="shared" si="49"/>
        <v>SI</v>
      </c>
      <c r="AA180" s="127">
        <f t="shared" si="50"/>
        <v>1.7805555555605679</v>
      </c>
      <c r="AB180" s="128">
        <f>Table2[[#This Row],[ATA A TIMESLOT]]*24</f>
        <v>42.733333333453629</v>
      </c>
      <c r="AC180" s="127">
        <f t="shared" si="51"/>
        <v>0</v>
      </c>
      <c r="AD180" s="127" t="str">
        <f t="shared" si="52"/>
        <v>SI</v>
      </c>
      <c r="AE180" s="128">
        <f>Table2[[#This Row],[PUNTUALIDAD (H)]]*24</f>
        <v>0</v>
      </c>
      <c r="AF180" s="127">
        <f t="shared" si="53"/>
        <v>1.773611111115315</v>
      </c>
      <c r="AG180" s="128">
        <f>Table2[[#This Row],[ATA TO UNLOADING]]*24</f>
        <v>42.56666666676756</v>
      </c>
      <c r="AH180" s="128" t="str">
        <f>IF(Table2[[#This Row],[ATA TO UNLOADING 2]]&lt;=48,"YES","NO")</f>
        <v>YES</v>
      </c>
      <c r="AJ180" s="129">
        <f t="shared" si="54"/>
        <v>0.33333333333575865</v>
      </c>
      <c r="AK180" s="2" t="s">
        <v>64</v>
      </c>
      <c r="AL180" s="2" t="str">
        <f t="shared" si="55"/>
        <v>5/26</v>
      </c>
      <c r="AM180" s="2" t="str">
        <f t="shared" si="56"/>
        <v>SUDU6760817</v>
      </c>
      <c r="AN180" s="130" t="str">
        <f t="shared" si="57"/>
        <v>OM TRANSPORT</v>
      </c>
      <c r="AO180" s="141">
        <v>573.5</v>
      </c>
      <c r="AP180" s="131" t="e">
        <v>#N/A</v>
      </c>
      <c r="AQ180" s="131">
        <f>VLOOKUP($E180,Invoicing!$A$1:$H$12,MATCH(TRACKER!$Q$1,Invoicing!$A$1:$H$1,0),FALSE)</f>
        <v>50</v>
      </c>
      <c r="AR180" s="131">
        <v>0</v>
      </c>
      <c r="AS180" s="2">
        <f t="shared" si="59"/>
        <v>7</v>
      </c>
      <c r="AT180" s="2" t="str">
        <f t="shared" si="62"/>
        <v>SUNDAY</v>
      </c>
      <c r="AU180" s="2" t="str">
        <f t="shared" si="60"/>
        <v>OM TRANSPORTSUNDAY</v>
      </c>
      <c r="AV180" s="94">
        <v>596</v>
      </c>
      <c r="AW180" s="48">
        <f>VLOOKUP(AN180,Invoicing!A:K,11,FALSE)</f>
        <v>20</v>
      </c>
      <c r="AX180" s="48">
        <v>22.5</v>
      </c>
      <c r="AY180" s="94" t="s">
        <v>387</v>
      </c>
      <c r="AZ180" s="48">
        <f t="shared" si="61"/>
        <v>616</v>
      </c>
      <c r="BA180" s="132">
        <f>VLOOKUP(AN180,Invoicing!A:J,10,FALSE)</f>
        <v>70</v>
      </c>
      <c r="BB180" s="132">
        <f>VLOOKUP(AN180,Invoicing!A:L,12,FALSE)</f>
        <v>1</v>
      </c>
      <c r="BC180" s="2" t="s">
        <v>359</v>
      </c>
    </row>
    <row r="181" spans="1:55">
      <c r="A181" s="134" t="s">
        <v>356</v>
      </c>
      <c r="B181" s="86" t="s">
        <v>77</v>
      </c>
      <c r="C181" s="11">
        <v>46052.552777777775</v>
      </c>
      <c r="D181" s="11">
        <v>46052.041666666664</v>
      </c>
      <c r="E181" s="11" t="s">
        <v>83</v>
      </c>
      <c r="F181" s="11" t="s">
        <v>376</v>
      </c>
      <c r="G181" s="11" t="s">
        <v>59</v>
      </c>
      <c r="H181" s="11" t="s">
        <v>91</v>
      </c>
      <c r="I181" s="86" t="s">
        <v>388</v>
      </c>
      <c r="J181" s="86" t="s">
        <v>82</v>
      </c>
      <c r="K181" s="11">
        <v>46053.75</v>
      </c>
      <c r="L181" s="12">
        <v>46054.041666666664</v>
      </c>
      <c r="M181" s="12">
        <v>46054.041666666664</v>
      </c>
      <c r="N181" s="12">
        <v>46054.104166666664</v>
      </c>
      <c r="O181" s="12" t="s">
        <v>63</v>
      </c>
      <c r="P181" s="138" t="s">
        <v>64</v>
      </c>
      <c r="Q181" s="3">
        <v>0</v>
      </c>
      <c r="R181" s="1">
        <f t="shared" si="43"/>
        <v>5</v>
      </c>
      <c r="S181" s="1">
        <f t="shared" si="44"/>
        <v>2</v>
      </c>
      <c r="T181" s="126">
        <f t="shared" si="45"/>
        <v>46054.041666666664</v>
      </c>
      <c r="U181" s="127">
        <f t="shared" si="46"/>
        <v>1.1972222222248092</v>
      </c>
      <c r="V181" s="128">
        <f>Table2[[#This Row],[ATA A OFRECIMIENTO]]*24</f>
        <v>28.733333333395422</v>
      </c>
      <c r="W181" s="1" t="str">
        <f t="shared" si="47"/>
        <v>YES</v>
      </c>
      <c r="X181" s="127">
        <f t="shared" si="48"/>
        <v>0.29166666666424135</v>
      </c>
      <c r="Y181" s="128">
        <f>Table2[[#This Row],[DEL. AVAILABLE A SLOT]]*24</f>
        <v>6.9999999999417923</v>
      </c>
      <c r="Z181" s="1" t="str">
        <f t="shared" si="49"/>
        <v>SI</v>
      </c>
      <c r="AA181" s="127">
        <f t="shared" si="50"/>
        <v>1.4888888888890506</v>
      </c>
      <c r="AB181" s="128">
        <f>Table2[[#This Row],[ATA A TIMESLOT]]*24</f>
        <v>35.733333333337214</v>
      </c>
      <c r="AC181" s="127">
        <f t="shared" si="51"/>
        <v>0</v>
      </c>
      <c r="AD181" s="127" t="str">
        <f t="shared" si="52"/>
        <v>SI</v>
      </c>
      <c r="AE181" s="128">
        <f>Table2[[#This Row],[PUNTUALIDAD (H)]]*24</f>
        <v>0</v>
      </c>
      <c r="AF181" s="127">
        <f t="shared" si="53"/>
        <v>1.5513888888890506</v>
      </c>
      <c r="AG181" s="128">
        <f>Table2[[#This Row],[ATA TO UNLOADING]]*24</f>
        <v>37.233333333337214</v>
      </c>
      <c r="AH181" s="128" t="str">
        <f>IF(Table2[[#This Row],[ATA TO UNLOADING 2]]&lt;=48,"YES","NO")</f>
        <v>YES</v>
      </c>
      <c r="AJ181" s="129">
        <f t="shared" si="54"/>
        <v>4.1666666664241347E-2</v>
      </c>
      <c r="AK181" s="49" t="s">
        <v>36</v>
      </c>
      <c r="AL181" s="2" t="str">
        <f t="shared" si="55"/>
        <v>5/26</v>
      </c>
      <c r="AM181" s="2" t="str">
        <f t="shared" si="56"/>
        <v>SUDU6771508</v>
      </c>
      <c r="AN181" s="130" t="str">
        <f t="shared" si="57"/>
        <v>OM TRANSPORT</v>
      </c>
      <c r="AO181" s="141">
        <v>573.5</v>
      </c>
      <c r="AP181" s="131" t="e">
        <v>#N/A</v>
      </c>
      <c r="AQ181" s="131">
        <f>VLOOKUP($E181,Invoicing!$A$1:$H$12,MATCH(TRACKER!$Q$1,Invoicing!$A$1:$H$1,0),FALSE)</f>
        <v>50</v>
      </c>
      <c r="AR181" s="131">
        <v>0</v>
      </c>
      <c r="AS181" s="2">
        <f t="shared" si="59"/>
        <v>7</v>
      </c>
      <c r="AT181" s="2" t="str">
        <f t="shared" si="62"/>
        <v>SUNDAY</v>
      </c>
      <c r="AU181" s="2" t="str">
        <f t="shared" si="60"/>
        <v>OM TRANSPORTSUNDAY</v>
      </c>
      <c r="AV181" s="94">
        <v>663.5</v>
      </c>
      <c r="AW181" s="48">
        <f>VLOOKUP(AN181,Invoicing!A:K,11,FALSE)</f>
        <v>20</v>
      </c>
      <c r="AX181" s="48">
        <v>90</v>
      </c>
      <c r="AY181" s="94" t="s">
        <v>389</v>
      </c>
      <c r="AZ181" s="48">
        <f t="shared" si="61"/>
        <v>683.5</v>
      </c>
      <c r="BA181" s="132">
        <f>VLOOKUP(AN181,Invoicing!A:J,10,FALSE)</f>
        <v>70</v>
      </c>
      <c r="BB181" s="132">
        <f>VLOOKUP(AN181,Invoicing!A:L,12,FALSE)</f>
        <v>1</v>
      </c>
      <c r="BC181" s="2" t="s">
        <v>359</v>
      </c>
    </row>
    <row r="182" spans="1:55">
      <c r="A182" s="134" t="s">
        <v>356</v>
      </c>
      <c r="B182" s="86" t="s">
        <v>77</v>
      </c>
      <c r="C182" s="11">
        <v>46052.552777777775</v>
      </c>
      <c r="D182" s="11">
        <v>46052.041666666664</v>
      </c>
      <c r="E182" s="11" t="s">
        <v>83</v>
      </c>
      <c r="F182" s="11" t="s">
        <v>376</v>
      </c>
      <c r="G182" s="11" t="s">
        <v>59</v>
      </c>
      <c r="H182" s="11" t="s">
        <v>91</v>
      </c>
      <c r="I182" s="86" t="s">
        <v>390</v>
      </c>
      <c r="J182" s="86" t="s">
        <v>62</v>
      </c>
      <c r="K182" s="11">
        <v>46053.75</v>
      </c>
      <c r="L182" s="12">
        <v>46054.458333333336</v>
      </c>
      <c r="M182" s="12">
        <v>46054.458333333336</v>
      </c>
      <c r="N182" s="12">
        <v>46054.506944444445</v>
      </c>
      <c r="O182" s="12" t="s">
        <v>63</v>
      </c>
      <c r="P182" s="138" t="s">
        <v>64</v>
      </c>
      <c r="Q182" s="3">
        <v>0</v>
      </c>
      <c r="R182" s="1">
        <f t="shared" si="43"/>
        <v>5</v>
      </c>
      <c r="S182" s="1">
        <f t="shared" si="44"/>
        <v>2</v>
      </c>
      <c r="T182" s="126">
        <f t="shared" si="45"/>
        <v>46054.458333333336</v>
      </c>
      <c r="U182" s="127">
        <f t="shared" si="46"/>
        <v>1.1972222222248092</v>
      </c>
      <c r="V182" s="128">
        <f>Table2[[#This Row],[ATA A OFRECIMIENTO]]*24</f>
        <v>28.733333333395422</v>
      </c>
      <c r="W182" s="1" t="str">
        <f t="shared" si="47"/>
        <v>YES</v>
      </c>
      <c r="X182" s="127">
        <f t="shared" si="48"/>
        <v>0.70833333333575865</v>
      </c>
      <c r="Y182" s="128">
        <f>Table2[[#This Row],[DEL. AVAILABLE A SLOT]]*24</f>
        <v>17.000000000058208</v>
      </c>
      <c r="Z182" s="1" t="str">
        <f t="shared" si="49"/>
        <v>SI</v>
      </c>
      <c r="AA182" s="127">
        <f t="shared" si="50"/>
        <v>1.9055555555605679</v>
      </c>
      <c r="AB182" s="128">
        <f>Table2[[#This Row],[ATA A TIMESLOT]]*24</f>
        <v>45.733333333453629</v>
      </c>
      <c r="AC182" s="127">
        <f t="shared" si="51"/>
        <v>0</v>
      </c>
      <c r="AD182" s="127" t="str">
        <f t="shared" si="52"/>
        <v>SI</v>
      </c>
      <c r="AE182" s="128">
        <f>Table2[[#This Row],[PUNTUALIDAD (H)]]*24</f>
        <v>0</v>
      </c>
      <c r="AF182" s="127">
        <f t="shared" si="53"/>
        <v>1.9541666666700621</v>
      </c>
      <c r="AG182" s="128">
        <f>Table2[[#This Row],[ATA TO UNLOADING]]*24</f>
        <v>46.900000000081491</v>
      </c>
      <c r="AH182" s="128" t="str">
        <f>IF(Table2[[#This Row],[ATA TO UNLOADING 2]]&lt;=48,"YES","NO")</f>
        <v>YES</v>
      </c>
      <c r="AJ182" s="129">
        <f t="shared" si="54"/>
        <v>0.45833333333575865</v>
      </c>
      <c r="AK182" s="2" t="s">
        <v>64</v>
      </c>
      <c r="AL182" s="2" t="str">
        <f t="shared" si="55"/>
        <v>5/26</v>
      </c>
      <c r="AM182" s="2" t="str">
        <f t="shared" si="56"/>
        <v>TCKU3594885</v>
      </c>
      <c r="AN182" s="130" t="str">
        <f t="shared" si="57"/>
        <v>OM TRANSPORT</v>
      </c>
      <c r="AO182" s="141">
        <v>573.5</v>
      </c>
      <c r="AP182" s="131" t="e">
        <v>#N/A</v>
      </c>
      <c r="AQ182" s="131">
        <f>VLOOKUP($E182,Invoicing!$A$1:$H$12,MATCH(TRACKER!$Q$1,Invoicing!$A$1:$H$1,0),FALSE)</f>
        <v>50</v>
      </c>
      <c r="AR182" s="131">
        <v>0</v>
      </c>
      <c r="AS182" s="2">
        <f t="shared" si="59"/>
        <v>7</v>
      </c>
      <c r="AT182" s="2" t="str">
        <f t="shared" si="62"/>
        <v>SUNDAY</v>
      </c>
      <c r="AU182" s="2" t="str">
        <f t="shared" si="60"/>
        <v>OM TRANSPORTSUNDAY</v>
      </c>
      <c r="AV182" s="94">
        <v>573.5</v>
      </c>
      <c r="AW182" s="48">
        <f>VLOOKUP(AN182,Invoicing!A:K,11,FALSE)</f>
        <v>20</v>
      </c>
      <c r="AY182" s="48"/>
      <c r="AZ182" s="48">
        <f t="shared" si="61"/>
        <v>593.5</v>
      </c>
      <c r="BA182" s="132">
        <f>VLOOKUP(AN182,Invoicing!A:J,10,FALSE)</f>
        <v>70</v>
      </c>
      <c r="BB182" s="132">
        <f>VLOOKUP(AN182,Invoicing!A:L,12,FALSE)</f>
        <v>1</v>
      </c>
      <c r="BC182" s="2" t="s">
        <v>359</v>
      </c>
    </row>
    <row r="183" spans="1:55">
      <c r="A183" s="134" t="s">
        <v>356</v>
      </c>
      <c r="B183" s="86" t="s">
        <v>77</v>
      </c>
      <c r="C183" s="11">
        <v>46052.552777777775</v>
      </c>
      <c r="D183" s="11">
        <v>46052.041666666664</v>
      </c>
      <c r="E183" s="11" t="s">
        <v>71</v>
      </c>
      <c r="F183" s="11" t="s">
        <v>376</v>
      </c>
      <c r="G183" s="11" t="s">
        <v>59</v>
      </c>
      <c r="H183" s="11" t="s">
        <v>91</v>
      </c>
      <c r="I183" s="86" t="s">
        <v>391</v>
      </c>
      <c r="J183" s="86" t="s">
        <v>82</v>
      </c>
      <c r="K183" s="11">
        <v>46053.75</v>
      </c>
      <c r="L183" s="12">
        <v>46053.695138888892</v>
      </c>
      <c r="M183" s="12">
        <v>46053.75</v>
      </c>
      <c r="N183" s="12">
        <v>46053.708333333336</v>
      </c>
      <c r="O183" s="12" t="s">
        <v>63</v>
      </c>
      <c r="P183" s="138" t="s">
        <v>64</v>
      </c>
      <c r="Q183" s="3">
        <v>0</v>
      </c>
      <c r="R183" s="1">
        <f t="shared" si="43"/>
        <v>5</v>
      </c>
      <c r="S183" s="1">
        <f t="shared" si="44"/>
        <v>1</v>
      </c>
      <c r="T183" s="126">
        <f t="shared" si="45"/>
        <v>46053.695138888892</v>
      </c>
      <c r="U183" s="127">
        <f t="shared" si="46"/>
        <v>1.1972222222248092</v>
      </c>
      <c r="V183" s="128">
        <f>Table2[[#This Row],[ATA A OFRECIMIENTO]]*24</f>
        <v>28.733333333395422</v>
      </c>
      <c r="W183" s="1" t="str">
        <f t="shared" si="47"/>
        <v>YES</v>
      </c>
      <c r="X183" s="127">
        <f t="shared" si="48"/>
        <v>0</v>
      </c>
      <c r="Y183" s="128">
        <f>Table2[[#This Row],[DEL. AVAILABLE A SLOT]]*24</f>
        <v>0</v>
      </c>
      <c r="Z183" s="1" t="str">
        <f t="shared" si="49"/>
        <v>SI</v>
      </c>
      <c r="AA183" s="127">
        <f t="shared" si="50"/>
        <v>1.1972222222248092</v>
      </c>
      <c r="AB183" s="128">
        <f>Table2[[#This Row],[ATA A TIMESLOT]]*24</f>
        <v>28.733333333395422</v>
      </c>
      <c r="AC183" s="127">
        <f t="shared" si="51"/>
        <v>0</v>
      </c>
      <c r="AD183" s="127" t="str">
        <f t="shared" si="52"/>
        <v>SI</v>
      </c>
      <c r="AE183" s="128">
        <f>Table2[[#This Row],[PUNTUALIDAD (H)]]*24</f>
        <v>0</v>
      </c>
      <c r="AF183" s="127">
        <f t="shared" si="53"/>
        <v>1.1555555555605679</v>
      </c>
      <c r="AG183" s="128">
        <f>Table2[[#This Row],[ATA TO UNLOADING]]*24</f>
        <v>27.733333333453629</v>
      </c>
      <c r="AH183" s="128" t="str">
        <f>IF(Table2[[#This Row],[ATA TO UNLOADING 2]]&lt;=48,"YES","NO")</f>
        <v>YES</v>
      </c>
      <c r="AJ183" s="129">
        <f t="shared" si="54"/>
        <v>0.75</v>
      </c>
      <c r="AK183" s="2" t="s">
        <v>64</v>
      </c>
      <c r="AL183" s="2" t="str">
        <f t="shared" si="55"/>
        <v>5/26</v>
      </c>
      <c r="AM183" s="2" t="str">
        <f t="shared" si="56"/>
        <v>TCKU7520242</v>
      </c>
      <c r="AN183" s="130" t="str">
        <f t="shared" si="57"/>
        <v>LOGIX</v>
      </c>
      <c r="AO183" s="141">
        <f>IF($O183="TRUCK",
VLOOKUP($AU183,Invoicing!$A$16:$B$56,MATCH($AO$1,Invoicing!$A$16:$B$16,0),FALSE)+IF(OR($B183="DCD",$B183="HPD2"),23.5,0),
VLOOKUP($AU183,Invoicing!$N$15:$O$19,MATCH($AO$1,Invoicing!$N$15:$O$15,0),FALSE)+IF(OR($B183="DCD",$B183="HPD2"),23.5,0))</f>
        <v>573.5</v>
      </c>
      <c r="AP183" s="131" t="e">
        <f>VLOOKUP($E183,Invoicing!$A$1:$H$12,MATCH(TRACKER!$P183,Invoicing!$A$1:$H$1,0),FALSE)</f>
        <v>#N/A</v>
      </c>
      <c r="AQ183" s="131">
        <f>VLOOKUP($E183,Invoicing!$A$1:$H$12,MATCH(TRACKER!$Q$1,Invoicing!$A$1:$H$1,0),FALSE)</f>
        <v>50</v>
      </c>
      <c r="AR183" s="131">
        <f>IF($Q183&lt;&gt;0,$Q183*$AQ183,0)</f>
        <v>0</v>
      </c>
      <c r="AS183" s="2">
        <f t="shared" si="59"/>
        <v>6</v>
      </c>
      <c r="AT183" s="2" t="str">
        <f t="shared" si="62"/>
        <v>SATURDAY</v>
      </c>
      <c r="AU183" s="2" t="str">
        <f t="shared" si="60"/>
        <v>LOGIXSATURDAY</v>
      </c>
      <c r="AV183" s="94">
        <f>(IF(ISNA(AP183),AO183+AR183,SUM($AO183,$AR183,IFERROR($AP183,"0"))))+Table2[[#This Row],[WAITING TIMES]]</f>
        <v>573.5</v>
      </c>
      <c r="AW183" s="48">
        <f>VLOOKUP(AN183,Invoicing!A:K,11,FALSE)</f>
        <v>20</v>
      </c>
      <c r="AY183" s="48"/>
      <c r="AZ183" s="48">
        <f t="shared" si="61"/>
        <v>593.5</v>
      </c>
      <c r="BA183" s="132">
        <f>VLOOKUP(AN183,Invoicing!A:J,10,FALSE)</f>
        <v>70</v>
      </c>
      <c r="BB183" s="132">
        <f>VLOOKUP(AN183,Invoicing!A:L,12,FALSE)</f>
        <v>1</v>
      </c>
      <c r="BC183" s="2" t="s">
        <v>66</v>
      </c>
    </row>
    <row r="184" spans="1:55">
      <c r="A184" s="134" t="s">
        <v>356</v>
      </c>
      <c r="B184" s="86" t="s">
        <v>77</v>
      </c>
      <c r="C184" s="11">
        <v>46052.552777777775</v>
      </c>
      <c r="D184" s="11">
        <v>46052.041666666664</v>
      </c>
      <c r="E184" s="11" t="s">
        <v>98</v>
      </c>
      <c r="F184" s="11" t="s">
        <v>373</v>
      </c>
      <c r="G184" s="11" t="s">
        <v>59</v>
      </c>
      <c r="H184" s="11" t="s">
        <v>91</v>
      </c>
      <c r="I184" s="86" t="s">
        <v>392</v>
      </c>
      <c r="J184" s="86" t="s">
        <v>100</v>
      </c>
      <c r="K184" s="11">
        <v>46053.75</v>
      </c>
      <c r="L184" s="12">
        <v>46054.493055555555</v>
      </c>
      <c r="M184" s="12">
        <v>46054.5</v>
      </c>
      <c r="N184" s="12">
        <v>46054.5</v>
      </c>
      <c r="O184" s="12" t="s">
        <v>63</v>
      </c>
      <c r="P184" s="138" t="s">
        <v>64</v>
      </c>
      <c r="Q184" s="3">
        <v>0</v>
      </c>
      <c r="R184" s="1">
        <f t="shared" si="43"/>
        <v>5</v>
      </c>
      <c r="S184" s="1">
        <f t="shared" si="44"/>
        <v>2</v>
      </c>
      <c r="T184" s="126">
        <f t="shared" si="45"/>
        <v>46054.493055555555</v>
      </c>
      <c r="U184" s="127">
        <f t="shared" si="46"/>
        <v>1.1972222222248092</v>
      </c>
      <c r="V184" s="128">
        <f>Table2[[#This Row],[ATA A OFRECIMIENTO]]*24</f>
        <v>28.733333333395422</v>
      </c>
      <c r="W184" s="1" t="str">
        <f t="shared" si="47"/>
        <v>YES</v>
      </c>
      <c r="X184" s="127">
        <f t="shared" si="48"/>
        <v>0.75</v>
      </c>
      <c r="Y184" s="128">
        <f>Table2[[#This Row],[DEL. AVAILABLE A SLOT]]*24</f>
        <v>18</v>
      </c>
      <c r="Z184" s="1" t="str">
        <f t="shared" si="49"/>
        <v>SI</v>
      </c>
      <c r="AA184" s="127">
        <f t="shared" si="50"/>
        <v>1.9472222222248092</v>
      </c>
      <c r="AB184" s="128">
        <f>Table2[[#This Row],[ATA A TIMESLOT]]*24</f>
        <v>46.733333333395422</v>
      </c>
      <c r="AC184" s="127">
        <f t="shared" si="51"/>
        <v>0</v>
      </c>
      <c r="AD184" s="127" t="str">
        <f t="shared" si="52"/>
        <v>SI</v>
      </c>
      <c r="AE184" s="128">
        <f>Table2[[#This Row],[PUNTUALIDAD (H)]]*24</f>
        <v>0</v>
      </c>
      <c r="AF184" s="127">
        <f t="shared" si="53"/>
        <v>1.9472222222248092</v>
      </c>
      <c r="AG184" s="128">
        <f>Table2[[#This Row],[ATA TO UNLOADING]]*24</f>
        <v>46.733333333395422</v>
      </c>
      <c r="AH184" s="128" t="str">
        <f>IF(Table2[[#This Row],[ATA TO UNLOADING 2]]&lt;=48,"YES","NO")</f>
        <v>YES</v>
      </c>
      <c r="AJ184" s="129">
        <f t="shared" si="54"/>
        <v>0.5</v>
      </c>
      <c r="AK184" s="2" t="s">
        <v>64</v>
      </c>
      <c r="AL184" s="2" t="str">
        <f t="shared" si="55"/>
        <v>5/26</v>
      </c>
      <c r="AM184" s="2" t="str">
        <f t="shared" si="56"/>
        <v>TCNU3114281</v>
      </c>
      <c r="AN184" s="130" t="str">
        <f t="shared" si="57"/>
        <v>MSI</v>
      </c>
      <c r="AO184" s="141">
        <v>523.5</v>
      </c>
      <c r="AP184" s="131" t="e">
        <v>#N/A</v>
      </c>
      <c r="AQ184" s="131">
        <f>VLOOKUP($E184,Invoicing!$A$1:$H$12,MATCH(TRACKER!$Q$1,Invoicing!$A$1:$H$1,0),FALSE)</f>
        <v>50</v>
      </c>
      <c r="AR184" s="131">
        <v>0</v>
      </c>
      <c r="AS184" s="2">
        <f t="shared" si="59"/>
        <v>7</v>
      </c>
      <c r="AT184" s="2" t="str">
        <f t="shared" si="62"/>
        <v>SUNDAY</v>
      </c>
      <c r="AU184" s="2" t="str">
        <f t="shared" si="60"/>
        <v>MSISUNDAY</v>
      </c>
      <c r="AV184" s="94">
        <v>523.5</v>
      </c>
      <c r="AW184" s="48">
        <f>VLOOKUP(AN184,Invoicing!A:K,11,FALSE)</f>
        <v>20</v>
      </c>
      <c r="AY184" s="48"/>
      <c r="AZ184" s="48">
        <f t="shared" si="61"/>
        <v>543.5</v>
      </c>
      <c r="BA184" s="132">
        <f>VLOOKUP(AN184,Invoicing!A:J,10,FALSE)</f>
        <v>70</v>
      </c>
      <c r="BB184" s="132">
        <f>VLOOKUP(AN184,Invoicing!A:L,12,FALSE)</f>
        <v>1</v>
      </c>
      <c r="BC184" s="2" t="s">
        <v>359</v>
      </c>
    </row>
    <row r="185" spans="1:55">
      <c r="A185" s="136" t="s">
        <v>356</v>
      </c>
      <c r="B185" s="88" t="s">
        <v>77</v>
      </c>
      <c r="C185" s="89">
        <v>46052.552777777775</v>
      </c>
      <c r="D185" s="89">
        <v>46052.041666666664</v>
      </c>
      <c r="E185" s="89" t="s">
        <v>83</v>
      </c>
      <c r="F185" s="89" t="s">
        <v>373</v>
      </c>
      <c r="G185" s="89" t="s">
        <v>59</v>
      </c>
      <c r="H185" s="89" t="s">
        <v>91</v>
      </c>
      <c r="I185" s="88" t="s">
        <v>393</v>
      </c>
      <c r="J185" s="88" t="s">
        <v>100</v>
      </c>
      <c r="K185" s="89">
        <v>46053.75</v>
      </c>
      <c r="L185" s="90">
        <v>46054.482638888891</v>
      </c>
      <c r="M185" s="90">
        <v>46054.5</v>
      </c>
      <c r="N185" s="90">
        <v>46054.482638888891</v>
      </c>
      <c r="O185" s="90" t="s">
        <v>63</v>
      </c>
      <c r="P185" s="139" t="s">
        <v>64</v>
      </c>
      <c r="Q185" s="91">
        <v>1</v>
      </c>
      <c r="R185" s="1">
        <f t="shared" si="43"/>
        <v>5</v>
      </c>
      <c r="S185" s="1">
        <f t="shared" si="44"/>
        <v>2</v>
      </c>
      <c r="T185" s="126">
        <f t="shared" si="45"/>
        <v>46054.482638888891</v>
      </c>
      <c r="U185" s="127">
        <f t="shared" si="46"/>
        <v>1.1972222222248092</v>
      </c>
      <c r="V185" s="128">
        <f>Table2[[#This Row],[ATA A OFRECIMIENTO]]*24</f>
        <v>28.733333333395422</v>
      </c>
      <c r="W185" s="1" t="str">
        <f t="shared" si="47"/>
        <v>YES</v>
      </c>
      <c r="X185" s="127">
        <f t="shared" si="48"/>
        <v>0.75</v>
      </c>
      <c r="Y185" s="128">
        <f>Table2[[#This Row],[DEL. AVAILABLE A SLOT]]*24</f>
        <v>18</v>
      </c>
      <c r="Z185" s="1" t="str">
        <f t="shared" si="49"/>
        <v>SI</v>
      </c>
      <c r="AA185" s="127">
        <f t="shared" si="50"/>
        <v>1.9472222222248092</v>
      </c>
      <c r="AB185" s="128">
        <f>Table2[[#This Row],[ATA A TIMESLOT]]*24</f>
        <v>46.733333333395422</v>
      </c>
      <c r="AC185" s="127">
        <f t="shared" si="51"/>
        <v>0</v>
      </c>
      <c r="AD185" s="127" t="str">
        <f t="shared" si="52"/>
        <v>SI</v>
      </c>
      <c r="AE185" s="128">
        <f>Table2[[#This Row],[PUNTUALIDAD (H)]]*24</f>
        <v>0</v>
      </c>
      <c r="AF185" s="127">
        <f t="shared" si="53"/>
        <v>1.929861111115315</v>
      </c>
      <c r="AG185" s="128">
        <f>Table2[[#This Row],[ATA TO UNLOADING]]*24</f>
        <v>46.31666666676756</v>
      </c>
      <c r="AH185" s="128" t="str">
        <f>IF(Table2[[#This Row],[ATA TO UNLOADING 2]]&lt;=48,"YES","NO")</f>
        <v>YES</v>
      </c>
      <c r="AJ185" s="129">
        <f t="shared" si="54"/>
        <v>0.5</v>
      </c>
      <c r="AK185" s="2" t="s">
        <v>64</v>
      </c>
      <c r="AL185" s="2" t="str">
        <f t="shared" si="55"/>
        <v>5/26</v>
      </c>
      <c r="AM185" s="2" t="str">
        <f t="shared" si="56"/>
        <v>TCNU7988599</v>
      </c>
      <c r="AN185" s="130" t="str">
        <f t="shared" si="57"/>
        <v>OM TRANSPORT</v>
      </c>
      <c r="AO185" s="141">
        <v>573.5</v>
      </c>
      <c r="AP185" s="131" t="e">
        <v>#N/A</v>
      </c>
      <c r="AQ185" s="131">
        <f>VLOOKUP($E185,Invoicing!$A$1:$H$12,MATCH(TRACKER!$Q$1,Invoicing!$A$1:$H$1,0),FALSE)</f>
        <v>50</v>
      </c>
      <c r="AR185" s="131">
        <v>50</v>
      </c>
      <c r="AS185" s="2">
        <f t="shared" si="59"/>
        <v>7</v>
      </c>
      <c r="AT185" s="2" t="str">
        <f t="shared" si="62"/>
        <v>SUNDAY</v>
      </c>
      <c r="AU185" s="2" t="str">
        <f t="shared" si="60"/>
        <v>OM TRANSPORTSUNDAY</v>
      </c>
      <c r="AV185" s="94">
        <v>679.75</v>
      </c>
      <c r="AW185" s="48">
        <f>VLOOKUP(AN185,Invoicing!A:K,11,FALSE)</f>
        <v>20</v>
      </c>
      <c r="AX185" s="48">
        <v>56.25</v>
      </c>
      <c r="AY185" s="94" t="s">
        <v>394</v>
      </c>
      <c r="AZ185" s="48">
        <f t="shared" si="61"/>
        <v>699.75</v>
      </c>
      <c r="BA185" s="132">
        <f>VLOOKUP(AN185,Invoicing!A:J,10,FALSE)</f>
        <v>70</v>
      </c>
      <c r="BB185" s="132">
        <f>VLOOKUP(AN185,Invoicing!A:L,12,FALSE)</f>
        <v>1</v>
      </c>
      <c r="BC185" s="2" t="s">
        <v>359</v>
      </c>
    </row>
    <row r="186" spans="1:55">
      <c r="A186" s="134" t="s">
        <v>395</v>
      </c>
      <c r="B186" s="86" t="s">
        <v>77</v>
      </c>
      <c r="C186" s="11">
        <v>46056.097222222219</v>
      </c>
      <c r="D186" s="11">
        <v>46055.833333333336</v>
      </c>
      <c r="E186" s="11" t="s">
        <v>98</v>
      </c>
      <c r="F186" s="11" t="s">
        <v>396</v>
      </c>
      <c r="G186" s="11" t="s">
        <v>59</v>
      </c>
      <c r="H186" s="11" t="s">
        <v>80</v>
      </c>
      <c r="I186" s="86" t="s">
        <v>397</v>
      </c>
      <c r="J186" s="86" t="s">
        <v>82</v>
      </c>
      <c r="K186" s="11">
        <v>46056.958333333336</v>
      </c>
      <c r="L186" s="12">
        <v>46057.154861111114</v>
      </c>
      <c r="M186" s="12">
        <v>46057.166666666664</v>
      </c>
      <c r="N186" s="12">
        <v>46057.322916666664</v>
      </c>
      <c r="O186" s="12" t="s">
        <v>63</v>
      </c>
      <c r="P186" s="135" t="s">
        <v>64</v>
      </c>
      <c r="Q186" s="3">
        <v>0</v>
      </c>
      <c r="R186" s="1">
        <f t="shared" si="43"/>
        <v>6</v>
      </c>
      <c r="S186" s="1">
        <f t="shared" si="44"/>
        <v>2</v>
      </c>
      <c r="T186" s="126">
        <f t="shared" si="45"/>
        <v>46057.154861111114</v>
      </c>
      <c r="U186" s="127">
        <f t="shared" si="46"/>
        <v>0.86111111111677019</v>
      </c>
      <c r="V186" s="128">
        <f>Table2[[#This Row],[ATA A OFRECIMIENTO]]*24</f>
        <v>20.666666666802485</v>
      </c>
      <c r="W186" s="1" t="str">
        <f t="shared" si="47"/>
        <v>YES</v>
      </c>
      <c r="X186" s="127">
        <f t="shared" si="48"/>
        <v>0.20833333332848269</v>
      </c>
      <c r="Y186" s="128">
        <f>Table2[[#This Row],[DEL. AVAILABLE A SLOT]]*24</f>
        <v>4.9999999998835847</v>
      </c>
      <c r="Z186" s="1" t="str">
        <f t="shared" si="49"/>
        <v>SI</v>
      </c>
      <c r="AA186" s="127">
        <f t="shared" si="50"/>
        <v>1.0694444444452529</v>
      </c>
      <c r="AB186" s="128">
        <f>Table2[[#This Row],[ATA A TIMESLOT]]*24</f>
        <v>25.666666666686069</v>
      </c>
      <c r="AC186" s="127">
        <f t="shared" si="51"/>
        <v>0</v>
      </c>
      <c r="AD186" s="127" t="str">
        <f t="shared" si="52"/>
        <v>SI</v>
      </c>
      <c r="AE186" s="128">
        <f>Table2[[#This Row],[PUNTUALIDAD (H)]]*24</f>
        <v>0</v>
      </c>
      <c r="AF186" s="127">
        <f t="shared" si="53"/>
        <v>1.2256944444452529</v>
      </c>
      <c r="AG186" s="128">
        <f>Table2[[#This Row],[ATA TO UNLOADING]]*24</f>
        <v>29.416666666686069</v>
      </c>
      <c r="AH186" s="128" t="str">
        <f>IF(Table2[[#This Row],[ATA TO UNLOADING 2]]&lt;=48,"YES","NO")</f>
        <v>YES</v>
      </c>
      <c r="AJ186" s="129">
        <f t="shared" si="54"/>
        <v>0.16666666666424135</v>
      </c>
      <c r="AK186" s="49" t="s">
        <v>36</v>
      </c>
      <c r="AL186" s="2" t="str">
        <f t="shared" si="55"/>
        <v>6/26</v>
      </c>
      <c r="AM186" s="2" t="str">
        <f t="shared" si="56"/>
        <v>MRKU5559382</v>
      </c>
      <c r="AN186" s="130" t="str">
        <f t="shared" si="57"/>
        <v>MSI</v>
      </c>
      <c r="AO186" s="141">
        <v>553.5</v>
      </c>
      <c r="AP186" s="131" t="e">
        <v>#N/A</v>
      </c>
      <c r="AQ186" s="131">
        <f>VLOOKUP($E186,Invoicing!$A$1:$H$12,MATCH(TRACKER!$Q$1,Invoicing!$A$1:$H$1,0),FALSE)</f>
        <v>50</v>
      </c>
      <c r="AR186" s="131">
        <v>0</v>
      </c>
      <c r="AS186" s="2">
        <f t="shared" si="59"/>
        <v>3</v>
      </c>
      <c r="AT186" s="2" t="str">
        <f t="shared" si="62"/>
        <v>NIGHT</v>
      </c>
      <c r="AU186" s="2" t="str">
        <f t="shared" si="60"/>
        <v>MSINIGHT</v>
      </c>
      <c r="AV186" s="94">
        <v>928.5</v>
      </c>
      <c r="AW186" s="48">
        <f>VLOOKUP(AN186,Invoicing!A:K,11,FALSE)</f>
        <v>20</v>
      </c>
      <c r="AX186" s="48">
        <v>375</v>
      </c>
      <c r="AY186" s="94" t="s">
        <v>398</v>
      </c>
      <c r="AZ186" s="48">
        <f t="shared" si="61"/>
        <v>948.5</v>
      </c>
      <c r="BA186" s="132">
        <f>VLOOKUP(AN186,Invoicing!A:J,10,FALSE)</f>
        <v>70</v>
      </c>
      <c r="BB186" s="132">
        <f>VLOOKUP(AN186,Invoicing!A:L,12,FALSE)</f>
        <v>1</v>
      </c>
      <c r="BC186" s="2" t="s">
        <v>359</v>
      </c>
    </row>
    <row r="187" spans="1:55">
      <c r="A187" s="134" t="s">
        <v>395</v>
      </c>
      <c r="B187" s="86" t="s">
        <v>77</v>
      </c>
      <c r="C187" s="11">
        <v>46056.097222222219</v>
      </c>
      <c r="D187" s="11">
        <v>46055.833333333336</v>
      </c>
      <c r="E187" s="11" t="s">
        <v>71</v>
      </c>
      <c r="F187" s="11" t="s">
        <v>399</v>
      </c>
      <c r="G187" s="11" t="s">
        <v>59</v>
      </c>
      <c r="H187" s="11" t="s">
        <v>80</v>
      </c>
      <c r="I187" s="86" t="s">
        <v>400</v>
      </c>
      <c r="J187" s="86" t="s">
        <v>100</v>
      </c>
      <c r="K187" s="11">
        <v>46056.958333333336</v>
      </c>
      <c r="L187" s="12">
        <v>46057.25</v>
      </c>
      <c r="M187" s="12">
        <v>46057.25</v>
      </c>
      <c r="N187" s="12">
        <v>46057.256944444445</v>
      </c>
      <c r="O187" s="12" t="s">
        <v>63</v>
      </c>
      <c r="P187" s="135" t="s">
        <v>64</v>
      </c>
      <c r="Q187" s="3">
        <v>1</v>
      </c>
      <c r="R187" s="1">
        <f t="shared" si="43"/>
        <v>6</v>
      </c>
      <c r="S187" s="1">
        <f t="shared" si="44"/>
        <v>2</v>
      </c>
      <c r="T187" s="126">
        <f t="shared" si="45"/>
        <v>46057.25</v>
      </c>
      <c r="U187" s="127">
        <f t="shared" si="46"/>
        <v>0.86111111111677019</v>
      </c>
      <c r="V187" s="128">
        <f>Table2[[#This Row],[ATA A OFRECIMIENTO]]*24</f>
        <v>20.666666666802485</v>
      </c>
      <c r="W187" s="1" t="str">
        <f t="shared" si="47"/>
        <v>YES</v>
      </c>
      <c r="X187" s="127">
        <f t="shared" si="48"/>
        <v>0.29166666666424135</v>
      </c>
      <c r="Y187" s="128">
        <f>Table2[[#This Row],[DEL. AVAILABLE A SLOT]]*24</f>
        <v>6.9999999999417923</v>
      </c>
      <c r="Z187" s="1" t="str">
        <f t="shared" si="49"/>
        <v>SI</v>
      </c>
      <c r="AA187" s="127">
        <f t="shared" si="50"/>
        <v>1.1527777777810115</v>
      </c>
      <c r="AB187" s="128">
        <f>Table2[[#This Row],[ATA A TIMESLOT]]*24</f>
        <v>27.666666666744277</v>
      </c>
      <c r="AC187" s="127">
        <f t="shared" si="51"/>
        <v>0</v>
      </c>
      <c r="AD187" s="127" t="str">
        <f t="shared" si="52"/>
        <v>SI</v>
      </c>
      <c r="AE187" s="128">
        <f>Table2[[#This Row],[PUNTUALIDAD (H)]]*24</f>
        <v>0</v>
      </c>
      <c r="AF187" s="127">
        <f t="shared" si="53"/>
        <v>1.1597222222262644</v>
      </c>
      <c r="AG187" s="128">
        <f>Table2[[#This Row],[ATA TO UNLOADING]]*24</f>
        <v>27.833333333430346</v>
      </c>
      <c r="AH187" s="128" t="str">
        <f>IF(Table2[[#This Row],[ATA TO UNLOADING 2]]&lt;=48,"YES","NO")</f>
        <v>YES</v>
      </c>
      <c r="AJ187" s="129">
        <f t="shared" si="54"/>
        <v>0.25</v>
      </c>
      <c r="AK187" s="2" t="s">
        <v>64</v>
      </c>
      <c r="AL187" s="2" t="str">
        <f t="shared" si="55"/>
        <v>6/26</v>
      </c>
      <c r="AM187" s="2" t="str">
        <f t="shared" si="56"/>
        <v>FFAU5508511</v>
      </c>
      <c r="AN187" s="130" t="str">
        <f t="shared" si="57"/>
        <v>LOGIX</v>
      </c>
      <c r="AO187" s="141">
        <v>573.5</v>
      </c>
      <c r="AP187" s="131" t="e">
        <v>#N/A</v>
      </c>
      <c r="AQ187" s="131">
        <f>VLOOKUP($E187,Invoicing!$A$1:$H$12,MATCH(TRACKER!$Q$1,Invoicing!$A$1:$H$1,0),FALSE)</f>
        <v>50</v>
      </c>
      <c r="AR187" s="131">
        <v>50</v>
      </c>
      <c r="AS187" s="2">
        <f t="shared" si="59"/>
        <v>3</v>
      </c>
      <c r="AT187" s="2" t="str">
        <f t="shared" si="62"/>
        <v>WEEK</v>
      </c>
      <c r="AU187" s="2" t="str">
        <f t="shared" si="60"/>
        <v>LOGIXWEEK</v>
      </c>
      <c r="AV187" s="94">
        <v>623.5</v>
      </c>
      <c r="AW187" s="48">
        <f>VLOOKUP(AN187,Invoicing!A:K,11,FALSE)</f>
        <v>20</v>
      </c>
      <c r="AY187" s="48"/>
      <c r="AZ187" s="48">
        <f t="shared" si="61"/>
        <v>643.5</v>
      </c>
      <c r="BA187" s="132">
        <f>VLOOKUP(AN187,Invoicing!A:J,10,FALSE)</f>
        <v>70</v>
      </c>
      <c r="BB187" s="132">
        <f>VLOOKUP(AN187,Invoicing!A:L,12,FALSE)</f>
        <v>1</v>
      </c>
      <c r="BC187" s="2" t="s">
        <v>359</v>
      </c>
    </row>
    <row r="188" spans="1:55">
      <c r="A188" s="134" t="s">
        <v>395</v>
      </c>
      <c r="B188" s="86" t="s">
        <v>77</v>
      </c>
      <c r="C188" s="11">
        <v>46056.097222222219</v>
      </c>
      <c r="D188" s="11">
        <v>46055.833333333336</v>
      </c>
      <c r="E188" s="11" t="s">
        <v>98</v>
      </c>
      <c r="F188" s="11" t="s">
        <v>399</v>
      </c>
      <c r="G188" s="11" t="s">
        <v>59</v>
      </c>
      <c r="H188" s="11" t="s">
        <v>80</v>
      </c>
      <c r="I188" s="86" t="s">
        <v>401</v>
      </c>
      <c r="J188" s="86" t="s">
        <v>100</v>
      </c>
      <c r="K188" s="11">
        <v>46056.958333333336</v>
      </c>
      <c r="L188" s="12">
        <v>46057.256944444445</v>
      </c>
      <c r="M188" s="12">
        <v>46057.25</v>
      </c>
      <c r="N188" s="12">
        <v>46057.263888888891</v>
      </c>
      <c r="O188" s="12" t="s">
        <v>63</v>
      </c>
      <c r="P188" s="135" t="s">
        <v>64</v>
      </c>
      <c r="Q188" s="3">
        <v>1</v>
      </c>
      <c r="R188" s="1">
        <f t="shared" si="43"/>
        <v>6</v>
      </c>
      <c r="S188" s="1">
        <f t="shared" si="44"/>
        <v>2</v>
      </c>
      <c r="T188" s="126">
        <f t="shared" si="45"/>
        <v>46057.256944444445</v>
      </c>
      <c r="U188" s="127">
        <f t="shared" si="46"/>
        <v>0.86111111111677019</v>
      </c>
      <c r="V188" s="128">
        <f>Table2[[#This Row],[ATA A OFRECIMIENTO]]*24</f>
        <v>20.666666666802485</v>
      </c>
      <c r="W188" s="1" t="str">
        <f t="shared" si="47"/>
        <v>YES</v>
      </c>
      <c r="X188" s="127">
        <f t="shared" si="48"/>
        <v>0.29166666666424135</v>
      </c>
      <c r="Y188" s="128">
        <f>Table2[[#This Row],[DEL. AVAILABLE A SLOT]]*24</f>
        <v>6.9999999999417923</v>
      </c>
      <c r="Z188" s="1" t="str">
        <f t="shared" si="49"/>
        <v>SI</v>
      </c>
      <c r="AA188" s="127">
        <f t="shared" si="50"/>
        <v>1.1527777777810115</v>
      </c>
      <c r="AB188" s="128">
        <f>Table2[[#This Row],[ATA A TIMESLOT]]*24</f>
        <v>27.666666666744277</v>
      </c>
      <c r="AC188" s="127">
        <f t="shared" si="51"/>
        <v>6.9444444452528842E-3</v>
      </c>
      <c r="AD188" s="127" t="str">
        <f t="shared" si="52"/>
        <v>SI</v>
      </c>
      <c r="AE188" s="128">
        <f>Table2[[#This Row],[PUNTUALIDAD (H)]]*24</f>
        <v>0.16666666668606922</v>
      </c>
      <c r="AF188" s="127">
        <f t="shared" si="53"/>
        <v>1.1666666666715173</v>
      </c>
      <c r="AG188" s="128">
        <f>Table2[[#This Row],[ATA TO UNLOADING]]*24</f>
        <v>28.000000000116415</v>
      </c>
      <c r="AH188" s="128" t="str">
        <f>IF(Table2[[#This Row],[ATA TO UNLOADING 2]]&lt;=48,"YES","NO")</f>
        <v>YES</v>
      </c>
      <c r="AJ188" s="129">
        <f t="shared" si="54"/>
        <v>0.25</v>
      </c>
      <c r="AK188" s="2" t="s">
        <v>64</v>
      </c>
      <c r="AL188" s="2" t="str">
        <f t="shared" si="55"/>
        <v>6/26</v>
      </c>
      <c r="AM188" s="2" t="str">
        <f t="shared" si="56"/>
        <v>TCNU4994896</v>
      </c>
      <c r="AN188" s="130" t="str">
        <f t="shared" si="57"/>
        <v>MSI</v>
      </c>
      <c r="AO188" s="141">
        <v>503.5</v>
      </c>
      <c r="AP188" s="131" t="e">
        <v>#N/A</v>
      </c>
      <c r="AQ188" s="131">
        <f>VLOOKUP($E188,Invoicing!$A$1:$H$12,MATCH(TRACKER!$Q$1,Invoicing!$A$1:$H$1,0),FALSE)</f>
        <v>50</v>
      </c>
      <c r="AR188" s="131">
        <v>50</v>
      </c>
      <c r="AS188" s="2">
        <f t="shared" si="59"/>
        <v>3</v>
      </c>
      <c r="AT188" s="2" t="str">
        <f t="shared" si="62"/>
        <v>WEEK</v>
      </c>
      <c r="AU188" s="2" t="str">
        <f t="shared" si="60"/>
        <v>MSIWEEK</v>
      </c>
      <c r="AV188" s="94">
        <v>628.5</v>
      </c>
      <c r="AW188" s="48">
        <f>VLOOKUP(AN188,Invoicing!A:K,11,FALSE)</f>
        <v>20</v>
      </c>
      <c r="AX188" s="48">
        <v>75</v>
      </c>
      <c r="AY188" s="94" t="s">
        <v>402</v>
      </c>
      <c r="AZ188" s="48">
        <f t="shared" si="61"/>
        <v>648.5</v>
      </c>
      <c r="BA188" s="132">
        <f>VLOOKUP(AN188,Invoicing!A:J,10,FALSE)</f>
        <v>70</v>
      </c>
      <c r="BB188" s="132">
        <f>VLOOKUP(AN188,Invoicing!A:L,12,FALSE)</f>
        <v>1</v>
      </c>
      <c r="BC188" s="2" t="s">
        <v>359</v>
      </c>
    </row>
    <row r="189" spans="1:55">
      <c r="A189" s="134" t="s">
        <v>395</v>
      </c>
      <c r="B189" s="86" t="s">
        <v>77</v>
      </c>
      <c r="C189" s="11">
        <v>46056.097222222219</v>
      </c>
      <c r="D189" s="11">
        <v>46055.833333333336</v>
      </c>
      <c r="E189" s="11" t="s">
        <v>71</v>
      </c>
      <c r="F189" s="11" t="s">
        <v>403</v>
      </c>
      <c r="G189" s="11" t="s">
        <v>59</v>
      </c>
      <c r="H189" s="11" t="s">
        <v>287</v>
      </c>
      <c r="I189" s="86" t="s">
        <v>404</v>
      </c>
      <c r="J189" s="86" t="s">
        <v>100</v>
      </c>
      <c r="K189" s="11">
        <v>46056.958333333336</v>
      </c>
      <c r="L189" s="12">
        <v>46057.293749999997</v>
      </c>
      <c r="M189" s="12">
        <v>46057.291666666664</v>
      </c>
      <c r="N189" s="12">
        <v>46057.302083333336</v>
      </c>
      <c r="O189" s="12" t="s">
        <v>63</v>
      </c>
      <c r="P189" s="135" t="s">
        <v>64</v>
      </c>
      <c r="Q189" s="3">
        <v>2</v>
      </c>
      <c r="R189" s="1">
        <f t="shared" si="43"/>
        <v>6</v>
      </c>
      <c r="S189" s="1">
        <f t="shared" si="44"/>
        <v>2</v>
      </c>
      <c r="T189" s="126">
        <f t="shared" si="45"/>
        <v>46057.293749999997</v>
      </c>
      <c r="U189" s="127">
        <f t="shared" si="46"/>
        <v>0.86111111111677019</v>
      </c>
      <c r="V189" s="128">
        <f>Table2[[#This Row],[ATA A OFRECIMIENTO]]*24</f>
        <v>20.666666666802485</v>
      </c>
      <c r="W189" s="1" t="str">
        <f t="shared" si="47"/>
        <v>YES</v>
      </c>
      <c r="X189" s="127">
        <f t="shared" si="48"/>
        <v>0.33333333332848269</v>
      </c>
      <c r="Y189" s="128">
        <f>Table2[[#This Row],[DEL. AVAILABLE A SLOT]]*24</f>
        <v>7.9999999998835847</v>
      </c>
      <c r="Z189" s="1" t="str">
        <f t="shared" si="49"/>
        <v>SI</v>
      </c>
      <c r="AA189" s="127">
        <f t="shared" si="50"/>
        <v>1.1944444444452529</v>
      </c>
      <c r="AB189" s="128">
        <f>Table2[[#This Row],[ATA A TIMESLOT]]*24</f>
        <v>28.666666666686069</v>
      </c>
      <c r="AC189" s="127">
        <f t="shared" si="51"/>
        <v>2.0833333328482695E-3</v>
      </c>
      <c r="AD189" s="127" t="str">
        <f t="shared" si="52"/>
        <v>SI</v>
      </c>
      <c r="AE189" s="128">
        <f>Table2[[#This Row],[PUNTUALIDAD (H)]]*24</f>
        <v>4.9999999988358468E-2</v>
      </c>
      <c r="AF189" s="127">
        <f t="shared" si="53"/>
        <v>1.2048611111167702</v>
      </c>
      <c r="AG189" s="128">
        <f>Table2[[#This Row],[ATA TO UNLOADING]]*24</f>
        <v>28.916666666802485</v>
      </c>
      <c r="AH189" s="128" t="str">
        <f>IF(Table2[[#This Row],[ATA TO UNLOADING 2]]&lt;=48,"YES","NO")</f>
        <v>YES</v>
      </c>
      <c r="AJ189" s="129">
        <f t="shared" si="54"/>
        <v>0.29166666666424135</v>
      </c>
      <c r="AK189" s="2" t="s">
        <v>64</v>
      </c>
      <c r="AL189" s="2" t="str">
        <f t="shared" si="55"/>
        <v>6/26</v>
      </c>
      <c r="AM189" s="2" t="str">
        <f t="shared" si="56"/>
        <v>GAOU7089243</v>
      </c>
      <c r="AN189" s="130" t="str">
        <f t="shared" si="57"/>
        <v>LOGIX</v>
      </c>
      <c r="AO189" s="141">
        <v>573.5</v>
      </c>
      <c r="AP189" s="131" t="e">
        <v>#N/A</v>
      </c>
      <c r="AQ189" s="131">
        <f>VLOOKUP($E189,Invoicing!$A$1:$H$12,MATCH(TRACKER!$Q$1,Invoicing!$A$1:$H$1,0),FALSE)</f>
        <v>50</v>
      </c>
      <c r="AR189" s="131">
        <v>100</v>
      </c>
      <c r="AS189" s="2">
        <f t="shared" si="59"/>
        <v>3</v>
      </c>
      <c r="AT189" s="2" t="str">
        <f t="shared" si="62"/>
        <v>WEEK</v>
      </c>
      <c r="AU189" s="2" t="str">
        <f t="shared" si="60"/>
        <v>LOGIXWEEK</v>
      </c>
      <c r="AV189" s="94">
        <v>673.5</v>
      </c>
      <c r="AW189" s="48">
        <f>VLOOKUP(AN189,Invoicing!A:K,11,FALSE)</f>
        <v>20</v>
      </c>
      <c r="AY189" s="48"/>
      <c r="AZ189" s="48">
        <f t="shared" si="61"/>
        <v>693.5</v>
      </c>
      <c r="BA189" s="132">
        <f>VLOOKUP(AN189,Invoicing!A:J,10,FALSE)</f>
        <v>70</v>
      </c>
      <c r="BB189" s="132">
        <f>VLOOKUP(AN189,Invoicing!A:L,12,FALSE)</f>
        <v>1</v>
      </c>
      <c r="BC189" s="2" t="s">
        <v>359</v>
      </c>
    </row>
    <row r="190" spans="1:55">
      <c r="A190" s="134" t="s">
        <v>395</v>
      </c>
      <c r="B190" s="86" t="s">
        <v>77</v>
      </c>
      <c r="C190" s="11">
        <v>46056.097222222219</v>
      </c>
      <c r="D190" s="11">
        <v>46055.833333333336</v>
      </c>
      <c r="E190" s="11" t="s">
        <v>98</v>
      </c>
      <c r="F190" s="11" t="s">
        <v>405</v>
      </c>
      <c r="G190" s="11" t="s">
        <v>59</v>
      </c>
      <c r="H190" s="11" t="s">
        <v>406</v>
      </c>
      <c r="I190" s="86" t="s">
        <v>407</v>
      </c>
      <c r="J190" s="86" t="s">
        <v>82</v>
      </c>
      <c r="K190" s="11">
        <v>46056.958333333336</v>
      </c>
      <c r="L190" s="12">
        <v>46057.303472222222</v>
      </c>
      <c r="M190" s="12">
        <v>46057.333333333336</v>
      </c>
      <c r="N190" s="12">
        <v>46057.347222222219</v>
      </c>
      <c r="O190" s="12" t="s">
        <v>63</v>
      </c>
      <c r="P190" s="135" t="s">
        <v>64</v>
      </c>
      <c r="Q190" s="3">
        <v>0</v>
      </c>
      <c r="R190" s="1">
        <f t="shared" si="43"/>
        <v>6</v>
      </c>
      <c r="S190" s="1">
        <f t="shared" si="44"/>
        <v>2</v>
      </c>
      <c r="T190" s="126">
        <f t="shared" si="45"/>
        <v>46057.303472222222</v>
      </c>
      <c r="U190" s="127">
        <f t="shared" si="46"/>
        <v>0.86111111111677019</v>
      </c>
      <c r="V190" s="128">
        <f>Table2[[#This Row],[ATA A OFRECIMIENTO]]*24</f>
        <v>20.666666666802485</v>
      </c>
      <c r="W190" s="1" t="str">
        <f t="shared" si="47"/>
        <v>YES</v>
      </c>
      <c r="X190" s="127">
        <f t="shared" si="48"/>
        <v>0.375</v>
      </c>
      <c r="Y190" s="128">
        <f>Table2[[#This Row],[DEL. AVAILABLE A SLOT]]*24</f>
        <v>9</v>
      </c>
      <c r="Z190" s="1" t="str">
        <f t="shared" si="49"/>
        <v>SI</v>
      </c>
      <c r="AA190" s="127">
        <f t="shared" si="50"/>
        <v>1.2361111111167702</v>
      </c>
      <c r="AB190" s="128">
        <f>Table2[[#This Row],[ATA A TIMESLOT]]*24</f>
        <v>29.666666666802485</v>
      </c>
      <c r="AC190" s="127">
        <f t="shared" si="51"/>
        <v>0</v>
      </c>
      <c r="AD190" s="127" t="str">
        <f t="shared" si="52"/>
        <v>SI</v>
      </c>
      <c r="AE190" s="128">
        <f>Table2[[#This Row],[PUNTUALIDAD (H)]]*24</f>
        <v>0</v>
      </c>
      <c r="AF190" s="127">
        <f t="shared" si="53"/>
        <v>1.25</v>
      </c>
      <c r="AG190" s="128">
        <f>Table2[[#This Row],[ATA TO UNLOADING]]*24</f>
        <v>30</v>
      </c>
      <c r="AH190" s="128" t="str">
        <f>IF(Table2[[#This Row],[ATA TO UNLOADING 2]]&lt;=48,"YES","NO")</f>
        <v>YES</v>
      </c>
      <c r="AJ190" s="129">
        <f t="shared" si="54"/>
        <v>0.33333333333575865</v>
      </c>
      <c r="AK190" s="2" t="s">
        <v>64</v>
      </c>
      <c r="AL190" s="2" t="str">
        <f t="shared" si="55"/>
        <v>6/26</v>
      </c>
      <c r="AM190" s="2" t="str">
        <f t="shared" si="56"/>
        <v>MRSU6986885</v>
      </c>
      <c r="AN190" s="130" t="str">
        <f t="shared" si="57"/>
        <v>MSI</v>
      </c>
      <c r="AO190" s="141">
        <v>503.5</v>
      </c>
      <c r="AP190" s="131" t="e">
        <v>#N/A</v>
      </c>
      <c r="AQ190" s="131">
        <f>VLOOKUP($E190,Invoicing!$A$1:$H$12,MATCH(TRACKER!$Q$1,Invoicing!$A$1:$H$1,0),FALSE)</f>
        <v>50</v>
      </c>
      <c r="AR190" s="131">
        <v>0</v>
      </c>
      <c r="AS190" s="2">
        <f t="shared" si="59"/>
        <v>3</v>
      </c>
      <c r="AT190" s="2" t="str">
        <f t="shared" si="62"/>
        <v>WEEK</v>
      </c>
      <c r="AU190" s="2" t="str">
        <f t="shared" si="60"/>
        <v>MSIWEEK</v>
      </c>
      <c r="AV190" s="94">
        <v>578.5</v>
      </c>
      <c r="AW190" s="48">
        <f>VLOOKUP(AN190,Invoicing!A:K,11,FALSE)</f>
        <v>20</v>
      </c>
      <c r="AX190" s="48">
        <v>75</v>
      </c>
      <c r="AY190" s="94" t="s">
        <v>408</v>
      </c>
      <c r="AZ190" s="48">
        <f t="shared" si="61"/>
        <v>598.5</v>
      </c>
      <c r="BA190" s="132">
        <f>VLOOKUP(AN190,Invoicing!A:J,10,FALSE)</f>
        <v>70</v>
      </c>
      <c r="BB190" s="132">
        <f>VLOOKUP(AN190,Invoicing!A:L,12,FALSE)</f>
        <v>1</v>
      </c>
      <c r="BC190" s="2" t="s">
        <v>359</v>
      </c>
    </row>
    <row r="191" spans="1:55">
      <c r="A191" s="134" t="s">
        <v>395</v>
      </c>
      <c r="B191" s="86" t="s">
        <v>77</v>
      </c>
      <c r="C191" s="11">
        <v>46056.097222222219</v>
      </c>
      <c r="D191" s="11">
        <v>46055.833333333336</v>
      </c>
      <c r="E191" s="11" t="s">
        <v>83</v>
      </c>
      <c r="F191" s="11" t="s">
        <v>409</v>
      </c>
      <c r="G191" s="11" t="s">
        <v>59</v>
      </c>
      <c r="H191" s="11" t="s">
        <v>80</v>
      </c>
      <c r="I191" s="86" t="s">
        <v>410</v>
      </c>
      <c r="J191" s="86" t="s">
        <v>100</v>
      </c>
      <c r="K191" s="11">
        <v>46056.958333333336</v>
      </c>
      <c r="L191" s="12">
        <v>46057.284722222219</v>
      </c>
      <c r="M191" s="12">
        <v>46057.333333333336</v>
      </c>
      <c r="N191" s="12">
        <v>46057.284722222219</v>
      </c>
      <c r="O191" s="12" t="s">
        <v>63</v>
      </c>
      <c r="P191" s="135" t="s">
        <v>64</v>
      </c>
      <c r="Q191" s="3">
        <v>1</v>
      </c>
      <c r="R191" s="1">
        <f t="shared" si="43"/>
        <v>6</v>
      </c>
      <c r="S191" s="1">
        <f t="shared" si="44"/>
        <v>2</v>
      </c>
      <c r="T191" s="126">
        <f t="shared" si="45"/>
        <v>46057.284722222219</v>
      </c>
      <c r="U191" s="127">
        <f t="shared" si="46"/>
        <v>0.86111111111677019</v>
      </c>
      <c r="V191" s="128">
        <f>Table2[[#This Row],[ATA A OFRECIMIENTO]]*24</f>
        <v>20.666666666802485</v>
      </c>
      <c r="W191" s="1" t="str">
        <f t="shared" si="47"/>
        <v>YES</v>
      </c>
      <c r="X191" s="127">
        <f t="shared" si="48"/>
        <v>0.375</v>
      </c>
      <c r="Y191" s="128">
        <f>Table2[[#This Row],[DEL. AVAILABLE A SLOT]]*24</f>
        <v>9</v>
      </c>
      <c r="Z191" s="1" t="str">
        <f t="shared" si="49"/>
        <v>SI</v>
      </c>
      <c r="AA191" s="127">
        <f t="shared" si="50"/>
        <v>1.2361111111167702</v>
      </c>
      <c r="AB191" s="128">
        <f>Table2[[#This Row],[ATA A TIMESLOT]]*24</f>
        <v>29.666666666802485</v>
      </c>
      <c r="AC191" s="127">
        <f t="shared" si="51"/>
        <v>0</v>
      </c>
      <c r="AD191" s="127" t="str">
        <f t="shared" si="52"/>
        <v>SI</v>
      </c>
      <c r="AE191" s="128">
        <f>Table2[[#This Row],[PUNTUALIDAD (H)]]*24</f>
        <v>0</v>
      </c>
      <c r="AF191" s="127">
        <f t="shared" si="53"/>
        <v>1.1875</v>
      </c>
      <c r="AG191" s="128">
        <f>Table2[[#This Row],[ATA TO UNLOADING]]*24</f>
        <v>28.5</v>
      </c>
      <c r="AH191" s="128" t="str">
        <f>IF(Table2[[#This Row],[ATA TO UNLOADING 2]]&lt;=48,"YES","NO")</f>
        <v>YES</v>
      </c>
      <c r="AJ191" s="129">
        <f t="shared" si="54"/>
        <v>0.33333333333575865</v>
      </c>
      <c r="AK191" s="2" t="s">
        <v>64</v>
      </c>
      <c r="AL191" s="2" t="str">
        <f t="shared" si="55"/>
        <v>6/26</v>
      </c>
      <c r="AM191" s="2" t="str">
        <f t="shared" si="56"/>
        <v>UETU6823477</v>
      </c>
      <c r="AN191" s="130" t="str">
        <f t="shared" si="57"/>
        <v>OM TRANSPORT</v>
      </c>
      <c r="AO191" s="141">
        <v>498.5</v>
      </c>
      <c r="AP191" s="131" t="e">
        <v>#N/A</v>
      </c>
      <c r="AQ191" s="131">
        <f>VLOOKUP($E191,Invoicing!$A$1:$H$12,MATCH(TRACKER!$Q$1,Invoicing!$A$1:$H$1,0),FALSE)</f>
        <v>50</v>
      </c>
      <c r="AR191" s="131">
        <v>50</v>
      </c>
      <c r="AS191" s="2">
        <f t="shared" si="59"/>
        <v>3</v>
      </c>
      <c r="AT191" s="2" t="str">
        <f t="shared" si="62"/>
        <v>WEEK</v>
      </c>
      <c r="AU191" s="2" t="str">
        <f t="shared" si="60"/>
        <v>OM TRANSPORTWEEK</v>
      </c>
      <c r="AV191" s="94">
        <v>548.5</v>
      </c>
      <c r="AW191" s="48">
        <f>VLOOKUP(AN191,Invoicing!A:K,11,FALSE)</f>
        <v>20</v>
      </c>
      <c r="AY191" s="48"/>
      <c r="AZ191" s="48">
        <f t="shared" si="61"/>
        <v>568.5</v>
      </c>
      <c r="BA191" s="132">
        <f>VLOOKUP(AN191,Invoicing!A:J,10,FALSE)</f>
        <v>70</v>
      </c>
      <c r="BB191" s="132">
        <f>VLOOKUP(AN191,Invoicing!A:L,12,FALSE)</f>
        <v>1</v>
      </c>
      <c r="BC191" s="2" t="s">
        <v>359</v>
      </c>
    </row>
    <row r="192" spans="1:55">
      <c r="A192" s="134" t="s">
        <v>395</v>
      </c>
      <c r="B192" s="86" t="s">
        <v>77</v>
      </c>
      <c r="C192" s="11">
        <v>46056.097222222219</v>
      </c>
      <c r="D192" s="11">
        <v>46055.833333333336</v>
      </c>
      <c r="E192" s="11" t="s">
        <v>83</v>
      </c>
      <c r="F192" s="11" t="s">
        <v>411</v>
      </c>
      <c r="G192" s="11" t="s">
        <v>59</v>
      </c>
      <c r="H192" s="11" t="s">
        <v>80</v>
      </c>
      <c r="I192" s="86" t="s">
        <v>412</v>
      </c>
      <c r="J192" s="86" t="s">
        <v>100</v>
      </c>
      <c r="K192" s="11">
        <v>46056.958333333336</v>
      </c>
      <c r="L192" s="12">
        <v>46057.361111111109</v>
      </c>
      <c r="M192" s="12">
        <v>46057.375</v>
      </c>
      <c r="N192" s="12">
        <v>46057.361111111109</v>
      </c>
      <c r="O192" s="12" t="s">
        <v>63</v>
      </c>
      <c r="P192" s="135" t="s">
        <v>64</v>
      </c>
      <c r="Q192" s="3">
        <v>1</v>
      </c>
      <c r="R192" s="1">
        <f t="shared" si="43"/>
        <v>6</v>
      </c>
      <c r="S192" s="1">
        <f t="shared" si="44"/>
        <v>2</v>
      </c>
      <c r="T192" s="126">
        <f t="shared" si="45"/>
        <v>46057.361111111109</v>
      </c>
      <c r="U192" s="127">
        <f t="shared" si="46"/>
        <v>0.86111111111677019</v>
      </c>
      <c r="V192" s="128">
        <f>Table2[[#This Row],[ATA A OFRECIMIENTO]]*24</f>
        <v>20.666666666802485</v>
      </c>
      <c r="W192" s="1" t="str">
        <f t="shared" si="47"/>
        <v>YES</v>
      </c>
      <c r="X192" s="127">
        <f t="shared" si="48"/>
        <v>0.41666666666424135</v>
      </c>
      <c r="Y192" s="128">
        <f>Table2[[#This Row],[DEL. AVAILABLE A SLOT]]*24</f>
        <v>9.9999999999417923</v>
      </c>
      <c r="Z192" s="1" t="str">
        <f t="shared" si="49"/>
        <v>SI</v>
      </c>
      <c r="AA192" s="127">
        <f t="shared" si="50"/>
        <v>1.2777777777810115</v>
      </c>
      <c r="AB192" s="128">
        <f>Table2[[#This Row],[ATA A TIMESLOT]]*24</f>
        <v>30.666666666744277</v>
      </c>
      <c r="AC192" s="127">
        <f t="shared" si="51"/>
        <v>0</v>
      </c>
      <c r="AD192" s="127" t="str">
        <f t="shared" si="52"/>
        <v>SI</v>
      </c>
      <c r="AE192" s="128">
        <f>Table2[[#This Row],[PUNTUALIDAD (H)]]*24</f>
        <v>0</v>
      </c>
      <c r="AF192" s="127">
        <f t="shared" si="53"/>
        <v>1.2638888888905058</v>
      </c>
      <c r="AG192" s="128">
        <f>Table2[[#This Row],[ATA TO UNLOADING]]*24</f>
        <v>30.333333333372138</v>
      </c>
      <c r="AH192" s="128" t="str">
        <f>IF(Table2[[#This Row],[ATA TO UNLOADING 2]]&lt;=48,"YES","NO")</f>
        <v>YES</v>
      </c>
      <c r="AJ192" s="129">
        <f t="shared" si="54"/>
        <v>0.375</v>
      </c>
      <c r="AK192" s="2" t="s">
        <v>64</v>
      </c>
      <c r="AL192" s="2" t="str">
        <f t="shared" si="55"/>
        <v>6/26</v>
      </c>
      <c r="AM192" s="2" t="str">
        <f t="shared" si="56"/>
        <v>MRKU4015342</v>
      </c>
      <c r="AN192" s="130" t="str">
        <f t="shared" si="57"/>
        <v>OM TRANSPORT</v>
      </c>
      <c r="AO192" s="141">
        <v>498.5</v>
      </c>
      <c r="AP192" s="131" t="e">
        <v>#N/A</v>
      </c>
      <c r="AQ192" s="131">
        <f>VLOOKUP($E192,Invoicing!$A$1:$H$12,MATCH(TRACKER!$Q$1,Invoicing!$A$1:$H$1,0),FALSE)</f>
        <v>50</v>
      </c>
      <c r="AR192" s="131">
        <v>50</v>
      </c>
      <c r="AS192" s="2">
        <f t="shared" si="59"/>
        <v>3</v>
      </c>
      <c r="AT192" s="2" t="str">
        <f t="shared" si="62"/>
        <v>WEEK</v>
      </c>
      <c r="AU192" s="2" t="str">
        <f t="shared" si="60"/>
        <v>OM TRANSPORTWEEK</v>
      </c>
      <c r="AV192" s="94">
        <v>593.5</v>
      </c>
      <c r="AW192" s="48">
        <f>VLOOKUP(AN192,Invoicing!A:K,11,FALSE)</f>
        <v>20</v>
      </c>
      <c r="AX192" s="48">
        <v>45</v>
      </c>
      <c r="AY192" s="94" t="s">
        <v>413</v>
      </c>
      <c r="AZ192" s="48">
        <f t="shared" si="61"/>
        <v>613.5</v>
      </c>
      <c r="BA192" s="132">
        <f>VLOOKUP(AN192,Invoicing!A:J,10,FALSE)</f>
        <v>70</v>
      </c>
      <c r="BB192" s="132">
        <f>VLOOKUP(AN192,Invoicing!A:L,12,FALSE)</f>
        <v>1</v>
      </c>
      <c r="BC192" s="2" t="s">
        <v>359</v>
      </c>
    </row>
    <row r="193" spans="1:55">
      <c r="A193" s="134" t="s">
        <v>395</v>
      </c>
      <c r="B193" s="86" t="s">
        <v>77</v>
      </c>
      <c r="C193" s="11">
        <v>46056.097222222219</v>
      </c>
      <c r="D193" s="11">
        <v>46055.833333333336</v>
      </c>
      <c r="E193" s="11" t="s">
        <v>73</v>
      </c>
      <c r="F193" s="11" t="s">
        <v>409</v>
      </c>
      <c r="G193" s="11" t="s">
        <v>59</v>
      </c>
      <c r="H193" s="11" t="s">
        <v>80</v>
      </c>
      <c r="I193" s="86" t="s">
        <v>414</v>
      </c>
      <c r="J193" s="86" t="s">
        <v>82</v>
      </c>
      <c r="K193" s="11">
        <v>46056.958333333336</v>
      </c>
      <c r="L193" s="12">
        <v>46057.458333333336</v>
      </c>
      <c r="M193" s="12">
        <v>46057.458333333336</v>
      </c>
      <c r="N193" s="12">
        <v>46057.479166666664</v>
      </c>
      <c r="O193" s="12" t="s">
        <v>63</v>
      </c>
      <c r="P193" s="135" t="s">
        <v>64</v>
      </c>
      <c r="Q193" s="3">
        <v>0</v>
      </c>
      <c r="R193" s="1">
        <f t="shared" si="43"/>
        <v>6</v>
      </c>
      <c r="S193" s="1">
        <f t="shared" si="44"/>
        <v>2</v>
      </c>
      <c r="T193" s="126">
        <f t="shared" si="45"/>
        <v>46057.458333333336</v>
      </c>
      <c r="U193" s="127">
        <f t="shared" si="46"/>
        <v>0.86111111111677019</v>
      </c>
      <c r="V193" s="128">
        <f>Table2[[#This Row],[ATA A OFRECIMIENTO]]*24</f>
        <v>20.666666666802485</v>
      </c>
      <c r="W193" s="1" t="str">
        <f t="shared" si="47"/>
        <v>YES</v>
      </c>
      <c r="X193" s="127">
        <f t="shared" si="48"/>
        <v>0.5</v>
      </c>
      <c r="Y193" s="128">
        <f>Table2[[#This Row],[DEL. AVAILABLE A SLOT]]*24</f>
        <v>12</v>
      </c>
      <c r="Z193" s="1" t="str">
        <f t="shared" si="49"/>
        <v>SI</v>
      </c>
      <c r="AA193" s="127">
        <f t="shared" si="50"/>
        <v>1.3611111111167702</v>
      </c>
      <c r="AB193" s="128">
        <f>Table2[[#This Row],[ATA A TIMESLOT]]*24</f>
        <v>32.666666666802485</v>
      </c>
      <c r="AC193" s="127">
        <f t="shared" si="51"/>
        <v>0</v>
      </c>
      <c r="AD193" s="127" t="str">
        <f t="shared" si="52"/>
        <v>SI</v>
      </c>
      <c r="AE193" s="128">
        <f>Table2[[#This Row],[PUNTUALIDAD (H)]]*24</f>
        <v>0</v>
      </c>
      <c r="AF193" s="127">
        <f t="shared" si="53"/>
        <v>1.3819444444452529</v>
      </c>
      <c r="AG193" s="128">
        <f>Table2[[#This Row],[ATA TO UNLOADING]]*24</f>
        <v>33.166666666686069</v>
      </c>
      <c r="AH193" s="128" t="str">
        <f>IF(Table2[[#This Row],[ATA TO UNLOADING 2]]&lt;=48,"YES","NO")</f>
        <v>YES</v>
      </c>
      <c r="AJ193" s="129">
        <f t="shared" si="54"/>
        <v>0.45833333333575865</v>
      </c>
      <c r="AK193" s="2" t="s">
        <v>64</v>
      </c>
      <c r="AL193" s="2" t="str">
        <f t="shared" si="55"/>
        <v>6/26</v>
      </c>
      <c r="AM193" s="2" t="str">
        <f t="shared" si="56"/>
        <v>MSKU1490504</v>
      </c>
      <c r="AN193" s="130" t="str">
        <f t="shared" si="57"/>
        <v>OTL</v>
      </c>
      <c r="AO193" s="141">
        <v>553.5</v>
      </c>
      <c r="AP193" s="131" t="e">
        <v>#N/A</v>
      </c>
      <c r="AQ193" s="131">
        <f>VLOOKUP($E193,Invoicing!$A$1:$H$12,MATCH(TRACKER!$Q$1,Invoicing!$A$1:$H$1,0),FALSE)</f>
        <v>60</v>
      </c>
      <c r="AR193" s="131">
        <v>0</v>
      </c>
      <c r="AS193" s="2">
        <f t="shared" si="59"/>
        <v>3</v>
      </c>
      <c r="AT193" s="2" t="str">
        <f t="shared" si="62"/>
        <v>WEEK</v>
      </c>
      <c r="AU193" s="2" t="str">
        <f t="shared" si="60"/>
        <v>OTLWEEK</v>
      </c>
      <c r="AV193" s="94">
        <v>763.5</v>
      </c>
      <c r="AW193" s="48">
        <f>VLOOKUP(AN193,Invoicing!A:K,11,FALSE)</f>
        <v>20</v>
      </c>
      <c r="AX193" s="48">
        <v>210</v>
      </c>
      <c r="AY193" t="s">
        <v>415</v>
      </c>
      <c r="AZ193" s="48">
        <f t="shared" si="61"/>
        <v>783.5</v>
      </c>
      <c r="BA193" s="132">
        <f>VLOOKUP(AN193,Invoicing!A:J,10,FALSE)</f>
        <v>70</v>
      </c>
      <c r="BB193" s="132">
        <f>VLOOKUP(AN193,Invoicing!A:L,12,FALSE)</f>
        <v>1</v>
      </c>
      <c r="BC193" s="2" t="s">
        <v>359</v>
      </c>
    </row>
    <row r="194" spans="1:55">
      <c r="A194" s="134" t="s">
        <v>395</v>
      </c>
      <c r="B194" s="86" t="s">
        <v>77</v>
      </c>
      <c r="C194" s="11">
        <v>46056.097222222219</v>
      </c>
      <c r="D194" s="11">
        <v>46055.833333333336</v>
      </c>
      <c r="E194" s="11" t="s">
        <v>57</v>
      </c>
      <c r="F194" s="11" t="s">
        <v>399</v>
      </c>
      <c r="G194" s="11" t="s">
        <v>59</v>
      </c>
      <c r="H194" s="11" t="s">
        <v>80</v>
      </c>
      <c r="I194" s="86" t="s">
        <v>416</v>
      </c>
      <c r="J194" s="86" t="s">
        <v>82</v>
      </c>
      <c r="K194" s="11">
        <v>46056.958333333336</v>
      </c>
      <c r="L194" s="12">
        <v>46057.495138888888</v>
      </c>
      <c r="M194" s="12">
        <v>46057.541666666664</v>
      </c>
      <c r="N194" s="12">
        <v>46057.53125</v>
      </c>
      <c r="O194" s="12" t="s">
        <v>63</v>
      </c>
      <c r="P194" s="135" t="s">
        <v>64</v>
      </c>
      <c r="Q194" s="3">
        <v>0</v>
      </c>
      <c r="R194" s="1">
        <f t="shared" ref="R194:R257" si="63">IF(M194="","",WEEKNUM(T194,2))</f>
        <v>6</v>
      </c>
      <c r="S194" s="1">
        <f t="shared" ref="S194:S257" si="64">IF(M194="","",MONTH(T194))</f>
        <v>2</v>
      </c>
      <c r="T194" s="126">
        <f t="shared" ref="T194:T257" si="65">IF(ISBLANK(L194),IF(ISBLANK(N194),"00:00",N194),L194)</f>
        <v>46057.495138888888</v>
      </c>
      <c r="U194" s="127">
        <f t="shared" ref="U194:U257" si="66">(K194-C194)</f>
        <v>0.86111111111677019</v>
      </c>
      <c r="V194" s="128">
        <f>Table2[[#This Row],[ATA A OFRECIMIENTO]]*24</f>
        <v>20.666666666802485</v>
      </c>
      <c r="W194" s="1" t="str">
        <f t="shared" ref="W194:W257" si="67">IF(U194="","",IF(U194&lt;=2,"YES","NO"))</f>
        <v>YES</v>
      </c>
      <c r="X194" s="127">
        <f t="shared" ref="X194:X257" si="68">(M194-K194)</f>
        <v>0.58333333332848269</v>
      </c>
      <c r="Y194" s="128">
        <f>Table2[[#This Row],[DEL. AVAILABLE A SLOT]]*24</f>
        <v>13.999999999883585</v>
      </c>
      <c r="Z194" s="1" t="str">
        <f t="shared" ref="Z194:Z257" si="69">IF(X194="","",IF(X194&lt;=1,"SI","NO"))</f>
        <v>SI</v>
      </c>
      <c r="AA194" s="127">
        <f t="shared" ref="AA194:AA257" si="70">(M194-C194)</f>
        <v>1.4444444444452529</v>
      </c>
      <c r="AB194" s="128">
        <f>Table2[[#This Row],[ATA A TIMESLOT]]*24</f>
        <v>34.666666666686069</v>
      </c>
      <c r="AC194" s="127">
        <f t="shared" ref="AC194:AC257" si="71">IF(T194&lt; M194, TIME(0,0,0), T194-M194)</f>
        <v>0</v>
      </c>
      <c r="AD194" s="127" t="str">
        <f t="shared" ref="AD194:AD257" si="72">IF(AC194&gt;TIME(0,40,0),"NO","SI")</f>
        <v>SI</v>
      </c>
      <c r="AE194" s="128">
        <f>Table2[[#This Row],[PUNTUALIDAD (H)]]*24</f>
        <v>0</v>
      </c>
      <c r="AF194" s="127">
        <f t="shared" ref="AF194:AF257" si="73">(N194-C194)</f>
        <v>1.4340277777810115</v>
      </c>
      <c r="AG194" s="128">
        <f>Table2[[#This Row],[ATA TO UNLOADING]]*24</f>
        <v>34.416666666744277</v>
      </c>
      <c r="AH194" s="128" t="str">
        <f>IF(Table2[[#This Row],[ATA TO UNLOADING 2]]&lt;=48,"YES","NO")</f>
        <v>YES</v>
      </c>
      <c r="AJ194" s="129">
        <f t="shared" ref="AJ194:AJ257" si="74">MOD(M194,1)</f>
        <v>0.54166666666424135</v>
      </c>
      <c r="AK194" s="2" t="s">
        <v>64</v>
      </c>
      <c r="AL194" s="2" t="str">
        <f t="shared" ref="AL194:AL257" si="75">IF(M194="","",_xlfn.ISOWEEKNUM(M194)&amp;"/"&amp;RIGHT(YEAR(M194),2))</f>
        <v>6/26</v>
      </c>
      <c r="AM194" s="2" t="str">
        <f t="shared" ref="AM194:AM257" si="76">I194</f>
        <v>MRSU3216350</v>
      </c>
      <c r="AN194" s="130" t="str">
        <f t="shared" ref="AN194:AN257" si="77">E194</f>
        <v>CTK TRANSPORT</v>
      </c>
      <c r="AO194" s="141">
        <v>573.5</v>
      </c>
      <c r="AP194" s="131" t="e">
        <v>#N/A</v>
      </c>
      <c r="AQ194" s="131">
        <f>VLOOKUP($E194,Invoicing!$A$1:$H$12,MATCH(TRACKER!$Q$1,Invoicing!$A$1:$H$1,0),FALSE)</f>
        <v>50</v>
      </c>
      <c r="AR194" s="131">
        <v>0</v>
      </c>
      <c r="AS194" s="2">
        <f t="shared" ref="AS194:AS257" si="78">WEEKDAY(M194,2)</f>
        <v>3</v>
      </c>
      <c r="AT194" s="2" t="str">
        <f t="shared" si="62"/>
        <v>WEEK</v>
      </c>
      <c r="AU194" s="2" t="str">
        <f t="shared" ref="AU194:AU257" si="79">AN194&amp;AT194</f>
        <v>CTK TRANSPORTWEEK</v>
      </c>
      <c r="AV194" s="94">
        <v>673.5</v>
      </c>
      <c r="AW194" s="48">
        <f>VLOOKUP(AN194,Invoicing!A:K,11,FALSE)</f>
        <v>20</v>
      </c>
      <c r="AX194" s="48">
        <v>100</v>
      </c>
      <c r="AY194" s="48" t="s">
        <v>417</v>
      </c>
      <c r="AZ194" s="48">
        <f t="shared" ref="AZ194:AZ257" si="80">AV194+AW194</f>
        <v>693.5</v>
      </c>
      <c r="BA194" s="132">
        <f>VLOOKUP(AN194,Invoicing!A:J,10,FALSE)</f>
        <v>70</v>
      </c>
      <c r="BB194" s="132">
        <f>VLOOKUP(AN194,Invoicing!A:L,12,FALSE)</f>
        <v>1</v>
      </c>
      <c r="BC194" s="2" t="s">
        <v>359</v>
      </c>
    </row>
    <row r="195" spans="1:55">
      <c r="A195" s="134" t="s">
        <v>395</v>
      </c>
      <c r="B195" s="86" t="s">
        <v>77</v>
      </c>
      <c r="C195" s="11">
        <v>46056.097222222219</v>
      </c>
      <c r="D195" s="11">
        <v>46055.833333333336</v>
      </c>
      <c r="E195" s="11" t="s">
        <v>73</v>
      </c>
      <c r="F195" s="11" t="s">
        <v>418</v>
      </c>
      <c r="G195" s="11" t="s">
        <v>59</v>
      </c>
      <c r="H195" s="11" t="s">
        <v>80</v>
      </c>
      <c r="I195" s="86" t="s">
        <v>419</v>
      </c>
      <c r="J195" s="86" t="s">
        <v>82</v>
      </c>
      <c r="K195" s="11">
        <v>46056.958333333336</v>
      </c>
      <c r="L195" s="12">
        <v>46057.572916666664</v>
      </c>
      <c r="M195" s="12">
        <v>46057.583333333336</v>
      </c>
      <c r="N195" s="12">
        <v>46057.572916666664</v>
      </c>
      <c r="O195" s="12" t="s">
        <v>63</v>
      </c>
      <c r="P195" s="135" t="s">
        <v>64</v>
      </c>
      <c r="Q195" s="3">
        <v>0</v>
      </c>
      <c r="R195" s="1">
        <f t="shared" si="63"/>
        <v>6</v>
      </c>
      <c r="S195" s="1">
        <f t="shared" si="64"/>
        <v>2</v>
      </c>
      <c r="T195" s="126">
        <f t="shared" si="65"/>
        <v>46057.572916666664</v>
      </c>
      <c r="U195" s="127">
        <f t="shared" si="66"/>
        <v>0.86111111111677019</v>
      </c>
      <c r="V195" s="128">
        <f>Table2[[#This Row],[ATA A OFRECIMIENTO]]*24</f>
        <v>20.666666666802485</v>
      </c>
      <c r="W195" s="1" t="str">
        <f t="shared" si="67"/>
        <v>YES</v>
      </c>
      <c r="X195" s="127">
        <f t="shared" si="68"/>
        <v>0.625</v>
      </c>
      <c r="Y195" s="128">
        <f>Table2[[#This Row],[DEL. AVAILABLE A SLOT]]*24</f>
        <v>15</v>
      </c>
      <c r="Z195" s="1" t="str">
        <f t="shared" si="69"/>
        <v>SI</v>
      </c>
      <c r="AA195" s="127">
        <f t="shared" si="70"/>
        <v>1.4861111111167702</v>
      </c>
      <c r="AB195" s="128">
        <f>Table2[[#This Row],[ATA A TIMESLOT]]*24</f>
        <v>35.666666666802485</v>
      </c>
      <c r="AC195" s="127">
        <f t="shared" si="71"/>
        <v>0</v>
      </c>
      <c r="AD195" s="127" t="str">
        <f t="shared" si="72"/>
        <v>SI</v>
      </c>
      <c r="AE195" s="128">
        <f>Table2[[#This Row],[PUNTUALIDAD (H)]]*24</f>
        <v>0</v>
      </c>
      <c r="AF195" s="127">
        <f t="shared" si="73"/>
        <v>1.4756944444452529</v>
      </c>
      <c r="AG195" s="128">
        <f>Table2[[#This Row],[ATA TO UNLOADING]]*24</f>
        <v>35.416666666686069</v>
      </c>
      <c r="AH195" s="128" t="str">
        <f>IF(Table2[[#This Row],[ATA TO UNLOADING 2]]&lt;=48,"YES","NO")</f>
        <v>YES</v>
      </c>
      <c r="AJ195" s="129">
        <f t="shared" si="74"/>
        <v>0.58333333333575865</v>
      </c>
      <c r="AK195" s="2" t="s">
        <v>64</v>
      </c>
      <c r="AL195" s="2" t="str">
        <f t="shared" si="75"/>
        <v>6/26</v>
      </c>
      <c r="AM195" s="2" t="str">
        <f t="shared" si="76"/>
        <v>MRKU3517310</v>
      </c>
      <c r="AN195" s="130" t="str">
        <f t="shared" si="77"/>
        <v>OTL</v>
      </c>
      <c r="AO195" s="141">
        <v>553.5</v>
      </c>
      <c r="AP195" s="131" t="e">
        <v>#N/A</v>
      </c>
      <c r="AQ195" s="131">
        <f>VLOOKUP($E195,Invoicing!$A$1:$H$12,MATCH(TRACKER!$Q$1,Invoicing!$A$1:$H$1,0),FALSE)</f>
        <v>60</v>
      </c>
      <c r="AR195" s="131">
        <v>0</v>
      </c>
      <c r="AS195" s="2">
        <f t="shared" si="78"/>
        <v>3</v>
      </c>
      <c r="AT195" s="2" t="str">
        <f t="shared" ref="AT195:AT258" si="81">IF(AS195=7,"SUNDAY",IF(AS195=6,"SATURDAY",IF(AK195="NIGHT","NIGHT",IF(AS195&lt;=5,"WEEK","SUNDAY"))))</f>
        <v>WEEK</v>
      </c>
      <c r="AU195" s="2" t="str">
        <f t="shared" si="79"/>
        <v>OTLWEEK</v>
      </c>
      <c r="AV195" s="94">
        <v>583.5</v>
      </c>
      <c r="AW195" s="48">
        <f>VLOOKUP(AN195,Invoicing!A:K,11,FALSE)</f>
        <v>20</v>
      </c>
      <c r="AX195" s="48">
        <v>30</v>
      </c>
      <c r="AY195" t="s">
        <v>420</v>
      </c>
      <c r="AZ195" s="48">
        <f t="shared" si="80"/>
        <v>603.5</v>
      </c>
      <c r="BA195" s="132">
        <f>VLOOKUP(AN195,Invoicing!A:J,10,FALSE)</f>
        <v>70</v>
      </c>
      <c r="BB195" s="132">
        <f>VLOOKUP(AN195,Invoicing!A:L,12,FALSE)</f>
        <v>1</v>
      </c>
      <c r="BC195" s="2" t="s">
        <v>359</v>
      </c>
    </row>
    <row r="196" spans="1:55">
      <c r="A196" s="134" t="s">
        <v>395</v>
      </c>
      <c r="B196" s="86" t="s">
        <v>77</v>
      </c>
      <c r="C196" s="11">
        <v>46056.097222222219</v>
      </c>
      <c r="D196" s="11">
        <v>46055.833333333336</v>
      </c>
      <c r="E196" s="11" t="s">
        <v>98</v>
      </c>
      <c r="F196" s="11" t="s">
        <v>399</v>
      </c>
      <c r="G196" s="11" t="s">
        <v>59</v>
      </c>
      <c r="H196" s="11" t="s">
        <v>80</v>
      </c>
      <c r="I196" s="86" t="s">
        <v>421</v>
      </c>
      <c r="J196" s="86" t="s">
        <v>82</v>
      </c>
      <c r="K196" s="11">
        <v>46056.958333333336</v>
      </c>
      <c r="L196" s="12">
        <v>46057.584027777775</v>
      </c>
      <c r="M196" s="12">
        <v>46057.625</v>
      </c>
      <c r="N196" s="12">
        <v>46057.645833333336</v>
      </c>
      <c r="O196" s="12" t="s">
        <v>63</v>
      </c>
      <c r="P196" s="135" t="s">
        <v>64</v>
      </c>
      <c r="Q196" s="3">
        <v>0</v>
      </c>
      <c r="R196" s="1">
        <f t="shared" si="63"/>
        <v>6</v>
      </c>
      <c r="S196" s="1">
        <f t="shared" si="64"/>
        <v>2</v>
      </c>
      <c r="T196" s="126">
        <f t="shared" si="65"/>
        <v>46057.584027777775</v>
      </c>
      <c r="U196" s="127">
        <f t="shared" si="66"/>
        <v>0.86111111111677019</v>
      </c>
      <c r="V196" s="128">
        <f>Table2[[#This Row],[ATA A OFRECIMIENTO]]*24</f>
        <v>20.666666666802485</v>
      </c>
      <c r="W196" s="1" t="str">
        <f t="shared" si="67"/>
        <v>YES</v>
      </c>
      <c r="X196" s="127">
        <f t="shared" si="68"/>
        <v>0.66666666666424135</v>
      </c>
      <c r="Y196" s="128">
        <f>Table2[[#This Row],[DEL. AVAILABLE A SLOT]]*24</f>
        <v>15.999999999941792</v>
      </c>
      <c r="Z196" s="1" t="str">
        <f t="shared" si="69"/>
        <v>SI</v>
      </c>
      <c r="AA196" s="127">
        <f t="shared" si="70"/>
        <v>1.5277777777810115</v>
      </c>
      <c r="AB196" s="128">
        <f>Table2[[#This Row],[ATA A TIMESLOT]]*24</f>
        <v>36.666666666744277</v>
      </c>
      <c r="AC196" s="127">
        <f t="shared" si="71"/>
        <v>0</v>
      </c>
      <c r="AD196" s="127" t="str">
        <f t="shared" si="72"/>
        <v>SI</v>
      </c>
      <c r="AE196" s="128">
        <f>Table2[[#This Row],[PUNTUALIDAD (H)]]*24</f>
        <v>0</v>
      </c>
      <c r="AF196" s="127">
        <f t="shared" si="73"/>
        <v>1.5486111111167702</v>
      </c>
      <c r="AG196" s="128">
        <f>Table2[[#This Row],[ATA TO UNLOADING]]*24</f>
        <v>37.166666666802485</v>
      </c>
      <c r="AH196" s="128" t="str">
        <f>IF(Table2[[#This Row],[ATA TO UNLOADING 2]]&lt;=48,"YES","NO")</f>
        <v>YES</v>
      </c>
      <c r="AJ196" s="129">
        <f t="shared" si="74"/>
        <v>0.625</v>
      </c>
      <c r="AK196" s="2" t="s">
        <v>64</v>
      </c>
      <c r="AL196" s="2" t="str">
        <f t="shared" si="75"/>
        <v>6/26</v>
      </c>
      <c r="AM196" s="2" t="str">
        <f t="shared" si="76"/>
        <v>MRSU4750186</v>
      </c>
      <c r="AN196" s="130" t="str">
        <f t="shared" si="77"/>
        <v>MSI</v>
      </c>
      <c r="AO196" s="141">
        <v>503.5</v>
      </c>
      <c r="AP196" s="131" t="e">
        <v>#N/A</v>
      </c>
      <c r="AQ196" s="131">
        <f>VLOOKUP($E196,Invoicing!$A$1:$H$12,MATCH(TRACKER!$Q$1,Invoicing!$A$1:$H$1,0),FALSE)</f>
        <v>50</v>
      </c>
      <c r="AR196" s="131">
        <v>0</v>
      </c>
      <c r="AS196" s="2">
        <f t="shared" si="78"/>
        <v>3</v>
      </c>
      <c r="AT196" s="2" t="str">
        <f t="shared" si="81"/>
        <v>WEEK</v>
      </c>
      <c r="AU196" s="2" t="str">
        <f t="shared" si="79"/>
        <v>MSIWEEK</v>
      </c>
      <c r="AV196" s="94">
        <v>623.5</v>
      </c>
      <c r="AW196" s="48">
        <f>VLOOKUP(AN196,Invoicing!A:K,11,FALSE)</f>
        <v>20</v>
      </c>
      <c r="AX196" s="48">
        <v>120</v>
      </c>
      <c r="AY196" s="94" t="s">
        <v>422</v>
      </c>
      <c r="AZ196" s="48">
        <f t="shared" si="80"/>
        <v>643.5</v>
      </c>
      <c r="BA196" s="132">
        <f>VLOOKUP(AN196,Invoicing!A:J,10,FALSE)</f>
        <v>70</v>
      </c>
      <c r="BB196" s="132">
        <f>VLOOKUP(AN196,Invoicing!A:L,12,FALSE)</f>
        <v>1</v>
      </c>
      <c r="BC196" s="2" t="s">
        <v>359</v>
      </c>
    </row>
    <row r="197" spans="1:55">
      <c r="A197" s="134" t="s">
        <v>395</v>
      </c>
      <c r="B197" s="86" t="s">
        <v>77</v>
      </c>
      <c r="C197" s="11">
        <v>46056.097222222219</v>
      </c>
      <c r="D197" s="11">
        <v>46055.833333333336</v>
      </c>
      <c r="E197" s="11" t="s">
        <v>71</v>
      </c>
      <c r="F197" s="11" t="s">
        <v>409</v>
      </c>
      <c r="G197" s="11" t="s">
        <v>59</v>
      </c>
      <c r="H197" s="11" t="s">
        <v>80</v>
      </c>
      <c r="I197" s="86" t="s">
        <v>423</v>
      </c>
      <c r="J197" s="86" t="s">
        <v>82</v>
      </c>
      <c r="K197" s="11">
        <v>46056.958333333336</v>
      </c>
      <c r="L197" s="12">
        <v>46057.703472222223</v>
      </c>
      <c r="M197" s="12">
        <v>46057.708333333336</v>
      </c>
      <c r="N197" s="12">
        <v>46057.711805555555</v>
      </c>
      <c r="O197" s="12" t="s">
        <v>63</v>
      </c>
      <c r="P197" s="135" t="s">
        <v>64</v>
      </c>
      <c r="Q197" s="3">
        <v>0</v>
      </c>
      <c r="R197" s="1">
        <f t="shared" si="63"/>
        <v>6</v>
      </c>
      <c r="S197" s="1">
        <f t="shared" si="64"/>
        <v>2</v>
      </c>
      <c r="T197" s="126">
        <f t="shared" si="65"/>
        <v>46057.703472222223</v>
      </c>
      <c r="U197" s="127">
        <f t="shared" si="66"/>
        <v>0.86111111111677019</v>
      </c>
      <c r="V197" s="128">
        <f>Table2[[#This Row],[ATA A OFRECIMIENTO]]*24</f>
        <v>20.666666666802485</v>
      </c>
      <c r="W197" s="1" t="str">
        <f t="shared" si="67"/>
        <v>YES</v>
      </c>
      <c r="X197" s="127">
        <f t="shared" si="68"/>
        <v>0.75</v>
      </c>
      <c r="Y197" s="128">
        <f>Table2[[#This Row],[DEL. AVAILABLE A SLOT]]*24</f>
        <v>18</v>
      </c>
      <c r="Z197" s="1" t="str">
        <f t="shared" si="69"/>
        <v>SI</v>
      </c>
      <c r="AA197" s="127">
        <f t="shared" si="70"/>
        <v>1.6111111111167702</v>
      </c>
      <c r="AB197" s="128">
        <f>Table2[[#This Row],[ATA A TIMESLOT]]*24</f>
        <v>38.666666666802485</v>
      </c>
      <c r="AC197" s="127">
        <f t="shared" si="71"/>
        <v>0</v>
      </c>
      <c r="AD197" s="127" t="str">
        <f t="shared" si="72"/>
        <v>SI</v>
      </c>
      <c r="AE197" s="128">
        <f>Table2[[#This Row],[PUNTUALIDAD (H)]]*24</f>
        <v>0</v>
      </c>
      <c r="AF197" s="127">
        <f t="shared" si="73"/>
        <v>1.6145833333357587</v>
      </c>
      <c r="AG197" s="128">
        <f>Table2[[#This Row],[ATA TO UNLOADING]]*24</f>
        <v>38.750000000058208</v>
      </c>
      <c r="AH197" s="128" t="str">
        <f>IF(Table2[[#This Row],[ATA TO UNLOADING 2]]&lt;=48,"YES","NO")</f>
        <v>YES</v>
      </c>
      <c r="AJ197" s="129">
        <f t="shared" si="74"/>
        <v>0.70833333333575865</v>
      </c>
      <c r="AK197" s="2" t="s">
        <v>64</v>
      </c>
      <c r="AL197" s="2" t="str">
        <f t="shared" si="75"/>
        <v>6/26</v>
      </c>
      <c r="AM197" s="2" t="str">
        <f t="shared" si="76"/>
        <v>TIIU5216450</v>
      </c>
      <c r="AN197" s="130" t="str">
        <f t="shared" si="77"/>
        <v>LOGIX</v>
      </c>
      <c r="AO197" s="141">
        <v>573.5</v>
      </c>
      <c r="AP197" s="131" t="e">
        <v>#N/A</v>
      </c>
      <c r="AQ197" s="131">
        <f>VLOOKUP($E197,Invoicing!$A$1:$H$12,MATCH(TRACKER!$Q$1,Invoicing!$A$1:$H$1,0),FALSE)</f>
        <v>50</v>
      </c>
      <c r="AR197" s="131">
        <v>0</v>
      </c>
      <c r="AS197" s="2">
        <f t="shared" si="78"/>
        <v>3</v>
      </c>
      <c r="AT197" s="2" t="str">
        <f t="shared" si="81"/>
        <v>WEEK</v>
      </c>
      <c r="AU197" s="2" t="str">
        <f t="shared" si="79"/>
        <v>LOGIXWEEK</v>
      </c>
      <c r="AV197" s="94">
        <v>573.5</v>
      </c>
      <c r="AW197" s="48">
        <f>VLOOKUP(AN197,Invoicing!A:K,11,FALSE)</f>
        <v>20</v>
      </c>
      <c r="AY197" s="48"/>
      <c r="AZ197" s="48">
        <f t="shared" si="80"/>
        <v>593.5</v>
      </c>
      <c r="BA197" s="132">
        <f>VLOOKUP(AN197,Invoicing!A:J,10,FALSE)</f>
        <v>70</v>
      </c>
      <c r="BB197" s="132">
        <f>VLOOKUP(AN197,Invoicing!A:L,12,FALSE)</f>
        <v>1</v>
      </c>
      <c r="BC197" s="2" t="s">
        <v>359</v>
      </c>
    </row>
    <row r="198" spans="1:55">
      <c r="A198" s="134" t="s">
        <v>395</v>
      </c>
      <c r="B198" s="86" t="s">
        <v>77</v>
      </c>
      <c r="C198" s="11">
        <v>46056.097222222219</v>
      </c>
      <c r="D198" s="11">
        <v>46055.833333333336</v>
      </c>
      <c r="E198" s="11" t="s">
        <v>83</v>
      </c>
      <c r="F198" s="11" t="s">
        <v>411</v>
      </c>
      <c r="G198" s="11" t="s">
        <v>59</v>
      </c>
      <c r="H198" s="11" t="s">
        <v>80</v>
      </c>
      <c r="I198" s="86" t="s">
        <v>424</v>
      </c>
      <c r="J198" s="86" t="s">
        <v>82</v>
      </c>
      <c r="K198" s="11">
        <v>46056.958333333336</v>
      </c>
      <c r="L198" s="12">
        <v>46057.811111111114</v>
      </c>
      <c r="M198" s="12">
        <v>46057.791666666664</v>
      </c>
      <c r="N198" s="12">
        <v>46057.8125</v>
      </c>
      <c r="O198" s="12" t="s">
        <v>63</v>
      </c>
      <c r="P198" s="135" t="s">
        <v>64</v>
      </c>
      <c r="Q198" s="3">
        <v>0</v>
      </c>
      <c r="R198" s="1">
        <f t="shared" si="63"/>
        <v>6</v>
      </c>
      <c r="S198" s="1">
        <f t="shared" si="64"/>
        <v>2</v>
      </c>
      <c r="T198" s="126">
        <f t="shared" si="65"/>
        <v>46057.811111111114</v>
      </c>
      <c r="U198" s="127">
        <f t="shared" si="66"/>
        <v>0.86111111111677019</v>
      </c>
      <c r="V198" s="128">
        <f>Table2[[#This Row],[ATA A OFRECIMIENTO]]*24</f>
        <v>20.666666666802485</v>
      </c>
      <c r="W198" s="1" t="str">
        <f t="shared" si="67"/>
        <v>YES</v>
      </c>
      <c r="X198" s="127">
        <f t="shared" si="68"/>
        <v>0.83333333332848269</v>
      </c>
      <c r="Y198" s="128">
        <f>Table2[[#This Row],[DEL. AVAILABLE A SLOT]]*24</f>
        <v>19.999999999883585</v>
      </c>
      <c r="Z198" s="1" t="str">
        <f t="shared" si="69"/>
        <v>SI</v>
      </c>
      <c r="AA198" s="127">
        <f t="shared" si="70"/>
        <v>1.6944444444452529</v>
      </c>
      <c r="AB198" s="128">
        <f>Table2[[#This Row],[ATA A TIMESLOT]]*24</f>
        <v>40.666666666686069</v>
      </c>
      <c r="AC198" s="127">
        <f t="shared" si="71"/>
        <v>1.9444444449618459E-2</v>
      </c>
      <c r="AD198" s="127" t="str">
        <f t="shared" si="72"/>
        <v>SI</v>
      </c>
      <c r="AE198" s="128">
        <f>Table2[[#This Row],[PUNTUALIDAD (H)]]*24</f>
        <v>0.46666666679084301</v>
      </c>
      <c r="AF198" s="127">
        <f t="shared" si="73"/>
        <v>1.7152777777810115</v>
      </c>
      <c r="AG198" s="128">
        <f>Table2[[#This Row],[ATA TO UNLOADING]]*24</f>
        <v>41.166666666744277</v>
      </c>
      <c r="AH198" s="128" t="str">
        <f>IF(Table2[[#This Row],[ATA TO UNLOADING 2]]&lt;=48,"YES","NO")</f>
        <v>YES</v>
      </c>
      <c r="AJ198" s="129">
        <f t="shared" si="74"/>
        <v>0.79166666666424135</v>
      </c>
      <c r="AK198" s="2" t="s">
        <v>64</v>
      </c>
      <c r="AL198" s="2" t="str">
        <f t="shared" si="75"/>
        <v>6/26</v>
      </c>
      <c r="AM198" s="2" t="str">
        <f t="shared" si="76"/>
        <v>MRSU7766484</v>
      </c>
      <c r="AN198" s="130" t="str">
        <f t="shared" si="77"/>
        <v>OM TRANSPORT</v>
      </c>
      <c r="AO198" s="141">
        <v>498.5</v>
      </c>
      <c r="AP198" s="131" t="e">
        <v>#N/A</v>
      </c>
      <c r="AQ198" s="131">
        <f>VLOOKUP($E198,Invoicing!$A$1:$H$12,MATCH(TRACKER!$Q$1,Invoicing!$A$1:$H$1,0),FALSE)</f>
        <v>50</v>
      </c>
      <c r="AR198" s="131">
        <v>0</v>
      </c>
      <c r="AS198" s="2">
        <f t="shared" si="78"/>
        <v>3</v>
      </c>
      <c r="AT198" s="2" t="str">
        <f t="shared" si="81"/>
        <v>WEEK</v>
      </c>
      <c r="AU198" s="2" t="str">
        <f t="shared" si="79"/>
        <v>OM TRANSPORTWEEK</v>
      </c>
      <c r="AV198" s="94">
        <v>566</v>
      </c>
      <c r="AW198" s="48">
        <f>VLOOKUP(AN198,Invoicing!A:K,11,FALSE)</f>
        <v>20</v>
      </c>
      <c r="AX198" s="48">
        <v>67.5</v>
      </c>
      <c r="AY198" s="94" t="s">
        <v>425</v>
      </c>
      <c r="AZ198" s="48">
        <f t="shared" si="80"/>
        <v>586</v>
      </c>
      <c r="BA198" s="132">
        <f>VLOOKUP(AN198,Invoicing!A:J,10,FALSE)</f>
        <v>70</v>
      </c>
      <c r="BB198" s="132">
        <f>VLOOKUP(AN198,Invoicing!A:L,12,FALSE)</f>
        <v>1</v>
      </c>
      <c r="BC198" s="2" t="s">
        <v>359</v>
      </c>
    </row>
    <row r="199" spans="1:55">
      <c r="A199" s="134" t="s">
        <v>395</v>
      </c>
      <c r="B199" s="86" t="s">
        <v>77</v>
      </c>
      <c r="C199" s="11">
        <v>46056.097222222219</v>
      </c>
      <c r="D199" s="11">
        <v>46055.833333333336</v>
      </c>
      <c r="E199" s="11" t="s">
        <v>83</v>
      </c>
      <c r="F199" s="11" t="s">
        <v>411</v>
      </c>
      <c r="G199" s="11" t="s">
        <v>59</v>
      </c>
      <c r="H199" s="11" t="s">
        <v>80</v>
      </c>
      <c r="I199" s="86" t="s">
        <v>426</v>
      </c>
      <c r="J199" s="86" t="s">
        <v>82</v>
      </c>
      <c r="K199" s="11">
        <v>46056.958333333336</v>
      </c>
      <c r="L199" s="12">
        <v>46057.833333333336</v>
      </c>
      <c r="M199" s="12">
        <v>46057.833333333336</v>
      </c>
      <c r="N199" s="12">
        <v>46057.833333333336</v>
      </c>
      <c r="O199" s="12" t="s">
        <v>63</v>
      </c>
      <c r="P199" s="135" t="s">
        <v>64</v>
      </c>
      <c r="Q199" s="3">
        <v>0</v>
      </c>
      <c r="R199" s="1">
        <f t="shared" si="63"/>
        <v>6</v>
      </c>
      <c r="S199" s="1">
        <f t="shared" si="64"/>
        <v>2</v>
      </c>
      <c r="T199" s="126">
        <f t="shared" si="65"/>
        <v>46057.833333333336</v>
      </c>
      <c r="U199" s="127">
        <f t="shared" si="66"/>
        <v>0.86111111111677019</v>
      </c>
      <c r="V199" s="128">
        <f>Table2[[#This Row],[ATA A OFRECIMIENTO]]*24</f>
        <v>20.666666666802485</v>
      </c>
      <c r="W199" s="1" t="str">
        <f t="shared" si="67"/>
        <v>YES</v>
      </c>
      <c r="X199" s="127">
        <f t="shared" si="68"/>
        <v>0.875</v>
      </c>
      <c r="Y199" s="128">
        <f>Table2[[#This Row],[DEL. AVAILABLE A SLOT]]*24</f>
        <v>21</v>
      </c>
      <c r="Z199" s="1" t="str">
        <f t="shared" si="69"/>
        <v>SI</v>
      </c>
      <c r="AA199" s="127">
        <f t="shared" si="70"/>
        <v>1.7361111111167702</v>
      </c>
      <c r="AB199" s="128">
        <f>Table2[[#This Row],[ATA A TIMESLOT]]*24</f>
        <v>41.666666666802485</v>
      </c>
      <c r="AC199" s="127">
        <f t="shared" si="71"/>
        <v>0</v>
      </c>
      <c r="AD199" s="127" t="str">
        <f t="shared" si="72"/>
        <v>SI</v>
      </c>
      <c r="AE199" s="128">
        <f>Table2[[#This Row],[PUNTUALIDAD (H)]]*24</f>
        <v>0</v>
      </c>
      <c r="AF199" s="127">
        <f t="shared" si="73"/>
        <v>1.7361111111167702</v>
      </c>
      <c r="AG199" s="128">
        <f>Table2[[#This Row],[ATA TO UNLOADING]]*24</f>
        <v>41.666666666802485</v>
      </c>
      <c r="AH199" s="128" t="str">
        <f>IF(Table2[[#This Row],[ATA TO UNLOADING 2]]&lt;=48,"YES","NO")</f>
        <v>YES</v>
      </c>
      <c r="AJ199" s="129">
        <f t="shared" si="74"/>
        <v>0.83333333333575865</v>
      </c>
      <c r="AK199" s="49" t="s">
        <v>36</v>
      </c>
      <c r="AL199" s="2" t="str">
        <f t="shared" si="75"/>
        <v>6/26</v>
      </c>
      <c r="AM199" s="2" t="str">
        <f t="shared" si="76"/>
        <v>MSKU9926533</v>
      </c>
      <c r="AN199" s="130" t="str">
        <f t="shared" si="77"/>
        <v>OM TRANSPORT</v>
      </c>
      <c r="AO199" s="141">
        <v>498.5</v>
      </c>
      <c r="AP199" s="131" t="e">
        <v>#N/A</v>
      </c>
      <c r="AQ199" s="131">
        <f>VLOOKUP($E199,Invoicing!$A$1:$H$12,MATCH(TRACKER!$Q$1,Invoicing!$A$1:$H$1,0),FALSE)</f>
        <v>50</v>
      </c>
      <c r="AR199" s="131">
        <v>0</v>
      </c>
      <c r="AS199" s="2">
        <f t="shared" si="78"/>
        <v>3</v>
      </c>
      <c r="AT199" s="2" t="str">
        <f t="shared" si="81"/>
        <v>NIGHT</v>
      </c>
      <c r="AU199" s="2" t="str">
        <f t="shared" si="79"/>
        <v>OM TRANSPORTNIGHT</v>
      </c>
      <c r="AV199" s="94">
        <v>566</v>
      </c>
      <c r="AW199" s="48">
        <f>VLOOKUP(AN199,Invoicing!A:K,11,FALSE)</f>
        <v>20</v>
      </c>
      <c r="AX199" s="48">
        <v>67.5</v>
      </c>
      <c r="AY199" s="94" t="s">
        <v>427</v>
      </c>
      <c r="AZ199" s="48">
        <f t="shared" si="80"/>
        <v>586</v>
      </c>
      <c r="BA199" s="132">
        <f>VLOOKUP(AN199,Invoicing!A:J,10,FALSE)</f>
        <v>70</v>
      </c>
      <c r="BB199" s="132">
        <f>VLOOKUP(AN199,Invoicing!A:L,12,FALSE)</f>
        <v>1</v>
      </c>
      <c r="BC199" s="2" t="s">
        <v>359</v>
      </c>
    </row>
    <row r="200" spans="1:55">
      <c r="A200" s="134" t="s">
        <v>428</v>
      </c>
      <c r="B200" s="86" t="s">
        <v>56</v>
      </c>
      <c r="C200" s="11">
        <v>46056.821527777778</v>
      </c>
      <c r="D200" s="11">
        <v>46056.791666666664</v>
      </c>
      <c r="E200" s="11" t="s">
        <v>83</v>
      </c>
      <c r="F200" s="11" t="s">
        <v>429</v>
      </c>
      <c r="G200" s="11" t="s">
        <v>59</v>
      </c>
      <c r="H200" s="11" t="s">
        <v>68</v>
      </c>
      <c r="I200" s="86" t="s">
        <v>430</v>
      </c>
      <c r="J200" s="86" t="s">
        <v>82</v>
      </c>
      <c r="K200" s="12">
        <v>46058.25</v>
      </c>
      <c r="L200" s="12">
        <v>46058.226388888892</v>
      </c>
      <c r="M200" s="12">
        <v>46058.25</v>
      </c>
      <c r="N200" s="12">
        <v>46058.288194444445</v>
      </c>
      <c r="O200" s="12" t="s">
        <v>63</v>
      </c>
      <c r="P200" s="135" t="s">
        <v>64</v>
      </c>
      <c r="Q200" s="3">
        <v>0</v>
      </c>
      <c r="R200" s="1">
        <f t="shared" si="63"/>
        <v>6</v>
      </c>
      <c r="S200" s="1">
        <f t="shared" si="64"/>
        <v>2</v>
      </c>
      <c r="T200" s="126">
        <f t="shared" si="65"/>
        <v>46058.226388888892</v>
      </c>
      <c r="U200" s="127">
        <f t="shared" si="66"/>
        <v>1.4284722222218988</v>
      </c>
      <c r="V200" s="128">
        <f>Table2[[#This Row],[ATA A OFRECIMIENTO]]*24</f>
        <v>34.283333333325572</v>
      </c>
      <c r="W200" s="1" t="str">
        <f t="shared" si="67"/>
        <v>YES</v>
      </c>
      <c r="X200" s="127">
        <f t="shared" si="68"/>
        <v>0</v>
      </c>
      <c r="Y200" s="128">
        <f>Table2[[#This Row],[DEL. AVAILABLE A SLOT]]*24</f>
        <v>0</v>
      </c>
      <c r="Z200" s="1" t="str">
        <f t="shared" si="69"/>
        <v>SI</v>
      </c>
      <c r="AA200" s="127">
        <f t="shared" si="70"/>
        <v>1.4284722222218988</v>
      </c>
      <c r="AB200" s="128">
        <f>Table2[[#This Row],[ATA A TIMESLOT]]*24</f>
        <v>34.283333333325572</v>
      </c>
      <c r="AC200" s="127">
        <f t="shared" si="71"/>
        <v>0</v>
      </c>
      <c r="AD200" s="127" t="str">
        <f t="shared" si="72"/>
        <v>SI</v>
      </c>
      <c r="AE200" s="128">
        <f>Table2[[#This Row],[PUNTUALIDAD (H)]]*24</f>
        <v>0</v>
      </c>
      <c r="AF200" s="127">
        <f t="shared" si="73"/>
        <v>1.4666666666671517</v>
      </c>
      <c r="AG200" s="128">
        <f>Table2[[#This Row],[ATA TO UNLOADING]]*24</f>
        <v>35.200000000011642</v>
      </c>
      <c r="AH200" s="128" t="str">
        <f>IF(Table2[[#This Row],[ATA TO UNLOADING 2]]&lt;=48,"YES","NO")</f>
        <v>YES</v>
      </c>
      <c r="AJ200" s="129">
        <f t="shared" si="74"/>
        <v>0.25</v>
      </c>
      <c r="AK200" s="2" t="s">
        <v>64</v>
      </c>
      <c r="AL200" s="2" t="str">
        <f t="shared" si="75"/>
        <v>6/26</v>
      </c>
      <c r="AM200" s="2" t="str">
        <f t="shared" si="76"/>
        <v>MRSU7991546</v>
      </c>
      <c r="AN200" s="130" t="str">
        <f t="shared" si="77"/>
        <v>OM TRANSPORT</v>
      </c>
      <c r="AO200" s="141">
        <v>475</v>
      </c>
      <c r="AP200" s="131" t="e">
        <v>#N/A</v>
      </c>
      <c r="AQ200" s="131">
        <f>VLOOKUP($E200,Invoicing!$A$1:$H$12,MATCH(TRACKER!$Q$1,Invoicing!$A$1:$H$1,0),FALSE)</f>
        <v>50</v>
      </c>
      <c r="AR200" s="131">
        <v>0</v>
      </c>
      <c r="AS200" s="2">
        <f t="shared" si="78"/>
        <v>4</v>
      </c>
      <c r="AT200" s="2" t="str">
        <f t="shared" si="81"/>
        <v>WEEK</v>
      </c>
      <c r="AU200" s="2" t="str">
        <f t="shared" si="79"/>
        <v>OM TRANSPORTWEEK</v>
      </c>
      <c r="AV200" s="94">
        <v>497.5</v>
      </c>
      <c r="AW200" s="48">
        <f>VLOOKUP(AN200,Invoicing!A:K,11,FALSE)</f>
        <v>20</v>
      </c>
      <c r="AX200" s="48">
        <v>22.5</v>
      </c>
      <c r="AY200" s="94" t="s">
        <v>431</v>
      </c>
      <c r="AZ200" s="48">
        <f t="shared" si="80"/>
        <v>517.5</v>
      </c>
      <c r="BA200" s="132">
        <f>VLOOKUP(AN200,Invoicing!A:J,10,FALSE)</f>
        <v>70</v>
      </c>
      <c r="BB200" s="132">
        <f>VLOOKUP(AN200,Invoicing!A:L,12,FALSE)</f>
        <v>1</v>
      </c>
      <c r="BC200" s="2" t="s">
        <v>359</v>
      </c>
    </row>
    <row r="201" spans="1:55">
      <c r="A201" s="134" t="s">
        <v>428</v>
      </c>
      <c r="B201" s="86" t="s">
        <v>56</v>
      </c>
      <c r="C201" s="11">
        <v>46056.821527777778</v>
      </c>
      <c r="D201" s="11">
        <v>46056.791666666664</v>
      </c>
      <c r="E201" s="11" t="s">
        <v>83</v>
      </c>
      <c r="F201" s="11" t="s">
        <v>432</v>
      </c>
      <c r="G201" s="11" t="s">
        <v>59</v>
      </c>
      <c r="H201" s="11" t="s">
        <v>60</v>
      </c>
      <c r="I201" s="86" t="s">
        <v>433</v>
      </c>
      <c r="J201" s="86" t="s">
        <v>82</v>
      </c>
      <c r="K201" s="12">
        <v>46058.291666666664</v>
      </c>
      <c r="L201" s="12">
        <v>46058.291666666664</v>
      </c>
      <c r="M201" s="12">
        <v>46058.291666666664</v>
      </c>
      <c r="N201" s="12">
        <v>46058.333333333336</v>
      </c>
      <c r="O201" s="12" t="s">
        <v>63</v>
      </c>
      <c r="P201" s="135" t="s">
        <v>15</v>
      </c>
      <c r="Q201" s="3">
        <v>0</v>
      </c>
      <c r="R201" s="1">
        <f t="shared" si="63"/>
        <v>6</v>
      </c>
      <c r="S201" s="1">
        <f t="shared" si="64"/>
        <v>2</v>
      </c>
      <c r="T201" s="126">
        <f t="shared" si="65"/>
        <v>46058.291666666664</v>
      </c>
      <c r="U201" s="127">
        <f t="shared" si="66"/>
        <v>1.4701388888861402</v>
      </c>
      <c r="V201" s="128">
        <f>Table2[[#This Row],[ATA A OFRECIMIENTO]]*24</f>
        <v>35.283333333267365</v>
      </c>
      <c r="W201" s="1" t="str">
        <f t="shared" si="67"/>
        <v>YES</v>
      </c>
      <c r="X201" s="127">
        <f t="shared" si="68"/>
        <v>0</v>
      </c>
      <c r="Y201" s="128">
        <f>Table2[[#This Row],[DEL. AVAILABLE A SLOT]]*24</f>
        <v>0</v>
      </c>
      <c r="Z201" s="1" t="str">
        <f t="shared" si="69"/>
        <v>SI</v>
      </c>
      <c r="AA201" s="127">
        <f t="shared" si="70"/>
        <v>1.4701388888861402</v>
      </c>
      <c r="AB201" s="128">
        <f>Table2[[#This Row],[ATA A TIMESLOT]]*24</f>
        <v>35.283333333267365</v>
      </c>
      <c r="AC201" s="127">
        <f t="shared" si="71"/>
        <v>0</v>
      </c>
      <c r="AD201" s="127" t="str">
        <f t="shared" si="72"/>
        <v>SI</v>
      </c>
      <c r="AE201" s="128">
        <f>Table2[[#This Row],[PUNTUALIDAD (H)]]*24</f>
        <v>0</v>
      </c>
      <c r="AF201" s="127">
        <f t="shared" si="73"/>
        <v>1.5118055555576575</v>
      </c>
      <c r="AG201" s="128">
        <f>Table2[[#This Row],[ATA TO UNLOADING]]*24</f>
        <v>36.28333333338378</v>
      </c>
      <c r="AH201" s="128" t="str">
        <f>IF(Table2[[#This Row],[ATA TO UNLOADING 2]]&lt;=48,"YES","NO")</f>
        <v>YES</v>
      </c>
      <c r="AJ201" s="129">
        <f t="shared" si="74"/>
        <v>0.29166666666424135</v>
      </c>
      <c r="AK201" s="2" t="s">
        <v>64</v>
      </c>
      <c r="AL201" s="2" t="str">
        <f t="shared" si="75"/>
        <v>6/26</v>
      </c>
      <c r="AM201" s="2" t="str">
        <f t="shared" si="76"/>
        <v>MRKU5127624</v>
      </c>
      <c r="AN201" s="130" t="str">
        <f t="shared" si="77"/>
        <v>OM TRANSPORT</v>
      </c>
      <c r="AO201" s="141">
        <v>475</v>
      </c>
      <c r="AP201" s="131">
        <v>110</v>
      </c>
      <c r="AQ201" s="131">
        <f>VLOOKUP($E201,Invoicing!$A$1:$H$12,MATCH(TRACKER!$Q$1,Invoicing!$A$1:$H$1,0),FALSE)</f>
        <v>50</v>
      </c>
      <c r="AR201" s="131">
        <v>0</v>
      </c>
      <c r="AS201" s="2">
        <f t="shared" si="78"/>
        <v>4</v>
      </c>
      <c r="AT201" s="2" t="str">
        <f t="shared" si="81"/>
        <v>WEEK</v>
      </c>
      <c r="AU201" s="2" t="str">
        <f t="shared" si="79"/>
        <v>OM TRANSPORTWEEK</v>
      </c>
      <c r="AV201" s="94">
        <v>663.75</v>
      </c>
      <c r="AW201" s="48">
        <f>VLOOKUP(AN201,Invoicing!A:K,11,FALSE)</f>
        <v>20</v>
      </c>
      <c r="AX201" s="48">
        <v>78.75</v>
      </c>
      <c r="AY201" s="94" t="s">
        <v>434</v>
      </c>
      <c r="AZ201" s="48">
        <f t="shared" si="80"/>
        <v>683.75</v>
      </c>
      <c r="BA201" s="132">
        <f>VLOOKUP(AN201,Invoicing!A:J,10,FALSE)</f>
        <v>70</v>
      </c>
      <c r="BB201" s="132">
        <f>VLOOKUP(AN201,Invoicing!A:L,12,FALSE)</f>
        <v>1</v>
      </c>
      <c r="BC201" s="2" t="s">
        <v>359</v>
      </c>
    </row>
    <row r="202" spans="1:55">
      <c r="A202" s="134" t="s">
        <v>428</v>
      </c>
      <c r="B202" s="86" t="s">
        <v>56</v>
      </c>
      <c r="C202" s="11">
        <v>46056.821527777778</v>
      </c>
      <c r="D202" s="11">
        <v>46056.791666666664</v>
      </c>
      <c r="E202" s="11" t="s">
        <v>83</v>
      </c>
      <c r="F202" s="11" t="s">
        <v>432</v>
      </c>
      <c r="G202" s="11" t="s">
        <v>59</v>
      </c>
      <c r="H202" s="11" t="s">
        <v>60</v>
      </c>
      <c r="I202" s="86" t="s">
        <v>435</v>
      </c>
      <c r="J202" s="86" t="s">
        <v>82</v>
      </c>
      <c r="K202" s="12">
        <v>46058.583333333336</v>
      </c>
      <c r="L202" s="12">
        <v>46058.580555555556</v>
      </c>
      <c r="M202" s="12">
        <v>46058.583333333336</v>
      </c>
      <c r="N202" s="12">
        <v>46058.597222222219</v>
      </c>
      <c r="O202" s="12" t="s">
        <v>63</v>
      </c>
      <c r="P202" s="135" t="s">
        <v>15</v>
      </c>
      <c r="Q202" s="3">
        <v>0</v>
      </c>
      <c r="R202" s="1">
        <f t="shared" si="63"/>
        <v>6</v>
      </c>
      <c r="S202" s="1">
        <f t="shared" si="64"/>
        <v>2</v>
      </c>
      <c r="T202" s="126">
        <f t="shared" si="65"/>
        <v>46058.580555555556</v>
      </c>
      <c r="U202" s="127">
        <f t="shared" si="66"/>
        <v>1.7618055555576575</v>
      </c>
      <c r="V202" s="128">
        <f>Table2[[#This Row],[ATA A OFRECIMIENTO]]*24</f>
        <v>42.28333333338378</v>
      </c>
      <c r="W202" s="1" t="str">
        <f t="shared" si="67"/>
        <v>YES</v>
      </c>
      <c r="X202" s="127">
        <f t="shared" si="68"/>
        <v>0</v>
      </c>
      <c r="Y202" s="128">
        <f>Table2[[#This Row],[DEL. AVAILABLE A SLOT]]*24</f>
        <v>0</v>
      </c>
      <c r="Z202" s="1" t="str">
        <f t="shared" si="69"/>
        <v>SI</v>
      </c>
      <c r="AA202" s="127">
        <f t="shared" si="70"/>
        <v>1.7618055555576575</v>
      </c>
      <c r="AB202" s="128">
        <f>Table2[[#This Row],[ATA A TIMESLOT]]*24</f>
        <v>42.28333333338378</v>
      </c>
      <c r="AC202" s="127">
        <f t="shared" si="71"/>
        <v>0</v>
      </c>
      <c r="AD202" s="127" t="str">
        <f t="shared" si="72"/>
        <v>SI</v>
      </c>
      <c r="AE202" s="128">
        <f>Table2[[#This Row],[PUNTUALIDAD (H)]]*24</f>
        <v>0</v>
      </c>
      <c r="AF202" s="127">
        <f t="shared" si="73"/>
        <v>1.7756944444408873</v>
      </c>
      <c r="AG202" s="128">
        <f>Table2[[#This Row],[ATA TO UNLOADING]]*24</f>
        <v>42.616666666581295</v>
      </c>
      <c r="AH202" s="128" t="str">
        <f>IF(Table2[[#This Row],[ATA TO UNLOADING 2]]&lt;=48,"YES","NO")</f>
        <v>YES</v>
      </c>
      <c r="AJ202" s="129">
        <f t="shared" si="74"/>
        <v>0.58333333333575865</v>
      </c>
      <c r="AK202" s="2" t="s">
        <v>64</v>
      </c>
      <c r="AL202" s="2" t="str">
        <f t="shared" si="75"/>
        <v>6/26</v>
      </c>
      <c r="AM202" s="2" t="str">
        <f t="shared" si="76"/>
        <v>FFAU1935618</v>
      </c>
      <c r="AN202" s="130" t="str">
        <f t="shared" si="77"/>
        <v>OM TRANSPORT</v>
      </c>
      <c r="AO202" s="141">
        <v>475</v>
      </c>
      <c r="AP202" s="131">
        <v>110</v>
      </c>
      <c r="AQ202" s="131">
        <f>VLOOKUP($E202,Invoicing!$A$1:$H$12,MATCH(TRACKER!$Q$1,Invoicing!$A$1:$H$1,0),FALSE)</f>
        <v>50</v>
      </c>
      <c r="AR202" s="131">
        <v>0</v>
      </c>
      <c r="AS202" s="2">
        <f t="shared" si="78"/>
        <v>4</v>
      </c>
      <c r="AT202" s="2" t="str">
        <f t="shared" si="81"/>
        <v>WEEK</v>
      </c>
      <c r="AU202" s="2" t="str">
        <f t="shared" si="79"/>
        <v>OM TRANSPORTWEEK</v>
      </c>
      <c r="AV202" s="94">
        <v>697.5</v>
      </c>
      <c r="AW202" s="48">
        <f>VLOOKUP(AN202,Invoicing!A:K,11,FALSE)</f>
        <v>20</v>
      </c>
      <c r="AX202" s="48">
        <v>112.5</v>
      </c>
      <c r="AY202" s="94" t="s">
        <v>436</v>
      </c>
      <c r="AZ202" s="48">
        <f t="shared" si="80"/>
        <v>717.5</v>
      </c>
      <c r="BA202" s="132">
        <f>VLOOKUP(AN202,Invoicing!A:J,10,FALSE)</f>
        <v>70</v>
      </c>
      <c r="BB202" s="132">
        <f>VLOOKUP(AN202,Invoicing!A:L,12,FALSE)</f>
        <v>1</v>
      </c>
      <c r="BC202" s="2" t="s">
        <v>359</v>
      </c>
    </row>
    <row r="203" spans="1:55">
      <c r="A203" s="134" t="s">
        <v>428</v>
      </c>
      <c r="B203" s="86" t="s">
        <v>56</v>
      </c>
      <c r="C203" s="11">
        <v>46056.821527777778</v>
      </c>
      <c r="D203" s="11">
        <v>46056.791666666664</v>
      </c>
      <c r="E203" s="11" t="s">
        <v>98</v>
      </c>
      <c r="F203" s="11" t="s">
        <v>429</v>
      </c>
      <c r="G203" s="11" t="s">
        <v>59</v>
      </c>
      <c r="H203" s="11" t="s">
        <v>68</v>
      </c>
      <c r="I203" s="86" t="s">
        <v>437</v>
      </c>
      <c r="J203" s="86" t="s">
        <v>100</v>
      </c>
      <c r="K203" s="11">
        <v>46058.708333333336</v>
      </c>
      <c r="L203" s="12">
        <v>46058.767361111109</v>
      </c>
      <c r="M203" s="12">
        <v>46058.708333333336</v>
      </c>
      <c r="N203" s="12">
        <v>46058.770833333336</v>
      </c>
      <c r="O203" s="12" t="s">
        <v>63</v>
      </c>
      <c r="P203" s="135" t="s">
        <v>64</v>
      </c>
      <c r="Q203" s="3">
        <v>0</v>
      </c>
      <c r="R203" s="1">
        <f t="shared" si="63"/>
        <v>6</v>
      </c>
      <c r="S203" s="1">
        <f t="shared" si="64"/>
        <v>2</v>
      </c>
      <c r="T203" s="126">
        <f t="shared" si="65"/>
        <v>46058.767361111109</v>
      </c>
      <c r="U203" s="127">
        <f t="shared" si="66"/>
        <v>1.8868055555576575</v>
      </c>
      <c r="V203" s="128">
        <f>Table2[[#This Row],[ATA A OFRECIMIENTO]]*24</f>
        <v>45.28333333338378</v>
      </c>
      <c r="W203" s="1" t="str">
        <f t="shared" si="67"/>
        <v>YES</v>
      </c>
      <c r="X203" s="127">
        <f t="shared" si="68"/>
        <v>0</v>
      </c>
      <c r="Y203" s="128">
        <f>Table2[[#This Row],[DEL. AVAILABLE A SLOT]]*24</f>
        <v>0</v>
      </c>
      <c r="Z203" s="1" t="str">
        <f t="shared" si="69"/>
        <v>SI</v>
      </c>
      <c r="AA203" s="127">
        <f t="shared" si="70"/>
        <v>1.8868055555576575</v>
      </c>
      <c r="AB203" s="128">
        <f>Table2[[#This Row],[ATA A TIMESLOT]]*24</f>
        <v>45.28333333338378</v>
      </c>
      <c r="AC203" s="127">
        <f t="shared" si="71"/>
        <v>5.9027777773735579E-2</v>
      </c>
      <c r="AD203" s="127" t="str">
        <f t="shared" si="72"/>
        <v>NO</v>
      </c>
      <c r="AE203" s="128">
        <f>Table2[[#This Row],[PUNTUALIDAD (H)]]*24</f>
        <v>1.4166666665696539</v>
      </c>
      <c r="AF203" s="127">
        <f t="shared" si="73"/>
        <v>1.9493055555576575</v>
      </c>
      <c r="AG203" s="128">
        <f>Table2[[#This Row],[ATA TO UNLOADING]]*24</f>
        <v>46.78333333338378</v>
      </c>
      <c r="AH203" s="128" t="str">
        <f>IF(Table2[[#This Row],[ATA TO UNLOADING 2]]&lt;=48,"YES","NO")</f>
        <v>YES</v>
      </c>
      <c r="AJ203" s="129">
        <f t="shared" si="74"/>
        <v>0.70833333333575865</v>
      </c>
      <c r="AK203" s="2" t="s">
        <v>64</v>
      </c>
      <c r="AL203" s="2" t="str">
        <f t="shared" si="75"/>
        <v>6/26</v>
      </c>
      <c r="AM203" s="2" t="str">
        <f t="shared" si="76"/>
        <v>MRKU4017920</v>
      </c>
      <c r="AN203" s="130" t="str">
        <f t="shared" si="77"/>
        <v>MSI</v>
      </c>
      <c r="AO203" s="141">
        <v>480</v>
      </c>
      <c r="AP203" s="131" t="e">
        <v>#N/A</v>
      </c>
      <c r="AQ203" s="131">
        <f>VLOOKUP($E203,Invoicing!$A$1:$H$12,MATCH(TRACKER!$Q$1,Invoicing!$A$1:$H$1,0),FALSE)</f>
        <v>50</v>
      </c>
      <c r="AR203" s="131">
        <v>0</v>
      </c>
      <c r="AS203" s="2">
        <f t="shared" si="78"/>
        <v>4</v>
      </c>
      <c r="AT203" s="2" t="str">
        <f t="shared" si="81"/>
        <v>WEEK</v>
      </c>
      <c r="AU203" s="2" t="str">
        <f t="shared" si="79"/>
        <v>MSIWEEK</v>
      </c>
      <c r="AV203" s="94">
        <v>480</v>
      </c>
      <c r="AW203" s="48">
        <f>VLOOKUP(AN203,Invoicing!A:K,11,FALSE)</f>
        <v>20</v>
      </c>
      <c r="AY203" s="48"/>
      <c r="AZ203" s="48">
        <f t="shared" si="80"/>
        <v>500</v>
      </c>
      <c r="BA203" s="132">
        <f>VLOOKUP(AN203,Invoicing!A:J,10,FALSE)</f>
        <v>70</v>
      </c>
      <c r="BB203" s="132">
        <f>VLOOKUP(AN203,Invoicing!A:L,12,FALSE)</f>
        <v>1</v>
      </c>
      <c r="BC203" s="2" t="s">
        <v>359</v>
      </c>
    </row>
    <row r="204" spans="1:55">
      <c r="A204" s="134" t="s">
        <v>428</v>
      </c>
      <c r="B204" s="86" t="s">
        <v>56</v>
      </c>
      <c r="C204" s="11">
        <v>46056.821527777778</v>
      </c>
      <c r="D204" s="11">
        <v>46056.791666666664</v>
      </c>
      <c r="E204" s="11" t="s">
        <v>73</v>
      </c>
      <c r="F204" s="11" t="s">
        <v>438</v>
      </c>
      <c r="G204" s="11" t="s">
        <v>59</v>
      </c>
      <c r="H204" s="11" t="s">
        <v>144</v>
      </c>
      <c r="I204" s="86" t="s">
        <v>439</v>
      </c>
      <c r="J204" s="86" t="s">
        <v>100</v>
      </c>
      <c r="K204" s="11">
        <v>46058.708333333336</v>
      </c>
      <c r="L204" s="12">
        <v>46058.835416666669</v>
      </c>
      <c r="M204" s="12">
        <v>46058.708333333336</v>
      </c>
      <c r="N204" s="12">
        <v>46058.838888888888</v>
      </c>
      <c r="O204" s="12" t="s">
        <v>63</v>
      </c>
      <c r="P204" s="135" t="s">
        <v>64</v>
      </c>
      <c r="Q204" s="3">
        <v>0</v>
      </c>
      <c r="R204" s="1">
        <f t="shared" si="63"/>
        <v>6</v>
      </c>
      <c r="S204" s="1">
        <f t="shared" si="64"/>
        <v>2</v>
      </c>
      <c r="T204" s="126">
        <f t="shared" si="65"/>
        <v>46058.835416666669</v>
      </c>
      <c r="U204" s="127">
        <f t="shared" si="66"/>
        <v>1.8868055555576575</v>
      </c>
      <c r="V204" s="128">
        <f>Table2[[#This Row],[ATA A OFRECIMIENTO]]*24</f>
        <v>45.28333333338378</v>
      </c>
      <c r="W204" s="1" t="str">
        <f t="shared" si="67"/>
        <v>YES</v>
      </c>
      <c r="X204" s="127">
        <f t="shared" si="68"/>
        <v>0</v>
      </c>
      <c r="Y204" s="128">
        <f>Table2[[#This Row],[DEL. AVAILABLE A SLOT]]*24</f>
        <v>0</v>
      </c>
      <c r="Z204" s="1" t="str">
        <f t="shared" si="69"/>
        <v>SI</v>
      </c>
      <c r="AA204" s="127">
        <f t="shared" si="70"/>
        <v>1.8868055555576575</v>
      </c>
      <c r="AB204" s="128">
        <f>Table2[[#This Row],[ATA A TIMESLOT]]*24</f>
        <v>45.28333333338378</v>
      </c>
      <c r="AC204" s="127">
        <f t="shared" si="71"/>
        <v>0.12708333333284827</v>
      </c>
      <c r="AD204" s="127" t="str">
        <f t="shared" si="72"/>
        <v>NO</v>
      </c>
      <c r="AE204" s="128">
        <f>Table2[[#This Row],[PUNTUALIDAD (H)]]*24</f>
        <v>3.0499999999883585</v>
      </c>
      <c r="AF204" s="127">
        <f t="shared" si="73"/>
        <v>2.0173611111094942</v>
      </c>
      <c r="AG204" s="128">
        <f>Table2[[#This Row],[ATA TO UNLOADING]]*24</f>
        <v>48.416666666627862</v>
      </c>
      <c r="AH204" s="128" t="str">
        <f>IF(Table2[[#This Row],[ATA TO UNLOADING 2]]&lt;=48,"YES","NO")</f>
        <v>NO</v>
      </c>
      <c r="AJ204" s="129">
        <f t="shared" si="74"/>
        <v>0.70833333333575865</v>
      </c>
      <c r="AK204" s="2" t="s">
        <v>64</v>
      </c>
      <c r="AL204" s="2" t="str">
        <f t="shared" si="75"/>
        <v>6/26</v>
      </c>
      <c r="AM204" s="2" t="str">
        <f t="shared" si="76"/>
        <v>MRSU9265603</v>
      </c>
      <c r="AN204" s="130" t="str">
        <f t="shared" si="77"/>
        <v>OTL</v>
      </c>
      <c r="AO204" s="141">
        <v>530</v>
      </c>
      <c r="AP204" s="131" t="e">
        <v>#N/A</v>
      </c>
      <c r="AQ204" s="131">
        <f>VLOOKUP($E204,Invoicing!$A$1:$H$12,MATCH(TRACKER!$Q$1,Invoicing!$A$1:$H$1,0),FALSE)</f>
        <v>60</v>
      </c>
      <c r="AR204" s="131">
        <v>0</v>
      </c>
      <c r="AS204" s="2">
        <f t="shared" si="78"/>
        <v>4</v>
      </c>
      <c r="AT204" s="2" t="str">
        <f t="shared" si="81"/>
        <v>WEEK</v>
      </c>
      <c r="AU204" s="2" t="str">
        <f t="shared" si="79"/>
        <v>OTLWEEK</v>
      </c>
      <c r="AV204" s="94">
        <v>530</v>
      </c>
      <c r="AW204" s="48">
        <f>VLOOKUP(AN204,Invoicing!A:K,11,FALSE)</f>
        <v>20</v>
      </c>
      <c r="AY204" s="48"/>
      <c r="AZ204" s="48">
        <f t="shared" si="80"/>
        <v>550</v>
      </c>
      <c r="BA204" s="132">
        <f>VLOOKUP(AN204,Invoicing!A:J,10,FALSE)</f>
        <v>70</v>
      </c>
      <c r="BB204" s="132">
        <f>VLOOKUP(AN204,Invoicing!A:L,12,FALSE)</f>
        <v>1</v>
      </c>
      <c r="BC204" s="2" t="s">
        <v>359</v>
      </c>
    </row>
    <row r="205" spans="1:55">
      <c r="A205" s="134" t="s">
        <v>428</v>
      </c>
      <c r="B205" s="86" t="s">
        <v>56</v>
      </c>
      <c r="C205" s="11">
        <v>46056.821527777778</v>
      </c>
      <c r="D205" s="11">
        <v>46056.791666666664</v>
      </c>
      <c r="E205" s="11" t="s">
        <v>71</v>
      </c>
      <c r="F205" s="11" t="s">
        <v>429</v>
      </c>
      <c r="G205" s="11" t="s">
        <v>59</v>
      </c>
      <c r="H205" s="11" t="s">
        <v>68</v>
      </c>
      <c r="I205" s="86" t="s">
        <v>440</v>
      </c>
      <c r="J205" s="86" t="s">
        <v>100</v>
      </c>
      <c r="K205" s="11">
        <v>46058.708333333336</v>
      </c>
      <c r="L205" s="12">
        <v>46058.760416666664</v>
      </c>
      <c r="M205" s="12">
        <v>46058.75</v>
      </c>
      <c r="N205" s="12">
        <v>46058.763888888891</v>
      </c>
      <c r="O205" s="12" t="s">
        <v>63</v>
      </c>
      <c r="P205" s="135" t="s">
        <v>64</v>
      </c>
      <c r="Q205" s="3">
        <v>0</v>
      </c>
      <c r="R205" s="1">
        <f t="shared" si="63"/>
        <v>6</v>
      </c>
      <c r="S205" s="1">
        <f t="shared" si="64"/>
        <v>2</v>
      </c>
      <c r="T205" s="126">
        <f t="shared" si="65"/>
        <v>46058.760416666664</v>
      </c>
      <c r="U205" s="127">
        <f t="shared" si="66"/>
        <v>1.8868055555576575</v>
      </c>
      <c r="V205" s="128">
        <f>Table2[[#This Row],[ATA A OFRECIMIENTO]]*24</f>
        <v>45.28333333338378</v>
      </c>
      <c r="W205" s="1" t="str">
        <f t="shared" si="67"/>
        <v>YES</v>
      </c>
      <c r="X205" s="127">
        <f t="shared" si="68"/>
        <v>4.1666666664241347E-2</v>
      </c>
      <c r="Y205" s="128">
        <f>Table2[[#This Row],[DEL. AVAILABLE A SLOT]]*24</f>
        <v>0.99999999994179234</v>
      </c>
      <c r="Z205" s="1" t="str">
        <f t="shared" si="69"/>
        <v>SI</v>
      </c>
      <c r="AA205" s="127">
        <f t="shared" si="70"/>
        <v>1.9284722222218988</v>
      </c>
      <c r="AB205" s="128">
        <f>Table2[[#This Row],[ATA A TIMESLOT]]*24</f>
        <v>46.283333333325572</v>
      </c>
      <c r="AC205" s="127">
        <f t="shared" si="71"/>
        <v>1.0416666664241347E-2</v>
      </c>
      <c r="AD205" s="127" t="str">
        <f t="shared" si="72"/>
        <v>SI</v>
      </c>
      <c r="AE205" s="128">
        <f>Table2[[#This Row],[PUNTUALIDAD (H)]]*24</f>
        <v>0.24999999994179234</v>
      </c>
      <c r="AF205" s="127">
        <f t="shared" si="73"/>
        <v>1.9423611111124046</v>
      </c>
      <c r="AG205" s="128">
        <f>Table2[[#This Row],[ATA TO UNLOADING]]*24</f>
        <v>46.616666666697711</v>
      </c>
      <c r="AH205" s="128" t="str">
        <f>IF(Table2[[#This Row],[ATA TO UNLOADING 2]]&lt;=48,"YES","NO")</f>
        <v>YES</v>
      </c>
      <c r="AJ205" s="129">
        <f t="shared" si="74"/>
        <v>0.75</v>
      </c>
      <c r="AK205" s="2" t="s">
        <v>64</v>
      </c>
      <c r="AL205" s="2" t="str">
        <f t="shared" si="75"/>
        <v>6/26</v>
      </c>
      <c r="AM205" s="2" t="str">
        <f t="shared" si="76"/>
        <v>MRSU4725373</v>
      </c>
      <c r="AN205" s="130" t="str">
        <f t="shared" si="77"/>
        <v>LOGIX</v>
      </c>
      <c r="AO205" s="141">
        <v>550</v>
      </c>
      <c r="AP205" s="131" t="e">
        <v>#N/A</v>
      </c>
      <c r="AQ205" s="131">
        <f>VLOOKUP($E205,Invoicing!$A$1:$H$12,MATCH(TRACKER!$Q$1,Invoicing!$A$1:$H$1,0),FALSE)</f>
        <v>50</v>
      </c>
      <c r="AR205" s="131">
        <v>0</v>
      </c>
      <c r="AS205" s="2">
        <f t="shared" si="78"/>
        <v>4</v>
      </c>
      <c r="AT205" s="2" t="str">
        <f t="shared" si="81"/>
        <v>WEEK</v>
      </c>
      <c r="AU205" s="2" t="str">
        <f t="shared" si="79"/>
        <v>LOGIXWEEK</v>
      </c>
      <c r="AV205" s="94">
        <v>550</v>
      </c>
      <c r="AW205" s="48">
        <f>VLOOKUP(AN205,Invoicing!A:K,11,FALSE)</f>
        <v>20</v>
      </c>
      <c r="AY205" s="48"/>
      <c r="AZ205" s="48">
        <f t="shared" si="80"/>
        <v>570</v>
      </c>
      <c r="BA205" s="132">
        <f>VLOOKUP(AN205,Invoicing!A:J,10,FALSE)</f>
        <v>70</v>
      </c>
      <c r="BB205" s="132">
        <f>VLOOKUP(AN205,Invoicing!A:L,12,FALSE)</f>
        <v>1</v>
      </c>
      <c r="BC205" s="2" t="s">
        <v>359</v>
      </c>
    </row>
    <row r="206" spans="1:55">
      <c r="A206" s="134" t="s">
        <v>428</v>
      </c>
      <c r="B206" s="86" t="s">
        <v>56</v>
      </c>
      <c r="C206" s="11">
        <v>46056.821527777778</v>
      </c>
      <c r="D206" s="11">
        <v>46056.791666666664</v>
      </c>
      <c r="E206" s="11" t="s">
        <v>71</v>
      </c>
      <c r="F206" s="11" t="s">
        <v>429</v>
      </c>
      <c r="G206" s="11" t="s">
        <v>59</v>
      </c>
      <c r="H206" s="11" t="s">
        <v>68</v>
      </c>
      <c r="I206" s="86" t="s">
        <v>441</v>
      </c>
      <c r="J206" s="86" t="s">
        <v>100</v>
      </c>
      <c r="K206" s="11">
        <v>46058.708333333336</v>
      </c>
      <c r="L206" s="12">
        <v>46058.841666666667</v>
      </c>
      <c r="M206" s="12">
        <v>46058.791666666664</v>
      </c>
      <c r="N206" s="12">
        <v>46058.845833333333</v>
      </c>
      <c r="O206" s="12" t="s">
        <v>63</v>
      </c>
      <c r="P206" s="135" t="s">
        <v>64</v>
      </c>
      <c r="Q206" s="3">
        <v>0</v>
      </c>
      <c r="R206" s="1">
        <f t="shared" si="63"/>
        <v>6</v>
      </c>
      <c r="S206" s="1">
        <f t="shared" si="64"/>
        <v>2</v>
      </c>
      <c r="T206" s="126">
        <f t="shared" si="65"/>
        <v>46058.841666666667</v>
      </c>
      <c r="U206" s="127">
        <f t="shared" si="66"/>
        <v>1.8868055555576575</v>
      </c>
      <c r="V206" s="128">
        <f>Table2[[#This Row],[ATA A OFRECIMIENTO]]*24</f>
        <v>45.28333333338378</v>
      </c>
      <c r="W206" s="1" t="str">
        <f t="shared" si="67"/>
        <v>YES</v>
      </c>
      <c r="X206" s="127">
        <f t="shared" si="68"/>
        <v>8.3333333328482695E-2</v>
      </c>
      <c r="Y206" s="128">
        <f>Table2[[#This Row],[DEL. AVAILABLE A SLOT]]*24</f>
        <v>1.9999999998835847</v>
      </c>
      <c r="Z206" s="1" t="str">
        <f t="shared" si="69"/>
        <v>SI</v>
      </c>
      <c r="AA206" s="127">
        <f t="shared" si="70"/>
        <v>1.9701388888861402</v>
      </c>
      <c r="AB206" s="128">
        <f>Table2[[#This Row],[ATA A TIMESLOT]]*24</f>
        <v>47.283333333267365</v>
      </c>
      <c r="AC206" s="127">
        <f t="shared" si="71"/>
        <v>5.0000000002910383E-2</v>
      </c>
      <c r="AD206" s="127" t="str">
        <f t="shared" si="72"/>
        <v>NO</v>
      </c>
      <c r="AE206" s="128">
        <f>Table2[[#This Row],[PUNTUALIDAD (H)]]*24</f>
        <v>1.2000000000698492</v>
      </c>
      <c r="AF206" s="127">
        <f t="shared" si="73"/>
        <v>2.0243055555547471</v>
      </c>
      <c r="AG206" s="128">
        <f>Table2[[#This Row],[ATA TO UNLOADING]]*24</f>
        <v>48.583333333313931</v>
      </c>
      <c r="AH206" s="128" t="str">
        <f>IF(Table2[[#This Row],[ATA TO UNLOADING 2]]&lt;=48,"YES","NO")</f>
        <v>NO</v>
      </c>
      <c r="AJ206" s="129">
        <f t="shared" si="74"/>
        <v>0.79166666666424135</v>
      </c>
      <c r="AK206" s="2" t="s">
        <v>64</v>
      </c>
      <c r="AL206" s="2" t="str">
        <f t="shared" si="75"/>
        <v>6/26</v>
      </c>
      <c r="AM206" s="2" t="str">
        <f t="shared" si="76"/>
        <v>TRHU5142990</v>
      </c>
      <c r="AN206" s="130" t="str">
        <f t="shared" si="77"/>
        <v>LOGIX</v>
      </c>
      <c r="AO206" s="141">
        <v>550</v>
      </c>
      <c r="AP206" s="131" t="e">
        <v>#N/A</v>
      </c>
      <c r="AQ206" s="131">
        <f>VLOOKUP($E206,Invoicing!$A$1:$H$12,MATCH(TRACKER!$Q$1,Invoicing!$A$1:$H$1,0),FALSE)</f>
        <v>50</v>
      </c>
      <c r="AR206" s="131">
        <v>0</v>
      </c>
      <c r="AS206" s="2">
        <f t="shared" si="78"/>
        <v>4</v>
      </c>
      <c r="AT206" s="2" t="str">
        <f t="shared" si="81"/>
        <v>WEEK</v>
      </c>
      <c r="AU206" s="2" t="str">
        <f t="shared" si="79"/>
        <v>LOGIXWEEK</v>
      </c>
      <c r="AV206" s="94">
        <v>550</v>
      </c>
      <c r="AW206" s="48">
        <f>VLOOKUP(AN206,Invoicing!A:K,11,FALSE)</f>
        <v>20</v>
      </c>
      <c r="AY206" s="48"/>
      <c r="AZ206" s="48">
        <f t="shared" si="80"/>
        <v>570</v>
      </c>
      <c r="BA206" s="132">
        <f>VLOOKUP(AN206,Invoicing!A:J,10,FALSE)</f>
        <v>70</v>
      </c>
      <c r="BB206" s="132">
        <f>VLOOKUP(AN206,Invoicing!A:L,12,FALSE)</f>
        <v>1</v>
      </c>
      <c r="BC206" s="2" t="s">
        <v>359</v>
      </c>
    </row>
    <row r="207" spans="1:55">
      <c r="A207" s="134" t="s">
        <v>428</v>
      </c>
      <c r="B207" s="86" t="s">
        <v>56</v>
      </c>
      <c r="C207" s="11">
        <v>46056.821527777778</v>
      </c>
      <c r="D207" s="11">
        <v>46056.791666666664</v>
      </c>
      <c r="E207" s="11" t="s">
        <v>71</v>
      </c>
      <c r="F207" s="11" t="s">
        <v>442</v>
      </c>
      <c r="G207" s="11" t="s">
        <v>59</v>
      </c>
      <c r="H207" s="11" t="s">
        <v>266</v>
      </c>
      <c r="I207" s="86" t="s">
        <v>443</v>
      </c>
      <c r="J207" s="86" t="s">
        <v>82</v>
      </c>
      <c r="K207" s="11">
        <v>46058.708333333336</v>
      </c>
      <c r="L207" s="12">
        <v>46058.73333333333</v>
      </c>
      <c r="M207" s="12">
        <v>46058.875</v>
      </c>
      <c r="N207" s="12">
        <v>46058.753472222219</v>
      </c>
      <c r="O207" s="12" t="s">
        <v>63</v>
      </c>
      <c r="P207" s="135" t="s">
        <v>64</v>
      </c>
      <c r="Q207" s="3">
        <v>0</v>
      </c>
      <c r="R207" s="1">
        <f t="shared" si="63"/>
        <v>6</v>
      </c>
      <c r="S207" s="1">
        <f t="shared" si="64"/>
        <v>2</v>
      </c>
      <c r="T207" s="126">
        <f t="shared" si="65"/>
        <v>46058.73333333333</v>
      </c>
      <c r="U207" s="127">
        <f t="shared" si="66"/>
        <v>1.8868055555576575</v>
      </c>
      <c r="V207" s="128">
        <f>Table2[[#This Row],[ATA A OFRECIMIENTO]]*24</f>
        <v>45.28333333338378</v>
      </c>
      <c r="W207" s="1" t="str">
        <f t="shared" si="67"/>
        <v>YES</v>
      </c>
      <c r="X207" s="127">
        <f t="shared" si="68"/>
        <v>0.16666666666424135</v>
      </c>
      <c r="Y207" s="128">
        <f>Table2[[#This Row],[DEL. AVAILABLE A SLOT]]*24</f>
        <v>3.9999999999417923</v>
      </c>
      <c r="Z207" s="1" t="str">
        <f t="shared" si="69"/>
        <v>SI</v>
      </c>
      <c r="AA207" s="127">
        <f t="shared" si="70"/>
        <v>2.0534722222218988</v>
      </c>
      <c r="AB207" s="128">
        <f>Table2[[#This Row],[ATA A TIMESLOT]]*24</f>
        <v>49.283333333325572</v>
      </c>
      <c r="AC207" s="127">
        <f t="shared" si="71"/>
        <v>0</v>
      </c>
      <c r="AD207" s="127" t="str">
        <f t="shared" si="72"/>
        <v>SI</v>
      </c>
      <c r="AE207" s="128">
        <f>Table2[[#This Row],[PUNTUALIDAD (H)]]*24</f>
        <v>0</v>
      </c>
      <c r="AF207" s="127">
        <f t="shared" si="73"/>
        <v>1.9319444444408873</v>
      </c>
      <c r="AG207" s="128">
        <f>Table2[[#This Row],[ATA TO UNLOADING]]*24</f>
        <v>46.366666666581295</v>
      </c>
      <c r="AH207" s="128" t="str">
        <f>IF(Table2[[#This Row],[ATA TO UNLOADING 2]]&lt;=48,"YES","NO")</f>
        <v>YES</v>
      </c>
      <c r="AJ207" s="129">
        <f t="shared" si="74"/>
        <v>0.875</v>
      </c>
      <c r="AK207" s="49" t="s">
        <v>36</v>
      </c>
      <c r="AL207" s="2" t="str">
        <f t="shared" si="75"/>
        <v>6/26</v>
      </c>
      <c r="AM207" s="2" t="str">
        <f t="shared" si="76"/>
        <v>MRKU2725582</v>
      </c>
      <c r="AN207" s="130" t="str">
        <f t="shared" si="77"/>
        <v>LOGIX</v>
      </c>
      <c r="AO207" s="141">
        <v>550</v>
      </c>
      <c r="AP207" s="131" t="e">
        <v>#N/A</v>
      </c>
      <c r="AQ207" s="131">
        <f>VLOOKUP($E207,Invoicing!$A$1:$H$12,MATCH(TRACKER!$Q$1,Invoicing!$A$1:$H$1,0),FALSE)</f>
        <v>50</v>
      </c>
      <c r="AR207" s="131">
        <v>0</v>
      </c>
      <c r="AS207" s="2">
        <f t="shared" si="78"/>
        <v>4</v>
      </c>
      <c r="AT207" s="2" t="str">
        <f t="shared" si="81"/>
        <v>NIGHT</v>
      </c>
      <c r="AU207" s="2" t="str">
        <f t="shared" si="79"/>
        <v>LOGIXNIGHT</v>
      </c>
      <c r="AV207" s="94">
        <v>550</v>
      </c>
      <c r="AW207" s="48">
        <f>VLOOKUP(AN207,Invoicing!A:K,11,FALSE)</f>
        <v>20</v>
      </c>
      <c r="AY207" s="48"/>
      <c r="AZ207" s="48">
        <f t="shared" si="80"/>
        <v>570</v>
      </c>
      <c r="BA207" s="132">
        <f>VLOOKUP(AN207,Invoicing!A:J,10,FALSE)</f>
        <v>70</v>
      </c>
      <c r="BB207" s="132">
        <f>VLOOKUP(AN207,Invoicing!A:L,12,FALSE)</f>
        <v>1</v>
      </c>
      <c r="BC207" s="2" t="s">
        <v>359</v>
      </c>
    </row>
    <row r="208" spans="1:55">
      <c r="A208" s="134" t="s">
        <v>428</v>
      </c>
      <c r="B208" s="86" t="s">
        <v>56</v>
      </c>
      <c r="C208" s="11">
        <v>46056.821527777778</v>
      </c>
      <c r="D208" s="11">
        <v>46056.791666666664</v>
      </c>
      <c r="E208" s="11" t="s">
        <v>73</v>
      </c>
      <c r="F208" s="11" t="s">
        <v>438</v>
      </c>
      <c r="G208" s="11" t="s">
        <v>59</v>
      </c>
      <c r="H208" s="11" t="s">
        <v>144</v>
      </c>
      <c r="I208" s="86" t="s">
        <v>444</v>
      </c>
      <c r="J208" s="86" t="s">
        <v>100</v>
      </c>
      <c r="K208" s="11">
        <v>46058.708333333336</v>
      </c>
      <c r="L208" s="12">
        <v>46058.884027777778</v>
      </c>
      <c r="M208" s="12">
        <v>46058.875</v>
      </c>
      <c r="N208" s="12">
        <v>46058.887499999997</v>
      </c>
      <c r="O208" s="12" t="s">
        <v>63</v>
      </c>
      <c r="P208" s="135" t="s">
        <v>64</v>
      </c>
      <c r="Q208" s="3">
        <v>0</v>
      </c>
      <c r="R208" s="1">
        <f t="shared" si="63"/>
        <v>6</v>
      </c>
      <c r="S208" s="1">
        <f t="shared" si="64"/>
        <v>2</v>
      </c>
      <c r="T208" s="126">
        <f t="shared" si="65"/>
        <v>46058.884027777778</v>
      </c>
      <c r="U208" s="127">
        <f t="shared" si="66"/>
        <v>1.8868055555576575</v>
      </c>
      <c r="V208" s="128">
        <f>Table2[[#This Row],[ATA A OFRECIMIENTO]]*24</f>
        <v>45.28333333338378</v>
      </c>
      <c r="W208" s="1" t="str">
        <f t="shared" si="67"/>
        <v>YES</v>
      </c>
      <c r="X208" s="127">
        <f t="shared" si="68"/>
        <v>0.16666666666424135</v>
      </c>
      <c r="Y208" s="128">
        <f>Table2[[#This Row],[DEL. AVAILABLE A SLOT]]*24</f>
        <v>3.9999999999417923</v>
      </c>
      <c r="Z208" s="1" t="str">
        <f t="shared" si="69"/>
        <v>SI</v>
      </c>
      <c r="AA208" s="127">
        <f t="shared" si="70"/>
        <v>2.0534722222218988</v>
      </c>
      <c r="AB208" s="128">
        <f>Table2[[#This Row],[ATA A TIMESLOT]]*24</f>
        <v>49.283333333325572</v>
      </c>
      <c r="AC208" s="127">
        <f t="shared" si="71"/>
        <v>9.0277777781011537E-3</v>
      </c>
      <c r="AD208" s="127" t="str">
        <f t="shared" si="72"/>
        <v>SI</v>
      </c>
      <c r="AE208" s="128">
        <f>Table2[[#This Row],[PUNTUALIDAD (H)]]*24</f>
        <v>0.21666666667442769</v>
      </c>
      <c r="AF208" s="127">
        <f t="shared" si="73"/>
        <v>2.0659722222189885</v>
      </c>
      <c r="AG208" s="128">
        <f>Table2[[#This Row],[ATA TO UNLOADING]]*24</f>
        <v>49.583333333255723</v>
      </c>
      <c r="AH208" s="128" t="str">
        <f>IF(Table2[[#This Row],[ATA TO UNLOADING 2]]&lt;=48,"YES","NO")</f>
        <v>NO</v>
      </c>
      <c r="AJ208" s="129">
        <f t="shared" si="74"/>
        <v>0.875</v>
      </c>
      <c r="AK208" s="49" t="s">
        <v>36</v>
      </c>
      <c r="AL208" s="2" t="str">
        <f t="shared" si="75"/>
        <v>6/26</v>
      </c>
      <c r="AM208" s="2" t="str">
        <f t="shared" si="76"/>
        <v>MRSU0630639</v>
      </c>
      <c r="AN208" s="130" t="str">
        <f t="shared" si="77"/>
        <v>OTL</v>
      </c>
      <c r="AO208" s="141">
        <v>530</v>
      </c>
      <c r="AP208" s="131" t="e">
        <v>#N/A</v>
      </c>
      <c r="AQ208" s="131">
        <f>VLOOKUP($E208,Invoicing!$A$1:$H$12,MATCH(TRACKER!$Q$1,Invoicing!$A$1:$H$1,0),FALSE)</f>
        <v>60</v>
      </c>
      <c r="AR208" s="131">
        <v>0</v>
      </c>
      <c r="AS208" s="2">
        <f t="shared" si="78"/>
        <v>4</v>
      </c>
      <c r="AT208" s="2" t="str">
        <f t="shared" si="81"/>
        <v>NIGHT</v>
      </c>
      <c r="AU208" s="2" t="str">
        <f t="shared" si="79"/>
        <v>OTLNIGHT</v>
      </c>
      <c r="AV208" s="94">
        <v>530</v>
      </c>
      <c r="AW208" s="48">
        <f>VLOOKUP(AN208,Invoicing!A:K,11,FALSE)</f>
        <v>20</v>
      </c>
      <c r="AY208" s="48"/>
      <c r="AZ208" s="48">
        <f t="shared" si="80"/>
        <v>550</v>
      </c>
      <c r="BA208" s="132">
        <f>VLOOKUP(AN208,Invoicing!A:J,10,FALSE)</f>
        <v>70</v>
      </c>
      <c r="BB208" s="132">
        <f>VLOOKUP(AN208,Invoicing!A:L,12,FALSE)</f>
        <v>1</v>
      </c>
      <c r="BC208" s="2" t="s">
        <v>359</v>
      </c>
    </row>
    <row r="209" spans="1:55">
      <c r="A209" s="134" t="s">
        <v>428</v>
      </c>
      <c r="B209" s="86" t="s">
        <v>56</v>
      </c>
      <c r="C209" s="11">
        <v>46056.821527777778</v>
      </c>
      <c r="D209" s="11">
        <v>46056.791666666664</v>
      </c>
      <c r="E209" s="11" t="s">
        <v>83</v>
      </c>
      <c r="F209" s="11" t="s">
        <v>432</v>
      </c>
      <c r="G209" s="11" t="s">
        <v>59</v>
      </c>
      <c r="H209" s="11" t="s">
        <v>60</v>
      </c>
      <c r="I209" s="86" t="s">
        <v>445</v>
      </c>
      <c r="J209" s="86" t="s">
        <v>82</v>
      </c>
      <c r="K209" s="11">
        <v>46058.708333333336</v>
      </c>
      <c r="L209" s="12">
        <v>46058.84097222222</v>
      </c>
      <c r="M209" s="12">
        <v>46059</v>
      </c>
      <c r="N209" s="12">
        <v>46058.920138888891</v>
      </c>
      <c r="O209" s="12" t="s">
        <v>63</v>
      </c>
      <c r="P209" s="135" t="s">
        <v>15</v>
      </c>
      <c r="Q209" s="3">
        <v>0</v>
      </c>
      <c r="R209" s="1">
        <f t="shared" si="63"/>
        <v>6</v>
      </c>
      <c r="S209" s="1">
        <f t="shared" si="64"/>
        <v>2</v>
      </c>
      <c r="T209" s="126">
        <f t="shared" si="65"/>
        <v>46058.84097222222</v>
      </c>
      <c r="U209" s="127">
        <f t="shared" si="66"/>
        <v>1.8868055555576575</v>
      </c>
      <c r="V209" s="128">
        <f>Table2[[#This Row],[ATA A OFRECIMIENTO]]*24</f>
        <v>45.28333333338378</v>
      </c>
      <c r="W209" s="1" t="str">
        <f t="shared" si="67"/>
        <v>YES</v>
      </c>
      <c r="X209" s="127">
        <f t="shared" si="68"/>
        <v>0.29166666666424135</v>
      </c>
      <c r="Y209" s="128">
        <f>Table2[[#This Row],[DEL. AVAILABLE A SLOT]]*24</f>
        <v>6.9999999999417923</v>
      </c>
      <c r="Z209" s="1" t="str">
        <f t="shared" si="69"/>
        <v>SI</v>
      </c>
      <c r="AA209" s="127">
        <f t="shared" si="70"/>
        <v>2.1784722222218988</v>
      </c>
      <c r="AB209" s="128">
        <f>Table2[[#This Row],[ATA A TIMESLOT]]*24</f>
        <v>52.283333333325572</v>
      </c>
      <c r="AC209" s="127">
        <f t="shared" si="71"/>
        <v>0</v>
      </c>
      <c r="AD209" s="127" t="str">
        <f t="shared" si="72"/>
        <v>SI</v>
      </c>
      <c r="AE209" s="128">
        <f>Table2[[#This Row],[PUNTUALIDAD (H)]]*24</f>
        <v>0</v>
      </c>
      <c r="AF209" s="127">
        <f t="shared" si="73"/>
        <v>2.0986111111124046</v>
      </c>
      <c r="AG209" s="128">
        <f>Table2[[#This Row],[ATA TO UNLOADING]]*24</f>
        <v>50.366666666697711</v>
      </c>
      <c r="AH209" s="128" t="str">
        <f>IF(Table2[[#This Row],[ATA TO UNLOADING 2]]&lt;=48,"YES","NO")</f>
        <v>NO</v>
      </c>
      <c r="AJ209" s="129">
        <f t="shared" si="74"/>
        <v>0</v>
      </c>
      <c r="AK209" s="49" t="s">
        <v>36</v>
      </c>
      <c r="AL209" s="2" t="str">
        <f t="shared" si="75"/>
        <v>6/26</v>
      </c>
      <c r="AM209" s="2" t="str">
        <f t="shared" si="76"/>
        <v>MRSU7525996</v>
      </c>
      <c r="AN209" s="130" t="str">
        <f t="shared" si="77"/>
        <v>OM TRANSPORT</v>
      </c>
      <c r="AO209" s="141">
        <v>475</v>
      </c>
      <c r="AP209" s="131">
        <v>110</v>
      </c>
      <c r="AQ209" s="131">
        <f>VLOOKUP($E209,Invoicing!$A$1:$H$12,MATCH(TRACKER!$Q$1,Invoicing!$A$1:$H$1,0),FALSE)</f>
        <v>50</v>
      </c>
      <c r="AR209" s="131">
        <v>0</v>
      </c>
      <c r="AS209" s="2">
        <f t="shared" si="78"/>
        <v>5</v>
      </c>
      <c r="AT209" s="2" t="str">
        <f t="shared" si="81"/>
        <v>NIGHT</v>
      </c>
      <c r="AU209" s="2" t="str">
        <f t="shared" si="79"/>
        <v>OM TRANSPORTNIGHT</v>
      </c>
      <c r="AV209" s="94">
        <v>675</v>
      </c>
      <c r="AW209" s="48">
        <f>VLOOKUP(AN209,Invoicing!A:K,11,FALSE)</f>
        <v>20</v>
      </c>
      <c r="AX209" s="48">
        <v>90</v>
      </c>
      <c r="AY209" s="94" t="s">
        <v>446</v>
      </c>
      <c r="AZ209" s="48">
        <f t="shared" si="80"/>
        <v>695</v>
      </c>
      <c r="BA209" s="132">
        <f>VLOOKUP(AN209,Invoicing!A:J,10,FALSE)</f>
        <v>70</v>
      </c>
      <c r="BB209" s="132">
        <f>VLOOKUP(AN209,Invoicing!A:L,12,FALSE)</f>
        <v>1</v>
      </c>
      <c r="BC209" s="2" t="s">
        <v>359</v>
      </c>
    </row>
    <row r="210" spans="1:55">
      <c r="A210" s="134" t="s">
        <v>428</v>
      </c>
      <c r="B210" s="86" t="s">
        <v>56</v>
      </c>
      <c r="C210" s="11">
        <v>46056.821527777778</v>
      </c>
      <c r="D210" s="11">
        <v>46056.791666666664</v>
      </c>
      <c r="E210" s="11" t="s">
        <v>98</v>
      </c>
      <c r="F210" s="11" t="s">
        <v>429</v>
      </c>
      <c r="G210" s="11" t="s">
        <v>59</v>
      </c>
      <c r="H210" s="11" t="s">
        <v>68</v>
      </c>
      <c r="I210" s="86" t="s">
        <v>447</v>
      </c>
      <c r="J210" s="86" t="s">
        <v>100</v>
      </c>
      <c r="K210" s="11">
        <v>46058.708333333336</v>
      </c>
      <c r="L210" s="12">
        <v>46059.23541666667</v>
      </c>
      <c r="M210" s="12">
        <v>46059.25</v>
      </c>
      <c r="N210" s="12">
        <v>46059.256944444445</v>
      </c>
      <c r="O210" s="12" t="s">
        <v>63</v>
      </c>
      <c r="P210" s="135" t="s">
        <v>64</v>
      </c>
      <c r="Q210" s="3">
        <v>1</v>
      </c>
      <c r="R210" s="1">
        <f t="shared" si="63"/>
        <v>6</v>
      </c>
      <c r="S210" s="1">
        <f t="shared" si="64"/>
        <v>2</v>
      </c>
      <c r="T210" s="126">
        <f t="shared" si="65"/>
        <v>46059.23541666667</v>
      </c>
      <c r="U210" s="127">
        <f t="shared" si="66"/>
        <v>1.8868055555576575</v>
      </c>
      <c r="V210" s="128">
        <f>Table2[[#This Row],[ATA A OFRECIMIENTO]]*24</f>
        <v>45.28333333338378</v>
      </c>
      <c r="W210" s="1" t="str">
        <f t="shared" si="67"/>
        <v>YES</v>
      </c>
      <c r="X210" s="127">
        <f t="shared" si="68"/>
        <v>0.54166666666424135</v>
      </c>
      <c r="Y210" s="128">
        <f>Table2[[#This Row],[DEL. AVAILABLE A SLOT]]*24</f>
        <v>12.999999999941792</v>
      </c>
      <c r="Z210" s="1" t="str">
        <f t="shared" si="69"/>
        <v>SI</v>
      </c>
      <c r="AA210" s="127">
        <f t="shared" si="70"/>
        <v>2.4284722222218988</v>
      </c>
      <c r="AB210" s="128">
        <f>Table2[[#This Row],[ATA A TIMESLOT]]*24</f>
        <v>58.283333333325572</v>
      </c>
      <c r="AC210" s="127">
        <f t="shared" si="71"/>
        <v>0</v>
      </c>
      <c r="AD210" s="127" t="str">
        <f t="shared" si="72"/>
        <v>SI</v>
      </c>
      <c r="AE210" s="128">
        <f>Table2[[#This Row],[PUNTUALIDAD (H)]]*24</f>
        <v>0</v>
      </c>
      <c r="AF210" s="127">
        <f t="shared" si="73"/>
        <v>2.4354166666671517</v>
      </c>
      <c r="AG210" s="128">
        <f>Table2[[#This Row],[ATA TO UNLOADING]]*24</f>
        <v>58.450000000011642</v>
      </c>
      <c r="AH210" s="128" t="str">
        <f>IF(Table2[[#This Row],[ATA TO UNLOADING 2]]&lt;=48,"YES","NO")</f>
        <v>NO</v>
      </c>
      <c r="AJ210" s="129">
        <f t="shared" si="74"/>
        <v>0.25</v>
      </c>
      <c r="AK210" s="2" t="s">
        <v>64</v>
      </c>
      <c r="AL210" s="2" t="str">
        <f t="shared" si="75"/>
        <v>6/26</v>
      </c>
      <c r="AM210" s="2" t="str">
        <f t="shared" si="76"/>
        <v>TLLU6842785</v>
      </c>
      <c r="AN210" s="130" t="str">
        <f t="shared" si="77"/>
        <v>MSI</v>
      </c>
      <c r="AO210" s="141">
        <v>480</v>
      </c>
      <c r="AP210" s="131" t="e">
        <v>#N/A</v>
      </c>
      <c r="AQ210" s="131">
        <f>VLOOKUP($E210,Invoicing!$A$1:$H$12,MATCH(TRACKER!$Q$1,Invoicing!$A$1:$H$1,0),FALSE)</f>
        <v>50</v>
      </c>
      <c r="AR210" s="131">
        <v>50</v>
      </c>
      <c r="AS210" s="2">
        <f t="shared" si="78"/>
        <v>5</v>
      </c>
      <c r="AT210" s="2" t="str">
        <f t="shared" si="81"/>
        <v>WEEK</v>
      </c>
      <c r="AU210" s="2" t="str">
        <f t="shared" si="79"/>
        <v>MSIWEEK</v>
      </c>
      <c r="AV210" s="94">
        <v>530</v>
      </c>
      <c r="AW210" s="48">
        <f>VLOOKUP(AN210,Invoicing!A:K,11,FALSE)</f>
        <v>20</v>
      </c>
      <c r="AY210" s="48"/>
      <c r="AZ210" s="48">
        <f t="shared" si="80"/>
        <v>550</v>
      </c>
      <c r="BA210" s="132">
        <f>VLOOKUP(AN210,Invoicing!A:J,10,FALSE)</f>
        <v>70</v>
      </c>
      <c r="BB210" s="132">
        <f>VLOOKUP(AN210,Invoicing!A:L,12,FALSE)</f>
        <v>1</v>
      </c>
      <c r="BC210" s="2" t="s">
        <v>359</v>
      </c>
    </row>
    <row r="211" spans="1:55">
      <c r="A211" s="134" t="s">
        <v>428</v>
      </c>
      <c r="B211" s="86" t="s">
        <v>56</v>
      </c>
      <c r="C211" s="11">
        <v>46056.821527777778</v>
      </c>
      <c r="D211" s="11">
        <v>46056.791666666664</v>
      </c>
      <c r="E211" s="11" t="s">
        <v>98</v>
      </c>
      <c r="F211" s="11" t="s">
        <v>448</v>
      </c>
      <c r="G211" s="11" t="s">
        <v>59</v>
      </c>
      <c r="H211" s="11" t="s">
        <v>60</v>
      </c>
      <c r="I211" s="86" t="s">
        <v>449</v>
      </c>
      <c r="J211" s="86" t="s">
        <v>82</v>
      </c>
      <c r="K211" s="11">
        <v>46058.708333333336</v>
      </c>
      <c r="L211" s="12">
        <v>46059.291666666664</v>
      </c>
      <c r="M211" s="12">
        <v>46059.291666666664</v>
      </c>
      <c r="N211" s="12">
        <v>46059.35833333333</v>
      </c>
      <c r="O211" s="12" t="s">
        <v>63</v>
      </c>
      <c r="P211" s="135" t="s">
        <v>64</v>
      </c>
      <c r="Q211" s="3">
        <v>1</v>
      </c>
      <c r="R211" s="1">
        <f t="shared" si="63"/>
        <v>6</v>
      </c>
      <c r="S211" s="1">
        <f t="shared" si="64"/>
        <v>2</v>
      </c>
      <c r="T211" s="126">
        <f t="shared" si="65"/>
        <v>46059.291666666664</v>
      </c>
      <c r="U211" s="127">
        <f t="shared" si="66"/>
        <v>1.8868055555576575</v>
      </c>
      <c r="V211" s="128">
        <f>Table2[[#This Row],[ATA A OFRECIMIENTO]]*24</f>
        <v>45.28333333338378</v>
      </c>
      <c r="W211" s="1" t="str">
        <f t="shared" si="67"/>
        <v>YES</v>
      </c>
      <c r="X211" s="127">
        <f t="shared" si="68"/>
        <v>0.58333333332848269</v>
      </c>
      <c r="Y211" s="128">
        <f>Table2[[#This Row],[DEL. AVAILABLE A SLOT]]*24</f>
        <v>13.999999999883585</v>
      </c>
      <c r="Z211" s="1" t="str">
        <f t="shared" si="69"/>
        <v>SI</v>
      </c>
      <c r="AA211" s="127">
        <f t="shared" si="70"/>
        <v>2.4701388888861402</v>
      </c>
      <c r="AB211" s="128">
        <f>Table2[[#This Row],[ATA A TIMESLOT]]*24</f>
        <v>59.283333333267365</v>
      </c>
      <c r="AC211" s="127">
        <f t="shared" si="71"/>
        <v>0</v>
      </c>
      <c r="AD211" s="127" t="str">
        <f t="shared" si="72"/>
        <v>SI</v>
      </c>
      <c r="AE211" s="128">
        <f>Table2[[#This Row],[PUNTUALIDAD (H)]]*24</f>
        <v>0</v>
      </c>
      <c r="AF211" s="127">
        <f t="shared" si="73"/>
        <v>2.5368055555518367</v>
      </c>
      <c r="AG211" s="128">
        <f>Table2[[#This Row],[ATA TO UNLOADING]]*24</f>
        <v>60.883333333244082</v>
      </c>
      <c r="AH211" s="128" t="str">
        <f>IF(Table2[[#This Row],[ATA TO UNLOADING 2]]&lt;=48,"YES","NO")</f>
        <v>NO</v>
      </c>
      <c r="AJ211" s="129">
        <f t="shared" si="74"/>
        <v>0.29166666666424135</v>
      </c>
      <c r="AK211" s="2" t="s">
        <v>64</v>
      </c>
      <c r="AL211" s="2" t="str">
        <f t="shared" si="75"/>
        <v>6/26</v>
      </c>
      <c r="AM211" s="2" t="str">
        <f t="shared" si="76"/>
        <v>MSKU4811974</v>
      </c>
      <c r="AN211" s="130" t="str">
        <f t="shared" si="77"/>
        <v>MSI</v>
      </c>
      <c r="AO211" s="141">
        <v>480</v>
      </c>
      <c r="AP211" s="131" t="e">
        <v>#N/A</v>
      </c>
      <c r="AQ211" s="131">
        <f>VLOOKUP($E211,Invoicing!$A$1:$H$12,MATCH(TRACKER!$Q$1,Invoicing!$A$1:$H$1,0),FALSE)</f>
        <v>50</v>
      </c>
      <c r="AR211" s="131">
        <v>50</v>
      </c>
      <c r="AS211" s="2">
        <f t="shared" si="78"/>
        <v>5</v>
      </c>
      <c r="AT211" s="2" t="str">
        <f t="shared" si="81"/>
        <v>WEEK</v>
      </c>
      <c r="AU211" s="2" t="str">
        <f t="shared" si="79"/>
        <v>MSIWEEK</v>
      </c>
      <c r="AV211" s="94">
        <v>530</v>
      </c>
      <c r="AW211" s="48">
        <f>VLOOKUP(AN211,Invoicing!A:K,11,FALSE)</f>
        <v>20</v>
      </c>
      <c r="AY211" s="48"/>
      <c r="AZ211" s="48">
        <f t="shared" si="80"/>
        <v>550</v>
      </c>
      <c r="BA211" s="132">
        <f>VLOOKUP(AN211,Invoicing!A:J,10,FALSE)</f>
        <v>70</v>
      </c>
      <c r="BB211" s="132">
        <f>VLOOKUP(AN211,Invoicing!A:L,12,FALSE)</f>
        <v>1</v>
      </c>
      <c r="BC211" s="2" t="s">
        <v>359</v>
      </c>
    </row>
    <row r="212" spans="1:55">
      <c r="A212" s="134" t="s">
        <v>428</v>
      </c>
      <c r="B212" s="86" t="s">
        <v>56</v>
      </c>
      <c r="C212" s="11">
        <v>46056.821527777778</v>
      </c>
      <c r="D212" s="11">
        <v>46056.791666666664</v>
      </c>
      <c r="E212" s="11" t="s">
        <v>71</v>
      </c>
      <c r="F212" s="11" t="s">
        <v>429</v>
      </c>
      <c r="G212" s="11" t="s">
        <v>59</v>
      </c>
      <c r="H212" s="11" t="s">
        <v>68</v>
      </c>
      <c r="I212" s="86" t="s">
        <v>450</v>
      </c>
      <c r="J212" s="86" t="s">
        <v>100</v>
      </c>
      <c r="K212" s="11">
        <v>46058.708333333336</v>
      </c>
      <c r="L212" s="12">
        <v>46059.332638888889</v>
      </c>
      <c r="M212" s="12">
        <v>46059.333333333336</v>
      </c>
      <c r="N212" s="12">
        <v>46059.347222222219</v>
      </c>
      <c r="O212" s="12" t="s">
        <v>63</v>
      </c>
      <c r="P212" s="135" t="s">
        <v>64</v>
      </c>
      <c r="Q212" s="3">
        <v>1</v>
      </c>
      <c r="R212" s="1">
        <f t="shared" si="63"/>
        <v>6</v>
      </c>
      <c r="S212" s="1">
        <f t="shared" si="64"/>
        <v>2</v>
      </c>
      <c r="T212" s="126">
        <f t="shared" si="65"/>
        <v>46059.332638888889</v>
      </c>
      <c r="U212" s="127">
        <f t="shared" si="66"/>
        <v>1.8868055555576575</v>
      </c>
      <c r="V212" s="128">
        <f>Table2[[#This Row],[ATA A OFRECIMIENTO]]*24</f>
        <v>45.28333333338378</v>
      </c>
      <c r="W212" s="1" t="str">
        <f t="shared" si="67"/>
        <v>YES</v>
      </c>
      <c r="X212" s="127">
        <f t="shared" si="68"/>
        <v>0.625</v>
      </c>
      <c r="Y212" s="128">
        <f>Table2[[#This Row],[DEL. AVAILABLE A SLOT]]*24</f>
        <v>15</v>
      </c>
      <c r="Z212" s="1" t="str">
        <f t="shared" si="69"/>
        <v>SI</v>
      </c>
      <c r="AA212" s="127">
        <f t="shared" si="70"/>
        <v>2.5118055555576575</v>
      </c>
      <c r="AB212" s="128">
        <f>Table2[[#This Row],[ATA A TIMESLOT]]*24</f>
        <v>60.28333333338378</v>
      </c>
      <c r="AC212" s="127">
        <f t="shared" si="71"/>
        <v>0</v>
      </c>
      <c r="AD212" s="127" t="str">
        <f t="shared" si="72"/>
        <v>SI</v>
      </c>
      <c r="AE212" s="128">
        <f>Table2[[#This Row],[PUNTUALIDAD (H)]]*24</f>
        <v>0</v>
      </c>
      <c r="AF212" s="127">
        <f t="shared" si="73"/>
        <v>2.5256944444408873</v>
      </c>
      <c r="AG212" s="128">
        <f>Table2[[#This Row],[ATA TO UNLOADING]]*24</f>
        <v>60.616666666581295</v>
      </c>
      <c r="AH212" s="128" t="str">
        <f>IF(Table2[[#This Row],[ATA TO UNLOADING 2]]&lt;=48,"YES","NO")</f>
        <v>NO</v>
      </c>
      <c r="AJ212" s="129">
        <f t="shared" si="74"/>
        <v>0.33333333333575865</v>
      </c>
      <c r="AK212" s="2" t="s">
        <v>64</v>
      </c>
      <c r="AL212" s="2" t="str">
        <f t="shared" si="75"/>
        <v>6/26</v>
      </c>
      <c r="AM212" s="2" t="str">
        <f t="shared" si="76"/>
        <v>CAAU6682355</v>
      </c>
      <c r="AN212" s="130" t="str">
        <f t="shared" si="77"/>
        <v>LOGIX</v>
      </c>
      <c r="AO212" s="141">
        <v>550</v>
      </c>
      <c r="AP212" s="131" t="e">
        <v>#N/A</v>
      </c>
      <c r="AQ212" s="131">
        <f>VLOOKUP($E212,Invoicing!$A$1:$H$12,MATCH(TRACKER!$Q$1,Invoicing!$A$1:$H$1,0),FALSE)</f>
        <v>50</v>
      </c>
      <c r="AR212" s="131">
        <v>50</v>
      </c>
      <c r="AS212" s="2">
        <f t="shared" si="78"/>
        <v>5</v>
      </c>
      <c r="AT212" s="2" t="str">
        <f t="shared" si="81"/>
        <v>WEEK</v>
      </c>
      <c r="AU212" s="2" t="str">
        <f t="shared" si="79"/>
        <v>LOGIXWEEK</v>
      </c>
      <c r="AV212" s="94">
        <v>600</v>
      </c>
      <c r="AW212" s="48">
        <f>VLOOKUP(AN212,Invoicing!A:K,11,FALSE)</f>
        <v>20</v>
      </c>
      <c r="AY212" s="48"/>
      <c r="AZ212" s="48">
        <f t="shared" si="80"/>
        <v>620</v>
      </c>
      <c r="BA212" s="132">
        <f>VLOOKUP(AN212,Invoicing!A:J,10,FALSE)</f>
        <v>70</v>
      </c>
      <c r="BB212" s="132">
        <f>VLOOKUP(AN212,Invoicing!A:L,12,FALSE)</f>
        <v>1</v>
      </c>
      <c r="BC212" s="2" t="s">
        <v>359</v>
      </c>
    </row>
    <row r="213" spans="1:55">
      <c r="A213" s="134" t="s">
        <v>428</v>
      </c>
      <c r="B213" s="86" t="s">
        <v>56</v>
      </c>
      <c r="C213" s="11">
        <v>46056.821527777778</v>
      </c>
      <c r="D213" s="11">
        <v>46056.791666666664</v>
      </c>
      <c r="E213" s="11" t="s">
        <v>73</v>
      </c>
      <c r="F213" s="11" t="s">
        <v>429</v>
      </c>
      <c r="G213" s="11" t="s">
        <v>59</v>
      </c>
      <c r="H213" s="11" t="s">
        <v>68</v>
      </c>
      <c r="I213" s="86" t="s">
        <v>451</v>
      </c>
      <c r="J213" s="86" t="s">
        <v>100</v>
      </c>
      <c r="K213" s="11">
        <v>46058.708333333336</v>
      </c>
      <c r="L213" s="12">
        <v>46059.329861111109</v>
      </c>
      <c r="M213" s="12">
        <v>46059.333333333336</v>
      </c>
      <c r="N213" s="12">
        <v>46059.336805555555</v>
      </c>
      <c r="O213" s="12" t="s">
        <v>63</v>
      </c>
      <c r="P213" s="135" t="s">
        <v>64</v>
      </c>
      <c r="Q213" s="3">
        <v>0</v>
      </c>
      <c r="R213" s="1">
        <f t="shared" si="63"/>
        <v>6</v>
      </c>
      <c r="S213" s="1">
        <f t="shared" si="64"/>
        <v>2</v>
      </c>
      <c r="T213" s="126">
        <f t="shared" si="65"/>
        <v>46059.329861111109</v>
      </c>
      <c r="U213" s="127">
        <f t="shared" si="66"/>
        <v>1.8868055555576575</v>
      </c>
      <c r="V213" s="128">
        <f>Table2[[#This Row],[ATA A OFRECIMIENTO]]*24</f>
        <v>45.28333333338378</v>
      </c>
      <c r="W213" s="1" t="str">
        <f t="shared" si="67"/>
        <v>YES</v>
      </c>
      <c r="X213" s="127">
        <f t="shared" si="68"/>
        <v>0.625</v>
      </c>
      <c r="Y213" s="128">
        <f>Table2[[#This Row],[DEL. AVAILABLE A SLOT]]*24</f>
        <v>15</v>
      </c>
      <c r="Z213" s="1" t="str">
        <f t="shared" si="69"/>
        <v>SI</v>
      </c>
      <c r="AA213" s="127">
        <f t="shared" si="70"/>
        <v>2.5118055555576575</v>
      </c>
      <c r="AB213" s="128">
        <f>Table2[[#This Row],[ATA A TIMESLOT]]*24</f>
        <v>60.28333333338378</v>
      </c>
      <c r="AC213" s="127">
        <f t="shared" si="71"/>
        <v>0</v>
      </c>
      <c r="AD213" s="127" t="str">
        <f t="shared" si="72"/>
        <v>SI</v>
      </c>
      <c r="AE213" s="128">
        <f>Table2[[#This Row],[PUNTUALIDAD (H)]]*24</f>
        <v>0</v>
      </c>
      <c r="AF213" s="127">
        <f t="shared" si="73"/>
        <v>2.515277777776646</v>
      </c>
      <c r="AG213" s="128">
        <f>Table2[[#This Row],[ATA TO UNLOADING]]*24</f>
        <v>60.366666666639503</v>
      </c>
      <c r="AH213" s="128" t="str">
        <f>IF(Table2[[#This Row],[ATA TO UNLOADING 2]]&lt;=48,"YES","NO")</f>
        <v>NO</v>
      </c>
      <c r="AJ213" s="129">
        <f t="shared" si="74"/>
        <v>0.33333333333575865</v>
      </c>
      <c r="AK213" s="2" t="s">
        <v>64</v>
      </c>
      <c r="AL213" s="2" t="str">
        <f t="shared" si="75"/>
        <v>6/26</v>
      </c>
      <c r="AM213" s="2" t="str">
        <f t="shared" si="76"/>
        <v>CAAU7300328</v>
      </c>
      <c r="AN213" s="130" t="str">
        <f t="shared" si="77"/>
        <v>OTL</v>
      </c>
      <c r="AO213" s="141">
        <v>530</v>
      </c>
      <c r="AP213" s="131" t="e">
        <v>#N/A</v>
      </c>
      <c r="AQ213" s="131">
        <f>VLOOKUP($E213,Invoicing!$A$1:$H$12,MATCH(TRACKER!$Q$1,Invoicing!$A$1:$H$1,0),FALSE)</f>
        <v>60</v>
      </c>
      <c r="AR213" s="131">
        <v>0</v>
      </c>
      <c r="AS213" s="2">
        <f t="shared" si="78"/>
        <v>5</v>
      </c>
      <c r="AT213" s="2" t="str">
        <f t="shared" si="81"/>
        <v>WEEK</v>
      </c>
      <c r="AU213" s="2" t="str">
        <f t="shared" si="79"/>
        <v>OTLWEEK</v>
      </c>
      <c r="AV213" s="94">
        <v>530</v>
      </c>
      <c r="AW213" s="48">
        <f>VLOOKUP(AN213,Invoicing!A:K,11,FALSE)</f>
        <v>20</v>
      </c>
      <c r="AY213" s="48"/>
      <c r="AZ213" s="48">
        <f t="shared" si="80"/>
        <v>550</v>
      </c>
      <c r="BA213" s="132">
        <f>VLOOKUP(AN213,Invoicing!A:J,10,FALSE)</f>
        <v>70</v>
      </c>
      <c r="BB213" s="132">
        <f>VLOOKUP(AN213,Invoicing!A:L,12,FALSE)</f>
        <v>1</v>
      </c>
      <c r="BC213" s="2" t="s">
        <v>359</v>
      </c>
    </row>
    <row r="214" spans="1:55">
      <c r="A214" s="134" t="s">
        <v>428</v>
      </c>
      <c r="B214" s="86" t="s">
        <v>56</v>
      </c>
      <c r="C214" s="11">
        <v>46056.821527777778</v>
      </c>
      <c r="D214" s="11">
        <v>46056.791666666664</v>
      </c>
      <c r="E214" s="11" t="s">
        <v>98</v>
      </c>
      <c r="F214" s="11" t="s">
        <v>429</v>
      </c>
      <c r="G214" s="11" t="s">
        <v>59</v>
      </c>
      <c r="H214" s="11" t="s">
        <v>68</v>
      </c>
      <c r="I214" s="86" t="s">
        <v>452</v>
      </c>
      <c r="J214" s="86" t="s">
        <v>62</v>
      </c>
      <c r="K214" s="11">
        <v>46058.708333333336</v>
      </c>
      <c r="L214" s="12">
        <v>46059.367361111108</v>
      </c>
      <c r="M214" s="12">
        <v>46059.416666666664</v>
      </c>
      <c r="N214" s="12">
        <v>46059.496527777781</v>
      </c>
      <c r="O214" s="12" t="s">
        <v>63</v>
      </c>
      <c r="P214" s="135" t="s">
        <v>64</v>
      </c>
      <c r="Q214" s="3">
        <v>1</v>
      </c>
      <c r="R214" s="1">
        <f t="shared" si="63"/>
        <v>6</v>
      </c>
      <c r="S214" s="1">
        <f t="shared" si="64"/>
        <v>2</v>
      </c>
      <c r="T214" s="126">
        <f t="shared" si="65"/>
        <v>46059.367361111108</v>
      </c>
      <c r="U214" s="127">
        <f t="shared" si="66"/>
        <v>1.8868055555576575</v>
      </c>
      <c r="V214" s="128">
        <f>Table2[[#This Row],[ATA A OFRECIMIENTO]]*24</f>
        <v>45.28333333338378</v>
      </c>
      <c r="W214" s="1" t="str">
        <f t="shared" si="67"/>
        <v>YES</v>
      </c>
      <c r="X214" s="127">
        <f t="shared" si="68"/>
        <v>0.70833333332848269</v>
      </c>
      <c r="Y214" s="128">
        <f>Table2[[#This Row],[DEL. AVAILABLE A SLOT]]*24</f>
        <v>16.999999999883585</v>
      </c>
      <c r="Z214" s="1" t="str">
        <f t="shared" si="69"/>
        <v>SI</v>
      </c>
      <c r="AA214" s="127">
        <f t="shared" si="70"/>
        <v>2.5951388888861402</v>
      </c>
      <c r="AB214" s="128">
        <f>Table2[[#This Row],[ATA A TIMESLOT]]*24</f>
        <v>62.283333333267365</v>
      </c>
      <c r="AC214" s="127">
        <f t="shared" si="71"/>
        <v>0</v>
      </c>
      <c r="AD214" s="127" t="str">
        <f t="shared" si="72"/>
        <v>SI</v>
      </c>
      <c r="AE214" s="128">
        <f>Table2[[#This Row],[PUNTUALIDAD (H)]]*24</f>
        <v>0</v>
      </c>
      <c r="AF214" s="127">
        <f t="shared" si="73"/>
        <v>2.6750000000029104</v>
      </c>
      <c r="AG214" s="128">
        <f>Table2[[#This Row],[ATA TO UNLOADING]]*24</f>
        <v>64.200000000069849</v>
      </c>
      <c r="AH214" s="128" t="str">
        <f>IF(Table2[[#This Row],[ATA TO UNLOADING 2]]&lt;=48,"YES","NO")</f>
        <v>NO</v>
      </c>
      <c r="AJ214" s="129">
        <f t="shared" si="74"/>
        <v>0.41666666666424135</v>
      </c>
      <c r="AK214" s="2" t="s">
        <v>64</v>
      </c>
      <c r="AL214" s="2" t="str">
        <f t="shared" si="75"/>
        <v>6/26</v>
      </c>
      <c r="AM214" s="2" t="str">
        <f t="shared" si="76"/>
        <v>MRSU7749830</v>
      </c>
      <c r="AN214" s="130" t="str">
        <f t="shared" si="77"/>
        <v>MSI</v>
      </c>
      <c r="AO214" s="141">
        <v>480</v>
      </c>
      <c r="AP214" s="131" t="e">
        <v>#N/A</v>
      </c>
      <c r="AQ214" s="131">
        <f>VLOOKUP($E214,Invoicing!$A$1:$H$12,MATCH(TRACKER!$Q$1,Invoicing!$A$1:$H$1,0),FALSE)</f>
        <v>50</v>
      </c>
      <c r="AR214" s="131">
        <v>50</v>
      </c>
      <c r="AS214" s="2">
        <f t="shared" si="78"/>
        <v>5</v>
      </c>
      <c r="AT214" s="2" t="str">
        <f t="shared" si="81"/>
        <v>WEEK</v>
      </c>
      <c r="AU214" s="2" t="str">
        <f t="shared" si="79"/>
        <v>MSIWEEK</v>
      </c>
      <c r="AV214" s="94">
        <v>530</v>
      </c>
      <c r="AW214" s="48">
        <f>VLOOKUP(AN214,Invoicing!A:K,11,FALSE)</f>
        <v>20</v>
      </c>
      <c r="AY214" s="48"/>
      <c r="AZ214" s="48">
        <f t="shared" si="80"/>
        <v>550</v>
      </c>
      <c r="BA214" s="132">
        <f>VLOOKUP(AN214,Invoicing!A:J,10,FALSE)</f>
        <v>70</v>
      </c>
      <c r="BB214" s="132">
        <f>VLOOKUP(AN214,Invoicing!A:L,12,FALSE)</f>
        <v>1</v>
      </c>
      <c r="BC214" s="2" t="s">
        <v>359</v>
      </c>
    </row>
    <row r="215" spans="1:55">
      <c r="A215" s="134" t="s">
        <v>428</v>
      </c>
      <c r="B215" s="86" t="s">
        <v>56</v>
      </c>
      <c r="C215" s="11">
        <v>46056.821527777778</v>
      </c>
      <c r="D215" s="11">
        <v>46056.791666666664</v>
      </c>
      <c r="E215" s="11" t="s">
        <v>98</v>
      </c>
      <c r="F215" s="11" t="s">
        <v>448</v>
      </c>
      <c r="G215" s="11" t="s">
        <v>59</v>
      </c>
      <c r="H215" s="11" t="s">
        <v>60</v>
      </c>
      <c r="I215" s="86" t="s">
        <v>453</v>
      </c>
      <c r="J215" s="86" t="s">
        <v>100</v>
      </c>
      <c r="K215" s="11">
        <v>46058.708333333336</v>
      </c>
      <c r="L215" s="12">
        <v>46059.353472222225</v>
      </c>
      <c r="M215" s="12">
        <v>46059.416666666664</v>
      </c>
      <c r="N215" s="12">
        <v>46059.427083333336</v>
      </c>
      <c r="O215" s="12" t="s">
        <v>63</v>
      </c>
      <c r="P215" s="135" t="s">
        <v>64</v>
      </c>
      <c r="Q215" s="3">
        <v>1</v>
      </c>
      <c r="R215" s="1">
        <f t="shared" si="63"/>
        <v>6</v>
      </c>
      <c r="S215" s="1">
        <f t="shared" si="64"/>
        <v>2</v>
      </c>
      <c r="T215" s="126">
        <f t="shared" si="65"/>
        <v>46059.353472222225</v>
      </c>
      <c r="U215" s="127">
        <f t="shared" si="66"/>
        <v>1.8868055555576575</v>
      </c>
      <c r="V215" s="128">
        <f>Table2[[#This Row],[ATA A OFRECIMIENTO]]*24</f>
        <v>45.28333333338378</v>
      </c>
      <c r="W215" s="1" t="str">
        <f t="shared" si="67"/>
        <v>YES</v>
      </c>
      <c r="X215" s="127">
        <f t="shared" si="68"/>
        <v>0.70833333332848269</v>
      </c>
      <c r="Y215" s="128">
        <f>Table2[[#This Row],[DEL. AVAILABLE A SLOT]]*24</f>
        <v>16.999999999883585</v>
      </c>
      <c r="Z215" s="1" t="str">
        <f t="shared" si="69"/>
        <v>SI</v>
      </c>
      <c r="AA215" s="127">
        <f t="shared" si="70"/>
        <v>2.5951388888861402</v>
      </c>
      <c r="AB215" s="128">
        <f>Table2[[#This Row],[ATA A TIMESLOT]]*24</f>
        <v>62.283333333267365</v>
      </c>
      <c r="AC215" s="127">
        <f t="shared" si="71"/>
        <v>0</v>
      </c>
      <c r="AD215" s="127" t="str">
        <f t="shared" si="72"/>
        <v>SI</v>
      </c>
      <c r="AE215" s="128">
        <f>Table2[[#This Row],[PUNTUALIDAD (H)]]*24</f>
        <v>0</v>
      </c>
      <c r="AF215" s="127">
        <f t="shared" si="73"/>
        <v>2.6055555555576575</v>
      </c>
      <c r="AG215" s="128">
        <f>Table2[[#This Row],[ATA TO UNLOADING]]*24</f>
        <v>62.53333333338378</v>
      </c>
      <c r="AH215" s="128" t="str">
        <f>IF(Table2[[#This Row],[ATA TO UNLOADING 2]]&lt;=48,"YES","NO")</f>
        <v>NO</v>
      </c>
      <c r="AJ215" s="129">
        <f t="shared" si="74"/>
        <v>0.41666666666424135</v>
      </c>
      <c r="AK215" s="2" t="s">
        <v>64</v>
      </c>
      <c r="AL215" s="2" t="str">
        <f t="shared" si="75"/>
        <v>6/26</v>
      </c>
      <c r="AM215" s="2" t="str">
        <f t="shared" si="76"/>
        <v>TCKU7008149</v>
      </c>
      <c r="AN215" s="130" t="str">
        <f t="shared" si="77"/>
        <v>MSI</v>
      </c>
      <c r="AO215" s="141">
        <v>480</v>
      </c>
      <c r="AP215" s="131" t="e">
        <v>#N/A</v>
      </c>
      <c r="AQ215" s="131">
        <f>VLOOKUP($E215,Invoicing!$A$1:$H$12,MATCH(TRACKER!$Q$1,Invoicing!$A$1:$H$1,0),FALSE)</f>
        <v>50</v>
      </c>
      <c r="AR215" s="131">
        <v>50</v>
      </c>
      <c r="AS215" s="2">
        <f t="shared" si="78"/>
        <v>5</v>
      </c>
      <c r="AT215" s="2" t="str">
        <f t="shared" si="81"/>
        <v>WEEK</v>
      </c>
      <c r="AU215" s="2" t="str">
        <f t="shared" si="79"/>
        <v>MSIWEEK</v>
      </c>
      <c r="AV215" s="94">
        <v>530</v>
      </c>
      <c r="AW215" s="48">
        <f>VLOOKUP(AN215,Invoicing!A:K,11,FALSE)</f>
        <v>20</v>
      </c>
      <c r="AY215" s="48"/>
      <c r="AZ215" s="48">
        <f t="shared" si="80"/>
        <v>550</v>
      </c>
      <c r="BA215" s="132">
        <f>VLOOKUP(AN215,Invoicing!A:J,10,FALSE)</f>
        <v>70</v>
      </c>
      <c r="BB215" s="132">
        <f>VLOOKUP(AN215,Invoicing!A:L,12,FALSE)</f>
        <v>1</v>
      </c>
      <c r="BC215" s="2" t="s">
        <v>359</v>
      </c>
    </row>
    <row r="216" spans="1:55">
      <c r="A216" s="134" t="s">
        <v>428</v>
      </c>
      <c r="B216" s="86" t="s">
        <v>56</v>
      </c>
      <c r="C216" s="11">
        <v>46056.821527777778</v>
      </c>
      <c r="D216" s="11">
        <v>46056.791666666664</v>
      </c>
      <c r="E216" s="11" t="s">
        <v>71</v>
      </c>
      <c r="F216" s="11" t="s">
        <v>448</v>
      </c>
      <c r="G216" s="11" t="s">
        <v>59</v>
      </c>
      <c r="H216" s="11" t="s">
        <v>60</v>
      </c>
      <c r="I216" s="86" t="s">
        <v>454</v>
      </c>
      <c r="J216" s="86" t="s">
        <v>100</v>
      </c>
      <c r="K216" s="11">
        <v>46058.708333333336</v>
      </c>
      <c r="L216" s="12">
        <v>46059.5</v>
      </c>
      <c r="M216" s="12">
        <v>46059.5</v>
      </c>
      <c r="N216" s="12">
        <v>46059.53125</v>
      </c>
      <c r="O216" s="12" t="s">
        <v>63</v>
      </c>
      <c r="P216" s="135" t="s">
        <v>64</v>
      </c>
      <c r="Q216" s="3">
        <v>1</v>
      </c>
      <c r="R216" s="1">
        <f t="shared" si="63"/>
        <v>6</v>
      </c>
      <c r="S216" s="1">
        <f t="shared" si="64"/>
        <v>2</v>
      </c>
      <c r="T216" s="126">
        <f t="shared" si="65"/>
        <v>46059.5</v>
      </c>
      <c r="U216" s="127">
        <f t="shared" si="66"/>
        <v>1.8868055555576575</v>
      </c>
      <c r="V216" s="128">
        <f>Table2[[#This Row],[ATA A OFRECIMIENTO]]*24</f>
        <v>45.28333333338378</v>
      </c>
      <c r="W216" s="1" t="str">
        <f t="shared" si="67"/>
        <v>YES</v>
      </c>
      <c r="X216" s="127">
        <f t="shared" si="68"/>
        <v>0.79166666666424135</v>
      </c>
      <c r="Y216" s="128">
        <f>Table2[[#This Row],[DEL. AVAILABLE A SLOT]]*24</f>
        <v>18.999999999941792</v>
      </c>
      <c r="Z216" s="1" t="str">
        <f t="shared" si="69"/>
        <v>SI</v>
      </c>
      <c r="AA216" s="127">
        <f t="shared" si="70"/>
        <v>2.6784722222218988</v>
      </c>
      <c r="AB216" s="128">
        <f>Table2[[#This Row],[ATA A TIMESLOT]]*24</f>
        <v>64.283333333325572</v>
      </c>
      <c r="AC216" s="127">
        <f t="shared" si="71"/>
        <v>0</v>
      </c>
      <c r="AD216" s="127" t="str">
        <f t="shared" si="72"/>
        <v>SI</v>
      </c>
      <c r="AE216" s="128">
        <f>Table2[[#This Row],[PUNTUALIDAD (H)]]*24</f>
        <v>0</v>
      </c>
      <c r="AF216" s="127">
        <f t="shared" si="73"/>
        <v>2.7097222222218988</v>
      </c>
      <c r="AG216" s="128">
        <f>Table2[[#This Row],[ATA TO UNLOADING]]*24</f>
        <v>65.033333333325572</v>
      </c>
      <c r="AH216" s="128" t="str">
        <f>IF(Table2[[#This Row],[ATA TO UNLOADING 2]]&lt;=48,"YES","NO")</f>
        <v>NO</v>
      </c>
      <c r="AJ216" s="129">
        <f t="shared" si="74"/>
        <v>0.5</v>
      </c>
      <c r="AK216" s="2" t="s">
        <v>64</v>
      </c>
      <c r="AL216" s="2" t="str">
        <f t="shared" si="75"/>
        <v>6/26</v>
      </c>
      <c r="AM216" s="2" t="str">
        <f t="shared" si="76"/>
        <v>HASU4845574</v>
      </c>
      <c r="AN216" s="130" t="str">
        <f t="shared" si="77"/>
        <v>LOGIX</v>
      </c>
      <c r="AO216" s="141">
        <v>550</v>
      </c>
      <c r="AP216" s="131" t="e">
        <v>#N/A</v>
      </c>
      <c r="AQ216" s="131">
        <f>VLOOKUP($E216,Invoicing!$A$1:$H$12,MATCH(TRACKER!$Q$1,Invoicing!$A$1:$H$1,0),FALSE)</f>
        <v>50</v>
      </c>
      <c r="AR216" s="131">
        <v>50</v>
      </c>
      <c r="AS216" s="2">
        <f t="shared" si="78"/>
        <v>5</v>
      </c>
      <c r="AT216" s="2" t="str">
        <f t="shared" si="81"/>
        <v>WEEK</v>
      </c>
      <c r="AU216" s="2" t="str">
        <f t="shared" si="79"/>
        <v>LOGIXWEEK</v>
      </c>
      <c r="AV216" s="94">
        <v>600</v>
      </c>
      <c r="AW216" s="48">
        <f>VLOOKUP(AN216,Invoicing!A:K,11,FALSE)</f>
        <v>20</v>
      </c>
      <c r="AY216" s="48"/>
      <c r="AZ216" s="48">
        <f t="shared" si="80"/>
        <v>620</v>
      </c>
      <c r="BA216" s="132">
        <f>VLOOKUP(AN216,Invoicing!A:J,10,FALSE)</f>
        <v>70</v>
      </c>
      <c r="BB216" s="132">
        <f>VLOOKUP(AN216,Invoicing!A:L,12,FALSE)</f>
        <v>1</v>
      </c>
      <c r="BC216" s="2" t="s">
        <v>359</v>
      </c>
    </row>
    <row r="217" spans="1:55">
      <c r="A217" s="134" t="s">
        <v>428</v>
      </c>
      <c r="B217" s="86" t="s">
        <v>56</v>
      </c>
      <c r="C217" s="11">
        <v>46056.821527777778</v>
      </c>
      <c r="D217" s="11">
        <v>46056.791666666664</v>
      </c>
      <c r="E217" s="11" t="s">
        <v>71</v>
      </c>
      <c r="F217" s="11" t="s">
        <v>455</v>
      </c>
      <c r="G217" s="11" t="s">
        <v>59</v>
      </c>
      <c r="H217" s="11" t="s">
        <v>223</v>
      </c>
      <c r="I217" s="86" t="s">
        <v>456</v>
      </c>
      <c r="J217" s="86" t="s">
        <v>100</v>
      </c>
      <c r="K217" s="11">
        <v>46058.708333333336</v>
      </c>
      <c r="L217" s="12">
        <v>46059.593055555553</v>
      </c>
      <c r="M217" s="12">
        <v>46059.583333333336</v>
      </c>
      <c r="N217" s="12">
        <v>46059.597222222219</v>
      </c>
      <c r="O217" s="12" t="s">
        <v>63</v>
      </c>
      <c r="P217" s="135" t="s">
        <v>64</v>
      </c>
      <c r="Q217" s="3">
        <v>0</v>
      </c>
      <c r="R217" s="1">
        <f t="shared" si="63"/>
        <v>6</v>
      </c>
      <c r="S217" s="1">
        <f t="shared" si="64"/>
        <v>2</v>
      </c>
      <c r="T217" s="126">
        <f t="shared" si="65"/>
        <v>46059.593055555553</v>
      </c>
      <c r="U217" s="127">
        <f t="shared" si="66"/>
        <v>1.8868055555576575</v>
      </c>
      <c r="V217" s="128">
        <f>Table2[[#This Row],[ATA A OFRECIMIENTO]]*24</f>
        <v>45.28333333338378</v>
      </c>
      <c r="W217" s="1" t="str">
        <f t="shared" si="67"/>
        <v>YES</v>
      </c>
      <c r="X217" s="127">
        <f t="shared" si="68"/>
        <v>0.875</v>
      </c>
      <c r="Y217" s="128">
        <f>Table2[[#This Row],[DEL. AVAILABLE A SLOT]]*24</f>
        <v>21</v>
      </c>
      <c r="Z217" s="1" t="str">
        <f t="shared" si="69"/>
        <v>SI</v>
      </c>
      <c r="AA217" s="127">
        <f t="shared" si="70"/>
        <v>2.7618055555576575</v>
      </c>
      <c r="AB217" s="128">
        <f>Table2[[#This Row],[ATA A TIMESLOT]]*24</f>
        <v>66.28333333338378</v>
      </c>
      <c r="AC217" s="127">
        <f t="shared" si="71"/>
        <v>9.7222222175332718E-3</v>
      </c>
      <c r="AD217" s="127" t="str">
        <f t="shared" si="72"/>
        <v>SI</v>
      </c>
      <c r="AE217" s="128">
        <f>Table2[[#This Row],[PUNTUALIDAD (H)]]*24</f>
        <v>0.23333333322079852</v>
      </c>
      <c r="AF217" s="127">
        <f t="shared" si="73"/>
        <v>2.7756944444408873</v>
      </c>
      <c r="AG217" s="128">
        <f>Table2[[#This Row],[ATA TO UNLOADING]]*24</f>
        <v>66.616666666581295</v>
      </c>
      <c r="AH217" s="128" t="str">
        <f>IF(Table2[[#This Row],[ATA TO UNLOADING 2]]&lt;=48,"YES","NO")</f>
        <v>NO</v>
      </c>
      <c r="AJ217" s="129">
        <f t="shared" si="74"/>
        <v>0.58333333333575865</v>
      </c>
      <c r="AK217" s="2" t="s">
        <v>64</v>
      </c>
      <c r="AL217" s="2" t="str">
        <f t="shared" si="75"/>
        <v>6/26</v>
      </c>
      <c r="AM217" s="2" t="str">
        <f t="shared" si="76"/>
        <v>CAAU5229684</v>
      </c>
      <c r="AN217" s="130" t="str">
        <f t="shared" si="77"/>
        <v>LOGIX</v>
      </c>
      <c r="AO217" s="141">
        <v>550</v>
      </c>
      <c r="AP217" s="131" t="e">
        <v>#N/A</v>
      </c>
      <c r="AQ217" s="131">
        <f>VLOOKUP($E217,Invoicing!$A$1:$H$12,MATCH(TRACKER!$Q$1,Invoicing!$A$1:$H$1,0),FALSE)</f>
        <v>50</v>
      </c>
      <c r="AR217" s="131">
        <v>0</v>
      </c>
      <c r="AS217" s="2">
        <f t="shared" si="78"/>
        <v>5</v>
      </c>
      <c r="AT217" s="2" t="str">
        <f t="shared" si="81"/>
        <v>WEEK</v>
      </c>
      <c r="AU217" s="2" t="str">
        <f t="shared" si="79"/>
        <v>LOGIXWEEK</v>
      </c>
      <c r="AV217" s="94">
        <v>550</v>
      </c>
      <c r="AW217" s="48">
        <f>VLOOKUP(AN217,Invoicing!A:K,11,FALSE)</f>
        <v>20</v>
      </c>
      <c r="AY217" s="48"/>
      <c r="AZ217" s="48">
        <f t="shared" si="80"/>
        <v>570</v>
      </c>
      <c r="BA217" s="132">
        <f>VLOOKUP(AN217,Invoicing!A:J,10,FALSE)</f>
        <v>70</v>
      </c>
      <c r="BB217" s="132">
        <f>VLOOKUP(AN217,Invoicing!A:L,12,FALSE)</f>
        <v>1</v>
      </c>
      <c r="BC217" s="2" t="s">
        <v>359</v>
      </c>
    </row>
    <row r="218" spans="1:55">
      <c r="A218" s="134" t="s">
        <v>428</v>
      </c>
      <c r="B218" s="86" t="s">
        <v>56</v>
      </c>
      <c r="C218" s="11">
        <v>46056.821527777778</v>
      </c>
      <c r="D218" s="11">
        <v>46056.791666666664</v>
      </c>
      <c r="E218" s="11" t="s">
        <v>83</v>
      </c>
      <c r="F218" s="11" t="s">
        <v>457</v>
      </c>
      <c r="G218" s="11" t="s">
        <v>59</v>
      </c>
      <c r="H218" s="11" t="s">
        <v>60</v>
      </c>
      <c r="I218" s="86" t="s">
        <v>458</v>
      </c>
      <c r="J218" s="86" t="s">
        <v>100</v>
      </c>
      <c r="K218" s="11">
        <v>46058.708333333336</v>
      </c>
      <c r="L218" s="12">
        <v>46059.612500000003</v>
      </c>
      <c r="M218" s="12">
        <v>46059.604166666664</v>
      </c>
      <c r="N218" s="12">
        <v>46059.616666666669</v>
      </c>
      <c r="O218" s="12" t="s">
        <v>63</v>
      </c>
      <c r="P218" s="135" t="s">
        <v>64</v>
      </c>
      <c r="Q218" s="3">
        <v>0</v>
      </c>
      <c r="R218" s="1">
        <f t="shared" si="63"/>
        <v>6</v>
      </c>
      <c r="S218" s="1">
        <f t="shared" si="64"/>
        <v>2</v>
      </c>
      <c r="T218" s="126">
        <f t="shared" si="65"/>
        <v>46059.612500000003</v>
      </c>
      <c r="U218" s="127">
        <f t="shared" si="66"/>
        <v>1.8868055555576575</v>
      </c>
      <c r="V218" s="128">
        <f>Table2[[#This Row],[ATA A OFRECIMIENTO]]*24</f>
        <v>45.28333333338378</v>
      </c>
      <c r="W218" s="1" t="str">
        <f t="shared" si="67"/>
        <v>YES</v>
      </c>
      <c r="X218" s="127">
        <f t="shared" si="68"/>
        <v>0.89583333332848269</v>
      </c>
      <c r="Y218" s="128">
        <f>Table2[[#This Row],[DEL. AVAILABLE A SLOT]]*24</f>
        <v>21.499999999883585</v>
      </c>
      <c r="Z218" s="1" t="str">
        <f t="shared" si="69"/>
        <v>SI</v>
      </c>
      <c r="AA218" s="127">
        <f t="shared" si="70"/>
        <v>2.7826388888861402</v>
      </c>
      <c r="AB218" s="128">
        <f>Table2[[#This Row],[ATA A TIMESLOT]]*24</f>
        <v>66.783333333267365</v>
      </c>
      <c r="AC218" s="127">
        <f t="shared" si="71"/>
        <v>8.3333333386690356E-3</v>
      </c>
      <c r="AD218" s="127" t="str">
        <f t="shared" si="72"/>
        <v>SI</v>
      </c>
      <c r="AE218" s="128">
        <f>Table2[[#This Row],[PUNTUALIDAD (H)]]*24</f>
        <v>0.20000000012805685</v>
      </c>
      <c r="AF218" s="127">
        <f t="shared" si="73"/>
        <v>2.7951388888905058</v>
      </c>
      <c r="AG218" s="128">
        <f>Table2[[#This Row],[ATA TO UNLOADING]]*24</f>
        <v>67.083333333372138</v>
      </c>
      <c r="AH218" s="128" t="str">
        <f>IF(Table2[[#This Row],[ATA TO UNLOADING 2]]&lt;=48,"YES","NO")</f>
        <v>NO</v>
      </c>
      <c r="AJ218" s="129">
        <f t="shared" si="74"/>
        <v>0.60416666666424135</v>
      </c>
      <c r="AK218" s="2" t="s">
        <v>64</v>
      </c>
      <c r="AL218" s="2" t="str">
        <f t="shared" si="75"/>
        <v>6/26</v>
      </c>
      <c r="AM218" s="2" t="str">
        <f t="shared" si="76"/>
        <v>MSKU4777627</v>
      </c>
      <c r="AN218" s="130" t="str">
        <f t="shared" si="77"/>
        <v>OM TRANSPORT</v>
      </c>
      <c r="AO218" s="141">
        <v>475</v>
      </c>
      <c r="AP218" s="131" t="e">
        <v>#N/A</v>
      </c>
      <c r="AQ218" s="131">
        <f>VLOOKUP($E218,Invoicing!$A$1:$H$12,MATCH(TRACKER!$Q$1,Invoicing!$A$1:$H$1,0),FALSE)</f>
        <v>50</v>
      </c>
      <c r="AR218" s="131">
        <v>0</v>
      </c>
      <c r="AS218" s="2">
        <f t="shared" si="78"/>
        <v>5</v>
      </c>
      <c r="AT218" s="2" t="str">
        <f t="shared" si="81"/>
        <v>WEEK</v>
      </c>
      <c r="AU218" s="2" t="str">
        <f t="shared" si="79"/>
        <v>OM TRANSPORTWEEK</v>
      </c>
      <c r="AV218" s="94">
        <v>475</v>
      </c>
      <c r="AW218" s="48">
        <f>VLOOKUP(AN218,Invoicing!A:K,11,FALSE)</f>
        <v>20</v>
      </c>
      <c r="AY218" s="48"/>
      <c r="AZ218" s="48">
        <f t="shared" si="80"/>
        <v>495</v>
      </c>
      <c r="BA218" s="132">
        <f>VLOOKUP(AN218,Invoicing!A:J,10,FALSE)</f>
        <v>70</v>
      </c>
      <c r="BB218" s="132">
        <f>VLOOKUP(AN218,Invoicing!A:L,12,FALSE)</f>
        <v>1</v>
      </c>
      <c r="BC218" s="2" t="s">
        <v>359</v>
      </c>
    </row>
    <row r="219" spans="1:55">
      <c r="A219" s="134" t="s">
        <v>428</v>
      </c>
      <c r="B219" s="86" t="s">
        <v>56</v>
      </c>
      <c r="C219" s="11">
        <v>46056.821527777778</v>
      </c>
      <c r="D219" s="11">
        <v>46056.791666666664</v>
      </c>
      <c r="E219" s="11" t="s">
        <v>73</v>
      </c>
      <c r="F219" s="11" t="s">
        <v>429</v>
      </c>
      <c r="G219" s="11" t="s">
        <v>59</v>
      </c>
      <c r="H219" s="11" t="s">
        <v>68</v>
      </c>
      <c r="I219" s="86" t="s">
        <v>459</v>
      </c>
      <c r="J219" s="86" t="s">
        <v>100</v>
      </c>
      <c r="K219" s="11">
        <v>46058.708333333336</v>
      </c>
      <c r="L219" s="12">
        <v>46059.768055555556</v>
      </c>
      <c r="M219" s="12">
        <v>46059.666666666664</v>
      </c>
      <c r="N219" s="12">
        <v>46059.774305555555</v>
      </c>
      <c r="O219" s="12" t="s">
        <v>63</v>
      </c>
      <c r="P219" s="135" t="s">
        <v>64</v>
      </c>
      <c r="Q219" s="3">
        <v>1</v>
      </c>
      <c r="R219" s="1">
        <f t="shared" si="63"/>
        <v>6</v>
      </c>
      <c r="S219" s="1">
        <f t="shared" si="64"/>
        <v>2</v>
      </c>
      <c r="T219" s="126">
        <f t="shared" si="65"/>
        <v>46059.768055555556</v>
      </c>
      <c r="U219" s="127">
        <f t="shared" si="66"/>
        <v>1.8868055555576575</v>
      </c>
      <c r="V219" s="128">
        <f>Table2[[#This Row],[ATA A OFRECIMIENTO]]*24</f>
        <v>45.28333333338378</v>
      </c>
      <c r="W219" s="1" t="str">
        <f t="shared" si="67"/>
        <v>YES</v>
      </c>
      <c r="X219" s="127">
        <f t="shared" si="68"/>
        <v>0.95833333332848269</v>
      </c>
      <c r="Y219" s="128">
        <f>Table2[[#This Row],[DEL. AVAILABLE A SLOT]]*24</f>
        <v>22.999999999883585</v>
      </c>
      <c r="Z219" s="1" t="str">
        <f t="shared" si="69"/>
        <v>SI</v>
      </c>
      <c r="AA219" s="127">
        <f t="shared" si="70"/>
        <v>2.8451388888861402</v>
      </c>
      <c r="AB219" s="128">
        <f>Table2[[#This Row],[ATA A TIMESLOT]]*24</f>
        <v>68.283333333267365</v>
      </c>
      <c r="AC219" s="127">
        <f t="shared" si="71"/>
        <v>0.10138888889196096</v>
      </c>
      <c r="AD219" s="127" t="str">
        <f t="shared" si="72"/>
        <v>NO</v>
      </c>
      <c r="AE219" s="128">
        <f>Table2[[#This Row],[PUNTUALIDAD (H)]]*24</f>
        <v>2.433333333407063</v>
      </c>
      <c r="AF219" s="127">
        <f t="shared" si="73"/>
        <v>2.952777777776646</v>
      </c>
      <c r="AG219" s="128">
        <f>Table2[[#This Row],[ATA TO UNLOADING]]*24</f>
        <v>70.866666666639503</v>
      </c>
      <c r="AH219" s="128" t="str">
        <f>IF(Table2[[#This Row],[ATA TO UNLOADING 2]]&lt;=48,"YES","NO")</f>
        <v>NO</v>
      </c>
      <c r="AJ219" s="129">
        <f t="shared" si="74"/>
        <v>0.66666666666424135</v>
      </c>
      <c r="AK219" s="2" t="s">
        <v>64</v>
      </c>
      <c r="AL219" s="2" t="str">
        <f t="shared" si="75"/>
        <v>6/26</v>
      </c>
      <c r="AM219" s="2" t="str">
        <f t="shared" si="76"/>
        <v>MRSU4891219</v>
      </c>
      <c r="AN219" s="130" t="str">
        <f t="shared" si="77"/>
        <v>OTL</v>
      </c>
      <c r="AO219" s="141">
        <v>530</v>
      </c>
      <c r="AP219" s="131" t="e">
        <v>#N/A</v>
      </c>
      <c r="AQ219" s="131">
        <f>VLOOKUP($E219,Invoicing!$A$1:$H$12,MATCH(TRACKER!$Q$1,Invoicing!$A$1:$H$1,0),FALSE)</f>
        <v>60</v>
      </c>
      <c r="AR219" s="131">
        <v>60</v>
      </c>
      <c r="AS219" s="2">
        <f t="shared" si="78"/>
        <v>5</v>
      </c>
      <c r="AT219" s="2" t="str">
        <f t="shared" si="81"/>
        <v>WEEK</v>
      </c>
      <c r="AU219" s="2" t="str">
        <f t="shared" si="79"/>
        <v>OTLWEEK</v>
      </c>
      <c r="AV219" s="94">
        <v>590</v>
      </c>
      <c r="AW219" s="48">
        <f>VLOOKUP(AN219,Invoicing!A:K,11,FALSE)</f>
        <v>20</v>
      </c>
      <c r="AY219" s="48"/>
      <c r="AZ219" s="48">
        <f t="shared" si="80"/>
        <v>610</v>
      </c>
      <c r="BA219" s="132">
        <f>VLOOKUP(AN219,Invoicing!A:J,10,FALSE)</f>
        <v>70</v>
      </c>
      <c r="BB219" s="132">
        <f>VLOOKUP(AN219,Invoicing!A:L,12,FALSE)</f>
        <v>1</v>
      </c>
      <c r="BC219" s="2" t="s">
        <v>359</v>
      </c>
    </row>
    <row r="220" spans="1:55">
      <c r="A220" s="134" t="s">
        <v>460</v>
      </c>
      <c r="B220" s="86" t="s">
        <v>77</v>
      </c>
      <c r="C220" s="11">
        <v>46059.361805555556</v>
      </c>
      <c r="D220" s="11">
        <v>46059.291666666664</v>
      </c>
      <c r="E220" s="11" t="s">
        <v>98</v>
      </c>
      <c r="F220" s="11" t="s">
        <v>461</v>
      </c>
      <c r="G220" s="11" t="s">
        <v>59</v>
      </c>
      <c r="H220" s="11" t="s">
        <v>91</v>
      </c>
      <c r="I220" s="86" t="s">
        <v>462</v>
      </c>
      <c r="J220" s="86" t="s">
        <v>82</v>
      </c>
      <c r="K220" s="11">
        <v>46060.75</v>
      </c>
      <c r="L220" s="12">
        <v>46060.790277777778</v>
      </c>
      <c r="M220" s="12">
        <v>46060.791666666664</v>
      </c>
      <c r="N220" s="12">
        <v>46060.868055555555</v>
      </c>
      <c r="O220" s="12" t="s">
        <v>63</v>
      </c>
      <c r="P220" s="135" t="s">
        <v>15</v>
      </c>
      <c r="Q220" s="3">
        <v>0</v>
      </c>
      <c r="R220" s="1">
        <f t="shared" si="63"/>
        <v>6</v>
      </c>
      <c r="S220" s="1">
        <f t="shared" si="64"/>
        <v>2</v>
      </c>
      <c r="T220" s="126">
        <f t="shared" si="65"/>
        <v>46060.790277777778</v>
      </c>
      <c r="U220" s="127">
        <f t="shared" si="66"/>
        <v>1.3881944444437977</v>
      </c>
      <c r="V220" s="128">
        <f>Table2[[#This Row],[ATA A OFRECIMIENTO]]*24</f>
        <v>33.316666666651145</v>
      </c>
      <c r="W220" s="1" t="str">
        <f t="shared" si="67"/>
        <v>YES</v>
      </c>
      <c r="X220" s="127">
        <f t="shared" si="68"/>
        <v>4.1666666664241347E-2</v>
      </c>
      <c r="Y220" s="128">
        <f>Table2[[#This Row],[DEL. AVAILABLE A SLOT]]*24</f>
        <v>0.99999999994179234</v>
      </c>
      <c r="Z220" s="1" t="str">
        <f t="shared" si="69"/>
        <v>SI</v>
      </c>
      <c r="AA220" s="127">
        <f t="shared" si="70"/>
        <v>1.429861111108039</v>
      </c>
      <c r="AB220" s="128">
        <f>Table2[[#This Row],[ATA A TIMESLOT]]*24</f>
        <v>34.316666666592937</v>
      </c>
      <c r="AC220" s="127">
        <f t="shared" si="71"/>
        <v>0</v>
      </c>
      <c r="AD220" s="127" t="str">
        <f t="shared" si="72"/>
        <v>SI</v>
      </c>
      <c r="AE220" s="128">
        <f>Table2[[#This Row],[PUNTUALIDAD (H)]]*24</f>
        <v>0</v>
      </c>
      <c r="AF220" s="127">
        <f t="shared" si="73"/>
        <v>1.5062499999985448</v>
      </c>
      <c r="AG220" s="128">
        <f>Table2[[#This Row],[ATA TO UNLOADING]]*24</f>
        <v>36.149999999965075</v>
      </c>
      <c r="AH220" s="128" t="str">
        <f>IF(Table2[[#This Row],[ATA TO UNLOADING 2]]&lt;=48,"YES","NO")</f>
        <v>YES</v>
      </c>
      <c r="AJ220" s="129">
        <f t="shared" si="74"/>
        <v>0.79166666666424135</v>
      </c>
      <c r="AK220" s="2" t="s">
        <v>64</v>
      </c>
      <c r="AL220" s="2" t="str">
        <f t="shared" si="75"/>
        <v>6/26</v>
      </c>
      <c r="AM220" s="2" t="str">
        <f t="shared" si="76"/>
        <v>CAAU9153170</v>
      </c>
      <c r="AN220" s="130" t="str">
        <f t="shared" si="77"/>
        <v>MSI</v>
      </c>
      <c r="AO220" s="141">
        <v>523.5</v>
      </c>
      <c r="AP220" s="131">
        <v>120</v>
      </c>
      <c r="AQ220" s="131">
        <f>VLOOKUP($E220,Invoicing!$A$1:$H$12,MATCH(TRACKER!$Q$1,Invoicing!$A$1:$H$1,0),FALSE)</f>
        <v>50</v>
      </c>
      <c r="AR220" s="131">
        <v>0</v>
      </c>
      <c r="AS220" s="2">
        <f t="shared" si="78"/>
        <v>6</v>
      </c>
      <c r="AT220" s="2" t="str">
        <f t="shared" si="81"/>
        <v>SATURDAY</v>
      </c>
      <c r="AU220" s="2" t="str">
        <f t="shared" si="79"/>
        <v>MSISATURDAY</v>
      </c>
      <c r="AV220" s="94">
        <v>778.5</v>
      </c>
      <c r="AW220" s="48">
        <f>VLOOKUP(AN220,Invoicing!A:K,11,FALSE)</f>
        <v>20</v>
      </c>
      <c r="AX220" s="48">
        <v>135</v>
      </c>
      <c r="AY220" s="94" t="s">
        <v>463</v>
      </c>
      <c r="AZ220" s="48">
        <f t="shared" si="80"/>
        <v>798.5</v>
      </c>
      <c r="BA220" s="132">
        <f>VLOOKUP(AN220,Invoicing!A:J,10,FALSE)</f>
        <v>70</v>
      </c>
      <c r="BB220" s="132">
        <f>VLOOKUP(AN220,Invoicing!A:L,12,FALSE)</f>
        <v>1</v>
      </c>
      <c r="BC220" s="2" t="s">
        <v>359</v>
      </c>
    </row>
    <row r="221" spans="1:55">
      <c r="A221" s="134" t="s">
        <v>460</v>
      </c>
      <c r="B221" s="86" t="s">
        <v>77</v>
      </c>
      <c r="C221" s="11">
        <v>46059.361805555556</v>
      </c>
      <c r="D221" s="11">
        <v>46059.291666666664</v>
      </c>
      <c r="E221" s="11" t="s">
        <v>98</v>
      </c>
      <c r="F221" s="11" t="s">
        <v>461</v>
      </c>
      <c r="G221" s="11" t="s">
        <v>59</v>
      </c>
      <c r="H221" s="11" t="s">
        <v>91</v>
      </c>
      <c r="I221" s="86" t="s">
        <v>464</v>
      </c>
      <c r="J221" s="86" t="s">
        <v>82</v>
      </c>
      <c r="K221" s="11">
        <v>46060.75</v>
      </c>
      <c r="L221" s="12">
        <v>46060.800000000003</v>
      </c>
      <c r="M221" s="12">
        <v>46060.791666666664</v>
      </c>
      <c r="N221" s="12">
        <v>46060.871527777781</v>
      </c>
      <c r="O221" s="12" t="s">
        <v>63</v>
      </c>
      <c r="P221" s="135" t="s">
        <v>15</v>
      </c>
      <c r="Q221" s="3">
        <v>0</v>
      </c>
      <c r="R221" s="1">
        <f t="shared" si="63"/>
        <v>6</v>
      </c>
      <c r="S221" s="1">
        <f t="shared" si="64"/>
        <v>2</v>
      </c>
      <c r="T221" s="126">
        <f t="shared" si="65"/>
        <v>46060.800000000003</v>
      </c>
      <c r="U221" s="127">
        <f t="shared" si="66"/>
        <v>1.3881944444437977</v>
      </c>
      <c r="V221" s="128">
        <f>Table2[[#This Row],[ATA A OFRECIMIENTO]]*24</f>
        <v>33.316666666651145</v>
      </c>
      <c r="W221" s="1" t="str">
        <f t="shared" si="67"/>
        <v>YES</v>
      </c>
      <c r="X221" s="127">
        <f t="shared" si="68"/>
        <v>4.1666666664241347E-2</v>
      </c>
      <c r="Y221" s="128">
        <f>Table2[[#This Row],[DEL. AVAILABLE A SLOT]]*24</f>
        <v>0.99999999994179234</v>
      </c>
      <c r="Z221" s="1" t="str">
        <f t="shared" si="69"/>
        <v>SI</v>
      </c>
      <c r="AA221" s="127">
        <f t="shared" si="70"/>
        <v>1.429861111108039</v>
      </c>
      <c r="AB221" s="128">
        <f>Table2[[#This Row],[ATA A TIMESLOT]]*24</f>
        <v>34.316666666592937</v>
      </c>
      <c r="AC221" s="127">
        <f t="shared" si="71"/>
        <v>8.3333333386690356E-3</v>
      </c>
      <c r="AD221" s="127" t="str">
        <f t="shared" si="72"/>
        <v>SI</v>
      </c>
      <c r="AE221" s="128">
        <f>Table2[[#This Row],[PUNTUALIDAD (H)]]*24</f>
        <v>0.20000000012805685</v>
      </c>
      <c r="AF221" s="127">
        <f t="shared" si="73"/>
        <v>1.5097222222248092</v>
      </c>
      <c r="AG221" s="128">
        <f>Table2[[#This Row],[ATA TO UNLOADING]]*24</f>
        <v>36.233333333395422</v>
      </c>
      <c r="AH221" s="128" t="str">
        <f>IF(Table2[[#This Row],[ATA TO UNLOADING 2]]&lt;=48,"YES","NO")</f>
        <v>YES</v>
      </c>
      <c r="AJ221" s="129">
        <f t="shared" si="74"/>
        <v>0.79166666666424135</v>
      </c>
      <c r="AK221" s="2" t="s">
        <v>64</v>
      </c>
      <c r="AL221" s="2" t="str">
        <f t="shared" si="75"/>
        <v>6/26</v>
      </c>
      <c r="AM221" s="2" t="str">
        <f t="shared" si="76"/>
        <v>MRSU3111160</v>
      </c>
      <c r="AN221" s="130" t="str">
        <f t="shared" si="77"/>
        <v>MSI</v>
      </c>
      <c r="AO221" s="141">
        <v>523.5</v>
      </c>
      <c r="AP221" s="131">
        <v>120</v>
      </c>
      <c r="AQ221" s="131">
        <f>VLOOKUP($E221,Invoicing!$A$1:$H$12,MATCH(TRACKER!$Q$1,Invoicing!$A$1:$H$1,0),FALSE)</f>
        <v>50</v>
      </c>
      <c r="AR221" s="131">
        <v>0</v>
      </c>
      <c r="AS221" s="2">
        <f t="shared" si="78"/>
        <v>6</v>
      </c>
      <c r="AT221" s="2" t="str">
        <f t="shared" si="81"/>
        <v>SATURDAY</v>
      </c>
      <c r="AU221" s="2" t="str">
        <f t="shared" si="79"/>
        <v>MSISATURDAY</v>
      </c>
      <c r="AV221" s="94">
        <v>778.5</v>
      </c>
      <c r="AW221" s="48">
        <f>VLOOKUP(AN221,Invoicing!A:K,11,FALSE)</f>
        <v>20</v>
      </c>
      <c r="AX221" s="48">
        <v>135</v>
      </c>
      <c r="AY221" s="94" t="s">
        <v>463</v>
      </c>
      <c r="AZ221" s="48">
        <f t="shared" si="80"/>
        <v>798.5</v>
      </c>
      <c r="BA221" s="132">
        <f>VLOOKUP(AN221,Invoicing!A:J,10,FALSE)</f>
        <v>70</v>
      </c>
      <c r="BB221" s="132">
        <f>VLOOKUP(AN221,Invoicing!A:L,12,FALSE)</f>
        <v>1</v>
      </c>
      <c r="BC221" s="2" t="s">
        <v>359</v>
      </c>
    </row>
    <row r="222" spans="1:55">
      <c r="A222" s="134" t="s">
        <v>460</v>
      </c>
      <c r="B222" s="86" t="s">
        <v>77</v>
      </c>
      <c r="C222" s="11">
        <v>46059.361805555556</v>
      </c>
      <c r="D222" s="11">
        <v>46059.291666666664</v>
      </c>
      <c r="E222" s="11" t="s">
        <v>83</v>
      </c>
      <c r="F222" s="11" t="s">
        <v>465</v>
      </c>
      <c r="G222" s="11" t="s">
        <v>59</v>
      </c>
      <c r="H222" s="11" t="s">
        <v>91</v>
      </c>
      <c r="I222" s="86" t="s">
        <v>466</v>
      </c>
      <c r="J222" s="86" t="s">
        <v>82</v>
      </c>
      <c r="K222" s="11">
        <v>46060.75</v>
      </c>
      <c r="L222" s="12">
        <v>46060.763888888891</v>
      </c>
      <c r="M222" s="12">
        <v>46060.791666666664</v>
      </c>
      <c r="N222" s="12">
        <v>46060.763888888891</v>
      </c>
      <c r="O222" s="12" t="s">
        <v>63</v>
      </c>
      <c r="P222" s="135" t="s">
        <v>64</v>
      </c>
      <c r="Q222" s="3">
        <v>0</v>
      </c>
      <c r="R222" s="1">
        <f t="shared" si="63"/>
        <v>6</v>
      </c>
      <c r="S222" s="1">
        <f t="shared" si="64"/>
        <v>2</v>
      </c>
      <c r="T222" s="126">
        <f t="shared" si="65"/>
        <v>46060.763888888891</v>
      </c>
      <c r="U222" s="127">
        <f t="shared" si="66"/>
        <v>1.3881944444437977</v>
      </c>
      <c r="V222" s="128">
        <f>Table2[[#This Row],[ATA A OFRECIMIENTO]]*24</f>
        <v>33.316666666651145</v>
      </c>
      <c r="W222" s="1" t="str">
        <f t="shared" si="67"/>
        <v>YES</v>
      </c>
      <c r="X222" s="127">
        <f t="shared" si="68"/>
        <v>4.1666666664241347E-2</v>
      </c>
      <c r="Y222" s="128">
        <f>Table2[[#This Row],[DEL. AVAILABLE A SLOT]]*24</f>
        <v>0.99999999994179234</v>
      </c>
      <c r="Z222" s="1" t="str">
        <f t="shared" si="69"/>
        <v>SI</v>
      </c>
      <c r="AA222" s="127">
        <f t="shared" si="70"/>
        <v>1.429861111108039</v>
      </c>
      <c r="AB222" s="128">
        <f>Table2[[#This Row],[ATA A TIMESLOT]]*24</f>
        <v>34.316666666592937</v>
      </c>
      <c r="AC222" s="127">
        <f t="shared" si="71"/>
        <v>0</v>
      </c>
      <c r="AD222" s="127" t="str">
        <f t="shared" si="72"/>
        <v>SI</v>
      </c>
      <c r="AE222" s="128">
        <f>Table2[[#This Row],[PUNTUALIDAD (H)]]*24</f>
        <v>0</v>
      </c>
      <c r="AF222" s="127">
        <f t="shared" si="73"/>
        <v>1.4020833333343035</v>
      </c>
      <c r="AG222" s="128">
        <f>Table2[[#This Row],[ATA TO UNLOADING]]*24</f>
        <v>33.650000000023283</v>
      </c>
      <c r="AH222" s="128" t="str">
        <f>IF(Table2[[#This Row],[ATA TO UNLOADING 2]]&lt;=48,"YES","NO")</f>
        <v>YES</v>
      </c>
      <c r="AJ222" s="129">
        <f t="shared" si="74"/>
        <v>0.79166666666424135</v>
      </c>
      <c r="AK222" s="2" t="s">
        <v>64</v>
      </c>
      <c r="AL222" s="2" t="str">
        <f t="shared" si="75"/>
        <v>6/26</v>
      </c>
      <c r="AM222" s="2" t="str">
        <f t="shared" si="76"/>
        <v>TLLU7667476</v>
      </c>
      <c r="AN222" s="130" t="str">
        <f t="shared" si="77"/>
        <v>OM TRANSPORT</v>
      </c>
      <c r="AO222" s="141">
        <v>573.5</v>
      </c>
      <c r="AP222" s="131" t="e">
        <v>#N/A</v>
      </c>
      <c r="AQ222" s="131">
        <f>VLOOKUP($E222,Invoicing!$A$1:$H$12,MATCH(TRACKER!$Q$1,Invoicing!$A$1:$H$1,0),FALSE)</f>
        <v>50</v>
      </c>
      <c r="AR222" s="131">
        <v>0</v>
      </c>
      <c r="AS222" s="2">
        <f t="shared" si="78"/>
        <v>6</v>
      </c>
      <c r="AT222" s="2" t="str">
        <f t="shared" si="81"/>
        <v>SATURDAY</v>
      </c>
      <c r="AU222" s="2" t="str">
        <f t="shared" si="79"/>
        <v>OM TRANSPORTSATURDAY</v>
      </c>
      <c r="AV222" s="94">
        <v>573.5</v>
      </c>
      <c r="AW222" s="48">
        <f>VLOOKUP(AN222,Invoicing!A:K,11,FALSE)</f>
        <v>20</v>
      </c>
      <c r="AY222" s="48"/>
      <c r="AZ222" s="48">
        <f t="shared" si="80"/>
        <v>593.5</v>
      </c>
      <c r="BA222" s="132">
        <f>VLOOKUP(AN222,Invoicing!A:J,10,FALSE)</f>
        <v>70</v>
      </c>
      <c r="BB222" s="132">
        <f>VLOOKUP(AN222,Invoicing!A:L,12,FALSE)</f>
        <v>1</v>
      </c>
      <c r="BC222" s="2" t="s">
        <v>359</v>
      </c>
    </row>
    <row r="223" spans="1:55">
      <c r="A223" s="134" t="s">
        <v>460</v>
      </c>
      <c r="B223" s="86" t="s">
        <v>77</v>
      </c>
      <c r="C223" s="11">
        <v>46059.361805555556</v>
      </c>
      <c r="D223" s="11">
        <v>46059.291666666664</v>
      </c>
      <c r="E223" s="11" t="s">
        <v>71</v>
      </c>
      <c r="F223" s="11" t="s">
        <v>467</v>
      </c>
      <c r="G223" s="11" t="s">
        <v>133</v>
      </c>
      <c r="H223" s="11" t="s">
        <v>91</v>
      </c>
      <c r="I223" s="86" t="s">
        <v>468</v>
      </c>
      <c r="J223" s="86" t="s">
        <v>82</v>
      </c>
      <c r="K223" s="11">
        <v>46060.75</v>
      </c>
      <c r="L223" s="12">
        <v>46060.825694444444</v>
      </c>
      <c r="M223" s="12">
        <v>46060.833333333336</v>
      </c>
      <c r="N223" s="12">
        <v>46060.854166666664</v>
      </c>
      <c r="O223" s="12" t="s">
        <v>63</v>
      </c>
      <c r="P223" s="135" t="s">
        <v>64</v>
      </c>
      <c r="Q223" s="3">
        <v>0</v>
      </c>
      <c r="R223" s="1">
        <f t="shared" si="63"/>
        <v>6</v>
      </c>
      <c r="S223" s="1">
        <f t="shared" si="64"/>
        <v>2</v>
      </c>
      <c r="T223" s="126">
        <f t="shared" si="65"/>
        <v>46060.825694444444</v>
      </c>
      <c r="U223" s="127">
        <f t="shared" si="66"/>
        <v>1.3881944444437977</v>
      </c>
      <c r="V223" s="128">
        <f>Table2[[#This Row],[ATA A OFRECIMIENTO]]*24</f>
        <v>33.316666666651145</v>
      </c>
      <c r="W223" s="1" t="str">
        <f t="shared" si="67"/>
        <v>YES</v>
      </c>
      <c r="X223" s="127">
        <f t="shared" si="68"/>
        <v>8.3333333335758653E-2</v>
      </c>
      <c r="Y223" s="128">
        <f>Table2[[#This Row],[DEL. AVAILABLE A SLOT]]*24</f>
        <v>2.0000000000582077</v>
      </c>
      <c r="Z223" s="1" t="str">
        <f t="shared" si="69"/>
        <v>SI</v>
      </c>
      <c r="AA223" s="127">
        <f t="shared" si="70"/>
        <v>1.4715277777795563</v>
      </c>
      <c r="AB223" s="128">
        <f>Table2[[#This Row],[ATA A TIMESLOT]]*24</f>
        <v>35.316666666709352</v>
      </c>
      <c r="AC223" s="127">
        <f t="shared" si="71"/>
        <v>0</v>
      </c>
      <c r="AD223" s="127" t="str">
        <f t="shared" si="72"/>
        <v>SI</v>
      </c>
      <c r="AE223" s="128">
        <f>Table2[[#This Row],[PUNTUALIDAD (H)]]*24</f>
        <v>0</v>
      </c>
      <c r="AF223" s="127">
        <f t="shared" si="73"/>
        <v>1.492361111108039</v>
      </c>
      <c r="AG223" s="128">
        <f>Table2[[#This Row],[ATA TO UNLOADING]]*24</f>
        <v>35.816666666592937</v>
      </c>
      <c r="AH223" s="128" t="str">
        <f>IF(Table2[[#This Row],[ATA TO UNLOADING 2]]&lt;=48,"YES","NO")</f>
        <v>YES</v>
      </c>
      <c r="AJ223" s="129">
        <f t="shared" si="74"/>
        <v>0.83333333333575865</v>
      </c>
      <c r="AK223" s="49" t="s">
        <v>36</v>
      </c>
      <c r="AL223" s="2" t="str">
        <f t="shared" si="75"/>
        <v>6/26</v>
      </c>
      <c r="AM223" s="2" t="str">
        <f t="shared" si="76"/>
        <v>FSCU7181255</v>
      </c>
      <c r="AN223" s="130" t="str">
        <f t="shared" si="77"/>
        <v>LOGIX</v>
      </c>
      <c r="AO223" s="141">
        <v>573.5</v>
      </c>
      <c r="AP223" s="131" t="e">
        <v>#N/A</v>
      </c>
      <c r="AQ223" s="131">
        <f>VLOOKUP($E223,Invoicing!$A$1:$H$12,MATCH(TRACKER!$Q$1,Invoicing!$A$1:$H$1,0),FALSE)</f>
        <v>50</v>
      </c>
      <c r="AR223" s="131">
        <v>0</v>
      </c>
      <c r="AS223" s="2">
        <f t="shared" si="78"/>
        <v>6</v>
      </c>
      <c r="AT223" s="2" t="str">
        <f t="shared" si="81"/>
        <v>SATURDAY</v>
      </c>
      <c r="AU223" s="2" t="str">
        <f t="shared" si="79"/>
        <v>LOGIXSATURDAY</v>
      </c>
      <c r="AV223" s="94">
        <v>573.5</v>
      </c>
      <c r="AW223" s="48">
        <f>VLOOKUP(AN223,Invoicing!A:K,11,FALSE)</f>
        <v>20</v>
      </c>
      <c r="AY223" s="48"/>
      <c r="AZ223" s="48">
        <f t="shared" si="80"/>
        <v>593.5</v>
      </c>
      <c r="BA223" s="132">
        <f>VLOOKUP(AN223,Invoicing!A:J,10,FALSE)</f>
        <v>70</v>
      </c>
      <c r="BB223" s="132">
        <f>VLOOKUP(AN223,Invoicing!A:L,12,FALSE)</f>
        <v>1</v>
      </c>
      <c r="BC223" s="2" t="s">
        <v>359</v>
      </c>
    </row>
    <row r="224" spans="1:55">
      <c r="A224" s="134" t="s">
        <v>460</v>
      </c>
      <c r="B224" s="86" t="s">
        <v>77</v>
      </c>
      <c r="C224" s="11">
        <v>46059.361805555556</v>
      </c>
      <c r="D224" s="11">
        <v>46059.291666666664</v>
      </c>
      <c r="E224" s="11" t="s">
        <v>83</v>
      </c>
      <c r="F224" s="11" t="s">
        <v>461</v>
      </c>
      <c r="G224" s="11" t="s">
        <v>59</v>
      </c>
      <c r="H224" s="11" t="s">
        <v>91</v>
      </c>
      <c r="I224" s="86" t="s">
        <v>469</v>
      </c>
      <c r="J224" s="86" t="s">
        <v>82</v>
      </c>
      <c r="K224" s="11">
        <v>46060.75</v>
      </c>
      <c r="L224" s="12">
        <v>46060.786805555559</v>
      </c>
      <c r="M224" s="12">
        <v>46060.833333333336</v>
      </c>
      <c r="N224" s="12">
        <v>46060.868055555555</v>
      </c>
      <c r="O224" s="12" t="s">
        <v>63</v>
      </c>
      <c r="P224" s="135" t="s">
        <v>15</v>
      </c>
      <c r="Q224" s="3">
        <v>0</v>
      </c>
      <c r="R224" s="1">
        <f t="shared" si="63"/>
        <v>6</v>
      </c>
      <c r="S224" s="1">
        <f t="shared" si="64"/>
        <v>2</v>
      </c>
      <c r="T224" s="126">
        <f t="shared" si="65"/>
        <v>46060.786805555559</v>
      </c>
      <c r="U224" s="127">
        <f t="shared" si="66"/>
        <v>1.3881944444437977</v>
      </c>
      <c r="V224" s="128">
        <f>Table2[[#This Row],[ATA A OFRECIMIENTO]]*24</f>
        <v>33.316666666651145</v>
      </c>
      <c r="W224" s="1" t="str">
        <f t="shared" si="67"/>
        <v>YES</v>
      </c>
      <c r="X224" s="127">
        <f t="shared" si="68"/>
        <v>8.3333333335758653E-2</v>
      </c>
      <c r="Y224" s="128">
        <f>Table2[[#This Row],[DEL. AVAILABLE A SLOT]]*24</f>
        <v>2.0000000000582077</v>
      </c>
      <c r="Z224" s="1" t="str">
        <f t="shared" si="69"/>
        <v>SI</v>
      </c>
      <c r="AA224" s="127">
        <f t="shared" si="70"/>
        <v>1.4715277777795563</v>
      </c>
      <c r="AB224" s="128">
        <f>Table2[[#This Row],[ATA A TIMESLOT]]*24</f>
        <v>35.316666666709352</v>
      </c>
      <c r="AC224" s="127">
        <f t="shared" si="71"/>
        <v>0</v>
      </c>
      <c r="AD224" s="127" t="str">
        <f t="shared" si="72"/>
        <v>SI</v>
      </c>
      <c r="AE224" s="128">
        <f>Table2[[#This Row],[PUNTUALIDAD (H)]]*24</f>
        <v>0</v>
      </c>
      <c r="AF224" s="127">
        <f t="shared" si="73"/>
        <v>1.5062499999985448</v>
      </c>
      <c r="AG224" s="128">
        <f>Table2[[#This Row],[ATA TO UNLOADING]]*24</f>
        <v>36.149999999965075</v>
      </c>
      <c r="AH224" s="128" t="str">
        <f>IF(Table2[[#This Row],[ATA TO UNLOADING 2]]&lt;=48,"YES","NO")</f>
        <v>YES</v>
      </c>
      <c r="AJ224" s="129">
        <f t="shared" si="74"/>
        <v>0.83333333333575865</v>
      </c>
      <c r="AK224" s="49" t="s">
        <v>36</v>
      </c>
      <c r="AL224" s="2" t="str">
        <f t="shared" si="75"/>
        <v>6/26</v>
      </c>
      <c r="AM224" s="2" t="str">
        <f t="shared" si="76"/>
        <v>MRSU5670320</v>
      </c>
      <c r="AN224" s="130" t="str">
        <f t="shared" si="77"/>
        <v>OM TRANSPORT</v>
      </c>
      <c r="AO224" s="141">
        <v>573.5</v>
      </c>
      <c r="AP224" s="131">
        <v>110</v>
      </c>
      <c r="AQ224" s="131">
        <f>VLOOKUP($E224,Invoicing!$A$1:$H$12,MATCH(TRACKER!$Q$1,Invoicing!$A$1:$H$1,0),FALSE)</f>
        <v>50</v>
      </c>
      <c r="AR224" s="131">
        <v>0</v>
      </c>
      <c r="AS224" s="2">
        <f t="shared" si="78"/>
        <v>6</v>
      </c>
      <c r="AT224" s="2" t="str">
        <f t="shared" si="81"/>
        <v>SATURDAY</v>
      </c>
      <c r="AU224" s="2" t="str">
        <f t="shared" si="79"/>
        <v>OM TRANSPORTSATURDAY</v>
      </c>
      <c r="AV224" s="94">
        <v>751</v>
      </c>
      <c r="AW224" s="48">
        <f>VLOOKUP(AN224,Invoicing!A:K,11,FALSE)</f>
        <v>20</v>
      </c>
      <c r="AX224" s="48">
        <v>67.5</v>
      </c>
      <c r="AY224" s="94" t="s">
        <v>427</v>
      </c>
      <c r="AZ224" s="48">
        <f t="shared" si="80"/>
        <v>771</v>
      </c>
      <c r="BA224" s="132">
        <f>VLOOKUP(AN224,Invoicing!A:J,10,FALSE)</f>
        <v>70</v>
      </c>
      <c r="BB224" s="132">
        <f>VLOOKUP(AN224,Invoicing!A:L,12,FALSE)</f>
        <v>1</v>
      </c>
      <c r="BC224" s="2" t="s">
        <v>359</v>
      </c>
    </row>
    <row r="225" spans="1:55">
      <c r="A225" s="134" t="s">
        <v>460</v>
      </c>
      <c r="B225" s="86" t="s">
        <v>77</v>
      </c>
      <c r="C225" s="11">
        <v>46059.361805555556</v>
      </c>
      <c r="D225" s="11">
        <v>46059.291666666664</v>
      </c>
      <c r="E225" s="11" t="s">
        <v>71</v>
      </c>
      <c r="F225" s="11" t="s">
        <v>470</v>
      </c>
      <c r="G225" s="11" t="s">
        <v>59</v>
      </c>
      <c r="H225" s="11" t="s">
        <v>91</v>
      </c>
      <c r="I225" s="86" t="s">
        <v>471</v>
      </c>
      <c r="J225" s="86" t="s">
        <v>100</v>
      </c>
      <c r="K225" s="11">
        <v>46060.75</v>
      </c>
      <c r="L225" s="12">
        <v>46061.37777777778</v>
      </c>
      <c r="M225" s="12">
        <v>46061.333333333336</v>
      </c>
      <c r="N225" s="12">
        <v>46061.381944444445</v>
      </c>
      <c r="O225" s="12" t="s">
        <v>63</v>
      </c>
      <c r="P225" s="135" t="s">
        <v>64</v>
      </c>
      <c r="Q225" s="3">
        <v>0</v>
      </c>
      <c r="R225" s="1">
        <f t="shared" si="63"/>
        <v>6</v>
      </c>
      <c r="S225" s="1">
        <f t="shared" si="64"/>
        <v>2</v>
      </c>
      <c r="T225" s="126">
        <f t="shared" si="65"/>
        <v>46061.37777777778</v>
      </c>
      <c r="U225" s="127">
        <f t="shared" si="66"/>
        <v>1.3881944444437977</v>
      </c>
      <c r="V225" s="128">
        <f>Table2[[#This Row],[ATA A OFRECIMIENTO]]*24</f>
        <v>33.316666666651145</v>
      </c>
      <c r="W225" s="1" t="str">
        <f t="shared" si="67"/>
        <v>YES</v>
      </c>
      <c r="X225" s="127">
        <f t="shared" si="68"/>
        <v>0.58333333333575865</v>
      </c>
      <c r="Y225" s="128">
        <f>Table2[[#This Row],[DEL. AVAILABLE A SLOT]]*24</f>
        <v>14.000000000058208</v>
      </c>
      <c r="Z225" s="1" t="str">
        <f t="shared" si="69"/>
        <v>SI</v>
      </c>
      <c r="AA225" s="127">
        <f t="shared" si="70"/>
        <v>1.9715277777795563</v>
      </c>
      <c r="AB225" s="128">
        <f>Table2[[#This Row],[ATA A TIMESLOT]]*24</f>
        <v>47.316666666709352</v>
      </c>
      <c r="AC225" s="127">
        <f t="shared" si="71"/>
        <v>4.4444444443797693E-2</v>
      </c>
      <c r="AD225" s="127" t="str">
        <f t="shared" si="72"/>
        <v>NO</v>
      </c>
      <c r="AE225" s="128">
        <f>Table2[[#This Row],[PUNTUALIDAD (H)]]*24</f>
        <v>1.0666666666511446</v>
      </c>
      <c r="AF225" s="127">
        <f t="shared" si="73"/>
        <v>2.0201388888890506</v>
      </c>
      <c r="AG225" s="128">
        <f>Table2[[#This Row],[ATA TO UNLOADING]]*24</f>
        <v>48.483333333337214</v>
      </c>
      <c r="AH225" s="128" t="str">
        <f>IF(Table2[[#This Row],[ATA TO UNLOADING 2]]&lt;=48,"YES","NO")</f>
        <v>NO</v>
      </c>
      <c r="AJ225" s="129">
        <f t="shared" si="74"/>
        <v>0.33333333333575865</v>
      </c>
      <c r="AK225" s="2" t="s">
        <v>64</v>
      </c>
      <c r="AL225" s="2" t="str">
        <f t="shared" si="75"/>
        <v>6/26</v>
      </c>
      <c r="AM225" s="2" t="str">
        <f t="shared" si="76"/>
        <v>MRSU3913524</v>
      </c>
      <c r="AN225" s="130" t="str">
        <f t="shared" si="77"/>
        <v>LOGIX</v>
      </c>
      <c r="AO225" s="141">
        <v>573.5</v>
      </c>
      <c r="AP225" s="131" t="e">
        <v>#N/A</v>
      </c>
      <c r="AQ225" s="131">
        <f>VLOOKUP($E225,Invoicing!$A$1:$H$12,MATCH(TRACKER!$Q$1,Invoicing!$A$1:$H$1,0),FALSE)</f>
        <v>50</v>
      </c>
      <c r="AR225" s="131">
        <v>0</v>
      </c>
      <c r="AS225" s="2">
        <f t="shared" si="78"/>
        <v>7</v>
      </c>
      <c r="AT225" s="2" t="str">
        <f t="shared" si="81"/>
        <v>SUNDAY</v>
      </c>
      <c r="AU225" s="2" t="str">
        <f t="shared" si="79"/>
        <v>LOGIXSUNDAY</v>
      </c>
      <c r="AV225" s="94">
        <v>573.5</v>
      </c>
      <c r="AW225" s="48">
        <f>VLOOKUP(AN225,Invoicing!A:K,11,FALSE)</f>
        <v>20</v>
      </c>
      <c r="AY225" s="48"/>
      <c r="AZ225" s="48">
        <f t="shared" si="80"/>
        <v>593.5</v>
      </c>
      <c r="BA225" s="132">
        <f>VLOOKUP(AN225,Invoicing!A:J,10,FALSE)</f>
        <v>70</v>
      </c>
      <c r="BB225" s="132">
        <f>VLOOKUP(AN225,Invoicing!A:L,12,FALSE)</f>
        <v>1</v>
      </c>
      <c r="BC225" s="2" t="s">
        <v>359</v>
      </c>
    </row>
    <row r="226" spans="1:55">
      <c r="A226" s="134" t="s">
        <v>460</v>
      </c>
      <c r="B226" s="86" t="s">
        <v>77</v>
      </c>
      <c r="C226" s="11">
        <v>46059.361805555556</v>
      </c>
      <c r="D226" s="11">
        <v>46059.291666666664</v>
      </c>
      <c r="E226" s="11" t="s">
        <v>98</v>
      </c>
      <c r="F226" s="11" t="s">
        <v>470</v>
      </c>
      <c r="G226" s="11" t="s">
        <v>59</v>
      </c>
      <c r="H226" s="11" t="s">
        <v>91</v>
      </c>
      <c r="I226" s="86" t="s">
        <v>472</v>
      </c>
      <c r="J226" s="86" t="s">
        <v>100</v>
      </c>
      <c r="K226" s="11">
        <v>46060.75</v>
      </c>
      <c r="L226" s="12">
        <v>46061.328472222223</v>
      </c>
      <c r="M226" s="12">
        <v>46061.333333333336</v>
      </c>
      <c r="N226" s="12">
        <v>46061.381944444445</v>
      </c>
      <c r="O226" s="12" t="s">
        <v>63</v>
      </c>
      <c r="P226" s="135" t="s">
        <v>64</v>
      </c>
      <c r="Q226" s="3">
        <v>0</v>
      </c>
      <c r="R226" s="1">
        <f t="shared" si="63"/>
        <v>6</v>
      </c>
      <c r="S226" s="1">
        <f t="shared" si="64"/>
        <v>2</v>
      </c>
      <c r="T226" s="126">
        <f t="shared" si="65"/>
        <v>46061.328472222223</v>
      </c>
      <c r="U226" s="127">
        <f t="shared" si="66"/>
        <v>1.3881944444437977</v>
      </c>
      <c r="V226" s="128">
        <f>Table2[[#This Row],[ATA A OFRECIMIENTO]]*24</f>
        <v>33.316666666651145</v>
      </c>
      <c r="W226" s="1" t="str">
        <f t="shared" si="67"/>
        <v>YES</v>
      </c>
      <c r="X226" s="127">
        <f t="shared" si="68"/>
        <v>0.58333333333575865</v>
      </c>
      <c r="Y226" s="128">
        <f>Table2[[#This Row],[DEL. AVAILABLE A SLOT]]*24</f>
        <v>14.000000000058208</v>
      </c>
      <c r="Z226" s="1" t="str">
        <f t="shared" si="69"/>
        <v>SI</v>
      </c>
      <c r="AA226" s="127">
        <f t="shared" si="70"/>
        <v>1.9715277777795563</v>
      </c>
      <c r="AB226" s="128">
        <f>Table2[[#This Row],[ATA A TIMESLOT]]*24</f>
        <v>47.316666666709352</v>
      </c>
      <c r="AC226" s="127">
        <f t="shared" si="71"/>
        <v>0</v>
      </c>
      <c r="AD226" s="127" t="str">
        <f t="shared" si="72"/>
        <v>SI</v>
      </c>
      <c r="AE226" s="128">
        <f>Table2[[#This Row],[PUNTUALIDAD (H)]]*24</f>
        <v>0</v>
      </c>
      <c r="AF226" s="127">
        <f t="shared" si="73"/>
        <v>2.0201388888890506</v>
      </c>
      <c r="AG226" s="128">
        <f>Table2[[#This Row],[ATA TO UNLOADING]]*24</f>
        <v>48.483333333337214</v>
      </c>
      <c r="AH226" s="128" t="str">
        <f>IF(Table2[[#This Row],[ATA TO UNLOADING 2]]&lt;=48,"YES","NO")</f>
        <v>NO</v>
      </c>
      <c r="AJ226" s="129">
        <f t="shared" si="74"/>
        <v>0.33333333333575865</v>
      </c>
      <c r="AK226" s="2" t="s">
        <v>64</v>
      </c>
      <c r="AL226" s="2" t="str">
        <f t="shared" si="75"/>
        <v>6/26</v>
      </c>
      <c r="AM226" s="2" t="str">
        <f t="shared" si="76"/>
        <v>MRSU5837151</v>
      </c>
      <c r="AN226" s="130" t="str">
        <f t="shared" si="77"/>
        <v>MSI</v>
      </c>
      <c r="AO226" s="141">
        <v>523.5</v>
      </c>
      <c r="AP226" s="131" t="e">
        <v>#N/A</v>
      </c>
      <c r="AQ226" s="131">
        <f>VLOOKUP($E226,Invoicing!$A$1:$H$12,MATCH(TRACKER!$Q$1,Invoicing!$A$1:$H$1,0),FALSE)</f>
        <v>50</v>
      </c>
      <c r="AR226" s="131">
        <v>0</v>
      </c>
      <c r="AS226" s="2">
        <f t="shared" si="78"/>
        <v>7</v>
      </c>
      <c r="AT226" s="2" t="str">
        <f t="shared" si="81"/>
        <v>SUNDAY</v>
      </c>
      <c r="AU226" s="2" t="str">
        <f t="shared" si="79"/>
        <v>MSISUNDAY</v>
      </c>
      <c r="AV226" s="94">
        <v>523.5</v>
      </c>
      <c r="AW226" s="48">
        <f>VLOOKUP(AN226,Invoicing!A:K,11,FALSE)</f>
        <v>20</v>
      </c>
      <c r="AY226" s="48"/>
      <c r="AZ226" s="48">
        <f t="shared" si="80"/>
        <v>543.5</v>
      </c>
      <c r="BA226" s="132">
        <f>VLOOKUP(AN226,Invoicing!A:J,10,FALSE)</f>
        <v>70</v>
      </c>
      <c r="BB226" s="132">
        <f>VLOOKUP(AN226,Invoicing!A:L,12,FALSE)</f>
        <v>1</v>
      </c>
      <c r="BC226" s="2" t="s">
        <v>359</v>
      </c>
    </row>
    <row r="227" spans="1:55">
      <c r="A227" s="134" t="s">
        <v>460</v>
      </c>
      <c r="B227" s="86" t="s">
        <v>77</v>
      </c>
      <c r="C227" s="11">
        <v>46059.361805555556</v>
      </c>
      <c r="D227" s="11">
        <v>46059.291666666664</v>
      </c>
      <c r="E227" s="11" t="s">
        <v>98</v>
      </c>
      <c r="F227" s="11" t="s">
        <v>467</v>
      </c>
      <c r="G227" s="11" t="s">
        <v>133</v>
      </c>
      <c r="H227" s="11" t="s">
        <v>91</v>
      </c>
      <c r="I227" s="86" t="s">
        <v>473</v>
      </c>
      <c r="J227" s="86" t="s">
        <v>100</v>
      </c>
      <c r="K227" s="11">
        <v>46060.75</v>
      </c>
      <c r="L227" s="12">
        <v>46061.421527777777</v>
      </c>
      <c r="M227" s="12">
        <v>46061.416666666664</v>
      </c>
      <c r="N227" s="12">
        <v>46061.618055555555</v>
      </c>
      <c r="O227" s="12" t="s">
        <v>63</v>
      </c>
      <c r="P227" s="135" t="s">
        <v>64</v>
      </c>
      <c r="Q227" s="3">
        <v>1</v>
      </c>
      <c r="R227" s="1">
        <f t="shared" si="63"/>
        <v>6</v>
      </c>
      <c r="S227" s="1">
        <f t="shared" si="64"/>
        <v>2</v>
      </c>
      <c r="T227" s="126">
        <f t="shared" si="65"/>
        <v>46061.421527777777</v>
      </c>
      <c r="U227" s="127">
        <f t="shared" si="66"/>
        <v>1.3881944444437977</v>
      </c>
      <c r="V227" s="128">
        <f>Table2[[#This Row],[ATA A OFRECIMIENTO]]*24</f>
        <v>33.316666666651145</v>
      </c>
      <c r="W227" s="1" t="str">
        <f t="shared" si="67"/>
        <v>YES</v>
      </c>
      <c r="X227" s="127">
        <f t="shared" si="68"/>
        <v>0.66666666666424135</v>
      </c>
      <c r="Y227" s="128">
        <f>Table2[[#This Row],[DEL. AVAILABLE A SLOT]]*24</f>
        <v>15.999999999941792</v>
      </c>
      <c r="Z227" s="1" t="str">
        <f t="shared" si="69"/>
        <v>SI</v>
      </c>
      <c r="AA227" s="127">
        <f t="shared" si="70"/>
        <v>2.054861111108039</v>
      </c>
      <c r="AB227" s="128">
        <f>Table2[[#This Row],[ATA A TIMESLOT]]*24</f>
        <v>49.316666666592937</v>
      </c>
      <c r="AC227" s="127">
        <f t="shared" si="71"/>
        <v>4.8611111124046147E-3</v>
      </c>
      <c r="AD227" s="127" t="str">
        <f t="shared" si="72"/>
        <v>SI</v>
      </c>
      <c r="AE227" s="128">
        <f>Table2[[#This Row],[PUNTUALIDAD (H)]]*24</f>
        <v>0.11666666669771075</v>
      </c>
      <c r="AF227" s="127">
        <f t="shared" si="73"/>
        <v>2.2562499999985448</v>
      </c>
      <c r="AG227" s="128">
        <f>Table2[[#This Row],[ATA TO UNLOADING]]*24</f>
        <v>54.149999999965075</v>
      </c>
      <c r="AH227" s="128" t="str">
        <f>IF(Table2[[#This Row],[ATA TO UNLOADING 2]]&lt;=48,"YES","NO")</f>
        <v>NO</v>
      </c>
      <c r="AJ227" s="129">
        <f t="shared" si="74"/>
        <v>0.41666666666424135</v>
      </c>
      <c r="AK227" s="2" t="s">
        <v>64</v>
      </c>
      <c r="AL227" s="2" t="str">
        <f t="shared" si="75"/>
        <v>6/26</v>
      </c>
      <c r="AM227" s="2" t="str">
        <f t="shared" si="76"/>
        <v>HAMU1150268</v>
      </c>
      <c r="AN227" s="130" t="str">
        <f t="shared" si="77"/>
        <v>MSI</v>
      </c>
      <c r="AO227" s="141">
        <v>523.5</v>
      </c>
      <c r="AP227" s="131" t="e">
        <v>#N/A</v>
      </c>
      <c r="AQ227" s="131">
        <f>VLOOKUP($E227,Invoicing!$A$1:$H$12,MATCH(TRACKER!$Q$1,Invoicing!$A$1:$H$1,0),FALSE)</f>
        <v>50</v>
      </c>
      <c r="AR227" s="131">
        <v>50</v>
      </c>
      <c r="AS227" s="2">
        <f t="shared" si="78"/>
        <v>7</v>
      </c>
      <c r="AT227" s="2" t="str">
        <f t="shared" si="81"/>
        <v>SUNDAY</v>
      </c>
      <c r="AU227" s="2" t="str">
        <f t="shared" si="79"/>
        <v>MSISUNDAY</v>
      </c>
      <c r="AV227" s="94">
        <v>663.5</v>
      </c>
      <c r="AW227" s="48">
        <f>VLOOKUP(AN227,Invoicing!A:K,11,FALSE)</f>
        <v>20</v>
      </c>
      <c r="AX227" s="48">
        <v>90</v>
      </c>
      <c r="AY227" s="94" t="s">
        <v>474</v>
      </c>
      <c r="AZ227" s="48">
        <f t="shared" si="80"/>
        <v>683.5</v>
      </c>
      <c r="BA227" s="132">
        <f>VLOOKUP(AN227,Invoicing!A:J,10,FALSE)</f>
        <v>70</v>
      </c>
      <c r="BB227" s="132">
        <f>VLOOKUP(AN227,Invoicing!A:L,12,FALSE)</f>
        <v>1</v>
      </c>
      <c r="BC227" s="2" t="s">
        <v>359</v>
      </c>
    </row>
    <row r="228" spans="1:55">
      <c r="A228" s="134" t="s">
        <v>460</v>
      </c>
      <c r="B228" s="86" t="s">
        <v>77</v>
      </c>
      <c r="C228" s="11">
        <v>46059.361805555556</v>
      </c>
      <c r="D228" s="11">
        <v>46059.291666666664</v>
      </c>
      <c r="E228" s="11" t="s">
        <v>71</v>
      </c>
      <c r="F228" s="11" t="s">
        <v>470</v>
      </c>
      <c r="G228" s="11" t="s">
        <v>59</v>
      </c>
      <c r="H228" s="11" t="s">
        <v>91</v>
      </c>
      <c r="I228" s="86" t="s">
        <v>475</v>
      </c>
      <c r="J228" s="86" t="s">
        <v>100</v>
      </c>
      <c r="K228" s="11">
        <v>46060.75</v>
      </c>
      <c r="L228" s="12">
        <v>46061.496527777781</v>
      </c>
      <c r="M228" s="12">
        <v>46061.416666666664</v>
      </c>
      <c r="N228" s="12">
        <v>46061.503472222219</v>
      </c>
      <c r="O228" s="12" t="s">
        <v>63</v>
      </c>
      <c r="P228" s="135" t="s">
        <v>64</v>
      </c>
      <c r="Q228" s="3">
        <v>0</v>
      </c>
      <c r="R228" s="1">
        <f t="shared" si="63"/>
        <v>6</v>
      </c>
      <c r="S228" s="1">
        <f t="shared" si="64"/>
        <v>2</v>
      </c>
      <c r="T228" s="126">
        <f t="shared" si="65"/>
        <v>46061.496527777781</v>
      </c>
      <c r="U228" s="127">
        <f t="shared" si="66"/>
        <v>1.3881944444437977</v>
      </c>
      <c r="V228" s="128">
        <f>Table2[[#This Row],[ATA A OFRECIMIENTO]]*24</f>
        <v>33.316666666651145</v>
      </c>
      <c r="W228" s="1" t="str">
        <f t="shared" si="67"/>
        <v>YES</v>
      </c>
      <c r="X228" s="127">
        <f t="shared" si="68"/>
        <v>0.66666666666424135</v>
      </c>
      <c r="Y228" s="128">
        <f>Table2[[#This Row],[DEL. AVAILABLE A SLOT]]*24</f>
        <v>15.999999999941792</v>
      </c>
      <c r="Z228" s="1" t="str">
        <f t="shared" si="69"/>
        <v>SI</v>
      </c>
      <c r="AA228" s="127">
        <f t="shared" si="70"/>
        <v>2.054861111108039</v>
      </c>
      <c r="AB228" s="128">
        <f>Table2[[#This Row],[ATA A TIMESLOT]]*24</f>
        <v>49.316666666592937</v>
      </c>
      <c r="AC228" s="127">
        <f t="shared" si="71"/>
        <v>7.9861111116770189E-2</v>
      </c>
      <c r="AD228" s="127" t="str">
        <f t="shared" si="72"/>
        <v>NO</v>
      </c>
      <c r="AE228" s="128">
        <f>Table2[[#This Row],[PUNTUALIDAD (H)]]*24</f>
        <v>1.9166666668024845</v>
      </c>
      <c r="AF228" s="127">
        <f t="shared" si="73"/>
        <v>2.1416666666627862</v>
      </c>
      <c r="AG228" s="128">
        <f>Table2[[#This Row],[ATA TO UNLOADING]]*24</f>
        <v>51.399999999906868</v>
      </c>
      <c r="AH228" s="128" t="str">
        <f>IF(Table2[[#This Row],[ATA TO UNLOADING 2]]&lt;=48,"YES","NO")</f>
        <v>NO</v>
      </c>
      <c r="AJ228" s="129">
        <f t="shared" si="74"/>
        <v>0.41666666666424135</v>
      </c>
      <c r="AK228" s="2" t="s">
        <v>64</v>
      </c>
      <c r="AL228" s="2" t="str">
        <f t="shared" si="75"/>
        <v>6/26</v>
      </c>
      <c r="AM228" s="2" t="str">
        <f t="shared" si="76"/>
        <v>MSKU1144754</v>
      </c>
      <c r="AN228" s="130" t="str">
        <f t="shared" si="77"/>
        <v>LOGIX</v>
      </c>
      <c r="AO228" s="141">
        <v>573.5</v>
      </c>
      <c r="AP228" s="131" t="e">
        <v>#N/A</v>
      </c>
      <c r="AQ228" s="131">
        <f>VLOOKUP($E228,Invoicing!$A$1:$H$12,MATCH(TRACKER!$Q$1,Invoicing!$A$1:$H$1,0),FALSE)</f>
        <v>50</v>
      </c>
      <c r="AR228" s="131">
        <v>0</v>
      </c>
      <c r="AS228" s="2">
        <f t="shared" si="78"/>
        <v>7</v>
      </c>
      <c r="AT228" s="2" t="str">
        <f t="shared" si="81"/>
        <v>SUNDAY</v>
      </c>
      <c r="AU228" s="2" t="str">
        <f t="shared" si="79"/>
        <v>LOGIXSUNDAY</v>
      </c>
      <c r="AV228" s="94">
        <v>573.5</v>
      </c>
      <c r="AW228" s="48">
        <f>VLOOKUP(AN228,Invoicing!A:K,11,FALSE)</f>
        <v>20</v>
      </c>
      <c r="AY228" s="48"/>
      <c r="AZ228" s="48">
        <f t="shared" si="80"/>
        <v>593.5</v>
      </c>
      <c r="BA228" s="132">
        <f>VLOOKUP(AN228,Invoicing!A:J,10,FALSE)</f>
        <v>70</v>
      </c>
      <c r="BB228" s="132">
        <f>VLOOKUP(AN228,Invoicing!A:L,12,FALSE)</f>
        <v>1</v>
      </c>
      <c r="BC228" s="2" t="s">
        <v>359</v>
      </c>
    </row>
    <row r="229" spans="1:55">
      <c r="A229" s="134" t="s">
        <v>460</v>
      </c>
      <c r="B229" s="86" t="s">
        <v>77</v>
      </c>
      <c r="C229" s="11">
        <v>46059.361805555556</v>
      </c>
      <c r="D229" s="11">
        <v>46059.291666666664</v>
      </c>
      <c r="E229" s="11" t="s">
        <v>57</v>
      </c>
      <c r="F229" s="11" t="s">
        <v>476</v>
      </c>
      <c r="G229" s="11" t="s">
        <v>59</v>
      </c>
      <c r="H229" s="11" t="s">
        <v>91</v>
      </c>
      <c r="I229" s="86" t="s">
        <v>477</v>
      </c>
      <c r="J229" s="86" t="s">
        <v>100</v>
      </c>
      <c r="K229" s="11">
        <v>46060.75</v>
      </c>
      <c r="L229" s="12">
        <v>46061.453472222223</v>
      </c>
      <c r="M229" s="12">
        <v>46061.5</v>
      </c>
      <c r="N229" s="12">
        <v>46061.458333333336</v>
      </c>
      <c r="O229" s="12" t="s">
        <v>63</v>
      </c>
      <c r="P229" s="135" t="s">
        <v>64</v>
      </c>
      <c r="Q229" s="3">
        <v>1</v>
      </c>
      <c r="R229" s="1">
        <f t="shared" si="63"/>
        <v>6</v>
      </c>
      <c r="S229" s="1">
        <f t="shared" si="64"/>
        <v>2</v>
      </c>
      <c r="T229" s="126">
        <f t="shared" si="65"/>
        <v>46061.453472222223</v>
      </c>
      <c r="U229" s="127">
        <f t="shared" si="66"/>
        <v>1.3881944444437977</v>
      </c>
      <c r="V229" s="128">
        <f>Table2[[#This Row],[ATA A OFRECIMIENTO]]*24</f>
        <v>33.316666666651145</v>
      </c>
      <c r="W229" s="1" t="str">
        <f t="shared" si="67"/>
        <v>YES</v>
      </c>
      <c r="X229" s="127">
        <f t="shared" si="68"/>
        <v>0.75</v>
      </c>
      <c r="Y229" s="128">
        <f>Table2[[#This Row],[DEL. AVAILABLE A SLOT]]*24</f>
        <v>18</v>
      </c>
      <c r="Z229" s="1" t="str">
        <f t="shared" si="69"/>
        <v>SI</v>
      </c>
      <c r="AA229" s="127">
        <f t="shared" si="70"/>
        <v>2.1381944444437977</v>
      </c>
      <c r="AB229" s="128">
        <f>Table2[[#This Row],[ATA A TIMESLOT]]*24</f>
        <v>51.316666666651145</v>
      </c>
      <c r="AC229" s="127">
        <f t="shared" si="71"/>
        <v>0</v>
      </c>
      <c r="AD229" s="127" t="str">
        <f t="shared" si="72"/>
        <v>SI</v>
      </c>
      <c r="AE229" s="128">
        <f>Table2[[#This Row],[PUNTUALIDAD (H)]]*24</f>
        <v>0</v>
      </c>
      <c r="AF229" s="127">
        <f t="shared" si="73"/>
        <v>2.0965277777795563</v>
      </c>
      <c r="AG229" s="128">
        <f>Table2[[#This Row],[ATA TO UNLOADING]]*24</f>
        <v>50.316666666709352</v>
      </c>
      <c r="AH229" s="128" t="str">
        <f>IF(Table2[[#This Row],[ATA TO UNLOADING 2]]&lt;=48,"YES","NO")</f>
        <v>NO</v>
      </c>
      <c r="AJ229" s="129">
        <f t="shared" si="74"/>
        <v>0.5</v>
      </c>
      <c r="AK229" s="2" t="s">
        <v>64</v>
      </c>
      <c r="AL229" s="2" t="str">
        <f t="shared" si="75"/>
        <v>6/26</v>
      </c>
      <c r="AM229" s="2" t="str">
        <f t="shared" si="76"/>
        <v>TLLU5962087</v>
      </c>
      <c r="AN229" s="130" t="str">
        <f t="shared" si="77"/>
        <v>CTK TRANSPORT</v>
      </c>
      <c r="AO229" s="141">
        <v>648.5</v>
      </c>
      <c r="AP229" s="131" t="e">
        <v>#N/A</v>
      </c>
      <c r="AQ229" s="131">
        <f>VLOOKUP($E229,Invoicing!$A$1:$H$12,MATCH(TRACKER!$Q$1,Invoicing!$A$1:$H$1,0),FALSE)</f>
        <v>50</v>
      </c>
      <c r="AR229" s="131">
        <v>50</v>
      </c>
      <c r="AS229" s="2">
        <f t="shared" si="78"/>
        <v>7</v>
      </c>
      <c r="AT229" s="2" t="str">
        <f t="shared" si="81"/>
        <v>SUNDAY</v>
      </c>
      <c r="AU229" s="2" t="str">
        <f t="shared" si="79"/>
        <v>CTK TRANSPORTSUNDAY</v>
      </c>
      <c r="AV229" s="94">
        <v>698.5</v>
      </c>
      <c r="AW229" s="48">
        <f>VLOOKUP(AN229,Invoicing!A:K,11,FALSE)</f>
        <v>20</v>
      </c>
      <c r="AY229" s="48"/>
      <c r="AZ229" s="48">
        <f t="shared" si="80"/>
        <v>718.5</v>
      </c>
      <c r="BA229" s="132">
        <f>VLOOKUP(AN229,Invoicing!A:J,10,FALSE)</f>
        <v>70</v>
      </c>
      <c r="BB229" s="132">
        <f>VLOOKUP(AN229,Invoicing!A:L,12,FALSE)</f>
        <v>1</v>
      </c>
      <c r="BC229" s="2" t="s">
        <v>359</v>
      </c>
    </row>
    <row r="230" spans="1:55">
      <c r="A230" s="134" t="s">
        <v>460</v>
      </c>
      <c r="B230" s="86" t="s">
        <v>77</v>
      </c>
      <c r="C230" s="11">
        <v>46059.361805555556</v>
      </c>
      <c r="D230" s="11">
        <v>46059.291666666664</v>
      </c>
      <c r="E230" s="11" t="s">
        <v>98</v>
      </c>
      <c r="F230" s="11" t="s">
        <v>476</v>
      </c>
      <c r="G230" s="11" t="s">
        <v>59</v>
      </c>
      <c r="H230" s="11" t="s">
        <v>91</v>
      </c>
      <c r="I230" s="86" t="s">
        <v>478</v>
      </c>
      <c r="J230" s="86" t="s">
        <v>100</v>
      </c>
      <c r="K230" s="11">
        <v>46060.75</v>
      </c>
      <c r="L230" s="12">
        <v>46061.506249999999</v>
      </c>
      <c r="M230" s="12">
        <v>46061.5</v>
      </c>
      <c r="N230" s="12">
        <v>46061.510416666664</v>
      </c>
      <c r="O230" s="12" t="s">
        <v>63</v>
      </c>
      <c r="P230" s="135" t="s">
        <v>64</v>
      </c>
      <c r="Q230" s="3">
        <v>1</v>
      </c>
      <c r="R230" s="1">
        <f t="shared" si="63"/>
        <v>6</v>
      </c>
      <c r="S230" s="1">
        <f t="shared" si="64"/>
        <v>2</v>
      </c>
      <c r="T230" s="126">
        <f t="shared" si="65"/>
        <v>46061.506249999999</v>
      </c>
      <c r="U230" s="127">
        <f t="shared" si="66"/>
        <v>1.3881944444437977</v>
      </c>
      <c r="V230" s="128">
        <f>Table2[[#This Row],[ATA A OFRECIMIENTO]]*24</f>
        <v>33.316666666651145</v>
      </c>
      <c r="W230" s="1" t="str">
        <f t="shared" si="67"/>
        <v>YES</v>
      </c>
      <c r="X230" s="127">
        <f t="shared" si="68"/>
        <v>0.75</v>
      </c>
      <c r="Y230" s="128">
        <f>Table2[[#This Row],[DEL. AVAILABLE A SLOT]]*24</f>
        <v>18</v>
      </c>
      <c r="Z230" s="1" t="str">
        <f t="shared" si="69"/>
        <v>SI</v>
      </c>
      <c r="AA230" s="127">
        <f t="shared" si="70"/>
        <v>2.1381944444437977</v>
      </c>
      <c r="AB230" s="128">
        <f>Table2[[#This Row],[ATA A TIMESLOT]]*24</f>
        <v>51.316666666651145</v>
      </c>
      <c r="AC230" s="127">
        <f t="shared" si="71"/>
        <v>6.2499999985448085E-3</v>
      </c>
      <c r="AD230" s="127" t="str">
        <f t="shared" si="72"/>
        <v>SI</v>
      </c>
      <c r="AE230" s="128">
        <f>Table2[[#This Row],[PUNTUALIDAD (H)]]*24</f>
        <v>0.1499999999650754</v>
      </c>
      <c r="AF230" s="127">
        <f t="shared" si="73"/>
        <v>2.148611111108039</v>
      </c>
      <c r="AG230" s="128">
        <f>Table2[[#This Row],[ATA TO UNLOADING]]*24</f>
        <v>51.566666666592937</v>
      </c>
      <c r="AH230" s="128" t="str">
        <f>IF(Table2[[#This Row],[ATA TO UNLOADING 2]]&lt;=48,"YES","NO")</f>
        <v>NO</v>
      </c>
      <c r="AJ230" s="129">
        <f t="shared" si="74"/>
        <v>0.5</v>
      </c>
      <c r="AK230" s="2" t="s">
        <v>64</v>
      </c>
      <c r="AL230" s="2" t="str">
        <f t="shared" si="75"/>
        <v>6/26</v>
      </c>
      <c r="AM230" s="2" t="str">
        <f t="shared" si="76"/>
        <v>UETU5482442</v>
      </c>
      <c r="AN230" s="130" t="str">
        <f t="shared" si="77"/>
        <v>MSI</v>
      </c>
      <c r="AO230" s="141">
        <v>523.5</v>
      </c>
      <c r="AP230" s="131" t="e">
        <v>#N/A</v>
      </c>
      <c r="AQ230" s="131">
        <f>VLOOKUP($E230,Invoicing!$A$1:$H$12,MATCH(TRACKER!$Q$1,Invoicing!$A$1:$H$1,0),FALSE)</f>
        <v>50</v>
      </c>
      <c r="AR230" s="131">
        <v>50</v>
      </c>
      <c r="AS230" s="2">
        <f t="shared" si="78"/>
        <v>7</v>
      </c>
      <c r="AT230" s="2" t="str">
        <f t="shared" si="81"/>
        <v>SUNDAY</v>
      </c>
      <c r="AU230" s="2" t="str">
        <f t="shared" si="79"/>
        <v>MSISUNDAY</v>
      </c>
      <c r="AV230" s="94">
        <v>678.5</v>
      </c>
      <c r="AW230" s="48">
        <f>VLOOKUP(AN230,Invoicing!A:K,11,FALSE)</f>
        <v>20</v>
      </c>
      <c r="AX230" s="48">
        <v>105</v>
      </c>
      <c r="AY230" s="94" t="s">
        <v>479</v>
      </c>
      <c r="AZ230" s="48">
        <f t="shared" si="80"/>
        <v>698.5</v>
      </c>
      <c r="BA230" s="132">
        <f>VLOOKUP(AN230,Invoicing!A:J,10,FALSE)</f>
        <v>70</v>
      </c>
      <c r="BB230" s="132">
        <f>VLOOKUP(AN230,Invoicing!A:L,12,FALSE)</f>
        <v>1</v>
      </c>
      <c r="BC230" s="2" t="s">
        <v>359</v>
      </c>
    </row>
    <row r="231" spans="1:55">
      <c r="A231" s="134" t="s">
        <v>460</v>
      </c>
      <c r="B231" s="86" t="s">
        <v>77</v>
      </c>
      <c r="C231" s="11">
        <v>46059.361805555556</v>
      </c>
      <c r="D231" s="11">
        <v>46059.291666666664</v>
      </c>
      <c r="E231" s="11" t="s">
        <v>57</v>
      </c>
      <c r="F231" s="11" t="s">
        <v>467</v>
      </c>
      <c r="G231" s="11" t="s">
        <v>133</v>
      </c>
      <c r="H231" s="11" t="s">
        <v>91</v>
      </c>
      <c r="I231" s="86" t="s">
        <v>480</v>
      </c>
      <c r="J231" s="86" t="s">
        <v>100</v>
      </c>
      <c r="K231" s="11">
        <v>46060.75</v>
      </c>
      <c r="L231" s="12">
        <v>46061.472222222219</v>
      </c>
      <c r="M231" s="12">
        <v>46061.583333333336</v>
      </c>
      <c r="N231" s="12">
        <v>46061.475694444445</v>
      </c>
      <c r="O231" s="12" t="s">
        <v>63</v>
      </c>
      <c r="P231" s="135" t="s">
        <v>64</v>
      </c>
      <c r="Q231" s="3">
        <v>0</v>
      </c>
      <c r="R231" s="1">
        <f t="shared" si="63"/>
        <v>6</v>
      </c>
      <c r="S231" s="1">
        <f t="shared" si="64"/>
        <v>2</v>
      </c>
      <c r="T231" s="126">
        <f t="shared" si="65"/>
        <v>46061.472222222219</v>
      </c>
      <c r="U231" s="127">
        <f t="shared" si="66"/>
        <v>1.3881944444437977</v>
      </c>
      <c r="V231" s="128">
        <f>Table2[[#This Row],[ATA A OFRECIMIENTO]]*24</f>
        <v>33.316666666651145</v>
      </c>
      <c r="W231" s="1" t="str">
        <f t="shared" si="67"/>
        <v>YES</v>
      </c>
      <c r="X231" s="127">
        <f t="shared" si="68"/>
        <v>0.83333333333575865</v>
      </c>
      <c r="Y231" s="128">
        <f>Table2[[#This Row],[DEL. AVAILABLE A SLOT]]*24</f>
        <v>20.000000000058208</v>
      </c>
      <c r="Z231" s="1" t="str">
        <f t="shared" si="69"/>
        <v>SI</v>
      </c>
      <c r="AA231" s="127">
        <f t="shared" si="70"/>
        <v>2.2215277777795563</v>
      </c>
      <c r="AB231" s="128">
        <f>Table2[[#This Row],[ATA A TIMESLOT]]*24</f>
        <v>53.316666666709352</v>
      </c>
      <c r="AC231" s="127">
        <f t="shared" si="71"/>
        <v>0</v>
      </c>
      <c r="AD231" s="127" t="str">
        <f t="shared" si="72"/>
        <v>SI</v>
      </c>
      <c r="AE231" s="128">
        <f>Table2[[#This Row],[PUNTUALIDAD (H)]]*24</f>
        <v>0</v>
      </c>
      <c r="AF231" s="127">
        <f t="shared" si="73"/>
        <v>2.1138888888890506</v>
      </c>
      <c r="AG231" s="128">
        <f>Table2[[#This Row],[ATA TO UNLOADING]]*24</f>
        <v>50.733333333337214</v>
      </c>
      <c r="AH231" s="128" t="str">
        <f>IF(Table2[[#This Row],[ATA TO UNLOADING 2]]&lt;=48,"YES","NO")</f>
        <v>NO</v>
      </c>
      <c r="AJ231" s="129">
        <f t="shared" si="74"/>
        <v>0.58333333333575865</v>
      </c>
      <c r="AK231" s="2" t="s">
        <v>64</v>
      </c>
      <c r="AL231" s="2" t="str">
        <f t="shared" si="75"/>
        <v>6/26</v>
      </c>
      <c r="AM231" s="2" t="str">
        <f t="shared" si="76"/>
        <v>BEAU4550954</v>
      </c>
      <c r="AN231" s="130" t="str">
        <f t="shared" si="77"/>
        <v>CTK TRANSPORT</v>
      </c>
      <c r="AO231" s="141">
        <v>648.5</v>
      </c>
      <c r="AP231" s="131" t="e">
        <v>#N/A</v>
      </c>
      <c r="AQ231" s="131">
        <f>VLOOKUP($E231,Invoicing!$A$1:$H$12,MATCH(TRACKER!$Q$1,Invoicing!$A$1:$H$1,0),FALSE)</f>
        <v>50</v>
      </c>
      <c r="AR231" s="131">
        <v>0</v>
      </c>
      <c r="AS231" s="2">
        <f t="shared" si="78"/>
        <v>7</v>
      </c>
      <c r="AT231" s="2" t="str">
        <f t="shared" si="81"/>
        <v>SUNDAY</v>
      </c>
      <c r="AU231" s="2" t="str">
        <f t="shared" si="79"/>
        <v>CTK TRANSPORTSUNDAY</v>
      </c>
      <c r="AV231" s="94">
        <v>648.5</v>
      </c>
      <c r="AW231" s="48">
        <f>VLOOKUP(AN231,Invoicing!A:K,11,FALSE)</f>
        <v>20</v>
      </c>
      <c r="AY231" s="48"/>
      <c r="AZ231" s="48">
        <f t="shared" si="80"/>
        <v>668.5</v>
      </c>
      <c r="BA231" s="132">
        <f>VLOOKUP(AN231,Invoicing!A:J,10,FALSE)</f>
        <v>70</v>
      </c>
      <c r="BB231" s="132">
        <f>VLOOKUP(AN231,Invoicing!A:L,12,FALSE)</f>
        <v>1</v>
      </c>
      <c r="BC231" s="2" t="s">
        <v>359</v>
      </c>
    </row>
    <row r="232" spans="1:55">
      <c r="A232" s="134" t="s">
        <v>460</v>
      </c>
      <c r="B232" s="86" t="s">
        <v>77</v>
      </c>
      <c r="C232" s="11">
        <v>46059.361805555556</v>
      </c>
      <c r="D232" s="11">
        <v>46059.291666666664</v>
      </c>
      <c r="E232" s="11" t="s">
        <v>83</v>
      </c>
      <c r="F232" s="11" t="s">
        <v>476</v>
      </c>
      <c r="G232" s="11" t="s">
        <v>59</v>
      </c>
      <c r="H232" s="11" t="s">
        <v>91</v>
      </c>
      <c r="I232" s="86" t="s">
        <v>481</v>
      </c>
      <c r="J232" s="86" t="s">
        <v>100</v>
      </c>
      <c r="K232" s="11">
        <v>46060.75</v>
      </c>
      <c r="L232" s="12">
        <v>46061.565972222219</v>
      </c>
      <c r="M232" s="12">
        <v>46061.583333333336</v>
      </c>
      <c r="N232" s="12">
        <v>46061.572916666664</v>
      </c>
      <c r="O232" s="12" t="s">
        <v>63</v>
      </c>
      <c r="P232" s="135" t="s">
        <v>64</v>
      </c>
      <c r="Q232" s="3">
        <v>0</v>
      </c>
      <c r="R232" s="1">
        <f t="shared" si="63"/>
        <v>6</v>
      </c>
      <c r="S232" s="1">
        <f t="shared" si="64"/>
        <v>2</v>
      </c>
      <c r="T232" s="126">
        <f t="shared" si="65"/>
        <v>46061.565972222219</v>
      </c>
      <c r="U232" s="127">
        <f t="shared" si="66"/>
        <v>1.3881944444437977</v>
      </c>
      <c r="V232" s="128">
        <f>Table2[[#This Row],[ATA A OFRECIMIENTO]]*24</f>
        <v>33.316666666651145</v>
      </c>
      <c r="W232" s="1" t="str">
        <f t="shared" si="67"/>
        <v>YES</v>
      </c>
      <c r="X232" s="127">
        <f t="shared" si="68"/>
        <v>0.83333333333575865</v>
      </c>
      <c r="Y232" s="128">
        <f>Table2[[#This Row],[DEL. AVAILABLE A SLOT]]*24</f>
        <v>20.000000000058208</v>
      </c>
      <c r="Z232" s="1" t="str">
        <f t="shared" si="69"/>
        <v>SI</v>
      </c>
      <c r="AA232" s="127">
        <f t="shared" si="70"/>
        <v>2.2215277777795563</v>
      </c>
      <c r="AB232" s="128">
        <f>Table2[[#This Row],[ATA A TIMESLOT]]*24</f>
        <v>53.316666666709352</v>
      </c>
      <c r="AC232" s="127">
        <f t="shared" si="71"/>
        <v>0</v>
      </c>
      <c r="AD232" s="127" t="str">
        <f t="shared" si="72"/>
        <v>SI</v>
      </c>
      <c r="AE232" s="128">
        <f>Table2[[#This Row],[PUNTUALIDAD (H)]]*24</f>
        <v>0</v>
      </c>
      <c r="AF232" s="127">
        <f t="shared" si="73"/>
        <v>2.211111111108039</v>
      </c>
      <c r="AG232" s="128">
        <f>Table2[[#This Row],[ATA TO UNLOADING]]*24</f>
        <v>53.066666666592937</v>
      </c>
      <c r="AH232" s="128" t="str">
        <f>IF(Table2[[#This Row],[ATA TO UNLOADING 2]]&lt;=48,"YES","NO")</f>
        <v>NO</v>
      </c>
      <c r="AJ232" s="129">
        <f t="shared" si="74"/>
        <v>0.58333333333575865</v>
      </c>
      <c r="AK232" s="2" t="s">
        <v>64</v>
      </c>
      <c r="AL232" s="2" t="str">
        <f t="shared" si="75"/>
        <v>6/26</v>
      </c>
      <c r="AM232" s="2" t="str">
        <f t="shared" si="76"/>
        <v>TCNU1485494</v>
      </c>
      <c r="AN232" s="130" t="str">
        <f t="shared" si="77"/>
        <v>OM TRANSPORT</v>
      </c>
      <c r="AO232" s="141">
        <v>573.5</v>
      </c>
      <c r="AP232" s="131" t="e">
        <v>#N/A</v>
      </c>
      <c r="AQ232" s="131">
        <f>VLOOKUP($E232,Invoicing!$A$1:$H$12,MATCH(TRACKER!$Q$1,Invoicing!$A$1:$H$1,0),FALSE)</f>
        <v>50</v>
      </c>
      <c r="AR232" s="131">
        <v>0</v>
      </c>
      <c r="AS232" s="2">
        <f t="shared" si="78"/>
        <v>7</v>
      </c>
      <c r="AT232" s="2" t="str">
        <f t="shared" si="81"/>
        <v>SUNDAY</v>
      </c>
      <c r="AU232" s="2" t="str">
        <f t="shared" si="79"/>
        <v>OM TRANSPORTSUNDAY</v>
      </c>
      <c r="AV232" s="94">
        <v>573.5</v>
      </c>
      <c r="AW232" s="48">
        <f>VLOOKUP(AN232,Invoicing!A:K,11,FALSE)</f>
        <v>20</v>
      </c>
      <c r="AY232" s="48"/>
      <c r="AZ232" s="48">
        <f t="shared" si="80"/>
        <v>593.5</v>
      </c>
      <c r="BA232" s="132">
        <f>VLOOKUP(AN232,Invoicing!A:J,10,FALSE)</f>
        <v>70</v>
      </c>
      <c r="BB232" s="132">
        <f>VLOOKUP(AN232,Invoicing!A:L,12,FALSE)</f>
        <v>1</v>
      </c>
      <c r="BC232" s="2" t="s">
        <v>359</v>
      </c>
    </row>
    <row r="233" spans="1:55">
      <c r="A233" s="134" t="s">
        <v>460</v>
      </c>
      <c r="B233" s="86" t="s">
        <v>77</v>
      </c>
      <c r="C233" s="11">
        <v>46059.361805555556</v>
      </c>
      <c r="D233" s="11">
        <v>46059.291666666664</v>
      </c>
      <c r="E233" s="11" t="s">
        <v>71</v>
      </c>
      <c r="F233" s="11" t="s">
        <v>465</v>
      </c>
      <c r="G233" s="11" t="s">
        <v>59</v>
      </c>
      <c r="H233" s="11" t="s">
        <v>91</v>
      </c>
      <c r="I233" s="86" t="s">
        <v>482</v>
      </c>
      <c r="J233" s="86" t="s">
        <v>82</v>
      </c>
      <c r="K233" s="11">
        <v>46060.75</v>
      </c>
      <c r="L233" s="12">
        <v>46061.506944444445</v>
      </c>
      <c r="M233" s="12">
        <v>46061.625</v>
      </c>
      <c r="N233" s="12">
        <v>46061.555555555555</v>
      </c>
      <c r="O233" s="12" t="s">
        <v>63</v>
      </c>
      <c r="P233" s="135" t="s">
        <v>64</v>
      </c>
      <c r="Q233" s="3">
        <v>0</v>
      </c>
      <c r="R233" s="1">
        <f t="shared" si="63"/>
        <v>6</v>
      </c>
      <c r="S233" s="1">
        <f t="shared" si="64"/>
        <v>2</v>
      </c>
      <c r="T233" s="126">
        <f t="shared" si="65"/>
        <v>46061.506944444445</v>
      </c>
      <c r="U233" s="127">
        <f t="shared" si="66"/>
        <v>1.3881944444437977</v>
      </c>
      <c r="V233" s="128">
        <f>Table2[[#This Row],[ATA A OFRECIMIENTO]]*24</f>
        <v>33.316666666651145</v>
      </c>
      <c r="W233" s="1" t="str">
        <f t="shared" si="67"/>
        <v>YES</v>
      </c>
      <c r="X233" s="127">
        <f t="shared" si="68"/>
        <v>0.875</v>
      </c>
      <c r="Y233" s="128">
        <f>Table2[[#This Row],[DEL. AVAILABLE A SLOT]]*24</f>
        <v>21</v>
      </c>
      <c r="Z233" s="1" t="str">
        <f t="shared" si="69"/>
        <v>SI</v>
      </c>
      <c r="AA233" s="127">
        <f t="shared" si="70"/>
        <v>2.2631944444437977</v>
      </c>
      <c r="AB233" s="128">
        <f>Table2[[#This Row],[ATA A TIMESLOT]]*24</f>
        <v>54.316666666651145</v>
      </c>
      <c r="AC233" s="127">
        <f t="shared" si="71"/>
        <v>0</v>
      </c>
      <c r="AD233" s="127" t="str">
        <f t="shared" si="72"/>
        <v>SI</v>
      </c>
      <c r="AE233" s="128">
        <f>Table2[[#This Row],[PUNTUALIDAD (H)]]*24</f>
        <v>0</v>
      </c>
      <c r="AF233" s="127">
        <f t="shared" si="73"/>
        <v>2.1937499999985448</v>
      </c>
      <c r="AG233" s="128">
        <f>Table2[[#This Row],[ATA TO UNLOADING]]*24</f>
        <v>52.649999999965075</v>
      </c>
      <c r="AH233" s="128" t="str">
        <f>IF(Table2[[#This Row],[ATA TO UNLOADING 2]]&lt;=48,"YES","NO")</f>
        <v>NO</v>
      </c>
      <c r="AJ233" s="129">
        <f t="shared" si="74"/>
        <v>0.625</v>
      </c>
      <c r="AK233" s="2" t="s">
        <v>64</v>
      </c>
      <c r="AL233" s="2" t="str">
        <f t="shared" si="75"/>
        <v>6/26</v>
      </c>
      <c r="AM233" s="2" t="str">
        <f t="shared" si="76"/>
        <v>FFAU5618653</v>
      </c>
      <c r="AN233" s="130" t="str">
        <f t="shared" si="77"/>
        <v>LOGIX</v>
      </c>
      <c r="AO233" s="141">
        <v>573.5</v>
      </c>
      <c r="AP233" s="131" t="e">
        <v>#N/A</v>
      </c>
      <c r="AQ233" s="131">
        <f>VLOOKUP($E233,Invoicing!$A$1:$H$12,MATCH(TRACKER!$Q$1,Invoicing!$A$1:$H$1,0),FALSE)</f>
        <v>50</v>
      </c>
      <c r="AR233" s="131">
        <v>0</v>
      </c>
      <c r="AS233" s="2">
        <f t="shared" si="78"/>
        <v>7</v>
      </c>
      <c r="AT233" s="2" t="str">
        <f t="shared" si="81"/>
        <v>SUNDAY</v>
      </c>
      <c r="AU233" s="2" t="str">
        <f t="shared" si="79"/>
        <v>LOGIXSUNDAY</v>
      </c>
      <c r="AV233" s="94">
        <v>573.5</v>
      </c>
      <c r="AW233" s="48">
        <f>VLOOKUP(AN233,Invoicing!A:K,11,FALSE)</f>
        <v>20</v>
      </c>
      <c r="AY233" s="48"/>
      <c r="AZ233" s="48">
        <f t="shared" si="80"/>
        <v>593.5</v>
      </c>
      <c r="BA233" s="132">
        <f>VLOOKUP(AN233,Invoicing!A:J,10,FALSE)</f>
        <v>70</v>
      </c>
      <c r="BB233" s="132">
        <f>VLOOKUP(AN233,Invoicing!A:L,12,FALSE)</f>
        <v>1</v>
      </c>
      <c r="BC233" s="2" t="s">
        <v>359</v>
      </c>
    </row>
    <row r="234" spans="1:55">
      <c r="A234" s="134" t="s">
        <v>460</v>
      </c>
      <c r="B234" s="86" t="s">
        <v>77</v>
      </c>
      <c r="C234" s="11">
        <v>46059.361805555556</v>
      </c>
      <c r="D234" s="11">
        <v>46059.291666666664</v>
      </c>
      <c r="E234" s="11" t="s">
        <v>71</v>
      </c>
      <c r="F234" s="11" t="s">
        <v>465</v>
      </c>
      <c r="G234" s="11" t="s">
        <v>59</v>
      </c>
      <c r="H234" s="11" t="s">
        <v>91</v>
      </c>
      <c r="I234" s="86" t="s">
        <v>483</v>
      </c>
      <c r="J234" s="86" t="s">
        <v>82</v>
      </c>
      <c r="K234" s="11">
        <v>46060.75</v>
      </c>
      <c r="L234" s="12">
        <v>46061.615277777775</v>
      </c>
      <c r="M234" s="12">
        <v>46061.708333333336</v>
      </c>
      <c r="N234" s="12">
        <v>46061.625</v>
      </c>
      <c r="O234" s="12" t="s">
        <v>63</v>
      </c>
      <c r="P234" s="135" t="s">
        <v>64</v>
      </c>
      <c r="Q234" s="3">
        <v>0</v>
      </c>
      <c r="R234" s="1">
        <f t="shared" si="63"/>
        <v>6</v>
      </c>
      <c r="S234" s="1">
        <f t="shared" si="64"/>
        <v>2</v>
      </c>
      <c r="T234" s="126">
        <f t="shared" si="65"/>
        <v>46061.615277777775</v>
      </c>
      <c r="U234" s="127">
        <f t="shared" si="66"/>
        <v>1.3881944444437977</v>
      </c>
      <c r="V234" s="128">
        <f>Table2[[#This Row],[ATA A OFRECIMIENTO]]*24</f>
        <v>33.316666666651145</v>
      </c>
      <c r="W234" s="1" t="str">
        <f t="shared" si="67"/>
        <v>YES</v>
      </c>
      <c r="X234" s="127">
        <f t="shared" si="68"/>
        <v>0.95833333333575865</v>
      </c>
      <c r="Y234" s="128">
        <f>Table2[[#This Row],[DEL. AVAILABLE A SLOT]]*24</f>
        <v>23.000000000058208</v>
      </c>
      <c r="Z234" s="1" t="str">
        <f t="shared" si="69"/>
        <v>SI</v>
      </c>
      <c r="AA234" s="127">
        <f t="shared" si="70"/>
        <v>2.3465277777795563</v>
      </c>
      <c r="AB234" s="128">
        <f>Table2[[#This Row],[ATA A TIMESLOT]]*24</f>
        <v>56.316666666709352</v>
      </c>
      <c r="AC234" s="127">
        <f t="shared" si="71"/>
        <v>0</v>
      </c>
      <c r="AD234" s="127" t="str">
        <f t="shared" si="72"/>
        <v>SI</v>
      </c>
      <c r="AE234" s="128">
        <f>Table2[[#This Row],[PUNTUALIDAD (H)]]*24</f>
        <v>0</v>
      </c>
      <c r="AF234" s="127">
        <f t="shared" si="73"/>
        <v>2.2631944444437977</v>
      </c>
      <c r="AG234" s="128">
        <f>Table2[[#This Row],[ATA TO UNLOADING]]*24</f>
        <v>54.316666666651145</v>
      </c>
      <c r="AH234" s="128" t="str">
        <f>IF(Table2[[#This Row],[ATA TO UNLOADING 2]]&lt;=48,"YES","NO")</f>
        <v>NO</v>
      </c>
      <c r="AJ234" s="129">
        <f t="shared" si="74"/>
        <v>0.70833333333575865</v>
      </c>
      <c r="AK234" s="2" t="s">
        <v>64</v>
      </c>
      <c r="AL234" s="2" t="str">
        <f t="shared" si="75"/>
        <v>6/26</v>
      </c>
      <c r="AM234" s="2" t="str">
        <f t="shared" si="76"/>
        <v>CAAU5264411</v>
      </c>
      <c r="AN234" s="130" t="str">
        <f t="shared" si="77"/>
        <v>LOGIX</v>
      </c>
      <c r="AO234" s="141">
        <v>573.5</v>
      </c>
      <c r="AP234" s="131" t="e">
        <v>#N/A</v>
      </c>
      <c r="AQ234" s="131">
        <f>VLOOKUP($E234,Invoicing!$A$1:$H$12,MATCH(TRACKER!$Q$1,Invoicing!$A$1:$H$1,0),FALSE)</f>
        <v>50</v>
      </c>
      <c r="AR234" s="131">
        <v>0</v>
      </c>
      <c r="AS234" s="2">
        <f t="shared" si="78"/>
        <v>7</v>
      </c>
      <c r="AT234" s="2" t="str">
        <f t="shared" si="81"/>
        <v>SUNDAY</v>
      </c>
      <c r="AU234" s="2" t="str">
        <f t="shared" si="79"/>
        <v>LOGIXSUNDAY</v>
      </c>
      <c r="AV234" s="94">
        <v>573.5</v>
      </c>
      <c r="AW234" s="48">
        <f>VLOOKUP(AN234,Invoicing!A:K,11,FALSE)</f>
        <v>20</v>
      </c>
      <c r="AY234" s="48"/>
      <c r="AZ234" s="48">
        <f t="shared" si="80"/>
        <v>593.5</v>
      </c>
      <c r="BA234" s="132">
        <f>VLOOKUP(AN234,Invoicing!A:J,10,FALSE)</f>
        <v>70</v>
      </c>
      <c r="BB234" s="132">
        <f>VLOOKUP(AN234,Invoicing!A:L,12,FALSE)</f>
        <v>1</v>
      </c>
      <c r="BC234" s="2" t="s">
        <v>359</v>
      </c>
    </row>
    <row r="235" spans="1:55">
      <c r="A235" s="134" t="s">
        <v>460</v>
      </c>
      <c r="B235" s="86" t="s">
        <v>77</v>
      </c>
      <c r="C235" s="11">
        <v>46059.361805555556</v>
      </c>
      <c r="D235" s="11">
        <v>46059.291666666664</v>
      </c>
      <c r="E235" s="11" t="s">
        <v>98</v>
      </c>
      <c r="F235" s="11" t="s">
        <v>467</v>
      </c>
      <c r="G235" s="11" t="s">
        <v>133</v>
      </c>
      <c r="H235" s="11" t="s">
        <v>91</v>
      </c>
      <c r="I235" s="86" t="s">
        <v>484</v>
      </c>
      <c r="J235" s="86" t="s">
        <v>82</v>
      </c>
      <c r="K235" s="11">
        <v>46060.75</v>
      </c>
      <c r="L235" s="12">
        <v>46061.792361111111</v>
      </c>
      <c r="M235" s="12">
        <v>46061.791666666664</v>
      </c>
      <c r="N235" s="12">
        <v>46061.826388888891</v>
      </c>
      <c r="O235" s="12" t="s">
        <v>63</v>
      </c>
      <c r="P235" s="135" t="s">
        <v>64</v>
      </c>
      <c r="Q235" s="3">
        <v>0</v>
      </c>
      <c r="R235" s="1">
        <f t="shared" si="63"/>
        <v>6</v>
      </c>
      <c r="S235" s="1">
        <f t="shared" si="64"/>
        <v>2</v>
      </c>
      <c r="T235" s="126">
        <f t="shared" si="65"/>
        <v>46061.792361111111</v>
      </c>
      <c r="U235" s="127">
        <f t="shared" si="66"/>
        <v>1.3881944444437977</v>
      </c>
      <c r="V235" s="128">
        <f>Table2[[#This Row],[ATA A OFRECIMIENTO]]*24</f>
        <v>33.316666666651145</v>
      </c>
      <c r="W235" s="1" t="str">
        <f t="shared" si="67"/>
        <v>YES</v>
      </c>
      <c r="X235" s="127">
        <f t="shared" si="68"/>
        <v>1.0416666666642413</v>
      </c>
      <c r="Y235" s="128">
        <f>Table2[[#This Row],[DEL. AVAILABLE A SLOT]]*24</f>
        <v>24.999999999941792</v>
      </c>
      <c r="Z235" s="1" t="str">
        <f t="shared" si="69"/>
        <v>NO</v>
      </c>
      <c r="AA235" s="127">
        <f t="shared" si="70"/>
        <v>2.429861111108039</v>
      </c>
      <c r="AB235" s="128">
        <f>Table2[[#This Row],[ATA A TIMESLOT]]*24</f>
        <v>58.316666666592937</v>
      </c>
      <c r="AC235" s="127">
        <f t="shared" si="71"/>
        <v>6.944444467080757E-4</v>
      </c>
      <c r="AD235" s="127" t="str">
        <f t="shared" si="72"/>
        <v>SI</v>
      </c>
      <c r="AE235" s="128">
        <f>Table2[[#This Row],[PUNTUALIDAD (H)]]*24</f>
        <v>1.6666666720993817E-2</v>
      </c>
      <c r="AF235" s="127">
        <f t="shared" si="73"/>
        <v>2.4645833333343035</v>
      </c>
      <c r="AG235" s="128">
        <f>Table2[[#This Row],[ATA TO UNLOADING]]*24</f>
        <v>59.150000000023283</v>
      </c>
      <c r="AH235" s="128" t="str">
        <f>IF(Table2[[#This Row],[ATA TO UNLOADING 2]]&lt;=48,"YES","NO")</f>
        <v>NO</v>
      </c>
      <c r="AJ235" s="129">
        <f t="shared" si="74"/>
        <v>0.79166666666424135</v>
      </c>
      <c r="AK235" s="2" t="s">
        <v>64</v>
      </c>
      <c r="AL235" s="2" t="str">
        <f t="shared" si="75"/>
        <v>6/26</v>
      </c>
      <c r="AM235" s="2" t="str">
        <f t="shared" si="76"/>
        <v>FANU5020813</v>
      </c>
      <c r="AN235" s="130" t="str">
        <f t="shared" si="77"/>
        <v>MSI</v>
      </c>
      <c r="AO235" s="141">
        <v>523.5</v>
      </c>
      <c r="AP235" s="131" t="e">
        <v>#N/A</v>
      </c>
      <c r="AQ235" s="131">
        <f>VLOOKUP($E235,Invoicing!$A$1:$H$12,MATCH(TRACKER!$Q$1,Invoicing!$A$1:$H$1,0),FALSE)</f>
        <v>50</v>
      </c>
      <c r="AR235" s="131">
        <v>0</v>
      </c>
      <c r="AS235" s="2">
        <f t="shared" si="78"/>
        <v>7</v>
      </c>
      <c r="AT235" s="2" t="str">
        <f t="shared" si="81"/>
        <v>SUNDAY</v>
      </c>
      <c r="AU235" s="2" t="str">
        <f t="shared" si="79"/>
        <v>MSISUNDAY</v>
      </c>
      <c r="AV235" s="94">
        <v>523.5</v>
      </c>
      <c r="AW235" s="48">
        <f>VLOOKUP(AN235,Invoicing!A:K,11,FALSE)</f>
        <v>20</v>
      </c>
      <c r="AY235" s="48"/>
      <c r="AZ235" s="48">
        <f t="shared" si="80"/>
        <v>543.5</v>
      </c>
      <c r="BA235" s="132">
        <f>VLOOKUP(AN235,Invoicing!A:J,10,FALSE)</f>
        <v>70</v>
      </c>
      <c r="BB235" s="132">
        <f>VLOOKUP(AN235,Invoicing!A:L,12,FALSE)</f>
        <v>1</v>
      </c>
      <c r="BC235" s="2" t="s">
        <v>359</v>
      </c>
    </row>
    <row r="236" spans="1:55">
      <c r="A236" s="134" t="s">
        <v>460</v>
      </c>
      <c r="B236" s="86" t="s">
        <v>77</v>
      </c>
      <c r="C236" s="11">
        <v>46059.361805555556</v>
      </c>
      <c r="D236" s="11">
        <v>46059.291666666664</v>
      </c>
      <c r="E236" s="11" t="s">
        <v>83</v>
      </c>
      <c r="F236" s="11" t="s">
        <v>467</v>
      </c>
      <c r="G236" s="11" t="s">
        <v>133</v>
      </c>
      <c r="H236" s="11" t="s">
        <v>91</v>
      </c>
      <c r="I236" s="86" t="s">
        <v>485</v>
      </c>
      <c r="J236" s="86" t="s">
        <v>82</v>
      </c>
      <c r="K236" s="11">
        <v>46060.75</v>
      </c>
      <c r="L236" s="12">
        <v>46061.820833333331</v>
      </c>
      <c r="M236" s="12">
        <v>46061.875</v>
      </c>
      <c r="N236" s="12">
        <v>46061.836111111108</v>
      </c>
      <c r="O236" s="12" t="s">
        <v>63</v>
      </c>
      <c r="P236" s="135" t="s">
        <v>64</v>
      </c>
      <c r="Q236" s="3">
        <v>0</v>
      </c>
      <c r="R236" s="1">
        <f t="shared" si="63"/>
        <v>6</v>
      </c>
      <c r="S236" s="1">
        <f t="shared" si="64"/>
        <v>2</v>
      </c>
      <c r="T236" s="126">
        <f t="shared" si="65"/>
        <v>46061.820833333331</v>
      </c>
      <c r="U236" s="127">
        <f t="shared" si="66"/>
        <v>1.3881944444437977</v>
      </c>
      <c r="V236" s="128">
        <f>Table2[[#This Row],[ATA A OFRECIMIENTO]]*24</f>
        <v>33.316666666651145</v>
      </c>
      <c r="W236" s="1" t="str">
        <f t="shared" si="67"/>
        <v>YES</v>
      </c>
      <c r="X236" s="127">
        <f t="shared" si="68"/>
        <v>1.125</v>
      </c>
      <c r="Y236" s="128">
        <f>Table2[[#This Row],[DEL. AVAILABLE A SLOT]]*24</f>
        <v>27</v>
      </c>
      <c r="Z236" s="1" t="str">
        <f t="shared" si="69"/>
        <v>NO</v>
      </c>
      <c r="AA236" s="127">
        <f t="shared" si="70"/>
        <v>2.5131944444437977</v>
      </c>
      <c r="AB236" s="128">
        <f>Table2[[#This Row],[ATA A TIMESLOT]]*24</f>
        <v>60.316666666651145</v>
      </c>
      <c r="AC236" s="127">
        <f t="shared" si="71"/>
        <v>0</v>
      </c>
      <c r="AD236" s="127" t="str">
        <f t="shared" si="72"/>
        <v>SI</v>
      </c>
      <c r="AE236" s="128">
        <f>Table2[[#This Row],[PUNTUALIDAD (H)]]*24</f>
        <v>0</v>
      </c>
      <c r="AF236" s="127">
        <f t="shared" si="73"/>
        <v>2.4743055555518367</v>
      </c>
      <c r="AG236" s="128">
        <f>Table2[[#This Row],[ATA TO UNLOADING]]*24</f>
        <v>59.383333333244082</v>
      </c>
      <c r="AH236" s="128" t="str">
        <f>IF(Table2[[#This Row],[ATA TO UNLOADING 2]]&lt;=48,"YES","NO")</f>
        <v>NO</v>
      </c>
      <c r="AJ236" s="129">
        <f t="shared" si="74"/>
        <v>0.875</v>
      </c>
      <c r="AK236" s="49" t="s">
        <v>36</v>
      </c>
      <c r="AL236" s="2" t="str">
        <f t="shared" si="75"/>
        <v>6/26</v>
      </c>
      <c r="AM236" s="2" t="str">
        <f t="shared" si="76"/>
        <v>FANU1113733</v>
      </c>
      <c r="AN236" s="130" t="str">
        <f t="shared" si="77"/>
        <v>OM TRANSPORT</v>
      </c>
      <c r="AO236" s="141">
        <v>573.5</v>
      </c>
      <c r="AP236" s="131" t="e">
        <v>#N/A</v>
      </c>
      <c r="AQ236" s="131">
        <f>VLOOKUP($E236,Invoicing!$A$1:$H$12,MATCH(TRACKER!$Q$1,Invoicing!$A$1:$H$1,0),FALSE)</f>
        <v>50</v>
      </c>
      <c r="AR236" s="131">
        <v>0</v>
      </c>
      <c r="AS236" s="2">
        <f t="shared" si="78"/>
        <v>7</v>
      </c>
      <c r="AT236" s="2" t="str">
        <f t="shared" si="81"/>
        <v>SUNDAY</v>
      </c>
      <c r="AU236" s="2" t="str">
        <f t="shared" si="79"/>
        <v>OM TRANSPORTSUNDAY</v>
      </c>
      <c r="AV236" s="94">
        <v>573.5</v>
      </c>
      <c r="AW236" s="48">
        <f>VLOOKUP(AN236,Invoicing!A:K,11,FALSE)</f>
        <v>20</v>
      </c>
      <c r="AY236" s="48"/>
      <c r="AZ236" s="48">
        <f t="shared" si="80"/>
        <v>593.5</v>
      </c>
      <c r="BA236" s="132">
        <f>VLOOKUP(AN236,Invoicing!A:J,10,FALSE)</f>
        <v>70</v>
      </c>
      <c r="BB236" s="132">
        <f>VLOOKUP(AN236,Invoicing!A:L,12,FALSE)</f>
        <v>1</v>
      </c>
      <c r="BC236" s="2" t="s">
        <v>359</v>
      </c>
    </row>
    <row r="237" spans="1:55">
      <c r="A237" s="136" t="s">
        <v>460</v>
      </c>
      <c r="B237" s="88" t="s">
        <v>77</v>
      </c>
      <c r="C237" s="89">
        <v>46059.361805555556</v>
      </c>
      <c r="D237" s="89">
        <v>46059.291666666664</v>
      </c>
      <c r="E237" s="89" t="s">
        <v>83</v>
      </c>
      <c r="F237" s="89" t="s">
        <v>476</v>
      </c>
      <c r="G237" s="89" t="s">
        <v>59</v>
      </c>
      <c r="H237" s="89" t="s">
        <v>91</v>
      </c>
      <c r="I237" s="88" t="s">
        <v>486</v>
      </c>
      <c r="J237" s="88" t="s">
        <v>82</v>
      </c>
      <c r="K237" s="89">
        <v>46060.75</v>
      </c>
      <c r="L237" s="90">
        <v>46061.838194444441</v>
      </c>
      <c r="M237" s="90">
        <v>46061.958333333336</v>
      </c>
      <c r="N237" s="90">
        <v>46061.861111111109</v>
      </c>
      <c r="O237" s="90" t="s">
        <v>63</v>
      </c>
      <c r="P237" s="137" t="s">
        <v>64</v>
      </c>
      <c r="Q237" s="91">
        <v>0</v>
      </c>
      <c r="R237" s="1">
        <f t="shared" si="63"/>
        <v>6</v>
      </c>
      <c r="S237" s="1">
        <f t="shared" si="64"/>
        <v>2</v>
      </c>
      <c r="T237" s="126">
        <f t="shared" si="65"/>
        <v>46061.838194444441</v>
      </c>
      <c r="U237" s="127">
        <f t="shared" si="66"/>
        <v>1.3881944444437977</v>
      </c>
      <c r="V237" s="128">
        <f>Table2[[#This Row],[ATA A OFRECIMIENTO]]*24</f>
        <v>33.316666666651145</v>
      </c>
      <c r="W237" s="1" t="str">
        <f t="shared" si="67"/>
        <v>YES</v>
      </c>
      <c r="X237" s="127">
        <f t="shared" si="68"/>
        <v>1.2083333333357587</v>
      </c>
      <c r="Y237" s="128">
        <f>Table2[[#This Row],[DEL. AVAILABLE A SLOT]]*24</f>
        <v>29.000000000058208</v>
      </c>
      <c r="Z237" s="1" t="str">
        <f t="shared" si="69"/>
        <v>NO</v>
      </c>
      <c r="AA237" s="127">
        <f t="shared" si="70"/>
        <v>2.5965277777795563</v>
      </c>
      <c r="AB237" s="128">
        <f>Table2[[#This Row],[ATA A TIMESLOT]]*24</f>
        <v>62.316666666709352</v>
      </c>
      <c r="AC237" s="127">
        <f t="shared" si="71"/>
        <v>0</v>
      </c>
      <c r="AD237" s="127" t="str">
        <f t="shared" si="72"/>
        <v>SI</v>
      </c>
      <c r="AE237" s="128">
        <f>Table2[[#This Row],[PUNTUALIDAD (H)]]*24</f>
        <v>0</v>
      </c>
      <c r="AF237" s="127">
        <f t="shared" si="73"/>
        <v>2.4993055555532919</v>
      </c>
      <c r="AG237" s="128">
        <f>Table2[[#This Row],[ATA TO UNLOADING]]*24</f>
        <v>59.983333333279006</v>
      </c>
      <c r="AH237" s="128" t="str">
        <f>IF(Table2[[#This Row],[ATA TO UNLOADING 2]]&lt;=48,"YES","NO")</f>
        <v>NO</v>
      </c>
      <c r="AJ237" s="129">
        <f t="shared" si="74"/>
        <v>0.95833333333575865</v>
      </c>
      <c r="AK237" s="49" t="s">
        <v>36</v>
      </c>
      <c r="AL237" s="2" t="str">
        <f t="shared" si="75"/>
        <v>6/26</v>
      </c>
      <c r="AM237" s="2" t="str">
        <f t="shared" si="76"/>
        <v>MRSU7102340</v>
      </c>
      <c r="AN237" s="130" t="str">
        <f t="shared" si="77"/>
        <v>OM TRANSPORT</v>
      </c>
      <c r="AO237" s="141">
        <v>573.5</v>
      </c>
      <c r="AP237" s="131" t="e">
        <v>#N/A</v>
      </c>
      <c r="AQ237" s="131">
        <f>VLOOKUP($E237,Invoicing!$A$1:$H$12,MATCH(TRACKER!$Q$1,Invoicing!$A$1:$H$1,0),FALSE)</f>
        <v>50</v>
      </c>
      <c r="AR237" s="131">
        <v>0</v>
      </c>
      <c r="AS237" s="2">
        <f t="shared" si="78"/>
        <v>7</v>
      </c>
      <c r="AT237" s="2" t="str">
        <f t="shared" si="81"/>
        <v>SUNDAY</v>
      </c>
      <c r="AU237" s="2" t="str">
        <f t="shared" si="79"/>
        <v>OM TRANSPORTSUNDAY</v>
      </c>
      <c r="AV237" s="94">
        <v>573.5</v>
      </c>
      <c r="AW237" s="48">
        <f>VLOOKUP(AN237,Invoicing!A:K,11,FALSE)</f>
        <v>20</v>
      </c>
      <c r="AY237" s="48"/>
      <c r="AZ237" s="48">
        <f t="shared" si="80"/>
        <v>593.5</v>
      </c>
      <c r="BA237" s="132">
        <f>VLOOKUP(AN237,Invoicing!A:J,10,FALSE)</f>
        <v>70</v>
      </c>
      <c r="BB237" s="132">
        <f>VLOOKUP(AN237,Invoicing!A:L,12,FALSE)</f>
        <v>1</v>
      </c>
      <c r="BC237" s="2" t="s">
        <v>359</v>
      </c>
    </row>
    <row r="238" spans="1:55">
      <c r="A238" s="38" t="s">
        <v>487</v>
      </c>
      <c r="B238" s="3" t="s">
        <v>77</v>
      </c>
      <c r="C238" s="11">
        <v>46061.258333333331</v>
      </c>
      <c r="D238" s="11">
        <v>46061.333333333336</v>
      </c>
      <c r="E238" s="11" t="s">
        <v>98</v>
      </c>
      <c r="F238" s="11" t="s">
        <v>488</v>
      </c>
      <c r="G238" s="11" t="s">
        <v>59</v>
      </c>
      <c r="H238" s="11" t="s">
        <v>80</v>
      </c>
      <c r="I238" s="3" t="s">
        <v>489</v>
      </c>
      <c r="J238" s="3" t="s">
        <v>82</v>
      </c>
      <c r="K238" s="11">
        <v>46063.083333333336</v>
      </c>
      <c r="L238" s="12">
        <v>46063.121527777781</v>
      </c>
      <c r="M238" s="12">
        <v>46063.125</v>
      </c>
      <c r="N238" s="12">
        <v>46063.154166666667</v>
      </c>
      <c r="O238" s="12" t="s">
        <v>63</v>
      </c>
      <c r="P238" s="85" t="s">
        <v>64</v>
      </c>
      <c r="Q238" s="3">
        <v>0</v>
      </c>
      <c r="R238" s="1">
        <f t="shared" si="63"/>
        <v>7</v>
      </c>
      <c r="S238" s="1">
        <f t="shared" si="64"/>
        <v>2</v>
      </c>
      <c r="T238" s="126">
        <f t="shared" si="65"/>
        <v>46063.121527777781</v>
      </c>
      <c r="U238" s="127">
        <f t="shared" si="66"/>
        <v>1.8250000000043656</v>
      </c>
      <c r="V238" s="128">
        <f>Table2[[#This Row],[ATA A OFRECIMIENTO]]*24</f>
        <v>43.800000000104774</v>
      </c>
      <c r="W238" s="1" t="str">
        <f t="shared" si="67"/>
        <v>YES</v>
      </c>
      <c r="X238" s="127">
        <f t="shared" si="68"/>
        <v>4.1666666664241347E-2</v>
      </c>
      <c r="Y238" s="128">
        <f>Table2[[#This Row],[DEL. AVAILABLE A SLOT]]*24</f>
        <v>0.99999999994179234</v>
      </c>
      <c r="Z238" s="1" t="str">
        <f t="shared" si="69"/>
        <v>SI</v>
      </c>
      <c r="AA238" s="127">
        <f t="shared" si="70"/>
        <v>1.8666666666686069</v>
      </c>
      <c r="AB238" s="128">
        <f>Table2[[#This Row],[ATA A TIMESLOT]]*24</f>
        <v>44.800000000046566</v>
      </c>
      <c r="AC238" s="127">
        <f t="shared" si="71"/>
        <v>0</v>
      </c>
      <c r="AD238" s="127" t="str">
        <f t="shared" si="72"/>
        <v>SI</v>
      </c>
      <c r="AE238" s="128">
        <f>Table2[[#This Row],[PUNTUALIDAD (H)]]*24</f>
        <v>0</v>
      </c>
      <c r="AF238" s="127">
        <f t="shared" si="73"/>
        <v>1.8958333333357587</v>
      </c>
      <c r="AG238" s="128">
        <f>Table2[[#This Row],[ATA TO UNLOADING]]*24</f>
        <v>45.500000000058208</v>
      </c>
      <c r="AH238" s="128" t="str">
        <f>IF(Table2[[#This Row],[ATA TO UNLOADING 2]]&lt;=48,"YES","NO")</f>
        <v>YES</v>
      </c>
      <c r="AJ238" s="129">
        <f t="shared" si="74"/>
        <v>0.125</v>
      </c>
      <c r="AK238" s="49" t="s">
        <v>36</v>
      </c>
      <c r="AL238" s="2" t="str">
        <f t="shared" si="75"/>
        <v>7/26</v>
      </c>
      <c r="AM238" s="2" t="str">
        <f t="shared" si="76"/>
        <v>MSKU0395457</v>
      </c>
      <c r="AN238" s="130" t="str">
        <f t="shared" si="77"/>
        <v>MSI</v>
      </c>
      <c r="AO238" s="141">
        <v>553.5</v>
      </c>
      <c r="AP238" s="131" t="e">
        <v>#N/A</v>
      </c>
      <c r="AQ238" s="131">
        <f>VLOOKUP($E238,Invoicing!$A$1:$H$12,MATCH(TRACKER!$Q$1,Invoicing!$A$1:$H$1,0),FALSE)</f>
        <v>50</v>
      </c>
      <c r="AR238" s="131">
        <v>0</v>
      </c>
      <c r="AS238" s="2">
        <f t="shared" si="78"/>
        <v>2</v>
      </c>
      <c r="AT238" s="2" t="str">
        <f t="shared" si="81"/>
        <v>NIGHT</v>
      </c>
      <c r="AU238" s="2" t="str">
        <f t="shared" si="79"/>
        <v>MSINIGHT</v>
      </c>
      <c r="AV238" s="94">
        <v>613.5</v>
      </c>
      <c r="AW238" s="48">
        <f>VLOOKUP(AN238,Invoicing!A:K,11,FALSE)</f>
        <v>20</v>
      </c>
      <c r="AX238" s="48">
        <v>60</v>
      </c>
      <c r="AY238" s="94" t="s">
        <v>490</v>
      </c>
      <c r="AZ238" s="48">
        <f t="shared" si="80"/>
        <v>633.5</v>
      </c>
      <c r="BA238" s="132">
        <f>VLOOKUP(AN238,Invoicing!A:J,10,FALSE)</f>
        <v>70</v>
      </c>
      <c r="BB238" s="132">
        <f>VLOOKUP(AN238,Invoicing!A:L,12,FALSE)</f>
        <v>1</v>
      </c>
      <c r="BC238" s="2" t="s">
        <v>359</v>
      </c>
    </row>
    <row r="239" spans="1:55">
      <c r="A239" s="38" t="s">
        <v>487</v>
      </c>
      <c r="B239" s="3" t="s">
        <v>77</v>
      </c>
      <c r="C239" s="11">
        <v>46061.258333333331</v>
      </c>
      <c r="D239" s="11">
        <v>46061.333333333336</v>
      </c>
      <c r="E239" s="11" t="s">
        <v>98</v>
      </c>
      <c r="F239" s="11" t="s">
        <v>491</v>
      </c>
      <c r="G239" s="11" t="s">
        <v>59</v>
      </c>
      <c r="H239" s="11" t="s">
        <v>80</v>
      </c>
      <c r="I239" s="3" t="s">
        <v>492</v>
      </c>
      <c r="J239" s="3" t="s">
        <v>82</v>
      </c>
      <c r="K239" s="11">
        <v>46063.083333333336</v>
      </c>
      <c r="L239" s="12">
        <v>46063.194444444445</v>
      </c>
      <c r="M239" s="12">
        <v>46063.208333333336</v>
      </c>
      <c r="N239" s="12">
        <v>46063.214583333334</v>
      </c>
      <c r="O239" s="12" t="s">
        <v>63</v>
      </c>
      <c r="P239" s="85" t="s">
        <v>64</v>
      </c>
      <c r="Q239" s="3">
        <v>0</v>
      </c>
      <c r="R239" s="1">
        <f t="shared" si="63"/>
        <v>7</v>
      </c>
      <c r="S239" s="1">
        <f t="shared" si="64"/>
        <v>2</v>
      </c>
      <c r="T239" s="126">
        <f t="shared" si="65"/>
        <v>46063.194444444445</v>
      </c>
      <c r="U239" s="127">
        <f t="shared" si="66"/>
        <v>1.8250000000043656</v>
      </c>
      <c r="V239" s="128">
        <f>Table2[[#This Row],[ATA A OFRECIMIENTO]]*24</f>
        <v>43.800000000104774</v>
      </c>
      <c r="W239" s="1" t="str">
        <f t="shared" si="67"/>
        <v>YES</v>
      </c>
      <c r="X239" s="127">
        <f t="shared" si="68"/>
        <v>0.125</v>
      </c>
      <c r="Y239" s="128">
        <f>Table2[[#This Row],[DEL. AVAILABLE A SLOT]]*24</f>
        <v>3</v>
      </c>
      <c r="Z239" s="1" t="str">
        <f t="shared" si="69"/>
        <v>SI</v>
      </c>
      <c r="AA239" s="127">
        <f t="shared" si="70"/>
        <v>1.9500000000043656</v>
      </c>
      <c r="AB239" s="128">
        <f>Table2[[#This Row],[ATA A TIMESLOT]]*24</f>
        <v>46.800000000104774</v>
      </c>
      <c r="AC239" s="127">
        <f t="shared" si="71"/>
        <v>0</v>
      </c>
      <c r="AD239" s="127" t="str">
        <f t="shared" si="72"/>
        <v>SI</v>
      </c>
      <c r="AE239" s="128">
        <f>Table2[[#This Row],[PUNTUALIDAD (H)]]*24</f>
        <v>0</v>
      </c>
      <c r="AF239" s="127">
        <f t="shared" si="73"/>
        <v>1.9562500000029104</v>
      </c>
      <c r="AG239" s="128">
        <f>Table2[[#This Row],[ATA TO UNLOADING]]*24</f>
        <v>46.950000000069849</v>
      </c>
      <c r="AH239" s="128" t="str">
        <f>IF(Table2[[#This Row],[ATA TO UNLOADING 2]]&lt;=48,"YES","NO")</f>
        <v>YES</v>
      </c>
      <c r="AJ239" s="129">
        <f t="shared" si="74"/>
        <v>0.20833333333575865</v>
      </c>
      <c r="AK239" s="2" t="s">
        <v>64</v>
      </c>
      <c r="AL239" s="2" t="str">
        <f t="shared" si="75"/>
        <v>7/26</v>
      </c>
      <c r="AM239" s="2" t="str">
        <f t="shared" si="76"/>
        <v>MRSU3778384</v>
      </c>
      <c r="AN239" s="130" t="str">
        <f t="shared" si="77"/>
        <v>MSI</v>
      </c>
      <c r="AO239" s="141">
        <v>503.5</v>
      </c>
      <c r="AP239" s="131" t="e">
        <v>#N/A</v>
      </c>
      <c r="AQ239" s="131">
        <f>VLOOKUP($E239,Invoicing!$A$1:$H$12,MATCH(TRACKER!$Q$1,Invoicing!$A$1:$H$1,0),FALSE)</f>
        <v>50</v>
      </c>
      <c r="AR239" s="131">
        <v>0</v>
      </c>
      <c r="AS239" s="2">
        <f t="shared" si="78"/>
        <v>2</v>
      </c>
      <c r="AT239" s="2" t="str">
        <f t="shared" si="81"/>
        <v>WEEK</v>
      </c>
      <c r="AU239" s="2" t="str">
        <f t="shared" si="79"/>
        <v>MSIWEEK</v>
      </c>
      <c r="AV239" s="94">
        <v>563.5</v>
      </c>
      <c r="AW239" s="48">
        <f>VLOOKUP(AN239,Invoicing!A:K,11,FALSE)</f>
        <v>20</v>
      </c>
      <c r="AX239" s="48">
        <v>60</v>
      </c>
      <c r="AY239" s="94" t="s">
        <v>493</v>
      </c>
      <c r="AZ239" s="48">
        <f t="shared" si="80"/>
        <v>583.5</v>
      </c>
      <c r="BA239" s="132">
        <f>VLOOKUP(AN239,Invoicing!A:J,10,FALSE)</f>
        <v>70</v>
      </c>
      <c r="BB239" s="132">
        <f>VLOOKUP(AN239,Invoicing!A:L,12,FALSE)</f>
        <v>1</v>
      </c>
      <c r="BC239" s="2" t="s">
        <v>359</v>
      </c>
    </row>
    <row r="240" spans="1:55">
      <c r="A240" s="38" t="s">
        <v>487</v>
      </c>
      <c r="B240" s="3" t="s">
        <v>77</v>
      </c>
      <c r="C240" s="11">
        <v>46061.258333333331</v>
      </c>
      <c r="D240" s="11">
        <v>46061.333333333336</v>
      </c>
      <c r="E240" s="11" t="s">
        <v>71</v>
      </c>
      <c r="F240" s="11" t="s">
        <v>488</v>
      </c>
      <c r="G240" s="11" t="s">
        <v>59</v>
      </c>
      <c r="H240" s="11" t="s">
        <v>80</v>
      </c>
      <c r="I240" s="3" t="s">
        <v>494</v>
      </c>
      <c r="J240" s="3" t="s">
        <v>100</v>
      </c>
      <c r="K240" s="11">
        <v>46063.083333333336</v>
      </c>
      <c r="L240" s="12">
        <v>46063.250694444447</v>
      </c>
      <c r="M240" s="12">
        <v>46063.25</v>
      </c>
      <c r="N240" s="12">
        <v>46063.258333333331</v>
      </c>
      <c r="O240" s="12" t="s">
        <v>63</v>
      </c>
      <c r="P240" s="85" t="s">
        <v>64</v>
      </c>
      <c r="Q240" s="3">
        <v>1</v>
      </c>
      <c r="R240" s="1">
        <f t="shared" si="63"/>
        <v>7</v>
      </c>
      <c r="S240" s="1">
        <f t="shared" si="64"/>
        <v>2</v>
      </c>
      <c r="T240" s="126">
        <f t="shared" si="65"/>
        <v>46063.250694444447</v>
      </c>
      <c r="U240" s="127">
        <f t="shared" si="66"/>
        <v>1.8250000000043656</v>
      </c>
      <c r="V240" s="128">
        <f>Table2[[#This Row],[ATA A OFRECIMIENTO]]*24</f>
        <v>43.800000000104774</v>
      </c>
      <c r="W240" s="1" t="str">
        <f t="shared" si="67"/>
        <v>YES</v>
      </c>
      <c r="X240" s="127">
        <f t="shared" si="68"/>
        <v>0.16666666666424135</v>
      </c>
      <c r="Y240" s="128">
        <f>Table2[[#This Row],[DEL. AVAILABLE A SLOT]]*24</f>
        <v>3.9999999999417923</v>
      </c>
      <c r="Z240" s="1" t="str">
        <f t="shared" si="69"/>
        <v>SI</v>
      </c>
      <c r="AA240" s="127">
        <f t="shared" si="70"/>
        <v>1.9916666666686069</v>
      </c>
      <c r="AB240" s="128">
        <f>Table2[[#This Row],[ATA A TIMESLOT]]*24</f>
        <v>47.800000000046566</v>
      </c>
      <c r="AC240" s="127">
        <f t="shared" si="71"/>
        <v>6.944444467080757E-4</v>
      </c>
      <c r="AD240" s="127" t="str">
        <f t="shared" si="72"/>
        <v>SI</v>
      </c>
      <c r="AE240" s="128">
        <f>Table2[[#This Row],[PUNTUALIDAD (H)]]*24</f>
        <v>1.6666666720993817E-2</v>
      </c>
      <c r="AF240" s="127">
        <f t="shared" si="73"/>
        <v>2</v>
      </c>
      <c r="AG240" s="128">
        <f>Table2[[#This Row],[ATA TO UNLOADING]]*24</f>
        <v>48</v>
      </c>
      <c r="AH240" s="128" t="str">
        <f>IF(Table2[[#This Row],[ATA TO UNLOADING 2]]&lt;=48,"YES","NO")</f>
        <v>YES</v>
      </c>
      <c r="AJ240" s="129">
        <f t="shared" si="74"/>
        <v>0.25</v>
      </c>
      <c r="AK240" s="2" t="s">
        <v>64</v>
      </c>
      <c r="AL240" s="2" t="str">
        <f t="shared" si="75"/>
        <v>7/26</v>
      </c>
      <c r="AM240" s="2" t="str">
        <f t="shared" si="76"/>
        <v>SELU4084696</v>
      </c>
      <c r="AN240" s="130" t="str">
        <f t="shared" si="77"/>
        <v>LOGIX</v>
      </c>
      <c r="AO240" s="141">
        <v>573.5</v>
      </c>
      <c r="AP240" s="131" t="e">
        <v>#N/A</v>
      </c>
      <c r="AQ240" s="131">
        <f>VLOOKUP($E240,Invoicing!$A$1:$H$12,MATCH(TRACKER!$Q$1,Invoicing!$A$1:$H$1,0),FALSE)</f>
        <v>50</v>
      </c>
      <c r="AR240" s="131">
        <v>50</v>
      </c>
      <c r="AS240" s="2">
        <f t="shared" si="78"/>
        <v>2</v>
      </c>
      <c r="AT240" s="2" t="str">
        <f t="shared" si="81"/>
        <v>WEEK</v>
      </c>
      <c r="AU240" s="2" t="str">
        <f t="shared" si="79"/>
        <v>LOGIXWEEK</v>
      </c>
      <c r="AV240" s="94">
        <v>623.5</v>
      </c>
      <c r="AW240" s="48">
        <f>VLOOKUP(AN240,Invoicing!A:K,11,FALSE)</f>
        <v>20</v>
      </c>
      <c r="AY240" s="48"/>
      <c r="AZ240" s="48">
        <f t="shared" si="80"/>
        <v>643.5</v>
      </c>
      <c r="BA240" s="132">
        <f>VLOOKUP(AN240,Invoicing!A:J,10,FALSE)</f>
        <v>70</v>
      </c>
      <c r="BB240" s="132">
        <f>VLOOKUP(AN240,Invoicing!A:L,12,FALSE)</f>
        <v>1</v>
      </c>
      <c r="BC240" s="2" t="s">
        <v>359</v>
      </c>
    </row>
    <row r="241" spans="1:55">
      <c r="A241" s="38" t="s">
        <v>487</v>
      </c>
      <c r="B241" s="3" t="s">
        <v>77</v>
      </c>
      <c r="C241" s="11">
        <v>46061.258333333331</v>
      </c>
      <c r="D241" s="11">
        <v>46061.333333333336</v>
      </c>
      <c r="E241" s="11" t="s">
        <v>83</v>
      </c>
      <c r="F241" s="11" t="s">
        <v>495</v>
      </c>
      <c r="G241" s="11" t="s">
        <v>59</v>
      </c>
      <c r="H241" s="11" t="s">
        <v>80</v>
      </c>
      <c r="I241" s="3" t="s">
        <v>496</v>
      </c>
      <c r="J241" s="3" t="s">
        <v>82</v>
      </c>
      <c r="K241" s="11">
        <v>46063.083333333336</v>
      </c>
      <c r="L241" s="12">
        <v>46063.258333333331</v>
      </c>
      <c r="M241" s="12">
        <v>46063.291666666664</v>
      </c>
      <c r="N241" s="12">
        <v>46063.302777777775</v>
      </c>
      <c r="O241" s="12" t="s">
        <v>63</v>
      </c>
      <c r="P241" s="85" t="s">
        <v>64</v>
      </c>
      <c r="Q241" s="3">
        <v>0</v>
      </c>
      <c r="R241" s="1">
        <f t="shared" si="63"/>
        <v>7</v>
      </c>
      <c r="S241" s="1">
        <f t="shared" si="64"/>
        <v>2</v>
      </c>
      <c r="T241" s="126">
        <f t="shared" si="65"/>
        <v>46063.258333333331</v>
      </c>
      <c r="U241" s="127">
        <f t="shared" si="66"/>
        <v>1.8250000000043656</v>
      </c>
      <c r="V241" s="128">
        <f>Table2[[#This Row],[ATA A OFRECIMIENTO]]*24</f>
        <v>43.800000000104774</v>
      </c>
      <c r="W241" s="1" t="str">
        <f t="shared" si="67"/>
        <v>YES</v>
      </c>
      <c r="X241" s="127">
        <f t="shared" si="68"/>
        <v>0.20833333332848269</v>
      </c>
      <c r="Y241" s="128">
        <f>Table2[[#This Row],[DEL. AVAILABLE A SLOT]]*24</f>
        <v>4.9999999998835847</v>
      </c>
      <c r="Z241" s="1" t="str">
        <f t="shared" si="69"/>
        <v>SI</v>
      </c>
      <c r="AA241" s="127">
        <f t="shared" si="70"/>
        <v>2.0333333333328483</v>
      </c>
      <c r="AB241" s="128">
        <f>Table2[[#This Row],[ATA A TIMESLOT]]*24</f>
        <v>48.799999999988358</v>
      </c>
      <c r="AC241" s="127">
        <f t="shared" si="71"/>
        <v>0</v>
      </c>
      <c r="AD241" s="127" t="str">
        <f t="shared" si="72"/>
        <v>SI</v>
      </c>
      <c r="AE241" s="128">
        <f>Table2[[#This Row],[PUNTUALIDAD (H)]]*24</f>
        <v>0</v>
      </c>
      <c r="AF241" s="127">
        <f t="shared" si="73"/>
        <v>2.0444444444437977</v>
      </c>
      <c r="AG241" s="128">
        <f>Table2[[#This Row],[ATA TO UNLOADING]]*24</f>
        <v>49.066666666651145</v>
      </c>
      <c r="AH241" s="128" t="str">
        <f>IF(Table2[[#This Row],[ATA TO UNLOADING 2]]&lt;=48,"YES","NO")</f>
        <v>NO</v>
      </c>
      <c r="AJ241" s="129">
        <f t="shared" si="74"/>
        <v>0.29166666666424135</v>
      </c>
      <c r="AK241" s="2" t="s">
        <v>64</v>
      </c>
      <c r="AL241" s="2" t="str">
        <f t="shared" si="75"/>
        <v>7/26</v>
      </c>
      <c r="AM241" s="2" t="str">
        <f t="shared" si="76"/>
        <v>TGHU1564358</v>
      </c>
      <c r="AN241" s="130" t="str">
        <f t="shared" si="77"/>
        <v>OM TRANSPORT</v>
      </c>
      <c r="AO241" s="141">
        <v>498.5</v>
      </c>
      <c r="AP241" s="131" t="e">
        <v>#N/A</v>
      </c>
      <c r="AQ241" s="131">
        <f>VLOOKUP($E241,Invoicing!$A$1:$H$12,MATCH(TRACKER!$Q$1,Invoicing!$A$1:$H$1,0),FALSE)</f>
        <v>50</v>
      </c>
      <c r="AR241" s="131">
        <v>0</v>
      </c>
      <c r="AS241" s="2">
        <f t="shared" si="78"/>
        <v>2</v>
      </c>
      <c r="AT241" s="2" t="str">
        <f t="shared" si="81"/>
        <v>WEEK</v>
      </c>
      <c r="AU241" s="2" t="str">
        <f t="shared" si="79"/>
        <v>OM TRANSPORTWEEK</v>
      </c>
      <c r="AV241" s="94">
        <v>498.5</v>
      </c>
      <c r="AW241" s="48">
        <f>VLOOKUP(AN241,Invoicing!A:K,11,FALSE)</f>
        <v>20</v>
      </c>
      <c r="AY241" s="48"/>
      <c r="AZ241" s="48">
        <f t="shared" si="80"/>
        <v>518.5</v>
      </c>
      <c r="BA241" s="132">
        <f>VLOOKUP(AN241,Invoicing!A:J,10,FALSE)</f>
        <v>70</v>
      </c>
      <c r="BB241" s="132">
        <f>VLOOKUP(AN241,Invoicing!A:L,12,FALSE)</f>
        <v>1</v>
      </c>
      <c r="BC241" s="2" t="s">
        <v>359</v>
      </c>
    </row>
    <row r="242" spans="1:55">
      <c r="A242" s="38" t="s">
        <v>487</v>
      </c>
      <c r="B242" s="3" t="s">
        <v>77</v>
      </c>
      <c r="C242" s="11">
        <v>46061.258333333331</v>
      </c>
      <c r="D242" s="11">
        <v>46061.333333333336</v>
      </c>
      <c r="E242" s="11" t="s">
        <v>98</v>
      </c>
      <c r="F242" s="11" t="s">
        <v>491</v>
      </c>
      <c r="G242" s="11" t="s">
        <v>59</v>
      </c>
      <c r="H242" s="11" t="s">
        <v>80</v>
      </c>
      <c r="I242" s="3" t="s">
        <v>497</v>
      </c>
      <c r="J242" s="3" t="s">
        <v>62</v>
      </c>
      <c r="K242" s="11">
        <v>46063.083333333336</v>
      </c>
      <c r="L242" s="12">
        <v>46063.327777777777</v>
      </c>
      <c r="M242" s="12">
        <v>46063.333333333336</v>
      </c>
      <c r="N242" s="12">
        <v>46063.354166666664</v>
      </c>
      <c r="O242" s="12" t="s">
        <v>63</v>
      </c>
      <c r="P242" s="85" t="s">
        <v>64</v>
      </c>
      <c r="Q242" s="3">
        <v>1</v>
      </c>
      <c r="R242" s="1">
        <f t="shared" si="63"/>
        <v>7</v>
      </c>
      <c r="S242" s="1">
        <f t="shared" si="64"/>
        <v>2</v>
      </c>
      <c r="T242" s="126">
        <f t="shared" si="65"/>
        <v>46063.327777777777</v>
      </c>
      <c r="U242" s="127">
        <f t="shared" si="66"/>
        <v>1.8250000000043656</v>
      </c>
      <c r="V242" s="128">
        <f>Table2[[#This Row],[ATA A OFRECIMIENTO]]*24</f>
        <v>43.800000000104774</v>
      </c>
      <c r="W242" s="1" t="str">
        <f t="shared" si="67"/>
        <v>YES</v>
      </c>
      <c r="X242" s="127">
        <f t="shared" si="68"/>
        <v>0.25</v>
      </c>
      <c r="Y242" s="128">
        <f>Table2[[#This Row],[DEL. AVAILABLE A SLOT]]*24</f>
        <v>6</v>
      </c>
      <c r="Z242" s="1" t="str">
        <f t="shared" si="69"/>
        <v>SI</v>
      </c>
      <c r="AA242" s="127">
        <f t="shared" si="70"/>
        <v>2.0750000000043656</v>
      </c>
      <c r="AB242" s="128">
        <f>Table2[[#This Row],[ATA A TIMESLOT]]*24</f>
        <v>49.800000000104774</v>
      </c>
      <c r="AC242" s="127">
        <f t="shared" si="71"/>
        <v>0</v>
      </c>
      <c r="AD242" s="127" t="str">
        <f t="shared" si="72"/>
        <v>SI</v>
      </c>
      <c r="AE242" s="128">
        <f>Table2[[#This Row],[PUNTUALIDAD (H)]]*24</f>
        <v>0</v>
      </c>
      <c r="AF242" s="127">
        <f t="shared" si="73"/>
        <v>2.0958333333328483</v>
      </c>
      <c r="AG242" s="128">
        <f>Table2[[#This Row],[ATA TO UNLOADING]]*24</f>
        <v>50.299999999988358</v>
      </c>
      <c r="AH242" s="128" t="str">
        <f>IF(Table2[[#This Row],[ATA TO UNLOADING 2]]&lt;=48,"YES","NO")</f>
        <v>NO</v>
      </c>
      <c r="AJ242" s="129">
        <f t="shared" si="74"/>
        <v>0.33333333333575865</v>
      </c>
      <c r="AK242" s="2" t="s">
        <v>64</v>
      </c>
      <c r="AL242" s="2" t="str">
        <f t="shared" si="75"/>
        <v>7/26</v>
      </c>
      <c r="AM242" s="2" t="str">
        <f t="shared" si="76"/>
        <v>GCXU6370474</v>
      </c>
      <c r="AN242" s="130" t="str">
        <f t="shared" si="77"/>
        <v>MSI</v>
      </c>
      <c r="AO242" s="141">
        <v>503.5</v>
      </c>
      <c r="AP242" s="131" t="e">
        <v>#N/A</v>
      </c>
      <c r="AQ242" s="131">
        <f>VLOOKUP($E242,Invoicing!$A$1:$H$12,MATCH(TRACKER!$Q$1,Invoicing!$A$1:$H$1,0),FALSE)</f>
        <v>50</v>
      </c>
      <c r="AR242" s="131">
        <v>50</v>
      </c>
      <c r="AS242" s="2">
        <f t="shared" si="78"/>
        <v>2</v>
      </c>
      <c r="AT242" s="2" t="str">
        <f t="shared" si="81"/>
        <v>WEEK</v>
      </c>
      <c r="AU242" s="2" t="str">
        <f t="shared" si="79"/>
        <v>MSIWEEK</v>
      </c>
      <c r="AV242" s="94">
        <v>793.5</v>
      </c>
      <c r="AW242" s="48">
        <f>VLOOKUP(AN242,Invoicing!A:K,11,FALSE)</f>
        <v>20</v>
      </c>
      <c r="AX242" s="48">
        <v>240</v>
      </c>
      <c r="AY242" s="94" t="s">
        <v>498</v>
      </c>
      <c r="AZ242" s="48">
        <f t="shared" si="80"/>
        <v>813.5</v>
      </c>
      <c r="BA242" s="132">
        <f>VLOOKUP(AN242,Invoicing!A:J,10,FALSE)</f>
        <v>70</v>
      </c>
      <c r="BB242" s="132">
        <f>VLOOKUP(AN242,Invoicing!A:L,12,FALSE)</f>
        <v>1</v>
      </c>
      <c r="BC242" s="2" t="s">
        <v>359</v>
      </c>
    </row>
    <row r="243" spans="1:55">
      <c r="A243" s="38" t="s">
        <v>487</v>
      </c>
      <c r="B243" s="3" t="s">
        <v>77</v>
      </c>
      <c r="C243" s="11">
        <v>46061.258333333331</v>
      </c>
      <c r="D243" s="11">
        <v>46061.333333333336</v>
      </c>
      <c r="E243" s="11" t="s">
        <v>57</v>
      </c>
      <c r="F243" s="11" t="s">
        <v>499</v>
      </c>
      <c r="G243" s="11" t="s">
        <v>59</v>
      </c>
      <c r="H243" s="11" t="s">
        <v>287</v>
      </c>
      <c r="I243" s="140" t="s">
        <v>500</v>
      </c>
      <c r="J243" s="3" t="s">
        <v>100</v>
      </c>
      <c r="K243" s="11">
        <v>46063.083333333336</v>
      </c>
      <c r="L243" s="12">
        <v>46063.315972222219</v>
      </c>
      <c r="M243" s="12">
        <v>46066.875</v>
      </c>
      <c r="N243" s="12">
        <v>46063.315972222219</v>
      </c>
      <c r="O243" s="12" t="s">
        <v>63</v>
      </c>
      <c r="P243" s="85" t="s">
        <v>64</v>
      </c>
      <c r="Q243" s="3">
        <v>1</v>
      </c>
      <c r="R243" s="1">
        <f t="shared" si="63"/>
        <v>7</v>
      </c>
      <c r="S243" s="1">
        <f t="shared" si="64"/>
        <v>2</v>
      </c>
      <c r="T243" s="126">
        <f t="shared" si="65"/>
        <v>46063.315972222219</v>
      </c>
      <c r="U243" s="127">
        <f t="shared" si="66"/>
        <v>1.8250000000043656</v>
      </c>
      <c r="V243" s="128">
        <f>Table2[[#This Row],[ATA A OFRECIMIENTO]]*24</f>
        <v>43.800000000104774</v>
      </c>
      <c r="W243" s="1" t="str">
        <f t="shared" si="67"/>
        <v>YES</v>
      </c>
      <c r="X243" s="127">
        <f t="shared" si="68"/>
        <v>3.7916666666642413</v>
      </c>
      <c r="Y243" s="128">
        <f>Table2[[#This Row],[DEL. AVAILABLE A SLOT]]*24</f>
        <v>90.999999999941792</v>
      </c>
      <c r="Z243" s="1" t="str">
        <f t="shared" si="69"/>
        <v>NO</v>
      </c>
      <c r="AA243" s="127">
        <f t="shared" si="70"/>
        <v>5.6166666666686069</v>
      </c>
      <c r="AB243" s="128">
        <f>Table2[[#This Row],[ATA A TIMESLOT]]*24</f>
        <v>134.80000000004657</v>
      </c>
      <c r="AC243" s="127">
        <f t="shared" si="71"/>
        <v>0</v>
      </c>
      <c r="AD243" s="127" t="str">
        <f t="shared" si="72"/>
        <v>SI</v>
      </c>
      <c r="AE243" s="128">
        <f>Table2[[#This Row],[PUNTUALIDAD (H)]]*24</f>
        <v>0</v>
      </c>
      <c r="AF243" s="127">
        <f t="shared" si="73"/>
        <v>2.0576388888875954</v>
      </c>
      <c r="AG243" s="128">
        <f>Table2[[#This Row],[ATA TO UNLOADING]]*24</f>
        <v>49.383333333302289</v>
      </c>
      <c r="AH243" s="128" t="str">
        <f>IF(Table2[[#This Row],[ATA TO UNLOADING 2]]&lt;=48,"YES","NO")</f>
        <v>NO</v>
      </c>
      <c r="AJ243" s="129">
        <f t="shared" si="74"/>
        <v>0.875</v>
      </c>
      <c r="AK243" s="49" t="s">
        <v>36</v>
      </c>
      <c r="AL243" s="2" t="str">
        <f t="shared" si="75"/>
        <v>7/26</v>
      </c>
      <c r="AM243" s="2" t="str">
        <f t="shared" si="76"/>
        <v>CAAU6449024</v>
      </c>
      <c r="AN243" s="130" t="str">
        <f t="shared" si="77"/>
        <v>CTK TRANSPORT</v>
      </c>
      <c r="AO243" s="141">
        <v>623.5</v>
      </c>
      <c r="AP243" s="131" t="e">
        <v>#N/A</v>
      </c>
      <c r="AQ243" s="131">
        <f>VLOOKUP($E243,Invoicing!$A$1:$H$12,MATCH(TRACKER!$Q$1,Invoicing!$A$1:$H$1,0),FALSE)</f>
        <v>50</v>
      </c>
      <c r="AR243" s="131">
        <v>50</v>
      </c>
      <c r="AS243" s="2">
        <f t="shared" si="78"/>
        <v>5</v>
      </c>
      <c r="AT243" s="2" t="str">
        <f t="shared" si="81"/>
        <v>NIGHT</v>
      </c>
      <c r="AU243" s="2" t="str">
        <f t="shared" si="79"/>
        <v>CTK TRANSPORTNIGHT</v>
      </c>
      <c r="AV243" s="94">
        <v>673.5</v>
      </c>
      <c r="AW243" s="48">
        <f>VLOOKUP(AN243,Invoicing!A:K,11,FALSE)</f>
        <v>20</v>
      </c>
      <c r="AY243" s="48"/>
      <c r="AZ243" s="48">
        <f t="shared" si="80"/>
        <v>693.5</v>
      </c>
      <c r="BA243" s="132">
        <f>VLOOKUP(AN243,Invoicing!A:J,10,FALSE)</f>
        <v>70</v>
      </c>
      <c r="BB243" s="132">
        <f>VLOOKUP(AN243,Invoicing!A:L,12,FALSE)</f>
        <v>1</v>
      </c>
      <c r="BC243" s="2" t="s">
        <v>359</v>
      </c>
    </row>
    <row r="244" spans="1:55">
      <c r="A244" s="38" t="s">
        <v>487</v>
      </c>
      <c r="B244" s="3" t="s">
        <v>77</v>
      </c>
      <c r="C244" s="11">
        <v>46061.258333333331</v>
      </c>
      <c r="D244" s="11">
        <v>46061.333333333336</v>
      </c>
      <c r="E244" s="11" t="s">
        <v>71</v>
      </c>
      <c r="F244" s="11" t="s">
        <v>488</v>
      </c>
      <c r="G244" s="11" t="s">
        <v>59</v>
      </c>
      <c r="H244" s="11" t="s">
        <v>80</v>
      </c>
      <c r="I244" s="3" t="s">
        <v>501</v>
      </c>
      <c r="J244" s="3" t="s">
        <v>82</v>
      </c>
      <c r="K244" s="11">
        <v>46063.083333333336</v>
      </c>
      <c r="L244" s="12">
        <v>46063.458333333336</v>
      </c>
      <c r="M244" s="12">
        <v>46063.541666666664</v>
      </c>
      <c r="N244" s="12">
        <v>46063.458333333336</v>
      </c>
      <c r="O244" s="12" t="s">
        <v>63</v>
      </c>
      <c r="P244" s="85" t="s">
        <v>64</v>
      </c>
      <c r="Q244" s="3">
        <v>0</v>
      </c>
      <c r="R244" s="1">
        <f t="shared" si="63"/>
        <v>7</v>
      </c>
      <c r="S244" s="1">
        <f t="shared" si="64"/>
        <v>2</v>
      </c>
      <c r="T244" s="126">
        <f t="shared" si="65"/>
        <v>46063.458333333336</v>
      </c>
      <c r="U244" s="127">
        <f t="shared" si="66"/>
        <v>1.8250000000043656</v>
      </c>
      <c r="V244" s="128">
        <f>Table2[[#This Row],[ATA A OFRECIMIENTO]]*24</f>
        <v>43.800000000104774</v>
      </c>
      <c r="W244" s="1" t="str">
        <f t="shared" si="67"/>
        <v>YES</v>
      </c>
      <c r="X244" s="127">
        <f t="shared" si="68"/>
        <v>0.45833333332848269</v>
      </c>
      <c r="Y244" s="128">
        <f>Table2[[#This Row],[DEL. AVAILABLE A SLOT]]*24</f>
        <v>10.999999999883585</v>
      </c>
      <c r="Z244" s="1" t="str">
        <f t="shared" si="69"/>
        <v>SI</v>
      </c>
      <c r="AA244" s="127">
        <f t="shared" si="70"/>
        <v>2.2833333333328483</v>
      </c>
      <c r="AB244" s="128">
        <f>Table2[[#This Row],[ATA A TIMESLOT]]*24</f>
        <v>54.799999999988358</v>
      </c>
      <c r="AC244" s="127">
        <f t="shared" si="71"/>
        <v>0</v>
      </c>
      <c r="AD244" s="127" t="str">
        <f t="shared" si="72"/>
        <v>SI</v>
      </c>
      <c r="AE244" s="128">
        <f>Table2[[#This Row],[PUNTUALIDAD (H)]]*24</f>
        <v>0</v>
      </c>
      <c r="AF244" s="127">
        <f t="shared" si="73"/>
        <v>2.2000000000043656</v>
      </c>
      <c r="AG244" s="128">
        <f>Table2[[#This Row],[ATA TO UNLOADING]]*24</f>
        <v>52.800000000104774</v>
      </c>
      <c r="AH244" s="128" t="str">
        <f>IF(Table2[[#This Row],[ATA TO UNLOADING 2]]&lt;=48,"YES","NO")</f>
        <v>NO</v>
      </c>
      <c r="AJ244" s="129">
        <f t="shared" si="74"/>
        <v>0.54166666666424135</v>
      </c>
      <c r="AK244" s="2" t="s">
        <v>64</v>
      </c>
      <c r="AL244" s="2" t="str">
        <f t="shared" si="75"/>
        <v>7/26</v>
      </c>
      <c r="AM244" s="2" t="str">
        <f t="shared" si="76"/>
        <v>SUDU5988103</v>
      </c>
      <c r="AN244" s="130" t="str">
        <f t="shared" si="77"/>
        <v>LOGIX</v>
      </c>
      <c r="AO244" s="141">
        <v>573.5</v>
      </c>
      <c r="AP244" s="131" t="e">
        <v>#N/A</v>
      </c>
      <c r="AQ244" s="131">
        <f>VLOOKUP($E244,Invoicing!$A$1:$H$12,MATCH(TRACKER!$Q$1,Invoicing!$A$1:$H$1,0),FALSE)</f>
        <v>50</v>
      </c>
      <c r="AR244" s="131">
        <v>0</v>
      </c>
      <c r="AS244" s="2">
        <f t="shared" si="78"/>
        <v>2</v>
      </c>
      <c r="AT244" s="2" t="str">
        <f t="shared" si="81"/>
        <v>WEEK</v>
      </c>
      <c r="AU244" s="2" t="str">
        <f t="shared" si="79"/>
        <v>LOGIXWEEK</v>
      </c>
      <c r="AV244" s="94">
        <v>573.5</v>
      </c>
      <c r="AW244" s="48">
        <f>VLOOKUP(AN244,Invoicing!A:K,11,FALSE)</f>
        <v>20</v>
      </c>
      <c r="AY244" s="48"/>
      <c r="AZ244" s="48">
        <f t="shared" si="80"/>
        <v>593.5</v>
      </c>
      <c r="BA244" s="132">
        <f>VLOOKUP(AN244,Invoicing!A:J,10,FALSE)</f>
        <v>70</v>
      </c>
      <c r="BB244" s="132">
        <f>VLOOKUP(AN244,Invoicing!A:L,12,FALSE)</f>
        <v>1</v>
      </c>
      <c r="BC244" s="2" t="s">
        <v>359</v>
      </c>
    </row>
    <row r="245" spans="1:55">
      <c r="A245" s="38" t="s">
        <v>487</v>
      </c>
      <c r="B245" s="3" t="s">
        <v>77</v>
      </c>
      <c r="C245" s="11">
        <v>46061.258333333331</v>
      </c>
      <c r="D245" s="11">
        <v>46061.333333333336</v>
      </c>
      <c r="E245" s="11" t="s">
        <v>71</v>
      </c>
      <c r="F245" s="11" t="s">
        <v>488</v>
      </c>
      <c r="G245" s="11" t="s">
        <v>59</v>
      </c>
      <c r="H245" s="11" t="s">
        <v>80</v>
      </c>
      <c r="I245" s="3" t="s">
        <v>502</v>
      </c>
      <c r="J245" s="3" t="s">
        <v>82</v>
      </c>
      <c r="K245" s="11">
        <v>46063.083333333336</v>
      </c>
      <c r="L245" s="12">
        <v>46063.657638888886</v>
      </c>
      <c r="M245" s="12">
        <v>46063.625</v>
      </c>
      <c r="N245" s="12">
        <v>46063.673611111109</v>
      </c>
      <c r="O245" s="12" t="s">
        <v>63</v>
      </c>
      <c r="P245" s="85" t="s">
        <v>64</v>
      </c>
      <c r="Q245" s="3">
        <v>0</v>
      </c>
      <c r="R245" s="1">
        <f t="shared" si="63"/>
        <v>7</v>
      </c>
      <c r="S245" s="1">
        <f t="shared" si="64"/>
        <v>2</v>
      </c>
      <c r="T245" s="126">
        <f t="shared" si="65"/>
        <v>46063.657638888886</v>
      </c>
      <c r="U245" s="127">
        <f t="shared" si="66"/>
        <v>1.8250000000043656</v>
      </c>
      <c r="V245" s="128">
        <f>Table2[[#This Row],[ATA A OFRECIMIENTO]]*24</f>
        <v>43.800000000104774</v>
      </c>
      <c r="W245" s="1" t="str">
        <f t="shared" si="67"/>
        <v>YES</v>
      </c>
      <c r="X245" s="127">
        <f t="shared" si="68"/>
        <v>0.54166666666424135</v>
      </c>
      <c r="Y245" s="128">
        <f>Table2[[#This Row],[DEL. AVAILABLE A SLOT]]*24</f>
        <v>12.999999999941792</v>
      </c>
      <c r="Z245" s="1" t="str">
        <f t="shared" si="69"/>
        <v>SI</v>
      </c>
      <c r="AA245" s="127">
        <f t="shared" si="70"/>
        <v>2.3666666666686069</v>
      </c>
      <c r="AB245" s="128">
        <f>Table2[[#This Row],[ATA A TIMESLOT]]*24</f>
        <v>56.800000000046566</v>
      </c>
      <c r="AC245" s="127">
        <f t="shared" si="71"/>
        <v>3.2638888886140194E-2</v>
      </c>
      <c r="AD245" s="127" t="str">
        <f t="shared" si="72"/>
        <v>NO</v>
      </c>
      <c r="AE245" s="128">
        <f>Table2[[#This Row],[PUNTUALIDAD (H)]]*24</f>
        <v>0.78333333326736465</v>
      </c>
      <c r="AF245" s="127">
        <f t="shared" si="73"/>
        <v>2.4152777777781012</v>
      </c>
      <c r="AG245" s="128">
        <f>Table2[[#This Row],[ATA TO UNLOADING]]*24</f>
        <v>57.966666666674428</v>
      </c>
      <c r="AH245" s="128" t="str">
        <f>IF(Table2[[#This Row],[ATA TO UNLOADING 2]]&lt;=48,"YES","NO")</f>
        <v>NO</v>
      </c>
      <c r="AJ245" s="129">
        <f t="shared" si="74"/>
        <v>0.625</v>
      </c>
      <c r="AK245" s="2" t="s">
        <v>64</v>
      </c>
      <c r="AL245" s="2" t="str">
        <f t="shared" si="75"/>
        <v>7/26</v>
      </c>
      <c r="AM245" s="2" t="str">
        <f t="shared" si="76"/>
        <v>TCNU3812364</v>
      </c>
      <c r="AN245" s="130" t="str">
        <f t="shared" si="77"/>
        <v>LOGIX</v>
      </c>
      <c r="AO245" s="141">
        <v>573.5</v>
      </c>
      <c r="AP245" s="131" t="e">
        <v>#N/A</v>
      </c>
      <c r="AQ245" s="131">
        <f>VLOOKUP($E245,Invoicing!$A$1:$H$12,MATCH(TRACKER!$Q$1,Invoicing!$A$1:$H$1,0),FALSE)</f>
        <v>50</v>
      </c>
      <c r="AR245" s="131">
        <v>0</v>
      </c>
      <c r="AS245" s="2">
        <f t="shared" si="78"/>
        <v>2</v>
      </c>
      <c r="AT245" s="2" t="str">
        <f t="shared" si="81"/>
        <v>WEEK</v>
      </c>
      <c r="AU245" s="2" t="str">
        <f t="shared" si="79"/>
        <v>LOGIXWEEK</v>
      </c>
      <c r="AV245" s="94">
        <v>573.5</v>
      </c>
      <c r="AW245" s="48">
        <f>VLOOKUP(AN245,Invoicing!A:K,11,FALSE)</f>
        <v>20</v>
      </c>
      <c r="AY245" s="48"/>
      <c r="AZ245" s="48">
        <f t="shared" si="80"/>
        <v>593.5</v>
      </c>
      <c r="BA245" s="132">
        <f>VLOOKUP(AN245,Invoicing!A:J,10,FALSE)</f>
        <v>70</v>
      </c>
      <c r="BB245" s="132">
        <f>VLOOKUP(AN245,Invoicing!A:L,12,FALSE)</f>
        <v>1</v>
      </c>
      <c r="BC245" s="2" t="s">
        <v>359</v>
      </c>
    </row>
    <row r="246" spans="1:55">
      <c r="A246" s="38" t="s">
        <v>487</v>
      </c>
      <c r="B246" s="3" t="s">
        <v>77</v>
      </c>
      <c r="C246" s="11">
        <v>46061.258333333331</v>
      </c>
      <c r="D246" s="11">
        <v>46061.333333333336</v>
      </c>
      <c r="E246" s="11" t="s">
        <v>73</v>
      </c>
      <c r="F246" s="11" t="s">
        <v>491</v>
      </c>
      <c r="G246" s="11" t="s">
        <v>59</v>
      </c>
      <c r="H246" s="11" t="s">
        <v>80</v>
      </c>
      <c r="I246" s="3" t="s">
        <v>503</v>
      </c>
      <c r="J246" s="3" t="s">
        <v>82</v>
      </c>
      <c r="K246" s="11">
        <v>46063.083333333336</v>
      </c>
      <c r="L246" s="12">
        <v>46063.824305555558</v>
      </c>
      <c r="M246" s="12">
        <v>46063.708333333336</v>
      </c>
      <c r="N246" s="12">
        <v>46063.84375</v>
      </c>
      <c r="O246" s="12" t="s">
        <v>63</v>
      </c>
      <c r="P246" s="85" t="s">
        <v>64</v>
      </c>
      <c r="Q246" s="3">
        <v>0</v>
      </c>
      <c r="R246" s="1">
        <f t="shared" si="63"/>
        <v>7</v>
      </c>
      <c r="S246" s="1">
        <f t="shared" si="64"/>
        <v>2</v>
      </c>
      <c r="T246" s="126">
        <f t="shared" si="65"/>
        <v>46063.824305555558</v>
      </c>
      <c r="U246" s="127">
        <f t="shared" si="66"/>
        <v>1.8250000000043656</v>
      </c>
      <c r="V246" s="128">
        <f>Table2[[#This Row],[ATA A OFRECIMIENTO]]*24</f>
        <v>43.800000000104774</v>
      </c>
      <c r="W246" s="1" t="str">
        <f t="shared" si="67"/>
        <v>YES</v>
      </c>
      <c r="X246" s="127">
        <f t="shared" si="68"/>
        <v>0.625</v>
      </c>
      <c r="Y246" s="128">
        <f>Table2[[#This Row],[DEL. AVAILABLE A SLOT]]*24</f>
        <v>15</v>
      </c>
      <c r="Z246" s="1" t="str">
        <f t="shared" si="69"/>
        <v>SI</v>
      </c>
      <c r="AA246" s="127">
        <f t="shared" si="70"/>
        <v>2.4500000000043656</v>
      </c>
      <c r="AB246" s="128">
        <f>Table2[[#This Row],[ATA A TIMESLOT]]*24</f>
        <v>58.800000000104774</v>
      </c>
      <c r="AC246" s="127">
        <f t="shared" si="71"/>
        <v>0.11597222222189885</v>
      </c>
      <c r="AD246" s="127" t="str">
        <f t="shared" si="72"/>
        <v>NO</v>
      </c>
      <c r="AE246" s="128">
        <f>Table2[[#This Row],[PUNTUALIDAD (H)]]*24</f>
        <v>2.7833333333255723</v>
      </c>
      <c r="AF246" s="127">
        <f t="shared" si="73"/>
        <v>2.5854166666686069</v>
      </c>
      <c r="AG246" s="128">
        <f>Table2[[#This Row],[ATA TO UNLOADING]]*24</f>
        <v>62.050000000046566</v>
      </c>
      <c r="AH246" s="128" t="str">
        <f>IF(Table2[[#This Row],[ATA TO UNLOADING 2]]&lt;=48,"YES","NO")</f>
        <v>NO</v>
      </c>
      <c r="AI246" s="2" t="s">
        <v>504</v>
      </c>
      <c r="AJ246" s="129">
        <f t="shared" si="74"/>
        <v>0.70833333333575865</v>
      </c>
      <c r="AK246" s="2" t="s">
        <v>64</v>
      </c>
      <c r="AL246" s="2" t="str">
        <f t="shared" si="75"/>
        <v>7/26</v>
      </c>
      <c r="AM246" s="2" t="str">
        <f t="shared" si="76"/>
        <v>MRSU6144697</v>
      </c>
      <c r="AN246" s="130" t="str">
        <f t="shared" si="77"/>
        <v>OTL</v>
      </c>
      <c r="AO246" s="141">
        <v>553.5</v>
      </c>
      <c r="AP246" s="131" t="e">
        <v>#N/A</v>
      </c>
      <c r="AQ246" s="131">
        <f>VLOOKUP($E246,Invoicing!$A$1:$H$12,MATCH(TRACKER!$Q$1,Invoicing!$A$1:$H$1,0),FALSE)</f>
        <v>60</v>
      </c>
      <c r="AR246" s="131">
        <v>0</v>
      </c>
      <c r="AS246" s="2">
        <f t="shared" si="78"/>
        <v>2</v>
      </c>
      <c r="AT246" s="2" t="str">
        <f t="shared" si="81"/>
        <v>WEEK</v>
      </c>
      <c r="AU246" s="2" t="str">
        <f t="shared" si="79"/>
        <v>OTLWEEK</v>
      </c>
      <c r="AV246" s="94">
        <v>553.5</v>
      </c>
      <c r="AW246" s="48">
        <f>VLOOKUP(AN246,Invoicing!A:K,11,FALSE)</f>
        <v>20</v>
      </c>
      <c r="AY246" s="48"/>
      <c r="AZ246" s="48">
        <f t="shared" si="80"/>
        <v>573.5</v>
      </c>
      <c r="BA246" s="132">
        <f>VLOOKUP(AN246,Invoicing!A:J,10,FALSE)</f>
        <v>70</v>
      </c>
      <c r="BB246" s="132">
        <f>VLOOKUP(AN246,Invoicing!A:L,12,FALSE)</f>
        <v>1</v>
      </c>
      <c r="BC246" s="2" t="s">
        <v>359</v>
      </c>
    </row>
    <row r="247" spans="1:55">
      <c r="A247" s="38" t="s">
        <v>505</v>
      </c>
      <c r="B247" s="3" t="s">
        <v>56</v>
      </c>
      <c r="C247" s="11">
        <v>46064.308333333334</v>
      </c>
      <c r="D247" s="11">
        <v>46064.291666666664</v>
      </c>
      <c r="E247" s="11" t="s">
        <v>98</v>
      </c>
      <c r="F247" s="11" t="s">
        <v>506</v>
      </c>
      <c r="G247" s="11" t="s">
        <v>59</v>
      </c>
      <c r="H247" s="11" t="s">
        <v>68</v>
      </c>
      <c r="I247" s="3" t="s">
        <v>507</v>
      </c>
      <c r="J247" s="3" t="s">
        <v>100</v>
      </c>
      <c r="K247" s="11">
        <v>46065.125</v>
      </c>
      <c r="L247" s="12">
        <v>46065.288194444445</v>
      </c>
      <c r="M247" s="12">
        <v>46065.333333333336</v>
      </c>
      <c r="N247" s="12">
        <v>46065.288194444445</v>
      </c>
      <c r="O247" s="12" t="s">
        <v>63</v>
      </c>
      <c r="P247" s="85" t="s">
        <v>64</v>
      </c>
      <c r="Q247" s="3">
        <v>2</v>
      </c>
      <c r="R247" s="1">
        <f t="shared" si="63"/>
        <v>7</v>
      </c>
      <c r="S247" s="1">
        <f t="shared" si="64"/>
        <v>2</v>
      </c>
      <c r="T247" s="126">
        <f t="shared" si="65"/>
        <v>46065.288194444445</v>
      </c>
      <c r="U247" s="127">
        <f t="shared" si="66"/>
        <v>0.81666666666569654</v>
      </c>
      <c r="V247" s="128">
        <f>Table2[[#This Row],[ATA A OFRECIMIENTO]]*24</f>
        <v>19.599999999976717</v>
      </c>
      <c r="W247" s="1" t="str">
        <f t="shared" si="67"/>
        <v>YES</v>
      </c>
      <c r="X247" s="127">
        <f t="shared" si="68"/>
        <v>0.20833333333575865</v>
      </c>
      <c r="Y247" s="128">
        <f>Table2[[#This Row],[DEL. AVAILABLE A SLOT]]*24</f>
        <v>5.0000000000582077</v>
      </c>
      <c r="Z247" s="1" t="str">
        <f t="shared" si="69"/>
        <v>SI</v>
      </c>
      <c r="AA247" s="127">
        <f t="shared" si="70"/>
        <v>1.0250000000014552</v>
      </c>
      <c r="AB247" s="128">
        <f>Table2[[#This Row],[ATA A TIMESLOT]]*24</f>
        <v>24.600000000034925</v>
      </c>
      <c r="AC247" s="127">
        <f t="shared" si="71"/>
        <v>0</v>
      </c>
      <c r="AD247" s="127" t="str">
        <f t="shared" si="72"/>
        <v>SI</v>
      </c>
      <c r="AE247" s="128">
        <f>Table2[[#This Row],[PUNTUALIDAD (H)]]*24</f>
        <v>0</v>
      </c>
      <c r="AF247" s="127">
        <f t="shared" si="73"/>
        <v>0.97986111111094942</v>
      </c>
      <c r="AG247" s="128">
        <f>Table2[[#This Row],[ATA TO UNLOADING]]*24</f>
        <v>23.516666666662786</v>
      </c>
      <c r="AH247" s="128" t="str">
        <f>IF(Table2[[#This Row],[ATA TO UNLOADING 2]]&lt;=48,"YES","NO")</f>
        <v>YES</v>
      </c>
      <c r="AJ247" s="129">
        <f t="shared" si="74"/>
        <v>0.33333333333575865</v>
      </c>
      <c r="AK247" s="2" t="s">
        <v>64</v>
      </c>
      <c r="AL247" s="2" t="str">
        <f t="shared" si="75"/>
        <v>7/26</v>
      </c>
      <c r="AM247" s="2" t="str">
        <f t="shared" si="76"/>
        <v>MRKU5673461</v>
      </c>
      <c r="AN247" s="130" t="str">
        <f t="shared" si="77"/>
        <v>MSI</v>
      </c>
      <c r="AO247" s="141">
        <v>480</v>
      </c>
      <c r="AP247" s="131" t="e">
        <v>#N/A</v>
      </c>
      <c r="AQ247" s="131">
        <f>VLOOKUP($E247,Invoicing!$A$1:$H$12,MATCH(TRACKER!$Q$1,Invoicing!$A$1:$H$1,0),FALSE)</f>
        <v>50</v>
      </c>
      <c r="AR247" s="131">
        <v>100</v>
      </c>
      <c r="AS247" s="2">
        <f t="shared" si="78"/>
        <v>4</v>
      </c>
      <c r="AT247" s="2" t="str">
        <f t="shared" si="81"/>
        <v>WEEK</v>
      </c>
      <c r="AU247" s="2" t="str">
        <f t="shared" si="79"/>
        <v>MSIWEEK</v>
      </c>
      <c r="AV247" s="94">
        <v>580</v>
      </c>
      <c r="AW247" s="48">
        <f>VLOOKUP(AN247,Invoicing!A:K,11,FALSE)</f>
        <v>20</v>
      </c>
      <c r="AY247" s="48"/>
      <c r="AZ247" s="48">
        <f t="shared" si="80"/>
        <v>600</v>
      </c>
      <c r="BA247" s="132">
        <f>VLOOKUP(AN247,Invoicing!A:J,10,FALSE)</f>
        <v>70</v>
      </c>
      <c r="BB247" s="132">
        <f>VLOOKUP(AN247,Invoicing!A:L,12,FALSE)</f>
        <v>1</v>
      </c>
      <c r="BC247" s="2" t="s">
        <v>359</v>
      </c>
    </row>
    <row r="248" spans="1:55">
      <c r="A248" s="38" t="s">
        <v>505</v>
      </c>
      <c r="B248" s="3" t="s">
        <v>56</v>
      </c>
      <c r="C248" s="11">
        <v>46064.308333333334</v>
      </c>
      <c r="D248" s="11">
        <v>46064.291666666664</v>
      </c>
      <c r="E248" s="11" t="s">
        <v>98</v>
      </c>
      <c r="F248" s="11" t="s">
        <v>508</v>
      </c>
      <c r="G248" s="11" t="s">
        <v>59</v>
      </c>
      <c r="H248" s="11" t="s">
        <v>509</v>
      </c>
      <c r="I248" s="3" t="s">
        <v>510</v>
      </c>
      <c r="J248" s="3" t="s">
        <v>100</v>
      </c>
      <c r="K248" s="11">
        <v>46065.125</v>
      </c>
      <c r="L248" s="12">
        <v>46065.331250000003</v>
      </c>
      <c r="M248" s="12">
        <v>46065.354166666664</v>
      </c>
      <c r="N248" s="12">
        <v>46065.341666666667</v>
      </c>
      <c r="O248" s="12" t="s">
        <v>63</v>
      </c>
      <c r="P248" s="85" t="s">
        <v>64</v>
      </c>
      <c r="Q248" s="3">
        <v>0</v>
      </c>
      <c r="R248" s="1">
        <f t="shared" si="63"/>
        <v>7</v>
      </c>
      <c r="S248" s="1">
        <f t="shared" si="64"/>
        <v>2</v>
      </c>
      <c r="T248" s="126">
        <f t="shared" si="65"/>
        <v>46065.331250000003</v>
      </c>
      <c r="U248" s="127">
        <f t="shared" si="66"/>
        <v>0.81666666666569654</v>
      </c>
      <c r="V248" s="128">
        <f>Table2[[#This Row],[ATA A OFRECIMIENTO]]*24</f>
        <v>19.599999999976717</v>
      </c>
      <c r="W248" s="1" t="str">
        <f t="shared" si="67"/>
        <v>YES</v>
      </c>
      <c r="X248" s="127">
        <f t="shared" si="68"/>
        <v>0.22916666666424135</v>
      </c>
      <c r="Y248" s="128">
        <f>Table2[[#This Row],[DEL. AVAILABLE A SLOT]]*24</f>
        <v>5.4999999999417923</v>
      </c>
      <c r="Z248" s="1" t="str">
        <f t="shared" si="69"/>
        <v>SI</v>
      </c>
      <c r="AA248" s="127">
        <f t="shared" si="70"/>
        <v>1.0458333333299379</v>
      </c>
      <c r="AB248" s="128">
        <f>Table2[[#This Row],[ATA A TIMESLOT]]*24</f>
        <v>25.099999999918509</v>
      </c>
      <c r="AC248" s="127">
        <f t="shared" si="71"/>
        <v>0</v>
      </c>
      <c r="AD248" s="127" t="str">
        <f t="shared" si="72"/>
        <v>SI</v>
      </c>
      <c r="AE248" s="128">
        <f>Table2[[#This Row],[PUNTUALIDAD (H)]]*24</f>
        <v>0</v>
      </c>
      <c r="AF248" s="127">
        <f t="shared" si="73"/>
        <v>1.0333333333328483</v>
      </c>
      <c r="AG248" s="128">
        <f>Table2[[#This Row],[ATA TO UNLOADING]]*24</f>
        <v>24.799999999988358</v>
      </c>
      <c r="AH248" s="128" t="str">
        <f>IF(Table2[[#This Row],[ATA TO UNLOADING 2]]&lt;=48,"YES","NO")</f>
        <v>YES</v>
      </c>
      <c r="AJ248" s="129">
        <f t="shared" si="74"/>
        <v>0.35416666666424135</v>
      </c>
      <c r="AK248" s="2" t="s">
        <v>64</v>
      </c>
      <c r="AL248" s="2" t="str">
        <f t="shared" si="75"/>
        <v>7/26</v>
      </c>
      <c r="AM248" s="2" t="str">
        <f t="shared" si="76"/>
        <v>MRKU0252182</v>
      </c>
      <c r="AN248" s="130" t="str">
        <f t="shared" si="77"/>
        <v>MSI</v>
      </c>
      <c r="AO248" s="141">
        <v>480</v>
      </c>
      <c r="AP248" s="131" t="e">
        <v>#N/A</v>
      </c>
      <c r="AQ248" s="131">
        <f>VLOOKUP($E248,Invoicing!$A$1:$H$12,MATCH(TRACKER!$Q$1,Invoicing!$A$1:$H$1,0),FALSE)</f>
        <v>50</v>
      </c>
      <c r="AR248" s="131">
        <v>0</v>
      </c>
      <c r="AS248" s="2">
        <f t="shared" si="78"/>
        <v>4</v>
      </c>
      <c r="AT248" s="2" t="str">
        <f t="shared" si="81"/>
        <v>WEEK</v>
      </c>
      <c r="AU248" s="2" t="str">
        <f t="shared" si="79"/>
        <v>MSIWEEK</v>
      </c>
      <c r="AV248" s="94">
        <v>480</v>
      </c>
      <c r="AW248" s="48">
        <f>VLOOKUP(AN248,Invoicing!A:K,11,FALSE)</f>
        <v>20</v>
      </c>
      <c r="AY248" s="48"/>
      <c r="AZ248" s="48">
        <f t="shared" si="80"/>
        <v>500</v>
      </c>
      <c r="BA248" s="132">
        <f>VLOOKUP(AN248,Invoicing!A:J,10,FALSE)</f>
        <v>70</v>
      </c>
      <c r="BB248" s="132">
        <f>VLOOKUP(AN248,Invoicing!A:L,12,FALSE)</f>
        <v>1</v>
      </c>
      <c r="BC248" s="2" t="s">
        <v>359</v>
      </c>
    </row>
    <row r="249" spans="1:55">
      <c r="A249" s="38" t="s">
        <v>505</v>
      </c>
      <c r="B249" s="3" t="s">
        <v>56</v>
      </c>
      <c r="C249" s="11">
        <v>46064.308333333334</v>
      </c>
      <c r="D249" s="11">
        <v>46064.291666666664</v>
      </c>
      <c r="E249" s="11" t="s">
        <v>57</v>
      </c>
      <c r="F249" s="11" t="s">
        <v>506</v>
      </c>
      <c r="G249" s="11" t="s">
        <v>59</v>
      </c>
      <c r="H249" s="11" t="s">
        <v>68</v>
      </c>
      <c r="I249" s="140" t="s">
        <v>511</v>
      </c>
      <c r="J249" s="3" t="s">
        <v>100</v>
      </c>
      <c r="K249" s="11">
        <v>46065.125</v>
      </c>
      <c r="L249" s="12">
        <v>46065.404166666667</v>
      </c>
      <c r="M249" s="12">
        <v>46065.416666666672</v>
      </c>
      <c r="N249" s="12">
        <v>46065.408333333333</v>
      </c>
      <c r="O249" s="12" t="s">
        <v>63</v>
      </c>
      <c r="P249" s="85" t="s">
        <v>64</v>
      </c>
      <c r="Q249" s="3">
        <v>1</v>
      </c>
      <c r="R249" s="1">
        <f t="shared" si="63"/>
        <v>7</v>
      </c>
      <c r="S249" s="1">
        <f t="shared" si="64"/>
        <v>2</v>
      </c>
      <c r="T249" s="126">
        <f t="shared" si="65"/>
        <v>46065.404166666667</v>
      </c>
      <c r="U249" s="127">
        <f t="shared" si="66"/>
        <v>0.81666666666569654</v>
      </c>
      <c r="V249" s="128">
        <f>Table2[[#This Row],[ATA A OFRECIMIENTO]]*24</f>
        <v>19.599999999976717</v>
      </c>
      <c r="W249" s="1" t="str">
        <f t="shared" si="67"/>
        <v>YES</v>
      </c>
      <c r="X249" s="127">
        <f t="shared" si="68"/>
        <v>0.29166666667151731</v>
      </c>
      <c r="Y249" s="128">
        <f>Table2[[#This Row],[DEL. AVAILABLE A SLOT]]*24</f>
        <v>7.0000000001164153</v>
      </c>
      <c r="Z249" s="1" t="str">
        <f t="shared" si="69"/>
        <v>SI</v>
      </c>
      <c r="AA249" s="127">
        <f t="shared" si="70"/>
        <v>1.1083333333372138</v>
      </c>
      <c r="AB249" s="128">
        <f>Table2[[#This Row],[ATA A TIMESLOT]]*24</f>
        <v>26.600000000093132</v>
      </c>
      <c r="AC249" s="127">
        <f t="shared" si="71"/>
        <v>0</v>
      </c>
      <c r="AD249" s="127" t="str">
        <f t="shared" si="72"/>
        <v>SI</v>
      </c>
      <c r="AE249" s="128">
        <f>Table2[[#This Row],[PUNTUALIDAD (H)]]*24</f>
        <v>0</v>
      </c>
      <c r="AF249" s="127">
        <f t="shared" si="73"/>
        <v>1.0999999999985448</v>
      </c>
      <c r="AG249" s="128">
        <f>Table2[[#This Row],[ATA TO UNLOADING]]*24</f>
        <v>26.399999999965075</v>
      </c>
      <c r="AH249" s="128" t="str">
        <f>IF(Table2[[#This Row],[ATA TO UNLOADING 2]]&lt;=48,"YES","NO")</f>
        <v>YES</v>
      </c>
      <c r="AJ249" s="129">
        <f t="shared" si="74"/>
        <v>0.41666666667151731</v>
      </c>
      <c r="AK249" s="2" t="s">
        <v>64</v>
      </c>
      <c r="AL249" s="2" t="str">
        <f t="shared" si="75"/>
        <v>7/26</v>
      </c>
      <c r="AM249" s="2" t="str">
        <f t="shared" si="76"/>
        <v>MRKU3396959</v>
      </c>
      <c r="AN249" s="130" t="str">
        <f t="shared" si="77"/>
        <v>CTK TRANSPORT</v>
      </c>
      <c r="AO249" s="141">
        <v>550</v>
      </c>
      <c r="AP249" s="131" t="e">
        <v>#N/A</v>
      </c>
      <c r="AQ249" s="131">
        <f>VLOOKUP($E249,Invoicing!$A$1:$H$12,MATCH(TRACKER!$Q$1,Invoicing!$A$1:$H$1,0),FALSE)</f>
        <v>50</v>
      </c>
      <c r="AR249" s="131">
        <v>50</v>
      </c>
      <c r="AS249" s="2">
        <f t="shared" si="78"/>
        <v>4</v>
      </c>
      <c r="AT249" s="2" t="str">
        <f t="shared" si="81"/>
        <v>WEEK</v>
      </c>
      <c r="AU249" s="2" t="str">
        <f t="shared" si="79"/>
        <v>CTK TRANSPORTWEEK</v>
      </c>
      <c r="AV249" s="94">
        <v>600</v>
      </c>
      <c r="AW249" s="48">
        <f>VLOOKUP(AN249,Invoicing!A:K,11,FALSE)</f>
        <v>20</v>
      </c>
      <c r="AY249" s="48"/>
      <c r="AZ249" s="48">
        <f t="shared" si="80"/>
        <v>620</v>
      </c>
      <c r="BA249" s="132">
        <f>VLOOKUP(AN249,Invoicing!A:J,10,FALSE)</f>
        <v>70</v>
      </c>
      <c r="BB249" s="132">
        <f>VLOOKUP(AN249,Invoicing!A:L,12,FALSE)</f>
        <v>1</v>
      </c>
      <c r="BC249" s="2" t="s">
        <v>359</v>
      </c>
    </row>
    <row r="250" spans="1:55">
      <c r="A250" s="38" t="s">
        <v>505</v>
      </c>
      <c r="B250" s="3" t="s">
        <v>56</v>
      </c>
      <c r="C250" s="11">
        <v>46064.308333333334</v>
      </c>
      <c r="D250" s="11">
        <v>46064.291666666664</v>
      </c>
      <c r="E250" s="11" t="s">
        <v>71</v>
      </c>
      <c r="F250" s="11" t="s">
        <v>506</v>
      </c>
      <c r="G250" s="11" t="s">
        <v>59</v>
      </c>
      <c r="H250" s="11" t="s">
        <v>68</v>
      </c>
      <c r="I250" s="3" t="s">
        <v>512</v>
      </c>
      <c r="J250" s="3" t="s">
        <v>100</v>
      </c>
      <c r="K250" s="11">
        <v>46065.125</v>
      </c>
      <c r="L250" s="12">
        <v>46065.538194444445</v>
      </c>
      <c r="M250" s="12">
        <v>46065.500000000007</v>
      </c>
      <c r="N250" s="12">
        <v>46065.548611111109</v>
      </c>
      <c r="O250" s="12" t="s">
        <v>63</v>
      </c>
      <c r="P250" s="85" t="s">
        <v>64</v>
      </c>
      <c r="Q250" s="3">
        <v>1</v>
      </c>
      <c r="R250" s="1">
        <f t="shared" si="63"/>
        <v>7</v>
      </c>
      <c r="S250" s="1">
        <f t="shared" si="64"/>
        <v>2</v>
      </c>
      <c r="T250" s="126">
        <f t="shared" si="65"/>
        <v>46065.538194444445</v>
      </c>
      <c r="U250" s="127">
        <f t="shared" si="66"/>
        <v>0.81666666666569654</v>
      </c>
      <c r="V250" s="128">
        <f>Table2[[#This Row],[ATA A OFRECIMIENTO]]*24</f>
        <v>19.599999999976717</v>
      </c>
      <c r="W250" s="1" t="str">
        <f t="shared" si="67"/>
        <v>YES</v>
      </c>
      <c r="X250" s="127">
        <f t="shared" si="68"/>
        <v>0.37500000000727596</v>
      </c>
      <c r="Y250" s="128">
        <f>Table2[[#This Row],[DEL. AVAILABLE A SLOT]]*24</f>
        <v>9.000000000174623</v>
      </c>
      <c r="Z250" s="1" t="str">
        <f t="shared" si="69"/>
        <v>SI</v>
      </c>
      <c r="AA250" s="127">
        <f t="shared" si="70"/>
        <v>1.1916666666729725</v>
      </c>
      <c r="AB250" s="128">
        <f>Table2[[#This Row],[ATA A TIMESLOT]]*24</f>
        <v>28.60000000015134</v>
      </c>
      <c r="AC250" s="127">
        <f t="shared" si="71"/>
        <v>3.8194444437976927E-2</v>
      </c>
      <c r="AD250" s="127" t="str">
        <f t="shared" si="72"/>
        <v>NO</v>
      </c>
      <c r="AE250" s="128">
        <f>Table2[[#This Row],[PUNTUALIDAD (H)]]*24</f>
        <v>0.91666666651144624</v>
      </c>
      <c r="AF250" s="127">
        <f t="shared" si="73"/>
        <v>1.2402777777751908</v>
      </c>
      <c r="AG250" s="128">
        <f>Table2[[#This Row],[ATA TO UNLOADING]]*24</f>
        <v>29.766666666604578</v>
      </c>
      <c r="AH250" s="128" t="str">
        <f>IF(Table2[[#This Row],[ATA TO UNLOADING 2]]&lt;=48,"YES","NO")</f>
        <v>YES</v>
      </c>
      <c r="AJ250" s="129">
        <f t="shared" si="74"/>
        <v>0.50000000000727596</v>
      </c>
      <c r="AK250" s="2" t="s">
        <v>64</v>
      </c>
      <c r="AL250" s="2" t="str">
        <f t="shared" si="75"/>
        <v>7/26</v>
      </c>
      <c r="AM250" s="2" t="str">
        <f t="shared" si="76"/>
        <v>CAAU9263347</v>
      </c>
      <c r="AN250" s="130" t="str">
        <f t="shared" si="77"/>
        <v>LOGIX</v>
      </c>
      <c r="AO250" s="141">
        <v>550</v>
      </c>
      <c r="AP250" s="131" t="e">
        <v>#N/A</v>
      </c>
      <c r="AQ250" s="131">
        <f>VLOOKUP($E250,Invoicing!$A$1:$H$12,MATCH(TRACKER!$Q$1,Invoicing!$A$1:$H$1,0),FALSE)</f>
        <v>50</v>
      </c>
      <c r="AR250" s="131">
        <v>50</v>
      </c>
      <c r="AS250" s="2">
        <f t="shared" si="78"/>
        <v>4</v>
      </c>
      <c r="AT250" s="2" t="str">
        <f t="shared" si="81"/>
        <v>WEEK</v>
      </c>
      <c r="AU250" s="2" t="str">
        <f t="shared" si="79"/>
        <v>LOGIXWEEK</v>
      </c>
      <c r="AV250" s="94">
        <v>600</v>
      </c>
      <c r="AW250" s="48">
        <f>VLOOKUP(AN250,Invoicing!A:K,11,FALSE)</f>
        <v>20</v>
      </c>
      <c r="AY250" s="48"/>
      <c r="AZ250" s="48">
        <f t="shared" si="80"/>
        <v>620</v>
      </c>
      <c r="BA250" s="132">
        <f>VLOOKUP(AN250,Invoicing!A:J,10,FALSE)</f>
        <v>70</v>
      </c>
      <c r="BB250" s="132">
        <f>VLOOKUP(AN250,Invoicing!A:L,12,FALSE)</f>
        <v>1</v>
      </c>
      <c r="BC250" s="2" t="s">
        <v>359</v>
      </c>
    </row>
    <row r="251" spans="1:55">
      <c r="A251" s="38" t="s">
        <v>505</v>
      </c>
      <c r="B251" s="3" t="s">
        <v>56</v>
      </c>
      <c r="C251" s="11">
        <v>46064.308333333334</v>
      </c>
      <c r="D251" s="11">
        <v>46064.291666666664</v>
      </c>
      <c r="E251" s="11" t="s">
        <v>83</v>
      </c>
      <c r="F251" s="11" t="s">
        <v>506</v>
      </c>
      <c r="G251" s="11" t="s">
        <v>59</v>
      </c>
      <c r="H251" s="11" t="s">
        <v>68</v>
      </c>
      <c r="I251" s="3" t="s">
        <v>513</v>
      </c>
      <c r="J251" s="3" t="s">
        <v>100</v>
      </c>
      <c r="K251" s="11">
        <v>46065.125</v>
      </c>
      <c r="L251" s="12">
        <v>46065.500694444447</v>
      </c>
      <c r="M251" s="12">
        <v>46065.500000000007</v>
      </c>
      <c r="N251" s="12">
        <v>46065.506944444445</v>
      </c>
      <c r="O251" s="12" t="s">
        <v>63</v>
      </c>
      <c r="P251" s="85" t="s">
        <v>64</v>
      </c>
      <c r="Q251" s="3">
        <v>0</v>
      </c>
      <c r="R251" s="1">
        <f t="shared" si="63"/>
        <v>7</v>
      </c>
      <c r="S251" s="1">
        <f t="shared" si="64"/>
        <v>2</v>
      </c>
      <c r="T251" s="126">
        <f t="shared" si="65"/>
        <v>46065.500694444447</v>
      </c>
      <c r="U251" s="127">
        <f t="shared" si="66"/>
        <v>0.81666666666569654</v>
      </c>
      <c r="V251" s="128">
        <f>Table2[[#This Row],[ATA A OFRECIMIENTO]]*24</f>
        <v>19.599999999976717</v>
      </c>
      <c r="W251" s="1" t="str">
        <f t="shared" si="67"/>
        <v>YES</v>
      </c>
      <c r="X251" s="127">
        <f t="shared" si="68"/>
        <v>0.37500000000727596</v>
      </c>
      <c r="Y251" s="128">
        <f>Table2[[#This Row],[DEL. AVAILABLE A SLOT]]*24</f>
        <v>9.000000000174623</v>
      </c>
      <c r="Z251" s="1" t="str">
        <f t="shared" si="69"/>
        <v>SI</v>
      </c>
      <c r="AA251" s="127">
        <f t="shared" si="70"/>
        <v>1.1916666666729725</v>
      </c>
      <c r="AB251" s="128">
        <f>Table2[[#This Row],[ATA A TIMESLOT]]*24</f>
        <v>28.60000000015134</v>
      </c>
      <c r="AC251" s="127">
        <f t="shared" si="71"/>
        <v>6.9444443943211809E-4</v>
      </c>
      <c r="AD251" s="127" t="str">
        <f t="shared" si="72"/>
        <v>SI</v>
      </c>
      <c r="AE251" s="128">
        <f>Table2[[#This Row],[PUNTUALIDAD (H)]]*24</f>
        <v>1.6666666546370834E-2</v>
      </c>
      <c r="AF251" s="127">
        <f t="shared" si="73"/>
        <v>1.1986111111109494</v>
      </c>
      <c r="AG251" s="128">
        <f>Table2[[#This Row],[ATA TO UNLOADING]]*24</f>
        <v>28.766666666662786</v>
      </c>
      <c r="AH251" s="128" t="str">
        <f>IF(Table2[[#This Row],[ATA TO UNLOADING 2]]&lt;=48,"YES","NO")</f>
        <v>YES</v>
      </c>
      <c r="AJ251" s="129">
        <f t="shared" si="74"/>
        <v>0.50000000000727596</v>
      </c>
      <c r="AK251" s="2" t="s">
        <v>64</v>
      </c>
      <c r="AL251" s="2" t="str">
        <f t="shared" si="75"/>
        <v>7/26</v>
      </c>
      <c r="AM251" s="2" t="str">
        <f t="shared" si="76"/>
        <v>HASU4011247</v>
      </c>
      <c r="AN251" s="130" t="str">
        <f t="shared" si="77"/>
        <v>OM TRANSPORT</v>
      </c>
      <c r="AO251" s="141">
        <v>475</v>
      </c>
      <c r="AP251" s="131" t="e">
        <v>#N/A</v>
      </c>
      <c r="AQ251" s="131">
        <f>VLOOKUP($E251,Invoicing!$A$1:$H$12,MATCH(TRACKER!$Q$1,Invoicing!$A$1:$H$1,0),FALSE)</f>
        <v>50</v>
      </c>
      <c r="AR251" s="131">
        <v>0</v>
      </c>
      <c r="AS251" s="2">
        <f t="shared" si="78"/>
        <v>4</v>
      </c>
      <c r="AT251" s="2" t="str">
        <f t="shared" si="81"/>
        <v>WEEK</v>
      </c>
      <c r="AU251" s="2" t="str">
        <f t="shared" si="79"/>
        <v>OM TRANSPORTWEEK</v>
      </c>
      <c r="AV251" s="94">
        <v>475</v>
      </c>
      <c r="AW251" s="48">
        <f>VLOOKUP(AN251,Invoicing!A:K,11,FALSE)</f>
        <v>20</v>
      </c>
      <c r="AY251" s="48"/>
      <c r="AZ251" s="48">
        <f t="shared" si="80"/>
        <v>495</v>
      </c>
      <c r="BA251" s="132">
        <f>VLOOKUP(AN251,Invoicing!A:J,10,FALSE)</f>
        <v>70</v>
      </c>
      <c r="BB251" s="132">
        <f>VLOOKUP(AN251,Invoicing!A:L,12,FALSE)</f>
        <v>1</v>
      </c>
      <c r="BC251" s="2" t="s">
        <v>359</v>
      </c>
    </row>
    <row r="252" spans="1:55">
      <c r="A252" s="38" t="s">
        <v>505</v>
      </c>
      <c r="B252" s="3" t="s">
        <v>56</v>
      </c>
      <c r="C252" s="11">
        <v>46064.308333333334</v>
      </c>
      <c r="D252" s="11">
        <v>46064.291666666664</v>
      </c>
      <c r="E252" s="11" t="s">
        <v>83</v>
      </c>
      <c r="F252" s="11" t="s">
        <v>514</v>
      </c>
      <c r="G252" s="11" t="s">
        <v>59</v>
      </c>
      <c r="H252" s="11" t="s">
        <v>60</v>
      </c>
      <c r="I252" s="3" t="s">
        <v>515</v>
      </c>
      <c r="J252" s="3" t="s">
        <v>82</v>
      </c>
      <c r="K252" s="11">
        <v>46065.125</v>
      </c>
      <c r="L252" s="12">
        <v>46065.684027777781</v>
      </c>
      <c r="M252" s="12">
        <v>46065.666666666664</v>
      </c>
      <c r="N252" s="12">
        <v>46065.701388888891</v>
      </c>
      <c r="O252" s="12" t="s">
        <v>63</v>
      </c>
      <c r="P252" s="85" t="s">
        <v>15</v>
      </c>
      <c r="Q252" s="3">
        <v>0</v>
      </c>
      <c r="R252" s="1">
        <f t="shared" si="63"/>
        <v>7</v>
      </c>
      <c r="S252" s="1">
        <f t="shared" si="64"/>
        <v>2</v>
      </c>
      <c r="T252" s="126">
        <f t="shared" si="65"/>
        <v>46065.684027777781</v>
      </c>
      <c r="U252" s="127">
        <f t="shared" si="66"/>
        <v>0.81666666666569654</v>
      </c>
      <c r="V252" s="128">
        <f>Table2[[#This Row],[ATA A OFRECIMIENTO]]*24</f>
        <v>19.599999999976717</v>
      </c>
      <c r="W252" s="1" t="str">
        <f t="shared" si="67"/>
        <v>YES</v>
      </c>
      <c r="X252" s="127">
        <f t="shared" si="68"/>
        <v>0.54166666666424135</v>
      </c>
      <c r="Y252" s="128">
        <f>Table2[[#This Row],[DEL. AVAILABLE A SLOT]]*24</f>
        <v>12.999999999941792</v>
      </c>
      <c r="Z252" s="1" t="str">
        <f t="shared" si="69"/>
        <v>SI</v>
      </c>
      <c r="AA252" s="127">
        <f t="shared" si="70"/>
        <v>1.3583333333299379</v>
      </c>
      <c r="AB252" s="128">
        <f>Table2[[#This Row],[ATA A TIMESLOT]]*24</f>
        <v>32.599999999918509</v>
      </c>
      <c r="AC252" s="127">
        <f t="shared" si="71"/>
        <v>1.7361111116770189E-2</v>
      </c>
      <c r="AD252" s="127" t="str">
        <f t="shared" si="72"/>
        <v>SI</v>
      </c>
      <c r="AE252" s="128">
        <f>Table2[[#This Row],[PUNTUALIDAD (H)]]*24</f>
        <v>0.41666666680248454</v>
      </c>
      <c r="AF252" s="127">
        <f t="shared" si="73"/>
        <v>1.3930555555562023</v>
      </c>
      <c r="AG252" s="128">
        <f>Table2[[#This Row],[ATA TO UNLOADING]]*24</f>
        <v>33.433333333348855</v>
      </c>
      <c r="AH252" s="128" t="str">
        <f>IF(Table2[[#This Row],[ATA TO UNLOADING 2]]&lt;=48,"YES","NO")</f>
        <v>YES</v>
      </c>
      <c r="AJ252" s="129">
        <f t="shared" si="74"/>
        <v>0.66666666666424135</v>
      </c>
      <c r="AK252" s="2" t="s">
        <v>64</v>
      </c>
      <c r="AL252" s="2" t="str">
        <f t="shared" si="75"/>
        <v>7/26</v>
      </c>
      <c r="AM252" s="2" t="str">
        <f t="shared" si="76"/>
        <v>TCNU2471643</v>
      </c>
      <c r="AN252" s="130" t="str">
        <f t="shared" si="77"/>
        <v>OM TRANSPORT</v>
      </c>
      <c r="AO252" s="141">
        <v>475</v>
      </c>
      <c r="AP252" s="131">
        <v>110</v>
      </c>
      <c r="AQ252" s="131">
        <f>VLOOKUP($E252,Invoicing!$A$1:$H$12,MATCH(TRACKER!$Q$1,Invoicing!$A$1:$H$1,0),FALSE)</f>
        <v>50</v>
      </c>
      <c r="AR252" s="131">
        <v>0</v>
      </c>
      <c r="AS252" s="2">
        <f t="shared" si="78"/>
        <v>4</v>
      </c>
      <c r="AT252" s="2" t="str">
        <f t="shared" si="81"/>
        <v>WEEK</v>
      </c>
      <c r="AU252" s="2" t="str">
        <f t="shared" si="79"/>
        <v>OM TRANSPORTWEEK</v>
      </c>
      <c r="AV252" s="94">
        <v>585</v>
      </c>
      <c r="AW252" s="48">
        <f>VLOOKUP(AN252,Invoicing!A:K,11,FALSE)</f>
        <v>20</v>
      </c>
      <c r="AY252" s="48"/>
      <c r="AZ252" s="48">
        <f t="shared" si="80"/>
        <v>605</v>
      </c>
      <c r="BA252" s="132">
        <f>VLOOKUP(AN252,Invoicing!A:J,10,FALSE)</f>
        <v>70</v>
      </c>
      <c r="BB252" s="132">
        <f>VLOOKUP(AN252,Invoicing!A:L,12,FALSE)</f>
        <v>1</v>
      </c>
      <c r="BC252" s="2" t="s">
        <v>359</v>
      </c>
    </row>
    <row r="253" spans="1:55">
      <c r="A253" s="38" t="s">
        <v>505</v>
      </c>
      <c r="B253" s="3" t="s">
        <v>56</v>
      </c>
      <c r="C253" s="11">
        <v>46064.308333333334</v>
      </c>
      <c r="D253" s="11">
        <v>46064.291666666664</v>
      </c>
      <c r="E253" s="11" t="s">
        <v>73</v>
      </c>
      <c r="F253" s="11" t="s">
        <v>506</v>
      </c>
      <c r="G253" s="11" t="s">
        <v>59</v>
      </c>
      <c r="H253" s="11" t="s">
        <v>68</v>
      </c>
      <c r="I253" s="3" t="s">
        <v>516</v>
      </c>
      <c r="J253" s="3" t="s">
        <v>100</v>
      </c>
      <c r="K253" s="11">
        <v>46065.125</v>
      </c>
      <c r="L253" s="12">
        <v>46065.753472222219</v>
      </c>
      <c r="M253" s="12">
        <v>46065.708333333336</v>
      </c>
      <c r="N253" s="12">
        <v>46065.760416666664</v>
      </c>
      <c r="O253" s="12" t="s">
        <v>63</v>
      </c>
      <c r="P253" s="85" t="s">
        <v>64</v>
      </c>
      <c r="Q253" s="3">
        <v>1</v>
      </c>
      <c r="R253" s="1">
        <f t="shared" si="63"/>
        <v>7</v>
      </c>
      <c r="S253" s="1">
        <f t="shared" si="64"/>
        <v>2</v>
      </c>
      <c r="T253" s="126">
        <f t="shared" si="65"/>
        <v>46065.753472222219</v>
      </c>
      <c r="U253" s="127">
        <f t="shared" si="66"/>
        <v>0.81666666666569654</v>
      </c>
      <c r="V253" s="128">
        <f>Table2[[#This Row],[ATA A OFRECIMIENTO]]*24</f>
        <v>19.599999999976717</v>
      </c>
      <c r="W253" s="1" t="str">
        <f t="shared" si="67"/>
        <v>YES</v>
      </c>
      <c r="X253" s="127">
        <f t="shared" si="68"/>
        <v>0.58333333333575865</v>
      </c>
      <c r="Y253" s="128">
        <f>Table2[[#This Row],[DEL. AVAILABLE A SLOT]]*24</f>
        <v>14.000000000058208</v>
      </c>
      <c r="Z253" s="1" t="str">
        <f t="shared" si="69"/>
        <v>SI</v>
      </c>
      <c r="AA253" s="127">
        <f t="shared" si="70"/>
        <v>1.4000000000014552</v>
      </c>
      <c r="AB253" s="128">
        <f>Table2[[#This Row],[ATA A TIMESLOT]]*24</f>
        <v>33.600000000034925</v>
      </c>
      <c r="AC253" s="127">
        <f t="shared" si="71"/>
        <v>4.5138888883229811E-2</v>
      </c>
      <c r="AD253" s="127" t="str">
        <f t="shared" si="72"/>
        <v>NO</v>
      </c>
      <c r="AE253" s="128">
        <f>Table2[[#This Row],[PUNTUALIDAD (H)]]*24</f>
        <v>1.0833333331975155</v>
      </c>
      <c r="AF253" s="127">
        <f t="shared" si="73"/>
        <v>1.4520833333299379</v>
      </c>
      <c r="AG253" s="128">
        <f>Table2[[#This Row],[ATA TO UNLOADING]]*24</f>
        <v>34.849999999918509</v>
      </c>
      <c r="AH253" s="128" t="str">
        <f>IF(Table2[[#This Row],[ATA TO UNLOADING 2]]&lt;=48,"YES","NO")</f>
        <v>YES</v>
      </c>
      <c r="AJ253" s="129">
        <f t="shared" si="74"/>
        <v>0.70833333333575865</v>
      </c>
      <c r="AK253" s="2" t="s">
        <v>64</v>
      </c>
      <c r="AL253" s="2" t="str">
        <f t="shared" si="75"/>
        <v>7/26</v>
      </c>
      <c r="AM253" s="2" t="str">
        <f t="shared" si="76"/>
        <v>MAEU9258483</v>
      </c>
      <c r="AN253" s="130" t="str">
        <f t="shared" si="77"/>
        <v>OTL</v>
      </c>
      <c r="AO253" s="141">
        <v>530</v>
      </c>
      <c r="AP253" s="131" t="e">
        <v>#N/A</v>
      </c>
      <c r="AQ253" s="131">
        <f>VLOOKUP($E253,Invoicing!$A$1:$H$12,MATCH(TRACKER!$Q$1,Invoicing!$A$1:$H$1,0),FALSE)</f>
        <v>60</v>
      </c>
      <c r="AR253" s="131">
        <v>60</v>
      </c>
      <c r="AS253" s="2">
        <f t="shared" si="78"/>
        <v>4</v>
      </c>
      <c r="AT253" s="2" t="str">
        <f t="shared" si="81"/>
        <v>WEEK</v>
      </c>
      <c r="AU253" s="2" t="str">
        <f t="shared" si="79"/>
        <v>OTLWEEK</v>
      </c>
      <c r="AV253" s="94">
        <v>590</v>
      </c>
      <c r="AW253" s="48">
        <f>VLOOKUP(AN253,Invoicing!A:K,11,FALSE)</f>
        <v>20</v>
      </c>
      <c r="AY253" s="48"/>
      <c r="AZ253" s="48">
        <f t="shared" si="80"/>
        <v>610</v>
      </c>
      <c r="BA253" s="132">
        <f>VLOOKUP(AN253,Invoicing!A:J,10,FALSE)</f>
        <v>70</v>
      </c>
      <c r="BB253" s="132">
        <f>VLOOKUP(AN253,Invoicing!A:L,12,FALSE)</f>
        <v>1</v>
      </c>
      <c r="BC253" s="2" t="s">
        <v>359</v>
      </c>
    </row>
    <row r="254" spans="1:55">
      <c r="A254" s="38" t="s">
        <v>505</v>
      </c>
      <c r="B254" s="3" t="s">
        <v>56</v>
      </c>
      <c r="C254" s="11">
        <v>46064.308333333334</v>
      </c>
      <c r="D254" s="11">
        <v>46064.291666666664</v>
      </c>
      <c r="E254" s="11" t="s">
        <v>71</v>
      </c>
      <c r="F254" s="11" t="s">
        <v>517</v>
      </c>
      <c r="G254" s="11" t="s">
        <v>59</v>
      </c>
      <c r="H254" s="11" t="s">
        <v>60</v>
      </c>
      <c r="I254" s="3" t="s">
        <v>518</v>
      </c>
      <c r="J254" s="3" t="s">
        <v>100</v>
      </c>
      <c r="K254" s="11">
        <v>46065.125</v>
      </c>
      <c r="L254" s="12">
        <v>46065.696527777778</v>
      </c>
      <c r="M254" s="12">
        <v>46065.708333333336</v>
      </c>
      <c r="N254" s="12">
        <v>46065.725694444445</v>
      </c>
      <c r="O254" s="12" t="s">
        <v>63</v>
      </c>
      <c r="P254" s="85" t="s">
        <v>64</v>
      </c>
      <c r="Q254" s="3">
        <v>0</v>
      </c>
      <c r="R254" s="1">
        <f t="shared" si="63"/>
        <v>7</v>
      </c>
      <c r="S254" s="1">
        <f t="shared" si="64"/>
        <v>2</v>
      </c>
      <c r="T254" s="126">
        <f t="shared" si="65"/>
        <v>46065.696527777778</v>
      </c>
      <c r="U254" s="127">
        <f t="shared" si="66"/>
        <v>0.81666666666569654</v>
      </c>
      <c r="V254" s="128">
        <f>Table2[[#This Row],[ATA A OFRECIMIENTO]]*24</f>
        <v>19.599999999976717</v>
      </c>
      <c r="W254" s="1" t="str">
        <f t="shared" si="67"/>
        <v>YES</v>
      </c>
      <c r="X254" s="127">
        <f t="shared" si="68"/>
        <v>0.58333333333575865</v>
      </c>
      <c r="Y254" s="128">
        <f>Table2[[#This Row],[DEL. AVAILABLE A SLOT]]*24</f>
        <v>14.000000000058208</v>
      </c>
      <c r="Z254" s="1" t="str">
        <f t="shared" si="69"/>
        <v>SI</v>
      </c>
      <c r="AA254" s="127">
        <f t="shared" si="70"/>
        <v>1.4000000000014552</v>
      </c>
      <c r="AB254" s="128">
        <f>Table2[[#This Row],[ATA A TIMESLOT]]*24</f>
        <v>33.600000000034925</v>
      </c>
      <c r="AC254" s="127">
        <f t="shared" si="71"/>
        <v>0</v>
      </c>
      <c r="AD254" s="127" t="str">
        <f t="shared" si="72"/>
        <v>SI</v>
      </c>
      <c r="AE254" s="128">
        <f>Table2[[#This Row],[PUNTUALIDAD (H)]]*24</f>
        <v>0</v>
      </c>
      <c r="AF254" s="127">
        <f t="shared" si="73"/>
        <v>1.4173611111109494</v>
      </c>
      <c r="AG254" s="128">
        <f>Table2[[#This Row],[ATA TO UNLOADING]]*24</f>
        <v>34.016666666662786</v>
      </c>
      <c r="AH254" s="128" t="str">
        <f>IF(Table2[[#This Row],[ATA TO UNLOADING 2]]&lt;=48,"YES","NO")</f>
        <v>YES</v>
      </c>
      <c r="AJ254" s="129">
        <f t="shared" si="74"/>
        <v>0.70833333333575865</v>
      </c>
      <c r="AK254" s="2" t="s">
        <v>64</v>
      </c>
      <c r="AL254" s="2" t="str">
        <f t="shared" si="75"/>
        <v>7/26</v>
      </c>
      <c r="AM254" s="2" t="str">
        <f t="shared" si="76"/>
        <v>MSKU4648403</v>
      </c>
      <c r="AN254" s="130" t="str">
        <f t="shared" si="77"/>
        <v>LOGIX</v>
      </c>
      <c r="AO254" s="141">
        <v>550</v>
      </c>
      <c r="AP254" s="131" t="e">
        <v>#N/A</v>
      </c>
      <c r="AQ254" s="131">
        <f>VLOOKUP($E254,Invoicing!$A$1:$H$12,MATCH(TRACKER!$Q$1,Invoicing!$A$1:$H$1,0),FALSE)</f>
        <v>50</v>
      </c>
      <c r="AR254" s="131">
        <v>0</v>
      </c>
      <c r="AS254" s="2">
        <f t="shared" si="78"/>
        <v>4</v>
      </c>
      <c r="AT254" s="2" t="str">
        <f t="shared" si="81"/>
        <v>WEEK</v>
      </c>
      <c r="AU254" s="2" t="str">
        <f t="shared" si="79"/>
        <v>LOGIXWEEK</v>
      </c>
      <c r="AV254" s="94">
        <v>550</v>
      </c>
      <c r="AW254" s="48">
        <f>VLOOKUP(AN254,Invoicing!A:K,11,FALSE)</f>
        <v>20</v>
      </c>
      <c r="AY254" s="48"/>
      <c r="AZ254" s="48">
        <f t="shared" si="80"/>
        <v>570</v>
      </c>
      <c r="BA254" s="132">
        <f>VLOOKUP(AN254,Invoicing!A:J,10,FALSE)</f>
        <v>70</v>
      </c>
      <c r="BB254" s="132">
        <f>VLOOKUP(AN254,Invoicing!A:L,12,FALSE)</f>
        <v>1</v>
      </c>
      <c r="BC254" s="2" t="s">
        <v>359</v>
      </c>
    </row>
    <row r="255" spans="1:55">
      <c r="A255" s="38" t="s">
        <v>505</v>
      </c>
      <c r="B255" s="3" t="s">
        <v>56</v>
      </c>
      <c r="C255" s="11">
        <v>46064.308333333334</v>
      </c>
      <c r="D255" s="11">
        <v>46064.291666666664</v>
      </c>
      <c r="E255" s="11" t="s">
        <v>98</v>
      </c>
      <c r="F255" s="11" t="s">
        <v>517</v>
      </c>
      <c r="G255" s="11" t="s">
        <v>59</v>
      </c>
      <c r="H255" s="11" t="s">
        <v>60</v>
      </c>
      <c r="I255" s="3" t="s">
        <v>519</v>
      </c>
      <c r="J255" s="3" t="s">
        <v>100</v>
      </c>
      <c r="K255" s="11">
        <v>46065.125</v>
      </c>
      <c r="L255" s="12">
        <v>46065.833333333336</v>
      </c>
      <c r="M255" s="12">
        <v>46065.791666666664</v>
      </c>
      <c r="N255" s="12">
        <v>46065.833333333336</v>
      </c>
      <c r="O255" s="12" t="s">
        <v>63</v>
      </c>
      <c r="P255" s="85" t="s">
        <v>64</v>
      </c>
      <c r="Q255" s="3">
        <v>1</v>
      </c>
      <c r="R255" s="1">
        <f t="shared" si="63"/>
        <v>7</v>
      </c>
      <c r="S255" s="1">
        <f t="shared" si="64"/>
        <v>2</v>
      </c>
      <c r="T255" s="126">
        <f t="shared" si="65"/>
        <v>46065.833333333336</v>
      </c>
      <c r="U255" s="127">
        <f t="shared" si="66"/>
        <v>0.81666666666569654</v>
      </c>
      <c r="V255" s="128">
        <f>Table2[[#This Row],[ATA A OFRECIMIENTO]]*24</f>
        <v>19.599999999976717</v>
      </c>
      <c r="W255" s="1" t="str">
        <f t="shared" si="67"/>
        <v>YES</v>
      </c>
      <c r="X255" s="127">
        <f t="shared" si="68"/>
        <v>0.66666666666424135</v>
      </c>
      <c r="Y255" s="128">
        <f>Table2[[#This Row],[DEL. AVAILABLE A SLOT]]*24</f>
        <v>15.999999999941792</v>
      </c>
      <c r="Z255" s="1" t="str">
        <f t="shared" si="69"/>
        <v>SI</v>
      </c>
      <c r="AA255" s="127">
        <f t="shared" si="70"/>
        <v>1.4833333333299379</v>
      </c>
      <c r="AB255" s="128">
        <f>Table2[[#This Row],[ATA A TIMESLOT]]*24</f>
        <v>35.599999999918509</v>
      </c>
      <c r="AC255" s="127">
        <f t="shared" si="71"/>
        <v>4.1666666671517305E-2</v>
      </c>
      <c r="AD255" s="127" t="str">
        <f t="shared" si="72"/>
        <v>NO</v>
      </c>
      <c r="AE255" s="128">
        <f>Table2[[#This Row],[PUNTUALIDAD (H)]]*24</f>
        <v>1.0000000001164153</v>
      </c>
      <c r="AF255" s="127">
        <f t="shared" si="73"/>
        <v>1.5250000000014552</v>
      </c>
      <c r="AG255" s="128">
        <f>Table2[[#This Row],[ATA TO UNLOADING]]*24</f>
        <v>36.600000000034925</v>
      </c>
      <c r="AH255" s="128" t="str">
        <f>IF(Table2[[#This Row],[ATA TO UNLOADING 2]]&lt;=48,"YES","NO")</f>
        <v>YES</v>
      </c>
      <c r="AJ255" s="129">
        <f t="shared" si="74"/>
        <v>0.79166666666424135</v>
      </c>
      <c r="AK255" s="2" t="s">
        <v>64</v>
      </c>
      <c r="AL255" s="2" t="str">
        <f t="shared" si="75"/>
        <v>7/26</v>
      </c>
      <c r="AM255" s="2" t="str">
        <f t="shared" si="76"/>
        <v>MSKU4765185</v>
      </c>
      <c r="AN255" s="130" t="str">
        <f t="shared" si="77"/>
        <v>MSI</v>
      </c>
      <c r="AO255" s="141">
        <v>480</v>
      </c>
      <c r="AP255" s="131" t="e">
        <v>#N/A</v>
      </c>
      <c r="AQ255" s="131">
        <f>VLOOKUP($E255,Invoicing!$A$1:$H$12,MATCH(TRACKER!$Q$1,Invoicing!$A$1:$H$1,0),FALSE)</f>
        <v>50</v>
      </c>
      <c r="AR255" s="131">
        <v>50</v>
      </c>
      <c r="AS255" s="2">
        <f t="shared" si="78"/>
        <v>4</v>
      </c>
      <c r="AT255" s="2" t="str">
        <f t="shared" si="81"/>
        <v>WEEK</v>
      </c>
      <c r="AU255" s="2" t="str">
        <f t="shared" si="79"/>
        <v>MSIWEEK</v>
      </c>
      <c r="AV255" s="94">
        <v>530</v>
      </c>
      <c r="AW255" s="48">
        <f>VLOOKUP(AN255,Invoicing!A:K,11,FALSE)</f>
        <v>20</v>
      </c>
      <c r="AY255" s="48"/>
      <c r="AZ255" s="48">
        <f t="shared" si="80"/>
        <v>550</v>
      </c>
      <c r="BA255" s="132">
        <f>VLOOKUP(AN255,Invoicing!A:J,10,FALSE)</f>
        <v>70</v>
      </c>
      <c r="BB255" s="132">
        <f>VLOOKUP(AN255,Invoicing!A:L,12,FALSE)</f>
        <v>1</v>
      </c>
      <c r="BC255" s="2" t="s">
        <v>359</v>
      </c>
    </row>
    <row r="256" spans="1:55">
      <c r="A256" s="38" t="s">
        <v>505</v>
      </c>
      <c r="B256" s="3" t="s">
        <v>56</v>
      </c>
      <c r="C256" s="11">
        <v>46064.308333333334</v>
      </c>
      <c r="D256" s="11">
        <v>46064.291666666664</v>
      </c>
      <c r="E256" s="11" t="s">
        <v>83</v>
      </c>
      <c r="F256" s="11" t="s">
        <v>520</v>
      </c>
      <c r="G256" s="11" t="s">
        <v>59</v>
      </c>
      <c r="H256" s="11" t="s">
        <v>60</v>
      </c>
      <c r="I256" s="3" t="s">
        <v>521</v>
      </c>
      <c r="J256" s="3" t="s">
        <v>100</v>
      </c>
      <c r="K256" s="11">
        <v>46065.125</v>
      </c>
      <c r="L256" s="12">
        <v>46065.854166666664</v>
      </c>
      <c r="M256" s="12">
        <v>46065.833333333336</v>
      </c>
      <c r="N256" s="12">
        <v>46065.868055555555</v>
      </c>
      <c r="O256" s="12" t="s">
        <v>63</v>
      </c>
      <c r="P256" s="85" t="s">
        <v>64</v>
      </c>
      <c r="Q256" s="3">
        <v>0</v>
      </c>
      <c r="R256" s="1">
        <f t="shared" si="63"/>
        <v>7</v>
      </c>
      <c r="S256" s="1">
        <f t="shared" si="64"/>
        <v>2</v>
      </c>
      <c r="T256" s="126">
        <f t="shared" si="65"/>
        <v>46065.854166666664</v>
      </c>
      <c r="U256" s="127">
        <f t="shared" si="66"/>
        <v>0.81666666666569654</v>
      </c>
      <c r="V256" s="128">
        <f>Table2[[#This Row],[ATA A OFRECIMIENTO]]*24</f>
        <v>19.599999999976717</v>
      </c>
      <c r="W256" s="1" t="str">
        <f t="shared" si="67"/>
        <v>YES</v>
      </c>
      <c r="X256" s="127">
        <f t="shared" si="68"/>
        <v>0.70833333333575865</v>
      </c>
      <c r="Y256" s="128">
        <f>Table2[[#This Row],[DEL. AVAILABLE A SLOT]]*24</f>
        <v>17.000000000058208</v>
      </c>
      <c r="Z256" s="1" t="str">
        <f t="shared" si="69"/>
        <v>SI</v>
      </c>
      <c r="AA256" s="127">
        <f t="shared" si="70"/>
        <v>1.5250000000014552</v>
      </c>
      <c r="AB256" s="128">
        <f>Table2[[#This Row],[ATA A TIMESLOT]]*24</f>
        <v>36.600000000034925</v>
      </c>
      <c r="AC256" s="127">
        <f t="shared" si="71"/>
        <v>2.0833333328482695E-2</v>
      </c>
      <c r="AD256" s="127" t="str">
        <f t="shared" si="72"/>
        <v>SI</v>
      </c>
      <c r="AE256" s="128">
        <f>Table2[[#This Row],[PUNTUALIDAD (H)]]*24</f>
        <v>0.49999999988358468</v>
      </c>
      <c r="AF256" s="127">
        <f t="shared" si="73"/>
        <v>1.5597222222204437</v>
      </c>
      <c r="AG256" s="128">
        <f>Table2[[#This Row],[ATA TO UNLOADING]]*24</f>
        <v>37.433333333290648</v>
      </c>
      <c r="AH256" s="128" t="str">
        <f>IF(Table2[[#This Row],[ATA TO UNLOADING 2]]&lt;=48,"YES","NO")</f>
        <v>YES</v>
      </c>
      <c r="AJ256" s="129">
        <f t="shared" si="74"/>
        <v>0.83333333333575865</v>
      </c>
      <c r="AK256" s="49" t="s">
        <v>36</v>
      </c>
      <c r="AL256" s="2" t="str">
        <f t="shared" si="75"/>
        <v>7/26</v>
      </c>
      <c r="AM256" s="2" t="str">
        <f t="shared" si="76"/>
        <v>MSKU4620936</v>
      </c>
      <c r="AN256" s="130" t="str">
        <f t="shared" si="77"/>
        <v>OM TRANSPORT</v>
      </c>
      <c r="AO256" s="141">
        <v>475</v>
      </c>
      <c r="AP256" s="131" t="e">
        <v>#N/A</v>
      </c>
      <c r="AQ256" s="131">
        <f>VLOOKUP($E256,Invoicing!$A$1:$H$12,MATCH(TRACKER!$Q$1,Invoicing!$A$1:$H$1,0),FALSE)</f>
        <v>50</v>
      </c>
      <c r="AR256" s="131">
        <v>0</v>
      </c>
      <c r="AS256" s="2">
        <f t="shared" si="78"/>
        <v>4</v>
      </c>
      <c r="AT256" s="2" t="str">
        <f t="shared" si="81"/>
        <v>NIGHT</v>
      </c>
      <c r="AU256" s="2" t="str">
        <f t="shared" si="79"/>
        <v>OM TRANSPORTNIGHT</v>
      </c>
      <c r="AV256" s="94">
        <v>475</v>
      </c>
      <c r="AW256" s="48">
        <f>VLOOKUP(AN256,Invoicing!A:K,11,FALSE)</f>
        <v>20</v>
      </c>
      <c r="AY256" s="48"/>
      <c r="AZ256" s="48">
        <f t="shared" si="80"/>
        <v>495</v>
      </c>
      <c r="BA256" s="132">
        <f>VLOOKUP(AN256,Invoicing!A:J,10,FALSE)</f>
        <v>70</v>
      </c>
      <c r="BB256" s="132">
        <f>VLOOKUP(AN256,Invoicing!A:L,12,FALSE)</f>
        <v>1</v>
      </c>
      <c r="BC256" s="2" t="s">
        <v>359</v>
      </c>
    </row>
    <row r="257" spans="1:55">
      <c r="A257" s="38" t="s">
        <v>505</v>
      </c>
      <c r="B257" s="3" t="s">
        <v>56</v>
      </c>
      <c r="C257" s="11">
        <v>46064.308333333334</v>
      </c>
      <c r="D257" s="11">
        <v>46064.291666666664</v>
      </c>
      <c r="E257" s="11" t="s">
        <v>73</v>
      </c>
      <c r="F257" s="11" t="s">
        <v>517</v>
      </c>
      <c r="G257" s="11" t="s">
        <v>59</v>
      </c>
      <c r="H257" s="11" t="s">
        <v>60</v>
      </c>
      <c r="I257" s="3" t="s">
        <v>522</v>
      </c>
      <c r="J257" s="3" t="s">
        <v>100</v>
      </c>
      <c r="K257" s="11">
        <v>46065.125</v>
      </c>
      <c r="L257" s="12">
        <v>46065.892361111109</v>
      </c>
      <c r="M257" s="12">
        <v>46065.833333333336</v>
      </c>
      <c r="N257" s="12">
        <v>46065.892361111109</v>
      </c>
      <c r="O257" s="12" t="s">
        <v>63</v>
      </c>
      <c r="P257" s="85" t="s">
        <v>64</v>
      </c>
      <c r="Q257" s="3">
        <v>2</v>
      </c>
      <c r="R257" s="1">
        <f t="shared" si="63"/>
        <v>7</v>
      </c>
      <c r="S257" s="1">
        <f t="shared" si="64"/>
        <v>2</v>
      </c>
      <c r="T257" s="126">
        <f t="shared" si="65"/>
        <v>46065.892361111109</v>
      </c>
      <c r="U257" s="127">
        <f t="shared" si="66"/>
        <v>0.81666666666569654</v>
      </c>
      <c r="V257" s="128">
        <f>Table2[[#This Row],[ATA A OFRECIMIENTO]]*24</f>
        <v>19.599999999976717</v>
      </c>
      <c r="W257" s="1" t="str">
        <f t="shared" si="67"/>
        <v>YES</v>
      </c>
      <c r="X257" s="127">
        <f t="shared" si="68"/>
        <v>0.70833333333575865</v>
      </c>
      <c r="Y257" s="128">
        <f>Table2[[#This Row],[DEL. AVAILABLE A SLOT]]*24</f>
        <v>17.000000000058208</v>
      </c>
      <c r="Z257" s="1" t="str">
        <f t="shared" si="69"/>
        <v>SI</v>
      </c>
      <c r="AA257" s="127">
        <f t="shared" si="70"/>
        <v>1.5250000000014552</v>
      </c>
      <c r="AB257" s="128">
        <f>Table2[[#This Row],[ATA A TIMESLOT]]*24</f>
        <v>36.600000000034925</v>
      </c>
      <c r="AC257" s="127">
        <f t="shared" si="71"/>
        <v>5.9027777773735579E-2</v>
      </c>
      <c r="AD257" s="127" t="str">
        <f t="shared" si="72"/>
        <v>NO</v>
      </c>
      <c r="AE257" s="128">
        <f>Table2[[#This Row],[PUNTUALIDAD (H)]]*24</f>
        <v>1.4166666665696539</v>
      </c>
      <c r="AF257" s="127">
        <f t="shared" si="73"/>
        <v>1.5840277777751908</v>
      </c>
      <c r="AG257" s="128">
        <f>Table2[[#This Row],[ATA TO UNLOADING]]*24</f>
        <v>38.016666666604578</v>
      </c>
      <c r="AH257" s="128" t="str">
        <f>IF(Table2[[#This Row],[ATA TO UNLOADING 2]]&lt;=48,"YES","NO")</f>
        <v>YES</v>
      </c>
      <c r="AJ257" s="129">
        <f t="shared" si="74"/>
        <v>0.83333333333575865</v>
      </c>
      <c r="AK257" s="49" t="s">
        <v>36</v>
      </c>
      <c r="AL257" s="2" t="str">
        <f t="shared" si="75"/>
        <v>7/26</v>
      </c>
      <c r="AM257" s="2" t="str">
        <f t="shared" si="76"/>
        <v>MSKU4672626</v>
      </c>
      <c r="AN257" s="130" t="str">
        <f t="shared" si="77"/>
        <v>OTL</v>
      </c>
      <c r="AO257" s="141">
        <v>530</v>
      </c>
      <c r="AP257" s="131" t="e">
        <v>#N/A</v>
      </c>
      <c r="AQ257" s="131">
        <f>VLOOKUP($E257,Invoicing!$A$1:$H$12,MATCH(TRACKER!$Q$1,Invoicing!$A$1:$H$1,0),FALSE)</f>
        <v>60</v>
      </c>
      <c r="AR257" s="131">
        <v>120</v>
      </c>
      <c r="AS257" s="2">
        <f t="shared" si="78"/>
        <v>4</v>
      </c>
      <c r="AT257" s="2" t="str">
        <f t="shared" si="81"/>
        <v>NIGHT</v>
      </c>
      <c r="AU257" s="2" t="str">
        <f t="shared" si="79"/>
        <v>OTLNIGHT</v>
      </c>
      <c r="AV257" s="94">
        <v>650</v>
      </c>
      <c r="AW257" s="48">
        <f>VLOOKUP(AN257,Invoicing!A:K,11,FALSE)</f>
        <v>20</v>
      </c>
      <c r="AY257" s="48"/>
      <c r="AZ257" s="48">
        <f t="shared" si="80"/>
        <v>670</v>
      </c>
      <c r="BA257" s="132">
        <f>VLOOKUP(AN257,Invoicing!A:J,10,FALSE)</f>
        <v>70</v>
      </c>
      <c r="BB257" s="132">
        <f>VLOOKUP(AN257,Invoicing!A:L,12,FALSE)</f>
        <v>1</v>
      </c>
      <c r="BC257" s="2" t="s">
        <v>359</v>
      </c>
    </row>
    <row r="258" spans="1:55">
      <c r="A258" s="38" t="s">
        <v>505</v>
      </c>
      <c r="B258" s="3" t="s">
        <v>56</v>
      </c>
      <c r="C258" s="11">
        <v>46064.308333333334</v>
      </c>
      <c r="D258" s="11">
        <v>46064.291666666664</v>
      </c>
      <c r="E258" s="11" t="s">
        <v>83</v>
      </c>
      <c r="F258" s="11" t="s">
        <v>523</v>
      </c>
      <c r="G258" s="11" t="s">
        <v>59</v>
      </c>
      <c r="H258" s="11" t="s">
        <v>144</v>
      </c>
      <c r="I258" s="3" t="s">
        <v>524</v>
      </c>
      <c r="J258" s="3" t="s">
        <v>100</v>
      </c>
      <c r="K258" s="11">
        <v>46065.125</v>
      </c>
      <c r="L258" s="12">
        <v>46066.30972222222</v>
      </c>
      <c r="M258" s="12">
        <v>46066.333333333336</v>
      </c>
      <c r="N258" s="12">
        <v>46066.395833333336</v>
      </c>
      <c r="O258" s="12" t="s">
        <v>63</v>
      </c>
      <c r="P258" s="85" t="s">
        <v>64</v>
      </c>
      <c r="Q258" s="3">
        <v>1</v>
      </c>
      <c r="R258" s="1">
        <f t="shared" ref="R258:R321" si="82">IF(M258="","",WEEKNUM(T258,2))</f>
        <v>7</v>
      </c>
      <c r="S258" s="1">
        <f t="shared" ref="S258:S321" si="83">IF(M258="","",MONTH(T258))</f>
        <v>2</v>
      </c>
      <c r="T258" s="126">
        <f t="shared" ref="T258:T321" si="84">IF(ISBLANK(L258),IF(ISBLANK(N258),"00:00",N258),L258)</f>
        <v>46066.30972222222</v>
      </c>
      <c r="U258" s="127">
        <f t="shared" ref="U258:U321" si="85">(K258-C258)</f>
        <v>0.81666666666569654</v>
      </c>
      <c r="V258" s="128">
        <f>Table2[[#This Row],[ATA A OFRECIMIENTO]]*24</f>
        <v>19.599999999976717</v>
      </c>
      <c r="W258" s="1" t="str">
        <f t="shared" ref="W258:W321" si="86">IF(U258="","",IF(U258&lt;=2,"YES","NO"))</f>
        <v>YES</v>
      </c>
      <c r="X258" s="127">
        <f t="shared" ref="X258:X321" si="87">(M258-K258)</f>
        <v>1.2083333333357587</v>
      </c>
      <c r="Y258" s="128">
        <f>Table2[[#This Row],[DEL. AVAILABLE A SLOT]]*24</f>
        <v>29.000000000058208</v>
      </c>
      <c r="Z258" s="1" t="str">
        <f t="shared" ref="Z258:Z321" si="88">IF(X258="","",IF(X258&lt;=1,"SI","NO"))</f>
        <v>NO</v>
      </c>
      <c r="AA258" s="127">
        <f t="shared" ref="AA258:AA321" si="89">(M258-C258)</f>
        <v>2.0250000000014552</v>
      </c>
      <c r="AB258" s="128">
        <f>Table2[[#This Row],[ATA A TIMESLOT]]*24</f>
        <v>48.600000000034925</v>
      </c>
      <c r="AC258" s="127">
        <f t="shared" ref="AC258:AC321" si="90">IF(T258&lt; M258, TIME(0,0,0), T258-M258)</f>
        <v>0</v>
      </c>
      <c r="AD258" s="127" t="str">
        <f t="shared" ref="AD258:AD321" si="91">IF(AC258&gt;TIME(0,40,0),"NO","SI")</f>
        <v>SI</v>
      </c>
      <c r="AE258" s="128">
        <f>Table2[[#This Row],[PUNTUALIDAD (H)]]*24</f>
        <v>0</v>
      </c>
      <c r="AF258" s="127">
        <f t="shared" ref="AF258:AF321" si="92">(N258-C258)</f>
        <v>2.0875000000014552</v>
      </c>
      <c r="AG258" s="128">
        <f>Table2[[#This Row],[ATA TO UNLOADING]]*24</f>
        <v>50.100000000034925</v>
      </c>
      <c r="AH258" s="128" t="str">
        <f>IF(Table2[[#This Row],[ATA TO UNLOADING 2]]&lt;=48,"YES","NO")</f>
        <v>NO</v>
      </c>
      <c r="AJ258" s="129">
        <f t="shared" ref="AJ258:AJ321" si="93">MOD(M258,1)</f>
        <v>0.33333333333575865</v>
      </c>
      <c r="AK258" s="2" t="s">
        <v>64</v>
      </c>
      <c r="AL258" s="2" t="str">
        <f t="shared" ref="AL258:AL321" si="94">IF(M258="","",_xlfn.ISOWEEKNUM(M258)&amp;"/"&amp;RIGHT(YEAR(M258),2))</f>
        <v>7/26</v>
      </c>
      <c r="AM258" s="2" t="str">
        <f t="shared" ref="AM258:AM321" si="95">I258</f>
        <v>MRKU0341211</v>
      </c>
      <c r="AN258" s="130" t="str">
        <f t="shared" ref="AN258:AN321" si="96">E258</f>
        <v>OM TRANSPORT</v>
      </c>
      <c r="AO258" s="141">
        <v>475</v>
      </c>
      <c r="AP258" s="131" t="e">
        <v>#N/A</v>
      </c>
      <c r="AQ258" s="131">
        <f>VLOOKUP($E258,Invoicing!$A$1:$H$12,MATCH(TRACKER!$Q$1,Invoicing!$A$1:$H$1,0),FALSE)</f>
        <v>50</v>
      </c>
      <c r="AR258" s="131">
        <v>50</v>
      </c>
      <c r="AS258" s="2">
        <f t="shared" ref="AS258:AS321" si="97">WEEKDAY(M258,2)</f>
        <v>5</v>
      </c>
      <c r="AT258" s="2" t="str">
        <f t="shared" si="81"/>
        <v>WEEK</v>
      </c>
      <c r="AU258" s="2" t="str">
        <f t="shared" ref="AU258:AU321" si="98">AN258&amp;AT258</f>
        <v>OM TRANSPORTWEEK</v>
      </c>
      <c r="AV258" s="94">
        <v>547.5</v>
      </c>
      <c r="AW258" s="48">
        <f>VLOOKUP(AN258,Invoicing!A:K,11,FALSE)</f>
        <v>20</v>
      </c>
      <c r="AX258" s="48">
        <v>22.5</v>
      </c>
      <c r="AY258" s="94" t="s">
        <v>525</v>
      </c>
      <c r="AZ258" s="48">
        <f t="shared" ref="AZ258:AZ321" si="99">AV258+AW258</f>
        <v>567.5</v>
      </c>
      <c r="BA258" s="132">
        <f>VLOOKUP(AN258,Invoicing!A:J,10,FALSE)</f>
        <v>70</v>
      </c>
      <c r="BB258" s="132">
        <f>VLOOKUP(AN258,Invoicing!A:L,12,FALSE)</f>
        <v>1</v>
      </c>
      <c r="BC258" s="2" t="s">
        <v>359</v>
      </c>
    </row>
    <row r="259" spans="1:55">
      <c r="A259" s="38" t="s">
        <v>505</v>
      </c>
      <c r="B259" s="3" t="s">
        <v>56</v>
      </c>
      <c r="C259" s="11">
        <v>46064.308333333334</v>
      </c>
      <c r="D259" s="11">
        <v>46064.291666666664</v>
      </c>
      <c r="E259" s="11" t="s">
        <v>98</v>
      </c>
      <c r="F259" s="11" t="s">
        <v>523</v>
      </c>
      <c r="G259" s="11" t="s">
        <v>59</v>
      </c>
      <c r="H259" s="11" t="s">
        <v>144</v>
      </c>
      <c r="I259" s="3" t="s">
        <v>526</v>
      </c>
      <c r="J259" s="3" t="s">
        <v>100</v>
      </c>
      <c r="K259" s="11">
        <v>46065.125</v>
      </c>
      <c r="L259" s="12">
        <v>46065.791666666664</v>
      </c>
      <c r="M259" s="12">
        <v>46066.333333333336</v>
      </c>
      <c r="N259" s="12">
        <v>46065.798611111109</v>
      </c>
      <c r="O259" s="12" t="s">
        <v>63</v>
      </c>
      <c r="P259" s="85" t="s">
        <v>64</v>
      </c>
      <c r="Q259" s="3">
        <v>0</v>
      </c>
      <c r="R259" s="1">
        <f t="shared" si="82"/>
        <v>7</v>
      </c>
      <c r="S259" s="1">
        <f t="shared" si="83"/>
        <v>2</v>
      </c>
      <c r="T259" s="126">
        <f t="shared" si="84"/>
        <v>46065.791666666664</v>
      </c>
      <c r="U259" s="127">
        <f t="shared" si="85"/>
        <v>0.81666666666569654</v>
      </c>
      <c r="V259" s="128">
        <f>Table2[[#This Row],[ATA A OFRECIMIENTO]]*24</f>
        <v>19.599999999976717</v>
      </c>
      <c r="W259" s="1" t="str">
        <f t="shared" si="86"/>
        <v>YES</v>
      </c>
      <c r="X259" s="127">
        <f t="shared" si="87"/>
        <v>1.2083333333357587</v>
      </c>
      <c r="Y259" s="128">
        <f>Table2[[#This Row],[DEL. AVAILABLE A SLOT]]*24</f>
        <v>29.000000000058208</v>
      </c>
      <c r="Z259" s="1" t="str">
        <f t="shared" si="88"/>
        <v>NO</v>
      </c>
      <c r="AA259" s="127">
        <f t="shared" si="89"/>
        <v>2.0250000000014552</v>
      </c>
      <c r="AB259" s="128">
        <f>Table2[[#This Row],[ATA A TIMESLOT]]*24</f>
        <v>48.600000000034925</v>
      </c>
      <c r="AC259" s="127">
        <f t="shared" si="90"/>
        <v>0</v>
      </c>
      <c r="AD259" s="127" t="str">
        <f t="shared" si="91"/>
        <v>SI</v>
      </c>
      <c r="AE259" s="128">
        <f>Table2[[#This Row],[PUNTUALIDAD (H)]]*24</f>
        <v>0</v>
      </c>
      <c r="AF259" s="127">
        <f t="shared" si="92"/>
        <v>1.4902777777751908</v>
      </c>
      <c r="AG259" s="128">
        <f>Table2[[#This Row],[ATA TO UNLOADING]]*24</f>
        <v>35.766666666604578</v>
      </c>
      <c r="AH259" s="128" t="str">
        <f>IF(Table2[[#This Row],[ATA TO UNLOADING 2]]&lt;=48,"YES","NO")</f>
        <v>YES</v>
      </c>
      <c r="AJ259" s="129">
        <f t="shared" si="93"/>
        <v>0.33333333333575865</v>
      </c>
      <c r="AK259" s="2" t="s">
        <v>64</v>
      </c>
      <c r="AL259" s="2" t="str">
        <f t="shared" si="94"/>
        <v>7/26</v>
      </c>
      <c r="AM259" s="2" t="str">
        <f t="shared" si="95"/>
        <v>MSKU5533076</v>
      </c>
      <c r="AN259" s="130" t="str">
        <f t="shared" si="96"/>
        <v>MSI</v>
      </c>
      <c r="AO259" s="141">
        <v>480</v>
      </c>
      <c r="AP259" s="131" t="e">
        <v>#N/A</v>
      </c>
      <c r="AQ259" s="131">
        <f>VLOOKUP($E259,Invoicing!$A$1:$H$12,MATCH(TRACKER!$Q$1,Invoicing!$A$1:$H$1,0),FALSE)</f>
        <v>50</v>
      </c>
      <c r="AR259" s="131">
        <v>0</v>
      </c>
      <c r="AS259" s="2">
        <f t="shared" si="97"/>
        <v>5</v>
      </c>
      <c r="AT259" s="2" t="str">
        <f t="shared" ref="AT259:AT322" si="100">IF(AS259=7,"SUNDAY",IF(AS259=6,"SATURDAY",IF(AK259="NIGHT","NIGHT",IF(AS259&lt;=5,"WEEK","SUNDAY"))))</f>
        <v>WEEK</v>
      </c>
      <c r="AU259" s="2" t="str">
        <f t="shared" si="98"/>
        <v>MSIWEEK</v>
      </c>
      <c r="AV259" s="94">
        <v>480</v>
      </c>
      <c r="AW259" s="48">
        <f>VLOOKUP(AN259,Invoicing!A:K,11,FALSE)</f>
        <v>20</v>
      </c>
      <c r="AY259" s="48"/>
      <c r="AZ259" s="48">
        <f t="shared" si="99"/>
        <v>500</v>
      </c>
      <c r="BA259" s="132">
        <f>VLOOKUP(AN259,Invoicing!A:J,10,FALSE)</f>
        <v>70</v>
      </c>
      <c r="BB259" s="132">
        <f>VLOOKUP(AN259,Invoicing!A:L,12,FALSE)</f>
        <v>1</v>
      </c>
      <c r="BC259" s="2" t="s">
        <v>359</v>
      </c>
    </row>
    <row r="260" spans="1:55">
      <c r="A260" s="38" t="s">
        <v>527</v>
      </c>
      <c r="B260" s="140" t="s">
        <v>528</v>
      </c>
      <c r="C260" s="11">
        <v>46064.480555555558</v>
      </c>
      <c r="D260" s="11">
        <v>46064.458333333336</v>
      </c>
      <c r="E260" s="11" t="s">
        <v>73</v>
      </c>
      <c r="F260" s="11" t="s">
        <v>529</v>
      </c>
      <c r="G260" s="11" t="s">
        <v>59</v>
      </c>
      <c r="H260" s="11" t="s">
        <v>91</v>
      </c>
      <c r="I260" s="3" t="s">
        <v>530</v>
      </c>
      <c r="J260" s="3" t="s">
        <v>100</v>
      </c>
      <c r="K260" s="12">
        <v>46065.333333333336</v>
      </c>
      <c r="L260" s="12">
        <v>46065.361111111109</v>
      </c>
      <c r="M260" s="12">
        <v>46065.333333333336</v>
      </c>
      <c r="N260" s="12">
        <v>46065.368055555555</v>
      </c>
      <c r="O260" s="12" t="s">
        <v>63</v>
      </c>
      <c r="P260" s="85" t="s">
        <v>64</v>
      </c>
      <c r="Q260" s="3">
        <v>1</v>
      </c>
      <c r="R260" s="1">
        <f t="shared" si="82"/>
        <v>7</v>
      </c>
      <c r="S260" s="1">
        <f t="shared" si="83"/>
        <v>2</v>
      </c>
      <c r="T260" s="126">
        <f t="shared" si="84"/>
        <v>46065.361111111109</v>
      </c>
      <c r="U260" s="127">
        <f t="shared" si="85"/>
        <v>0.85277777777810115</v>
      </c>
      <c r="V260" s="128">
        <f>Table2[[#This Row],[ATA A OFRECIMIENTO]]*24</f>
        <v>20.466666666674428</v>
      </c>
      <c r="W260" s="1" t="str">
        <f t="shared" si="86"/>
        <v>YES</v>
      </c>
      <c r="X260" s="127">
        <f t="shared" si="87"/>
        <v>0</v>
      </c>
      <c r="Y260" s="128">
        <f>Table2[[#This Row],[DEL. AVAILABLE A SLOT]]*24</f>
        <v>0</v>
      </c>
      <c r="Z260" s="1" t="str">
        <f t="shared" si="88"/>
        <v>SI</v>
      </c>
      <c r="AA260" s="127">
        <f t="shared" si="89"/>
        <v>0.85277777777810115</v>
      </c>
      <c r="AB260" s="128">
        <f>Table2[[#This Row],[ATA A TIMESLOT]]*24</f>
        <v>20.466666666674428</v>
      </c>
      <c r="AC260" s="127">
        <f t="shared" si="90"/>
        <v>2.7777777773735579E-2</v>
      </c>
      <c r="AD260" s="127" t="str">
        <f t="shared" si="91"/>
        <v>SI</v>
      </c>
      <c r="AE260" s="128">
        <f>Table2[[#This Row],[PUNTUALIDAD (H)]]*24</f>
        <v>0.6666666665696539</v>
      </c>
      <c r="AF260" s="127">
        <f t="shared" si="92"/>
        <v>0.88749999999708962</v>
      </c>
      <c r="AG260" s="128">
        <f>Table2[[#This Row],[ATA TO UNLOADING]]*24</f>
        <v>21.299999999930151</v>
      </c>
      <c r="AH260" s="128" t="str">
        <f>IF(Table2[[#This Row],[ATA TO UNLOADING 2]]&lt;=48,"YES","NO")</f>
        <v>YES</v>
      </c>
      <c r="AJ260" s="129">
        <f t="shared" si="93"/>
        <v>0.33333333333575865</v>
      </c>
      <c r="AK260" s="2" t="s">
        <v>64</v>
      </c>
      <c r="AL260" s="2" t="str">
        <f t="shared" si="94"/>
        <v>7/26</v>
      </c>
      <c r="AM260" s="2" t="str">
        <f t="shared" si="95"/>
        <v>MRKU8373792</v>
      </c>
      <c r="AN260" s="130" t="str">
        <f t="shared" si="96"/>
        <v>OTL</v>
      </c>
      <c r="AO260" s="141">
        <v>553.5</v>
      </c>
      <c r="AP260" s="131" t="e">
        <v>#N/A</v>
      </c>
      <c r="AQ260" s="131">
        <f>VLOOKUP($E260,Invoicing!$A$1:$H$12,MATCH(TRACKER!$Q$1,Invoicing!$A$1:$H$1,0),FALSE)</f>
        <v>60</v>
      </c>
      <c r="AR260" s="131">
        <v>60</v>
      </c>
      <c r="AS260" s="2">
        <f t="shared" si="97"/>
        <v>4</v>
      </c>
      <c r="AT260" s="2" t="str">
        <f t="shared" si="100"/>
        <v>WEEK</v>
      </c>
      <c r="AU260" s="2" t="str">
        <f t="shared" si="98"/>
        <v>OTLWEEK</v>
      </c>
      <c r="AV260" s="94">
        <v>613.5</v>
      </c>
      <c r="AW260" s="48">
        <f>VLOOKUP(AN260,Invoicing!A:K,11,FALSE)</f>
        <v>20</v>
      </c>
      <c r="AY260" s="48"/>
      <c r="AZ260" s="48">
        <f t="shared" si="99"/>
        <v>633.5</v>
      </c>
      <c r="BA260" s="132">
        <f>VLOOKUP(AN260,Invoicing!A:J,10,FALSE)</f>
        <v>70</v>
      </c>
      <c r="BB260" s="132">
        <f>VLOOKUP(AN260,Invoicing!A:L,12,FALSE)</f>
        <v>1</v>
      </c>
      <c r="BC260" s="2" t="s">
        <v>359</v>
      </c>
    </row>
    <row r="261" spans="1:55">
      <c r="A261" s="38" t="s">
        <v>527</v>
      </c>
      <c r="B261" s="140" t="s">
        <v>528</v>
      </c>
      <c r="C261" s="11">
        <v>46064.480555555558</v>
      </c>
      <c r="D261" s="11">
        <v>46064.458333333336</v>
      </c>
      <c r="E261" s="11" t="s">
        <v>98</v>
      </c>
      <c r="F261" s="11" t="s">
        <v>531</v>
      </c>
      <c r="G261" s="11" t="s">
        <v>59</v>
      </c>
      <c r="H261" s="11" t="s">
        <v>91</v>
      </c>
      <c r="I261" s="3" t="s">
        <v>532</v>
      </c>
      <c r="J261" s="3" t="s">
        <v>82</v>
      </c>
      <c r="K261" s="11">
        <v>46065.458333333336</v>
      </c>
      <c r="L261" s="12">
        <v>46065.454861111109</v>
      </c>
      <c r="M261" s="12">
        <v>46065.458333333336</v>
      </c>
      <c r="N261" s="12">
        <v>46065.506944444445</v>
      </c>
      <c r="O261" s="12" t="s">
        <v>63</v>
      </c>
      <c r="P261" s="85" t="s">
        <v>15</v>
      </c>
      <c r="Q261" s="3">
        <v>0</v>
      </c>
      <c r="R261" s="1">
        <f t="shared" si="82"/>
        <v>7</v>
      </c>
      <c r="S261" s="1">
        <f t="shared" si="83"/>
        <v>2</v>
      </c>
      <c r="T261" s="126">
        <f t="shared" si="84"/>
        <v>46065.454861111109</v>
      </c>
      <c r="U261" s="127">
        <f t="shared" si="85"/>
        <v>0.97777777777810115</v>
      </c>
      <c r="V261" s="128">
        <f>Table2[[#This Row],[ATA A OFRECIMIENTO]]*24</f>
        <v>23.466666666674428</v>
      </c>
      <c r="W261" s="1" t="str">
        <f t="shared" si="86"/>
        <v>YES</v>
      </c>
      <c r="X261" s="127">
        <f t="shared" si="87"/>
        <v>0</v>
      </c>
      <c r="Y261" s="128">
        <f>Table2[[#This Row],[DEL. AVAILABLE A SLOT]]*24</f>
        <v>0</v>
      </c>
      <c r="Z261" s="1" t="str">
        <f t="shared" si="88"/>
        <v>SI</v>
      </c>
      <c r="AA261" s="127">
        <f t="shared" si="89"/>
        <v>0.97777777777810115</v>
      </c>
      <c r="AB261" s="128">
        <f>Table2[[#This Row],[ATA A TIMESLOT]]*24</f>
        <v>23.466666666674428</v>
      </c>
      <c r="AC261" s="127">
        <f t="shared" si="90"/>
        <v>0</v>
      </c>
      <c r="AD261" s="127" t="str">
        <f t="shared" si="91"/>
        <v>SI</v>
      </c>
      <c r="AE261" s="128">
        <f>Table2[[#This Row],[PUNTUALIDAD (H)]]*24</f>
        <v>0</v>
      </c>
      <c r="AF261" s="127">
        <f t="shared" si="92"/>
        <v>1.0263888888875954</v>
      </c>
      <c r="AG261" s="128">
        <f>Table2[[#This Row],[ATA TO UNLOADING]]*24</f>
        <v>24.633333333302289</v>
      </c>
      <c r="AH261" s="128" t="str">
        <f>IF(Table2[[#This Row],[ATA TO UNLOADING 2]]&lt;=48,"YES","NO")</f>
        <v>YES</v>
      </c>
      <c r="AJ261" s="129">
        <f t="shared" si="93"/>
        <v>0.45833333333575865</v>
      </c>
      <c r="AK261" s="2" t="s">
        <v>64</v>
      </c>
      <c r="AL261" s="2" t="str">
        <f t="shared" si="94"/>
        <v>7/26</v>
      </c>
      <c r="AM261" s="2" t="str">
        <f t="shared" si="95"/>
        <v>MRSU8042420</v>
      </c>
      <c r="AN261" s="130" t="str">
        <f t="shared" si="96"/>
        <v>MSI</v>
      </c>
      <c r="AO261" s="141">
        <v>503.5</v>
      </c>
      <c r="AP261" s="131">
        <v>120</v>
      </c>
      <c r="AQ261" s="131">
        <f>VLOOKUP($E261,Invoicing!$A$1:$H$12,MATCH(TRACKER!$Q$1,Invoicing!$A$1:$H$1,0),FALSE)</f>
        <v>50</v>
      </c>
      <c r="AR261" s="131">
        <v>0</v>
      </c>
      <c r="AS261" s="2">
        <f t="shared" si="97"/>
        <v>4</v>
      </c>
      <c r="AT261" s="2" t="str">
        <f t="shared" si="100"/>
        <v>WEEK</v>
      </c>
      <c r="AU261" s="2" t="str">
        <f t="shared" si="98"/>
        <v>MSIWEEK</v>
      </c>
      <c r="AV261" s="94">
        <v>758.5</v>
      </c>
      <c r="AW261" s="48">
        <f>VLOOKUP(AN261,Invoicing!A:K,11,FALSE)</f>
        <v>20</v>
      </c>
      <c r="AX261" s="48">
        <v>135</v>
      </c>
      <c r="AY261" s="94" t="s">
        <v>533</v>
      </c>
      <c r="AZ261" s="48">
        <f t="shared" si="99"/>
        <v>778.5</v>
      </c>
      <c r="BA261" s="132">
        <f>VLOOKUP(AN261,Invoicing!A:J,10,FALSE)</f>
        <v>70</v>
      </c>
      <c r="BB261" s="132">
        <f>VLOOKUP(AN261,Invoicing!A:L,12,FALSE)</f>
        <v>1</v>
      </c>
      <c r="BC261" s="2" t="s">
        <v>359</v>
      </c>
    </row>
    <row r="262" spans="1:55">
      <c r="A262" s="38" t="s">
        <v>527</v>
      </c>
      <c r="B262" s="140" t="s">
        <v>528</v>
      </c>
      <c r="C262" s="11">
        <v>46064.480555555558</v>
      </c>
      <c r="D262" s="11">
        <v>46064.458333333336</v>
      </c>
      <c r="E262" s="11" t="s">
        <v>98</v>
      </c>
      <c r="F262" s="11" t="s">
        <v>531</v>
      </c>
      <c r="G262" s="11" t="s">
        <v>59</v>
      </c>
      <c r="H262" s="11" t="s">
        <v>91</v>
      </c>
      <c r="I262" s="3" t="s">
        <v>534</v>
      </c>
      <c r="J262" s="3" t="s">
        <v>82</v>
      </c>
      <c r="K262" s="11">
        <v>46065.458333333336</v>
      </c>
      <c r="L262" s="12">
        <v>46065.504861111112</v>
      </c>
      <c r="M262" s="12">
        <v>46065.541666666664</v>
      </c>
      <c r="N262" s="12">
        <v>46065.583333333336</v>
      </c>
      <c r="O262" s="12" t="s">
        <v>63</v>
      </c>
      <c r="P262" s="85" t="s">
        <v>15</v>
      </c>
      <c r="Q262" s="3">
        <v>0</v>
      </c>
      <c r="R262" s="1">
        <f t="shared" si="82"/>
        <v>7</v>
      </c>
      <c r="S262" s="1">
        <f t="shared" si="83"/>
        <v>2</v>
      </c>
      <c r="T262" s="126">
        <f t="shared" si="84"/>
        <v>46065.504861111112</v>
      </c>
      <c r="U262" s="127">
        <f t="shared" si="85"/>
        <v>0.97777777777810115</v>
      </c>
      <c r="V262" s="128">
        <f>Table2[[#This Row],[ATA A OFRECIMIENTO]]*24</f>
        <v>23.466666666674428</v>
      </c>
      <c r="W262" s="1" t="str">
        <f t="shared" si="86"/>
        <v>YES</v>
      </c>
      <c r="X262" s="127">
        <f t="shared" si="87"/>
        <v>8.3333333328482695E-2</v>
      </c>
      <c r="Y262" s="128">
        <f>Table2[[#This Row],[DEL. AVAILABLE A SLOT]]*24</f>
        <v>1.9999999998835847</v>
      </c>
      <c r="Z262" s="1" t="str">
        <f t="shared" si="88"/>
        <v>SI</v>
      </c>
      <c r="AA262" s="127">
        <f t="shared" si="89"/>
        <v>1.0611111111065838</v>
      </c>
      <c r="AB262" s="128">
        <f>Table2[[#This Row],[ATA A TIMESLOT]]*24</f>
        <v>25.466666666558012</v>
      </c>
      <c r="AC262" s="127">
        <f t="shared" si="90"/>
        <v>0</v>
      </c>
      <c r="AD262" s="127" t="str">
        <f t="shared" si="91"/>
        <v>SI</v>
      </c>
      <c r="AE262" s="128">
        <f>Table2[[#This Row],[PUNTUALIDAD (H)]]*24</f>
        <v>0</v>
      </c>
      <c r="AF262" s="127">
        <f t="shared" si="92"/>
        <v>1.1027777777781012</v>
      </c>
      <c r="AG262" s="128">
        <f>Table2[[#This Row],[ATA TO UNLOADING]]*24</f>
        <v>26.466666666674428</v>
      </c>
      <c r="AH262" s="128" t="str">
        <f>IF(Table2[[#This Row],[ATA TO UNLOADING 2]]&lt;=48,"YES","NO")</f>
        <v>YES</v>
      </c>
      <c r="AJ262" s="129">
        <f t="shared" si="93"/>
        <v>0.54166666666424135</v>
      </c>
      <c r="AK262" s="2" t="s">
        <v>64</v>
      </c>
      <c r="AL262" s="2" t="str">
        <f t="shared" si="94"/>
        <v>7/26</v>
      </c>
      <c r="AM262" s="2" t="str">
        <f t="shared" si="95"/>
        <v>MRSU7144120</v>
      </c>
      <c r="AN262" s="130" t="str">
        <f t="shared" si="96"/>
        <v>MSI</v>
      </c>
      <c r="AO262" s="141">
        <v>503.5</v>
      </c>
      <c r="AP262" s="131">
        <v>120</v>
      </c>
      <c r="AQ262" s="131">
        <f>VLOOKUP($E262,Invoicing!$A$1:$H$12,MATCH(TRACKER!$Q$1,Invoicing!$A$1:$H$1,0),FALSE)</f>
        <v>50</v>
      </c>
      <c r="AR262" s="131">
        <v>0</v>
      </c>
      <c r="AS262" s="2">
        <f t="shared" si="97"/>
        <v>4</v>
      </c>
      <c r="AT262" s="2" t="str">
        <f t="shared" si="100"/>
        <v>WEEK</v>
      </c>
      <c r="AU262" s="2" t="str">
        <f t="shared" si="98"/>
        <v>MSIWEEK</v>
      </c>
      <c r="AV262" s="94">
        <v>668.5</v>
      </c>
      <c r="AW262" s="48">
        <f>VLOOKUP(AN262,Invoicing!A:K,11,FALSE)</f>
        <v>20</v>
      </c>
      <c r="AX262" s="48">
        <v>45</v>
      </c>
      <c r="AY262" s="94" t="s">
        <v>535</v>
      </c>
      <c r="AZ262" s="48">
        <f t="shared" si="99"/>
        <v>688.5</v>
      </c>
      <c r="BA262" s="132">
        <f>VLOOKUP(AN262,Invoicing!A:J,10,FALSE)</f>
        <v>70</v>
      </c>
      <c r="BB262" s="132">
        <f>VLOOKUP(AN262,Invoicing!A:L,12,FALSE)</f>
        <v>1</v>
      </c>
      <c r="BC262" s="2" t="s">
        <v>359</v>
      </c>
    </row>
    <row r="263" spans="1:55">
      <c r="A263" s="38" t="s">
        <v>527</v>
      </c>
      <c r="B263" s="140" t="s">
        <v>528</v>
      </c>
      <c r="C263" s="11">
        <v>46064.480555555558</v>
      </c>
      <c r="D263" s="11">
        <v>46064.458333333336</v>
      </c>
      <c r="E263" s="11" t="s">
        <v>73</v>
      </c>
      <c r="F263" s="11" t="s">
        <v>529</v>
      </c>
      <c r="G263" s="11" t="s">
        <v>59</v>
      </c>
      <c r="H263" s="11" t="s">
        <v>91</v>
      </c>
      <c r="I263" s="3" t="s">
        <v>536</v>
      </c>
      <c r="J263" s="3" t="s">
        <v>100</v>
      </c>
      <c r="K263" s="11">
        <v>46065.458333333336</v>
      </c>
      <c r="L263" s="12">
        <v>46065.635416666664</v>
      </c>
      <c r="M263" s="12">
        <v>46065.583333333336</v>
      </c>
      <c r="N263" s="12">
        <v>46065.642361111109</v>
      </c>
      <c r="O263" s="12" t="s">
        <v>63</v>
      </c>
      <c r="P263" s="85" t="s">
        <v>64</v>
      </c>
      <c r="Q263" s="3">
        <v>0</v>
      </c>
      <c r="R263" s="1">
        <f t="shared" si="82"/>
        <v>7</v>
      </c>
      <c r="S263" s="1">
        <f t="shared" si="83"/>
        <v>2</v>
      </c>
      <c r="T263" s="126">
        <f t="shared" si="84"/>
        <v>46065.635416666664</v>
      </c>
      <c r="U263" s="127">
        <f t="shared" si="85"/>
        <v>0.97777777777810115</v>
      </c>
      <c r="V263" s="128">
        <f>Table2[[#This Row],[ATA A OFRECIMIENTO]]*24</f>
        <v>23.466666666674428</v>
      </c>
      <c r="W263" s="1" t="str">
        <f t="shared" si="86"/>
        <v>YES</v>
      </c>
      <c r="X263" s="127">
        <f t="shared" si="87"/>
        <v>0.125</v>
      </c>
      <c r="Y263" s="128">
        <f>Table2[[#This Row],[DEL. AVAILABLE A SLOT]]*24</f>
        <v>3</v>
      </c>
      <c r="Z263" s="1" t="str">
        <f t="shared" si="88"/>
        <v>SI</v>
      </c>
      <c r="AA263" s="127">
        <f t="shared" si="89"/>
        <v>1.1027777777781012</v>
      </c>
      <c r="AB263" s="128">
        <f>Table2[[#This Row],[ATA A TIMESLOT]]*24</f>
        <v>26.466666666674428</v>
      </c>
      <c r="AC263" s="127">
        <f t="shared" si="90"/>
        <v>5.2083333328482695E-2</v>
      </c>
      <c r="AD263" s="127" t="str">
        <f t="shared" si="91"/>
        <v>NO</v>
      </c>
      <c r="AE263" s="128">
        <f>Table2[[#This Row],[PUNTUALIDAD (H)]]*24</f>
        <v>1.2499999998835847</v>
      </c>
      <c r="AF263" s="127">
        <f t="shared" si="92"/>
        <v>1.1618055555518367</v>
      </c>
      <c r="AG263" s="128">
        <f>Table2[[#This Row],[ATA TO UNLOADING]]*24</f>
        <v>27.883333333244082</v>
      </c>
      <c r="AH263" s="128" t="str">
        <f>IF(Table2[[#This Row],[ATA TO UNLOADING 2]]&lt;=48,"YES","NO")</f>
        <v>YES</v>
      </c>
      <c r="AJ263" s="129">
        <f t="shared" si="93"/>
        <v>0.58333333333575865</v>
      </c>
      <c r="AK263" s="2" t="s">
        <v>64</v>
      </c>
      <c r="AL263" s="2" t="str">
        <f t="shared" si="94"/>
        <v>7/26</v>
      </c>
      <c r="AM263" s="2" t="str">
        <f t="shared" si="95"/>
        <v>MRKU2144649</v>
      </c>
      <c r="AN263" s="130" t="str">
        <f t="shared" si="96"/>
        <v>OTL</v>
      </c>
      <c r="AO263" s="141">
        <v>553.5</v>
      </c>
      <c r="AP263" s="131" t="e">
        <v>#N/A</v>
      </c>
      <c r="AQ263" s="131">
        <f>VLOOKUP($E263,Invoicing!$A$1:$H$12,MATCH(TRACKER!$Q$1,Invoicing!$A$1:$H$1,0),FALSE)</f>
        <v>60</v>
      </c>
      <c r="AR263" s="131">
        <v>0</v>
      </c>
      <c r="AS263" s="2">
        <f t="shared" si="97"/>
        <v>4</v>
      </c>
      <c r="AT263" s="2" t="str">
        <f t="shared" si="100"/>
        <v>WEEK</v>
      </c>
      <c r="AU263" s="2" t="str">
        <f t="shared" si="98"/>
        <v>OTLWEEK</v>
      </c>
      <c r="AV263" s="94">
        <v>553.5</v>
      </c>
      <c r="AW263" s="48">
        <f>VLOOKUP(AN263,Invoicing!A:K,11,FALSE)</f>
        <v>20</v>
      </c>
      <c r="AY263" s="48"/>
      <c r="AZ263" s="48">
        <f t="shared" si="99"/>
        <v>573.5</v>
      </c>
      <c r="BA263" s="132">
        <f>VLOOKUP(AN263,Invoicing!A:J,10,FALSE)</f>
        <v>70</v>
      </c>
      <c r="BB263" s="132">
        <f>VLOOKUP(AN263,Invoicing!A:L,12,FALSE)</f>
        <v>1</v>
      </c>
      <c r="BC263" s="2" t="s">
        <v>359</v>
      </c>
    </row>
    <row r="264" spans="1:55">
      <c r="A264" s="38" t="s">
        <v>527</v>
      </c>
      <c r="B264" s="140" t="s">
        <v>528</v>
      </c>
      <c r="C264" s="11">
        <v>46064.480555555558</v>
      </c>
      <c r="D264" s="11">
        <v>46064.458333333336</v>
      </c>
      <c r="E264" s="11" t="s">
        <v>73</v>
      </c>
      <c r="F264" s="11" t="s">
        <v>537</v>
      </c>
      <c r="G264" s="11" t="s">
        <v>133</v>
      </c>
      <c r="H264" s="11" t="s">
        <v>91</v>
      </c>
      <c r="I264" s="3" t="s">
        <v>538</v>
      </c>
      <c r="J264" s="3" t="s">
        <v>100</v>
      </c>
      <c r="K264" s="11">
        <v>46065.458333333336</v>
      </c>
      <c r="L264" s="12">
        <v>46065.604166666664</v>
      </c>
      <c r="M264" s="12">
        <v>46065.583333333336</v>
      </c>
      <c r="N264" s="12">
        <v>46065.611111111109</v>
      </c>
      <c r="O264" s="12" t="s">
        <v>63</v>
      </c>
      <c r="P264" s="85" t="s">
        <v>64</v>
      </c>
      <c r="Q264" s="3">
        <v>1</v>
      </c>
      <c r="R264" s="1">
        <f t="shared" si="82"/>
        <v>7</v>
      </c>
      <c r="S264" s="1">
        <f t="shared" si="83"/>
        <v>2</v>
      </c>
      <c r="T264" s="126">
        <f t="shared" si="84"/>
        <v>46065.604166666664</v>
      </c>
      <c r="U264" s="127">
        <f t="shared" si="85"/>
        <v>0.97777777777810115</v>
      </c>
      <c r="V264" s="128">
        <f>Table2[[#This Row],[ATA A OFRECIMIENTO]]*24</f>
        <v>23.466666666674428</v>
      </c>
      <c r="W264" s="1" t="str">
        <f t="shared" si="86"/>
        <v>YES</v>
      </c>
      <c r="X264" s="127">
        <f t="shared" si="87"/>
        <v>0.125</v>
      </c>
      <c r="Y264" s="128">
        <f>Table2[[#This Row],[DEL. AVAILABLE A SLOT]]*24</f>
        <v>3</v>
      </c>
      <c r="Z264" s="1" t="str">
        <f t="shared" si="88"/>
        <v>SI</v>
      </c>
      <c r="AA264" s="127">
        <f t="shared" si="89"/>
        <v>1.1027777777781012</v>
      </c>
      <c r="AB264" s="128">
        <f>Table2[[#This Row],[ATA A TIMESLOT]]*24</f>
        <v>26.466666666674428</v>
      </c>
      <c r="AC264" s="127">
        <f t="shared" si="90"/>
        <v>2.0833333328482695E-2</v>
      </c>
      <c r="AD264" s="127" t="str">
        <f t="shared" si="91"/>
        <v>SI</v>
      </c>
      <c r="AE264" s="128">
        <f>Table2[[#This Row],[PUNTUALIDAD (H)]]*24</f>
        <v>0.49999999988358468</v>
      </c>
      <c r="AF264" s="127">
        <f t="shared" si="92"/>
        <v>1.1305555555518367</v>
      </c>
      <c r="AG264" s="128">
        <f>Table2[[#This Row],[ATA TO UNLOADING]]*24</f>
        <v>27.133333333244082</v>
      </c>
      <c r="AH264" s="128" t="str">
        <f>IF(Table2[[#This Row],[ATA TO UNLOADING 2]]&lt;=48,"YES","NO")</f>
        <v>YES</v>
      </c>
      <c r="AJ264" s="129">
        <f t="shared" si="93"/>
        <v>0.58333333333575865</v>
      </c>
      <c r="AK264" s="2" t="s">
        <v>64</v>
      </c>
      <c r="AL264" s="2" t="str">
        <f t="shared" si="94"/>
        <v>7/26</v>
      </c>
      <c r="AM264" s="2" t="str">
        <f t="shared" si="95"/>
        <v>UETU5914490</v>
      </c>
      <c r="AN264" s="130" t="str">
        <f t="shared" si="96"/>
        <v>OTL</v>
      </c>
      <c r="AO264" s="141">
        <v>553.5</v>
      </c>
      <c r="AP264" s="131" t="e">
        <v>#N/A</v>
      </c>
      <c r="AQ264" s="131">
        <f>VLOOKUP($E264,Invoicing!$A$1:$H$12,MATCH(TRACKER!$Q$1,Invoicing!$A$1:$H$1,0),FALSE)</f>
        <v>60</v>
      </c>
      <c r="AR264" s="131">
        <v>60</v>
      </c>
      <c r="AS264" s="2">
        <f t="shared" si="97"/>
        <v>4</v>
      </c>
      <c r="AT264" s="2" t="str">
        <f t="shared" si="100"/>
        <v>WEEK</v>
      </c>
      <c r="AU264" s="2" t="str">
        <f t="shared" si="98"/>
        <v>OTLWEEK</v>
      </c>
      <c r="AV264" s="94">
        <v>613.5</v>
      </c>
      <c r="AW264" s="48">
        <f>VLOOKUP(AN264,Invoicing!A:K,11,FALSE)</f>
        <v>20</v>
      </c>
      <c r="AY264" s="48"/>
      <c r="AZ264" s="48">
        <f t="shared" si="99"/>
        <v>633.5</v>
      </c>
      <c r="BA264" s="132">
        <f>VLOOKUP(AN264,Invoicing!A:J,10,FALSE)</f>
        <v>70</v>
      </c>
      <c r="BB264" s="132">
        <f>VLOOKUP(AN264,Invoicing!A:L,12,FALSE)</f>
        <v>1</v>
      </c>
      <c r="BC264" s="2" t="s">
        <v>359</v>
      </c>
    </row>
    <row r="265" spans="1:55">
      <c r="A265" s="38" t="s">
        <v>527</v>
      </c>
      <c r="B265" s="140" t="s">
        <v>528</v>
      </c>
      <c r="C265" s="11">
        <v>46064.480555555558</v>
      </c>
      <c r="D265" s="11">
        <v>46064.458333333336</v>
      </c>
      <c r="E265" s="11" t="s">
        <v>98</v>
      </c>
      <c r="F265" s="11" t="s">
        <v>531</v>
      </c>
      <c r="G265" s="11" t="s">
        <v>59</v>
      </c>
      <c r="H265" s="11" t="s">
        <v>91</v>
      </c>
      <c r="I265" s="3" t="s">
        <v>539</v>
      </c>
      <c r="J265" s="3" t="s">
        <v>82</v>
      </c>
      <c r="K265" s="11">
        <v>46065.458333333336</v>
      </c>
      <c r="L265" s="12">
        <v>46065.628472222219</v>
      </c>
      <c r="M265" s="12">
        <v>46065.625</v>
      </c>
      <c r="N265" s="12">
        <v>46065.680555555555</v>
      </c>
      <c r="O265" s="12" t="s">
        <v>63</v>
      </c>
      <c r="P265" s="85" t="s">
        <v>15</v>
      </c>
      <c r="Q265" s="3">
        <v>0</v>
      </c>
      <c r="R265" s="1">
        <f t="shared" si="82"/>
        <v>7</v>
      </c>
      <c r="S265" s="1">
        <f t="shared" si="83"/>
        <v>2</v>
      </c>
      <c r="T265" s="126">
        <f t="shared" si="84"/>
        <v>46065.628472222219</v>
      </c>
      <c r="U265" s="127">
        <f t="shared" si="85"/>
        <v>0.97777777777810115</v>
      </c>
      <c r="V265" s="128">
        <f>Table2[[#This Row],[ATA A OFRECIMIENTO]]*24</f>
        <v>23.466666666674428</v>
      </c>
      <c r="W265" s="1" t="str">
        <f t="shared" si="86"/>
        <v>YES</v>
      </c>
      <c r="X265" s="127">
        <f t="shared" si="87"/>
        <v>0.16666666666424135</v>
      </c>
      <c r="Y265" s="128">
        <f>Table2[[#This Row],[DEL. AVAILABLE A SLOT]]*24</f>
        <v>3.9999999999417923</v>
      </c>
      <c r="Z265" s="1" t="str">
        <f t="shared" si="88"/>
        <v>SI</v>
      </c>
      <c r="AA265" s="127">
        <f t="shared" si="89"/>
        <v>1.1444444444423425</v>
      </c>
      <c r="AB265" s="128">
        <f>Table2[[#This Row],[ATA A TIMESLOT]]*24</f>
        <v>27.46666666661622</v>
      </c>
      <c r="AC265" s="127">
        <f t="shared" si="90"/>
        <v>3.4722222189884633E-3</v>
      </c>
      <c r="AD265" s="127" t="str">
        <f t="shared" si="91"/>
        <v>SI</v>
      </c>
      <c r="AE265" s="128">
        <f>Table2[[#This Row],[PUNTUALIDAD (H)]]*24</f>
        <v>8.3333333255723119E-2</v>
      </c>
      <c r="AF265" s="127">
        <f t="shared" si="92"/>
        <v>1.1999999999970896</v>
      </c>
      <c r="AG265" s="128">
        <f>Table2[[#This Row],[ATA TO UNLOADING]]*24</f>
        <v>28.799999999930151</v>
      </c>
      <c r="AH265" s="128" t="str">
        <f>IF(Table2[[#This Row],[ATA TO UNLOADING 2]]&lt;=48,"YES","NO")</f>
        <v>YES</v>
      </c>
      <c r="AJ265" s="129">
        <f t="shared" si="93"/>
        <v>0.625</v>
      </c>
      <c r="AK265" s="2" t="s">
        <v>64</v>
      </c>
      <c r="AL265" s="2" t="str">
        <f t="shared" si="94"/>
        <v>7/26</v>
      </c>
      <c r="AM265" s="2" t="str">
        <f t="shared" si="95"/>
        <v>FFAU2343640</v>
      </c>
      <c r="AN265" s="130" t="str">
        <f t="shared" si="96"/>
        <v>MSI</v>
      </c>
      <c r="AO265" s="141">
        <v>503.5</v>
      </c>
      <c r="AP265" s="131">
        <v>120</v>
      </c>
      <c r="AQ265" s="131">
        <f>VLOOKUP($E265,Invoicing!$A$1:$H$12,MATCH(TRACKER!$Q$1,Invoicing!$A$1:$H$1,0),FALSE)</f>
        <v>50</v>
      </c>
      <c r="AR265" s="131">
        <v>0</v>
      </c>
      <c r="AS265" s="2">
        <f t="shared" si="97"/>
        <v>4</v>
      </c>
      <c r="AT265" s="2" t="str">
        <f t="shared" si="100"/>
        <v>WEEK</v>
      </c>
      <c r="AU265" s="2" t="str">
        <f t="shared" si="98"/>
        <v>MSIWEEK</v>
      </c>
      <c r="AV265" s="94">
        <v>773.5</v>
      </c>
      <c r="AW265" s="48">
        <f>VLOOKUP(AN265,Invoicing!A:K,11,FALSE)</f>
        <v>20</v>
      </c>
      <c r="AX265" s="48">
        <v>150</v>
      </c>
      <c r="AY265" s="94" t="s">
        <v>540</v>
      </c>
      <c r="AZ265" s="48">
        <f t="shared" si="99"/>
        <v>793.5</v>
      </c>
      <c r="BA265" s="132">
        <f>VLOOKUP(AN265,Invoicing!A:J,10,FALSE)</f>
        <v>70</v>
      </c>
      <c r="BB265" s="132">
        <f>VLOOKUP(AN265,Invoicing!A:L,12,FALSE)</f>
        <v>1</v>
      </c>
      <c r="BC265" s="2" t="s">
        <v>359</v>
      </c>
    </row>
    <row r="266" spans="1:55">
      <c r="A266" s="38" t="s">
        <v>527</v>
      </c>
      <c r="B266" s="140" t="s">
        <v>528</v>
      </c>
      <c r="C266" s="11">
        <v>46064.480555555558</v>
      </c>
      <c r="D266" s="11">
        <v>46064.458333333336</v>
      </c>
      <c r="E266" s="11" t="s">
        <v>71</v>
      </c>
      <c r="F266" s="11" t="s">
        <v>529</v>
      </c>
      <c r="G266" s="11" t="s">
        <v>59</v>
      </c>
      <c r="H266" s="11" t="s">
        <v>91</v>
      </c>
      <c r="I266" s="3" t="s">
        <v>541</v>
      </c>
      <c r="J266" s="3" t="s">
        <v>100</v>
      </c>
      <c r="K266" s="11">
        <v>46065.458333333336</v>
      </c>
      <c r="L266" s="12">
        <v>46065.695138888892</v>
      </c>
      <c r="M266" s="12">
        <v>46065.6875</v>
      </c>
      <c r="N266" s="12">
        <v>46065.708333333336</v>
      </c>
      <c r="O266" s="12" t="s">
        <v>63</v>
      </c>
      <c r="P266" s="85" t="s">
        <v>64</v>
      </c>
      <c r="Q266" s="3">
        <v>0</v>
      </c>
      <c r="R266" s="1">
        <f t="shared" si="82"/>
        <v>7</v>
      </c>
      <c r="S266" s="1">
        <f t="shared" si="83"/>
        <v>2</v>
      </c>
      <c r="T266" s="126">
        <f t="shared" si="84"/>
        <v>46065.695138888892</v>
      </c>
      <c r="U266" s="127">
        <f t="shared" si="85"/>
        <v>0.97777777777810115</v>
      </c>
      <c r="V266" s="128">
        <f>Table2[[#This Row],[ATA A OFRECIMIENTO]]*24</f>
        <v>23.466666666674428</v>
      </c>
      <c r="W266" s="1" t="str">
        <f t="shared" si="86"/>
        <v>YES</v>
      </c>
      <c r="X266" s="127">
        <f t="shared" si="87"/>
        <v>0.22916666666424135</v>
      </c>
      <c r="Y266" s="128">
        <f>Table2[[#This Row],[DEL. AVAILABLE A SLOT]]*24</f>
        <v>5.4999999999417923</v>
      </c>
      <c r="Z266" s="1" t="str">
        <f t="shared" si="88"/>
        <v>SI</v>
      </c>
      <c r="AA266" s="127">
        <f t="shared" si="89"/>
        <v>1.2069444444423425</v>
      </c>
      <c r="AB266" s="128">
        <f>Table2[[#This Row],[ATA A TIMESLOT]]*24</f>
        <v>28.96666666661622</v>
      </c>
      <c r="AC266" s="127">
        <f t="shared" si="90"/>
        <v>7.6388888919609599E-3</v>
      </c>
      <c r="AD266" s="127" t="str">
        <f t="shared" si="91"/>
        <v>SI</v>
      </c>
      <c r="AE266" s="128">
        <f>Table2[[#This Row],[PUNTUALIDAD (H)]]*24</f>
        <v>0.18333333340706304</v>
      </c>
      <c r="AF266" s="127">
        <f t="shared" si="92"/>
        <v>1.2277777777781012</v>
      </c>
      <c r="AG266" s="128">
        <f>Table2[[#This Row],[ATA TO UNLOADING]]*24</f>
        <v>29.466666666674428</v>
      </c>
      <c r="AH266" s="128" t="str">
        <f>IF(Table2[[#This Row],[ATA TO UNLOADING 2]]&lt;=48,"YES","NO")</f>
        <v>YES</v>
      </c>
      <c r="AJ266" s="129">
        <f t="shared" si="93"/>
        <v>0.6875</v>
      </c>
      <c r="AK266" s="2" t="s">
        <v>64</v>
      </c>
      <c r="AL266" s="2" t="str">
        <f t="shared" si="94"/>
        <v>7/26</v>
      </c>
      <c r="AM266" s="2" t="str">
        <f t="shared" si="95"/>
        <v>CAAU8463973</v>
      </c>
      <c r="AN266" s="130" t="str">
        <f t="shared" si="96"/>
        <v>LOGIX</v>
      </c>
      <c r="AO266" s="141">
        <v>573.5</v>
      </c>
      <c r="AP266" s="131" t="e">
        <v>#N/A</v>
      </c>
      <c r="AQ266" s="131">
        <f>VLOOKUP($E266,Invoicing!$A$1:$H$12,MATCH(TRACKER!$Q$1,Invoicing!$A$1:$H$1,0),FALSE)</f>
        <v>50</v>
      </c>
      <c r="AR266" s="131">
        <v>0</v>
      </c>
      <c r="AS266" s="2">
        <f t="shared" si="97"/>
        <v>4</v>
      </c>
      <c r="AT266" s="2" t="str">
        <f t="shared" si="100"/>
        <v>WEEK</v>
      </c>
      <c r="AU266" s="2" t="str">
        <f t="shared" si="98"/>
        <v>LOGIXWEEK</v>
      </c>
      <c r="AV266" s="94">
        <v>573.5</v>
      </c>
      <c r="AW266" s="48">
        <f>VLOOKUP(AN266,Invoicing!A:K,11,FALSE)</f>
        <v>20</v>
      </c>
      <c r="AY266" s="48"/>
      <c r="AZ266" s="48">
        <f t="shared" si="99"/>
        <v>593.5</v>
      </c>
      <c r="BA266" s="132">
        <f>VLOOKUP(AN266,Invoicing!A:J,10,FALSE)</f>
        <v>70</v>
      </c>
      <c r="BB266" s="132">
        <f>VLOOKUP(AN266,Invoicing!A:L,12,FALSE)</f>
        <v>1</v>
      </c>
      <c r="BC266" s="2" t="s">
        <v>359</v>
      </c>
    </row>
    <row r="267" spans="1:55">
      <c r="A267" s="38" t="s">
        <v>527</v>
      </c>
      <c r="B267" s="140" t="s">
        <v>528</v>
      </c>
      <c r="C267" s="11">
        <v>46064.480555555558</v>
      </c>
      <c r="D267" s="11">
        <v>46064.458333333336</v>
      </c>
      <c r="E267" s="11" t="s">
        <v>98</v>
      </c>
      <c r="F267" s="11" t="s">
        <v>531</v>
      </c>
      <c r="G267" s="11" t="s">
        <v>59</v>
      </c>
      <c r="H267" s="11" t="s">
        <v>91</v>
      </c>
      <c r="I267" s="3" t="s">
        <v>542</v>
      </c>
      <c r="J267" s="3" t="s">
        <v>82</v>
      </c>
      <c r="K267" s="11">
        <v>46065.458333333336</v>
      </c>
      <c r="L267" s="12">
        <v>46065.751388888886</v>
      </c>
      <c r="M267" s="12">
        <v>46065.708333333336</v>
      </c>
      <c r="N267" s="12">
        <v>46065.774305555555</v>
      </c>
      <c r="O267" s="12" t="s">
        <v>63</v>
      </c>
      <c r="P267" s="85" t="s">
        <v>15</v>
      </c>
      <c r="Q267" s="3">
        <v>0</v>
      </c>
      <c r="R267" s="1">
        <f t="shared" si="82"/>
        <v>7</v>
      </c>
      <c r="S267" s="1">
        <f t="shared" si="83"/>
        <v>2</v>
      </c>
      <c r="T267" s="126">
        <f t="shared" si="84"/>
        <v>46065.751388888886</v>
      </c>
      <c r="U267" s="127">
        <f t="shared" si="85"/>
        <v>0.97777777777810115</v>
      </c>
      <c r="V267" s="128">
        <f>Table2[[#This Row],[ATA A OFRECIMIENTO]]*24</f>
        <v>23.466666666674428</v>
      </c>
      <c r="W267" s="1" t="str">
        <f t="shared" si="86"/>
        <v>YES</v>
      </c>
      <c r="X267" s="127">
        <f t="shared" si="87"/>
        <v>0.25</v>
      </c>
      <c r="Y267" s="128">
        <f>Table2[[#This Row],[DEL. AVAILABLE A SLOT]]*24</f>
        <v>6</v>
      </c>
      <c r="Z267" s="1" t="str">
        <f t="shared" si="88"/>
        <v>SI</v>
      </c>
      <c r="AA267" s="127">
        <f t="shared" si="89"/>
        <v>1.2277777777781012</v>
      </c>
      <c r="AB267" s="128">
        <f>Table2[[#This Row],[ATA A TIMESLOT]]*24</f>
        <v>29.466666666674428</v>
      </c>
      <c r="AC267" s="127">
        <f t="shared" si="90"/>
        <v>4.3055555550381541E-2</v>
      </c>
      <c r="AD267" s="127" t="str">
        <f t="shared" si="91"/>
        <v>NO</v>
      </c>
      <c r="AE267" s="128">
        <f>Table2[[#This Row],[PUNTUALIDAD (H)]]*24</f>
        <v>1.033333333209157</v>
      </c>
      <c r="AF267" s="127">
        <f t="shared" si="92"/>
        <v>1.2937499999970896</v>
      </c>
      <c r="AG267" s="128">
        <f>Table2[[#This Row],[ATA TO UNLOADING]]*24</f>
        <v>31.049999999930151</v>
      </c>
      <c r="AH267" s="128" t="str">
        <f>IF(Table2[[#This Row],[ATA TO UNLOADING 2]]&lt;=48,"YES","NO")</f>
        <v>YES</v>
      </c>
      <c r="AJ267" s="129">
        <f t="shared" si="93"/>
        <v>0.70833333333575865</v>
      </c>
      <c r="AK267" s="2" t="s">
        <v>64</v>
      </c>
      <c r="AL267" s="2" t="str">
        <f t="shared" si="94"/>
        <v>7/26</v>
      </c>
      <c r="AM267" s="2" t="str">
        <f t="shared" si="95"/>
        <v>UETU6700929</v>
      </c>
      <c r="AN267" s="130" t="str">
        <f t="shared" si="96"/>
        <v>MSI</v>
      </c>
      <c r="AO267" s="141">
        <v>503.5</v>
      </c>
      <c r="AP267" s="131">
        <v>120</v>
      </c>
      <c r="AQ267" s="131">
        <f>VLOOKUP($E267,Invoicing!$A$1:$H$12,MATCH(TRACKER!$Q$1,Invoicing!$A$1:$H$1,0),FALSE)</f>
        <v>50</v>
      </c>
      <c r="AR267" s="131">
        <v>0</v>
      </c>
      <c r="AS267" s="2">
        <f t="shared" si="97"/>
        <v>4</v>
      </c>
      <c r="AT267" s="2" t="str">
        <f t="shared" si="100"/>
        <v>WEEK</v>
      </c>
      <c r="AU267" s="2" t="str">
        <f t="shared" si="98"/>
        <v>MSIWEEK</v>
      </c>
      <c r="AV267" s="94">
        <v>788.5</v>
      </c>
      <c r="AW267" s="48">
        <f>VLOOKUP(AN267,Invoicing!A:K,11,FALSE)</f>
        <v>20</v>
      </c>
      <c r="AX267" s="48">
        <v>165</v>
      </c>
      <c r="AY267" s="94" t="s">
        <v>543</v>
      </c>
      <c r="AZ267" s="48">
        <f t="shared" si="99"/>
        <v>808.5</v>
      </c>
      <c r="BA267" s="132">
        <f>VLOOKUP(AN267,Invoicing!A:J,10,FALSE)</f>
        <v>70</v>
      </c>
      <c r="BB267" s="132">
        <f>VLOOKUP(AN267,Invoicing!A:L,12,FALSE)</f>
        <v>1</v>
      </c>
      <c r="BC267" s="2" t="s">
        <v>359</v>
      </c>
    </row>
    <row r="268" spans="1:55">
      <c r="A268" s="38" t="s">
        <v>527</v>
      </c>
      <c r="B268" s="140" t="s">
        <v>528</v>
      </c>
      <c r="C268" s="11">
        <v>46064.480555555558</v>
      </c>
      <c r="D268" s="11">
        <v>46064.458333333336</v>
      </c>
      <c r="E268" s="11" t="s">
        <v>71</v>
      </c>
      <c r="F268" s="11" t="s">
        <v>544</v>
      </c>
      <c r="G268" s="11" t="s">
        <v>59</v>
      </c>
      <c r="H268" s="11" t="s">
        <v>91</v>
      </c>
      <c r="I268" s="3" t="s">
        <v>545</v>
      </c>
      <c r="J268" s="3" t="s">
        <v>100</v>
      </c>
      <c r="K268" s="11">
        <v>46065.458333333336</v>
      </c>
      <c r="L268" s="12">
        <v>46065.842361111114</v>
      </c>
      <c r="M268" s="12">
        <v>46065.791666666664</v>
      </c>
      <c r="N268" s="12">
        <v>46065.881944444445</v>
      </c>
      <c r="O268" s="12" t="s">
        <v>63</v>
      </c>
      <c r="P268" s="85" t="s">
        <v>64</v>
      </c>
      <c r="Q268" s="3">
        <v>1</v>
      </c>
      <c r="R268" s="1">
        <f t="shared" si="82"/>
        <v>7</v>
      </c>
      <c r="S268" s="1">
        <f t="shared" si="83"/>
        <v>2</v>
      </c>
      <c r="T268" s="126">
        <f t="shared" si="84"/>
        <v>46065.842361111114</v>
      </c>
      <c r="U268" s="127">
        <f t="shared" si="85"/>
        <v>0.97777777777810115</v>
      </c>
      <c r="V268" s="128">
        <f>Table2[[#This Row],[ATA A OFRECIMIENTO]]*24</f>
        <v>23.466666666674428</v>
      </c>
      <c r="W268" s="1" t="str">
        <f t="shared" si="86"/>
        <v>YES</v>
      </c>
      <c r="X268" s="127">
        <f t="shared" si="87"/>
        <v>0.33333333332848269</v>
      </c>
      <c r="Y268" s="128">
        <f>Table2[[#This Row],[DEL. AVAILABLE A SLOT]]*24</f>
        <v>7.9999999998835847</v>
      </c>
      <c r="Z268" s="1" t="str">
        <f t="shared" si="88"/>
        <v>SI</v>
      </c>
      <c r="AA268" s="127">
        <f t="shared" si="89"/>
        <v>1.3111111111065838</v>
      </c>
      <c r="AB268" s="128">
        <f>Table2[[#This Row],[ATA A TIMESLOT]]*24</f>
        <v>31.466666666558012</v>
      </c>
      <c r="AC268" s="127">
        <f t="shared" si="90"/>
        <v>5.0694444449618459E-2</v>
      </c>
      <c r="AD268" s="127" t="str">
        <f t="shared" si="91"/>
        <v>NO</v>
      </c>
      <c r="AE268" s="128">
        <f>Table2[[#This Row],[PUNTUALIDAD (H)]]*24</f>
        <v>1.216666666790843</v>
      </c>
      <c r="AF268" s="127">
        <f t="shared" si="92"/>
        <v>1.4013888888875954</v>
      </c>
      <c r="AG268" s="128">
        <f>Table2[[#This Row],[ATA TO UNLOADING]]*24</f>
        <v>33.633333333302289</v>
      </c>
      <c r="AH268" s="128" t="str">
        <f>IF(Table2[[#This Row],[ATA TO UNLOADING 2]]&lt;=48,"YES","NO")</f>
        <v>YES</v>
      </c>
      <c r="AJ268" s="129">
        <f t="shared" si="93"/>
        <v>0.79166666666424135</v>
      </c>
      <c r="AK268" s="2" t="s">
        <v>64</v>
      </c>
      <c r="AL268" s="2" t="str">
        <f t="shared" si="94"/>
        <v>7/26</v>
      </c>
      <c r="AM268" s="2" t="str">
        <f t="shared" si="95"/>
        <v>HASU4349960</v>
      </c>
      <c r="AN268" s="130" t="str">
        <f t="shared" si="96"/>
        <v>LOGIX</v>
      </c>
      <c r="AO268" s="141">
        <v>573.5</v>
      </c>
      <c r="AP268" s="131" t="e">
        <v>#N/A</v>
      </c>
      <c r="AQ268" s="131">
        <f>VLOOKUP($E268,Invoicing!$A$1:$H$12,MATCH(TRACKER!$Q$1,Invoicing!$A$1:$H$1,0),FALSE)</f>
        <v>50</v>
      </c>
      <c r="AR268" s="131">
        <v>50</v>
      </c>
      <c r="AS268" s="2">
        <f t="shared" si="97"/>
        <v>4</v>
      </c>
      <c r="AT268" s="2" t="str">
        <f t="shared" si="100"/>
        <v>WEEK</v>
      </c>
      <c r="AU268" s="2" t="str">
        <f t="shared" si="98"/>
        <v>LOGIXWEEK</v>
      </c>
      <c r="AV268" s="94">
        <v>623.5</v>
      </c>
      <c r="AW268" s="48">
        <f>VLOOKUP(AN268,Invoicing!A:K,11,FALSE)</f>
        <v>20</v>
      </c>
      <c r="AY268" s="48"/>
      <c r="AZ268" s="48">
        <f t="shared" si="99"/>
        <v>643.5</v>
      </c>
      <c r="BA268" s="132">
        <f>VLOOKUP(AN268,Invoicing!A:J,10,FALSE)</f>
        <v>70</v>
      </c>
      <c r="BB268" s="132">
        <f>VLOOKUP(AN268,Invoicing!A:L,12,FALSE)</f>
        <v>1</v>
      </c>
      <c r="BC268" s="2" t="s">
        <v>359</v>
      </c>
    </row>
    <row r="269" spans="1:55">
      <c r="A269" s="38" t="s">
        <v>527</v>
      </c>
      <c r="B269" s="140" t="s">
        <v>528</v>
      </c>
      <c r="C269" s="11">
        <v>46064.480555555558</v>
      </c>
      <c r="D269" s="11">
        <v>46064.458333333336</v>
      </c>
      <c r="E269" s="11" t="s">
        <v>98</v>
      </c>
      <c r="F269" s="11" t="s">
        <v>546</v>
      </c>
      <c r="G269" s="11" t="s">
        <v>59</v>
      </c>
      <c r="H269" s="11" t="s">
        <v>91</v>
      </c>
      <c r="I269" s="3" t="s">
        <v>547</v>
      </c>
      <c r="J269" s="3" t="s">
        <v>82</v>
      </c>
      <c r="K269" s="11">
        <v>46065.458333333336</v>
      </c>
      <c r="L269" s="12">
        <v>46065.806250000001</v>
      </c>
      <c r="M269" s="12">
        <v>46065.791666666664</v>
      </c>
      <c r="N269" s="12">
        <v>46065.854166666664</v>
      </c>
      <c r="O269" s="12" t="s">
        <v>63</v>
      </c>
      <c r="P269" s="85" t="s">
        <v>15</v>
      </c>
      <c r="Q269" s="3">
        <v>0</v>
      </c>
      <c r="R269" s="1">
        <f t="shared" si="82"/>
        <v>7</v>
      </c>
      <c r="S269" s="1">
        <f t="shared" si="83"/>
        <v>2</v>
      </c>
      <c r="T269" s="126">
        <f t="shared" si="84"/>
        <v>46065.806250000001</v>
      </c>
      <c r="U269" s="127">
        <f t="shared" si="85"/>
        <v>0.97777777777810115</v>
      </c>
      <c r="V269" s="128">
        <f>Table2[[#This Row],[ATA A OFRECIMIENTO]]*24</f>
        <v>23.466666666674428</v>
      </c>
      <c r="W269" s="1" t="str">
        <f t="shared" si="86"/>
        <v>YES</v>
      </c>
      <c r="X269" s="127">
        <f t="shared" si="87"/>
        <v>0.33333333332848269</v>
      </c>
      <c r="Y269" s="128">
        <f>Table2[[#This Row],[DEL. AVAILABLE A SLOT]]*24</f>
        <v>7.9999999998835847</v>
      </c>
      <c r="Z269" s="1" t="str">
        <f t="shared" si="88"/>
        <v>SI</v>
      </c>
      <c r="AA269" s="127">
        <f t="shared" si="89"/>
        <v>1.3111111111065838</v>
      </c>
      <c r="AB269" s="128">
        <f>Table2[[#This Row],[ATA A TIMESLOT]]*24</f>
        <v>31.466666666558012</v>
      </c>
      <c r="AC269" s="127">
        <f t="shared" si="90"/>
        <v>1.4583333337213844E-2</v>
      </c>
      <c r="AD269" s="127" t="str">
        <f t="shared" si="91"/>
        <v>SI</v>
      </c>
      <c r="AE269" s="128">
        <f>Table2[[#This Row],[PUNTUALIDAD (H)]]*24</f>
        <v>0.35000000009313226</v>
      </c>
      <c r="AF269" s="127">
        <f t="shared" si="92"/>
        <v>1.3736111111065838</v>
      </c>
      <c r="AG269" s="128">
        <f>Table2[[#This Row],[ATA TO UNLOADING]]*24</f>
        <v>32.966666666558012</v>
      </c>
      <c r="AH269" s="128" t="str">
        <f>IF(Table2[[#This Row],[ATA TO UNLOADING 2]]&lt;=48,"YES","NO")</f>
        <v>YES</v>
      </c>
      <c r="AJ269" s="129">
        <f t="shared" si="93"/>
        <v>0.79166666666424135</v>
      </c>
      <c r="AK269" s="2" t="s">
        <v>64</v>
      </c>
      <c r="AL269" s="2" t="str">
        <f t="shared" si="94"/>
        <v>7/26</v>
      </c>
      <c r="AM269" s="2" t="str">
        <f t="shared" si="95"/>
        <v>MRSU8749326</v>
      </c>
      <c r="AN269" s="130" t="str">
        <f t="shared" si="96"/>
        <v>MSI</v>
      </c>
      <c r="AO269" s="141">
        <v>503.5</v>
      </c>
      <c r="AP269" s="131">
        <v>120</v>
      </c>
      <c r="AQ269" s="131">
        <f>VLOOKUP($E269,Invoicing!$A$1:$H$12,MATCH(TRACKER!$Q$1,Invoicing!$A$1:$H$1,0),FALSE)</f>
        <v>50</v>
      </c>
      <c r="AR269" s="131">
        <v>0</v>
      </c>
      <c r="AS269" s="2">
        <f t="shared" si="97"/>
        <v>4</v>
      </c>
      <c r="AT269" s="2" t="str">
        <f t="shared" si="100"/>
        <v>WEEK</v>
      </c>
      <c r="AU269" s="2" t="str">
        <f t="shared" si="98"/>
        <v>MSIWEEK</v>
      </c>
      <c r="AV269" s="94">
        <v>623.5</v>
      </c>
      <c r="AW269" s="48">
        <f>VLOOKUP(AN269,Invoicing!A:K,11,FALSE)</f>
        <v>20</v>
      </c>
      <c r="AY269" s="48"/>
      <c r="AZ269" s="48">
        <f t="shared" si="99"/>
        <v>643.5</v>
      </c>
      <c r="BA269" s="132">
        <f>VLOOKUP(AN269,Invoicing!A:J,10,FALSE)</f>
        <v>70</v>
      </c>
      <c r="BB269" s="132">
        <f>VLOOKUP(AN269,Invoicing!A:L,12,FALSE)</f>
        <v>1</v>
      </c>
      <c r="BC269" s="2" t="s">
        <v>359</v>
      </c>
    </row>
    <row r="270" spans="1:55">
      <c r="A270" s="38" t="s">
        <v>527</v>
      </c>
      <c r="B270" s="140" t="s">
        <v>528</v>
      </c>
      <c r="C270" s="11">
        <v>46064.480555555558</v>
      </c>
      <c r="D270" s="11">
        <v>46064.458333333336</v>
      </c>
      <c r="E270" s="11" t="s">
        <v>83</v>
      </c>
      <c r="F270" s="11" t="s">
        <v>548</v>
      </c>
      <c r="G270" s="11" t="s">
        <v>59</v>
      </c>
      <c r="H270" s="11" t="s">
        <v>91</v>
      </c>
      <c r="I270" s="3" t="s">
        <v>549</v>
      </c>
      <c r="J270" s="3" t="s">
        <v>82</v>
      </c>
      <c r="K270" s="11">
        <v>46065.458333333336</v>
      </c>
      <c r="L270" s="12">
        <v>46065.863888888889</v>
      </c>
      <c r="M270" s="12">
        <v>46065.875</v>
      </c>
      <c r="N270" s="12">
        <v>46065.888888888891</v>
      </c>
      <c r="O270" s="12" t="s">
        <v>63</v>
      </c>
      <c r="P270" s="85" t="s">
        <v>15</v>
      </c>
      <c r="Q270" s="3">
        <v>0</v>
      </c>
      <c r="R270" s="1">
        <f t="shared" si="82"/>
        <v>7</v>
      </c>
      <c r="S270" s="1">
        <f t="shared" si="83"/>
        <v>2</v>
      </c>
      <c r="T270" s="126">
        <f t="shared" si="84"/>
        <v>46065.863888888889</v>
      </c>
      <c r="U270" s="127">
        <f t="shared" si="85"/>
        <v>0.97777777777810115</v>
      </c>
      <c r="V270" s="128">
        <f>Table2[[#This Row],[ATA A OFRECIMIENTO]]*24</f>
        <v>23.466666666674428</v>
      </c>
      <c r="W270" s="1" t="str">
        <f t="shared" si="86"/>
        <v>YES</v>
      </c>
      <c r="X270" s="127">
        <f t="shared" si="87"/>
        <v>0.41666666666424135</v>
      </c>
      <c r="Y270" s="128">
        <f>Table2[[#This Row],[DEL. AVAILABLE A SLOT]]*24</f>
        <v>9.9999999999417923</v>
      </c>
      <c r="Z270" s="1" t="str">
        <f t="shared" si="88"/>
        <v>SI</v>
      </c>
      <c r="AA270" s="127">
        <f t="shared" si="89"/>
        <v>1.3944444444423425</v>
      </c>
      <c r="AB270" s="128">
        <f>Table2[[#This Row],[ATA A TIMESLOT]]*24</f>
        <v>33.46666666661622</v>
      </c>
      <c r="AC270" s="127">
        <f t="shared" si="90"/>
        <v>0</v>
      </c>
      <c r="AD270" s="127" t="str">
        <f t="shared" si="91"/>
        <v>SI</v>
      </c>
      <c r="AE270" s="128">
        <f>Table2[[#This Row],[PUNTUALIDAD (H)]]*24</f>
        <v>0</v>
      </c>
      <c r="AF270" s="127">
        <f t="shared" si="92"/>
        <v>1.4083333333328483</v>
      </c>
      <c r="AG270" s="128">
        <f>Table2[[#This Row],[ATA TO UNLOADING]]*24</f>
        <v>33.799999999988358</v>
      </c>
      <c r="AH270" s="128" t="str">
        <f>IF(Table2[[#This Row],[ATA TO UNLOADING 2]]&lt;=48,"YES","NO")</f>
        <v>YES</v>
      </c>
      <c r="AJ270" s="129">
        <f t="shared" si="93"/>
        <v>0.875</v>
      </c>
      <c r="AK270" s="49" t="s">
        <v>36</v>
      </c>
      <c r="AL270" s="2" t="str">
        <f t="shared" si="94"/>
        <v>7/26</v>
      </c>
      <c r="AM270" s="2" t="str">
        <f t="shared" si="95"/>
        <v>MRSU6979063</v>
      </c>
      <c r="AN270" s="130" t="str">
        <f t="shared" si="96"/>
        <v>OM TRANSPORT</v>
      </c>
      <c r="AO270" s="141">
        <v>498.5</v>
      </c>
      <c r="AP270" s="131">
        <v>110</v>
      </c>
      <c r="AQ270" s="131">
        <f>VLOOKUP($E270,Invoicing!$A$1:$H$12,MATCH(TRACKER!$Q$1,Invoicing!$A$1:$H$1,0),FALSE)</f>
        <v>50</v>
      </c>
      <c r="AR270" s="131">
        <v>0</v>
      </c>
      <c r="AS270" s="2">
        <f t="shared" si="97"/>
        <v>4</v>
      </c>
      <c r="AT270" s="2" t="str">
        <f t="shared" si="100"/>
        <v>NIGHT</v>
      </c>
      <c r="AU270" s="2" t="str">
        <f t="shared" si="98"/>
        <v>OM TRANSPORTNIGHT</v>
      </c>
      <c r="AV270" s="94">
        <v>721</v>
      </c>
      <c r="AW270" s="48">
        <f>VLOOKUP(AN270,Invoicing!A:K,11,FALSE)</f>
        <v>20</v>
      </c>
      <c r="AX270" s="48">
        <v>112.5</v>
      </c>
      <c r="AY270" s="94" t="s">
        <v>550</v>
      </c>
      <c r="AZ270" s="48">
        <f t="shared" si="99"/>
        <v>741</v>
      </c>
      <c r="BA270" s="132">
        <f>VLOOKUP(AN270,Invoicing!A:J,10,FALSE)</f>
        <v>70</v>
      </c>
      <c r="BB270" s="132">
        <f>VLOOKUP(AN270,Invoicing!A:L,12,FALSE)</f>
        <v>1</v>
      </c>
      <c r="BC270" s="2" t="s">
        <v>359</v>
      </c>
    </row>
    <row r="271" spans="1:55">
      <c r="A271" s="38" t="s">
        <v>527</v>
      </c>
      <c r="B271" s="140" t="s">
        <v>528</v>
      </c>
      <c r="C271" s="11">
        <v>46064.480555555558</v>
      </c>
      <c r="D271" s="11">
        <v>46064.458333333336</v>
      </c>
      <c r="E271" s="11" t="s">
        <v>57</v>
      </c>
      <c r="F271" s="11" t="s">
        <v>544</v>
      </c>
      <c r="G271" s="11" t="s">
        <v>59</v>
      </c>
      <c r="H271" s="11" t="s">
        <v>91</v>
      </c>
      <c r="I271" s="3" t="s">
        <v>551</v>
      </c>
      <c r="J271" s="3" t="s">
        <v>100</v>
      </c>
      <c r="K271" s="11">
        <v>46065.458333333336</v>
      </c>
      <c r="L271" s="12">
        <v>46065.614583333336</v>
      </c>
      <c r="M271" s="12">
        <v>46065.875</v>
      </c>
      <c r="N271" s="12">
        <v>46065.621527777781</v>
      </c>
      <c r="O271" s="12" t="s">
        <v>63</v>
      </c>
      <c r="P271" s="85" t="s">
        <v>64</v>
      </c>
      <c r="Q271" s="3">
        <v>1</v>
      </c>
      <c r="R271" s="1">
        <f t="shared" si="82"/>
        <v>7</v>
      </c>
      <c r="S271" s="1">
        <f t="shared" si="83"/>
        <v>2</v>
      </c>
      <c r="T271" s="126">
        <f t="shared" si="84"/>
        <v>46065.614583333336</v>
      </c>
      <c r="U271" s="127">
        <f t="shared" si="85"/>
        <v>0.97777777777810115</v>
      </c>
      <c r="V271" s="128">
        <f>Table2[[#This Row],[ATA A OFRECIMIENTO]]*24</f>
        <v>23.466666666674428</v>
      </c>
      <c r="W271" s="1" t="str">
        <f t="shared" si="86"/>
        <v>YES</v>
      </c>
      <c r="X271" s="127">
        <f t="shared" si="87"/>
        <v>0.41666666666424135</v>
      </c>
      <c r="Y271" s="128">
        <f>Table2[[#This Row],[DEL. AVAILABLE A SLOT]]*24</f>
        <v>9.9999999999417923</v>
      </c>
      <c r="Z271" s="1" t="str">
        <f t="shared" si="88"/>
        <v>SI</v>
      </c>
      <c r="AA271" s="127">
        <f t="shared" si="89"/>
        <v>1.3944444444423425</v>
      </c>
      <c r="AB271" s="128">
        <f>Table2[[#This Row],[ATA A TIMESLOT]]*24</f>
        <v>33.46666666661622</v>
      </c>
      <c r="AC271" s="127">
        <f t="shared" si="90"/>
        <v>0</v>
      </c>
      <c r="AD271" s="127" t="str">
        <f t="shared" si="91"/>
        <v>SI</v>
      </c>
      <c r="AE271" s="128">
        <f>Table2[[#This Row],[PUNTUALIDAD (H)]]*24</f>
        <v>0</v>
      </c>
      <c r="AF271" s="127">
        <f t="shared" si="92"/>
        <v>1.140972222223354</v>
      </c>
      <c r="AG271" s="128">
        <f>Table2[[#This Row],[ATA TO UNLOADING]]*24</f>
        <v>27.383333333360497</v>
      </c>
      <c r="AH271" s="128" t="str">
        <f>IF(Table2[[#This Row],[ATA TO UNLOADING 2]]&lt;=48,"YES","NO")</f>
        <v>YES</v>
      </c>
      <c r="AJ271" s="129">
        <f t="shared" si="93"/>
        <v>0.875</v>
      </c>
      <c r="AK271" s="49" t="s">
        <v>36</v>
      </c>
      <c r="AL271" s="2" t="str">
        <f t="shared" si="94"/>
        <v>7/26</v>
      </c>
      <c r="AM271" s="2" t="str">
        <f t="shared" si="95"/>
        <v>SUDU5850578</v>
      </c>
      <c r="AN271" s="130" t="str">
        <f t="shared" si="96"/>
        <v>CTK TRANSPORT</v>
      </c>
      <c r="AO271" s="141">
        <v>623.5</v>
      </c>
      <c r="AP271" s="131" t="e">
        <v>#N/A</v>
      </c>
      <c r="AQ271" s="131">
        <f>VLOOKUP($E271,Invoicing!$A$1:$H$12,MATCH(TRACKER!$Q$1,Invoicing!$A$1:$H$1,0),FALSE)</f>
        <v>50</v>
      </c>
      <c r="AR271" s="131">
        <v>50</v>
      </c>
      <c r="AS271" s="2">
        <f t="shared" si="97"/>
        <v>4</v>
      </c>
      <c r="AT271" s="2" t="str">
        <f t="shared" si="100"/>
        <v>NIGHT</v>
      </c>
      <c r="AU271" s="2" t="str">
        <f t="shared" si="98"/>
        <v>CTK TRANSPORTNIGHT</v>
      </c>
      <c r="AV271" s="94">
        <v>673.5</v>
      </c>
      <c r="AW271" s="48">
        <f>VLOOKUP(AN271,Invoicing!A:K,11,FALSE)</f>
        <v>20</v>
      </c>
      <c r="AY271" s="48"/>
      <c r="AZ271" s="48">
        <f t="shared" si="99"/>
        <v>693.5</v>
      </c>
      <c r="BA271" s="132">
        <f>VLOOKUP(AN271,Invoicing!A:J,10,FALSE)</f>
        <v>70</v>
      </c>
      <c r="BB271" s="132">
        <f>VLOOKUP(AN271,Invoicing!A:L,12,FALSE)</f>
        <v>1</v>
      </c>
      <c r="BC271" s="2" t="s">
        <v>359</v>
      </c>
    </row>
    <row r="272" spans="1:55">
      <c r="A272" s="38" t="s">
        <v>527</v>
      </c>
      <c r="B272" s="140" t="s">
        <v>528</v>
      </c>
      <c r="C272" s="11">
        <v>46064.480555555558</v>
      </c>
      <c r="D272" s="11">
        <v>46064.458333333336</v>
      </c>
      <c r="E272" s="11" t="s">
        <v>83</v>
      </c>
      <c r="F272" s="11" t="s">
        <v>552</v>
      </c>
      <c r="G272" s="11" t="s">
        <v>59</v>
      </c>
      <c r="H272" s="11" t="s">
        <v>91</v>
      </c>
      <c r="I272" s="3" t="s">
        <v>553</v>
      </c>
      <c r="J272" s="3" t="s">
        <v>82</v>
      </c>
      <c r="K272" s="11">
        <v>46065.458333333336</v>
      </c>
      <c r="L272" s="12">
        <v>46065.868055555555</v>
      </c>
      <c r="M272" s="12">
        <v>46065.958333333336</v>
      </c>
      <c r="N272" s="12">
        <v>46065.9375</v>
      </c>
      <c r="O272" s="12" t="s">
        <v>63</v>
      </c>
      <c r="P272" s="85" t="s">
        <v>15</v>
      </c>
      <c r="Q272" s="3">
        <v>0</v>
      </c>
      <c r="R272" s="1">
        <f t="shared" si="82"/>
        <v>7</v>
      </c>
      <c r="S272" s="1">
        <f t="shared" si="83"/>
        <v>2</v>
      </c>
      <c r="T272" s="126">
        <f t="shared" si="84"/>
        <v>46065.868055555555</v>
      </c>
      <c r="U272" s="127">
        <f t="shared" si="85"/>
        <v>0.97777777777810115</v>
      </c>
      <c r="V272" s="128">
        <f>Table2[[#This Row],[ATA A OFRECIMIENTO]]*24</f>
        <v>23.466666666674428</v>
      </c>
      <c r="W272" s="1" t="str">
        <f t="shared" si="86"/>
        <v>YES</v>
      </c>
      <c r="X272" s="127">
        <f t="shared" si="87"/>
        <v>0.5</v>
      </c>
      <c r="Y272" s="128">
        <f>Table2[[#This Row],[DEL. AVAILABLE A SLOT]]*24</f>
        <v>12</v>
      </c>
      <c r="Z272" s="1" t="str">
        <f t="shared" si="88"/>
        <v>SI</v>
      </c>
      <c r="AA272" s="127">
        <f t="shared" si="89"/>
        <v>1.4777777777781012</v>
      </c>
      <c r="AB272" s="128">
        <f>Table2[[#This Row],[ATA A TIMESLOT]]*24</f>
        <v>35.466666666674428</v>
      </c>
      <c r="AC272" s="127">
        <f t="shared" si="90"/>
        <v>0</v>
      </c>
      <c r="AD272" s="127" t="str">
        <f t="shared" si="91"/>
        <v>SI</v>
      </c>
      <c r="AE272" s="128">
        <f>Table2[[#This Row],[PUNTUALIDAD (H)]]*24</f>
        <v>0</v>
      </c>
      <c r="AF272" s="127">
        <f t="shared" si="92"/>
        <v>1.4569444444423425</v>
      </c>
      <c r="AG272" s="128">
        <f>Table2[[#This Row],[ATA TO UNLOADING]]*24</f>
        <v>34.96666666661622</v>
      </c>
      <c r="AH272" s="128" t="str">
        <f>IF(Table2[[#This Row],[ATA TO UNLOADING 2]]&lt;=48,"YES","NO")</f>
        <v>YES</v>
      </c>
      <c r="AJ272" s="129">
        <f t="shared" si="93"/>
        <v>0.95833333333575865</v>
      </c>
      <c r="AK272" s="49" t="s">
        <v>36</v>
      </c>
      <c r="AL272" s="2" t="str">
        <f t="shared" si="94"/>
        <v>7/26</v>
      </c>
      <c r="AM272" s="2" t="str">
        <f t="shared" si="95"/>
        <v>MRSU4851290</v>
      </c>
      <c r="AN272" s="130" t="str">
        <f t="shared" si="96"/>
        <v>OM TRANSPORT</v>
      </c>
      <c r="AO272" s="141">
        <v>498.5</v>
      </c>
      <c r="AP272" s="131">
        <v>110</v>
      </c>
      <c r="AQ272" s="131">
        <f>VLOOKUP($E272,Invoicing!$A$1:$H$12,MATCH(TRACKER!$Q$1,Invoicing!$A$1:$H$1,0),FALSE)</f>
        <v>50</v>
      </c>
      <c r="AR272" s="131">
        <v>0</v>
      </c>
      <c r="AS272" s="2">
        <f t="shared" si="97"/>
        <v>4</v>
      </c>
      <c r="AT272" s="2" t="str">
        <f t="shared" si="100"/>
        <v>NIGHT</v>
      </c>
      <c r="AU272" s="2" t="str">
        <f t="shared" si="98"/>
        <v>OM TRANSPORTNIGHT</v>
      </c>
      <c r="AV272" s="94">
        <v>608.5</v>
      </c>
      <c r="AW272" s="48">
        <f>VLOOKUP(AN272,Invoicing!A:K,11,FALSE)</f>
        <v>20</v>
      </c>
      <c r="AY272" s="48"/>
      <c r="AZ272" s="48">
        <f t="shared" si="99"/>
        <v>628.5</v>
      </c>
      <c r="BA272" s="132">
        <f>VLOOKUP(AN272,Invoicing!A:J,10,FALSE)</f>
        <v>70</v>
      </c>
      <c r="BB272" s="132">
        <f>VLOOKUP(AN272,Invoicing!A:L,12,FALSE)</f>
        <v>1</v>
      </c>
      <c r="BC272" s="2" t="s">
        <v>359</v>
      </c>
    </row>
    <row r="273" spans="1:55">
      <c r="A273" s="38" t="s">
        <v>527</v>
      </c>
      <c r="B273" s="140" t="s">
        <v>528</v>
      </c>
      <c r="C273" s="11">
        <v>46064.480555555558</v>
      </c>
      <c r="D273" s="11">
        <v>46064.458333333336</v>
      </c>
      <c r="E273" s="11" t="s">
        <v>71</v>
      </c>
      <c r="F273" s="11" t="s">
        <v>554</v>
      </c>
      <c r="G273" s="11" t="s">
        <v>59</v>
      </c>
      <c r="H273" s="11" t="s">
        <v>91</v>
      </c>
      <c r="I273" s="3" t="s">
        <v>555</v>
      </c>
      <c r="J273" s="3" t="s">
        <v>82</v>
      </c>
      <c r="K273" s="11">
        <v>46065.458333333336</v>
      </c>
      <c r="L273" s="12">
        <v>46065.961111111108</v>
      </c>
      <c r="M273" s="12">
        <v>46066</v>
      </c>
      <c r="N273" s="12">
        <v>46066.041666666664</v>
      </c>
      <c r="O273" s="12" t="s">
        <v>63</v>
      </c>
      <c r="P273" s="85" t="s">
        <v>64</v>
      </c>
      <c r="Q273" s="3">
        <v>0</v>
      </c>
      <c r="R273" s="1">
        <f t="shared" si="82"/>
        <v>7</v>
      </c>
      <c r="S273" s="1">
        <f t="shared" si="83"/>
        <v>2</v>
      </c>
      <c r="T273" s="126">
        <f t="shared" si="84"/>
        <v>46065.961111111108</v>
      </c>
      <c r="U273" s="127">
        <f t="shared" si="85"/>
        <v>0.97777777777810115</v>
      </c>
      <c r="V273" s="128">
        <f>Table2[[#This Row],[ATA A OFRECIMIENTO]]*24</f>
        <v>23.466666666674428</v>
      </c>
      <c r="W273" s="1" t="str">
        <f t="shared" si="86"/>
        <v>YES</v>
      </c>
      <c r="X273" s="127">
        <f t="shared" si="87"/>
        <v>0.54166666666424135</v>
      </c>
      <c r="Y273" s="128">
        <f>Table2[[#This Row],[DEL. AVAILABLE A SLOT]]*24</f>
        <v>12.999999999941792</v>
      </c>
      <c r="Z273" s="1" t="str">
        <f t="shared" si="88"/>
        <v>SI</v>
      </c>
      <c r="AA273" s="127">
        <f t="shared" si="89"/>
        <v>1.5194444444423425</v>
      </c>
      <c r="AB273" s="128">
        <f>Table2[[#This Row],[ATA A TIMESLOT]]*24</f>
        <v>36.46666666661622</v>
      </c>
      <c r="AC273" s="127">
        <f t="shared" si="90"/>
        <v>0</v>
      </c>
      <c r="AD273" s="127" t="str">
        <f t="shared" si="91"/>
        <v>SI</v>
      </c>
      <c r="AE273" s="128">
        <f>Table2[[#This Row],[PUNTUALIDAD (H)]]*24</f>
        <v>0</v>
      </c>
      <c r="AF273" s="127">
        <f t="shared" si="92"/>
        <v>1.5611111111065838</v>
      </c>
      <c r="AG273" s="128">
        <f>Table2[[#This Row],[ATA TO UNLOADING]]*24</f>
        <v>37.466666666558012</v>
      </c>
      <c r="AH273" s="128" t="str">
        <f>IF(Table2[[#This Row],[ATA TO UNLOADING 2]]&lt;=48,"YES","NO")</f>
        <v>YES</v>
      </c>
      <c r="AJ273" s="129">
        <f t="shared" si="93"/>
        <v>0</v>
      </c>
      <c r="AK273" s="49" t="s">
        <v>36</v>
      </c>
      <c r="AL273" s="2" t="str">
        <f t="shared" si="94"/>
        <v>7/26</v>
      </c>
      <c r="AM273" s="2" t="str">
        <f t="shared" si="95"/>
        <v>MRSU7711054</v>
      </c>
      <c r="AN273" s="130" t="str">
        <f t="shared" si="96"/>
        <v>LOGIX</v>
      </c>
      <c r="AO273" s="141">
        <v>573.5</v>
      </c>
      <c r="AP273" s="131" t="e">
        <v>#N/A</v>
      </c>
      <c r="AQ273" s="131">
        <f>VLOOKUP($E273,Invoicing!$A$1:$H$12,MATCH(TRACKER!$Q$1,Invoicing!$A$1:$H$1,0),FALSE)</f>
        <v>50</v>
      </c>
      <c r="AR273" s="131">
        <v>0</v>
      </c>
      <c r="AS273" s="2">
        <f t="shared" si="97"/>
        <v>5</v>
      </c>
      <c r="AT273" s="2" t="str">
        <f t="shared" si="100"/>
        <v>NIGHT</v>
      </c>
      <c r="AU273" s="2" t="str">
        <f t="shared" si="98"/>
        <v>LOGIXNIGHT</v>
      </c>
      <c r="AV273" s="94">
        <v>573.5</v>
      </c>
      <c r="AW273" s="48">
        <f>VLOOKUP(AN273,Invoicing!A:K,11,FALSE)</f>
        <v>20</v>
      </c>
      <c r="AY273" s="48"/>
      <c r="AZ273" s="48">
        <f t="shared" si="99"/>
        <v>593.5</v>
      </c>
      <c r="BA273" s="132">
        <f>VLOOKUP(AN273,Invoicing!A:J,10,FALSE)</f>
        <v>70</v>
      </c>
      <c r="BB273" s="132">
        <f>VLOOKUP(AN273,Invoicing!A:L,12,FALSE)</f>
        <v>1</v>
      </c>
      <c r="BC273" s="2" t="s">
        <v>359</v>
      </c>
    </row>
    <row r="274" spans="1:55">
      <c r="A274" s="38" t="s">
        <v>527</v>
      </c>
      <c r="B274" s="140" t="s">
        <v>528</v>
      </c>
      <c r="C274" s="11">
        <v>46064.480555555558</v>
      </c>
      <c r="D274" s="11">
        <v>46064.458333333336</v>
      </c>
      <c r="E274" s="11" t="s">
        <v>83</v>
      </c>
      <c r="F274" s="11" t="s">
        <v>552</v>
      </c>
      <c r="G274" s="11" t="s">
        <v>59</v>
      </c>
      <c r="H274" s="11" t="s">
        <v>91</v>
      </c>
      <c r="I274" s="3" t="s">
        <v>556</v>
      </c>
      <c r="J274" s="3" t="s">
        <v>82</v>
      </c>
      <c r="K274" s="11">
        <v>46065.458333333336</v>
      </c>
      <c r="L274" s="12">
        <v>46065.922222222223</v>
      </c>
      <c r="M274" s="12">
        <v>46066.041666666664</v>
      </c>
      <c r="N274" s="12">
        <v>46065.947916666664</v>
      </c>
      <c r="O274" s="12" t="s">
        <v>63</v>
      </c>
      <c r="P274" s="85" t="s">
        <v>15</v>
      </c>
      <c r="Q274" s="3">
        <v>0</v>
      </c>
      <c r="R274" s="1">
        <f t="shared" si="82"/>
        <v>7</v>
      </c>
      <c r="S274" s="1">
        <f t="shared" si="83"/>
        <v>2</v>
      </c>
      <c r="T274" s="126">
        <f t="shared" si="84"/>
        <v>46065.922222222223</v>
      </c>
      <c r="U274" s="127">
        <f t="shared" si="85"/>
        <v>0.97777777777810115</v>
      </c>
      <c r="V274" s="128">
        <f>Table2[[#This Row],[ATA A OFRECIMIENTO]]*24</f>
        <v>23.466666666674428</v>
      </c>
      <c r="W274" s="1" t="str">
        <f t="shared" si="86"/>
        <v>YES</v>
      </c>
      <c r="X274" s="127">
        <f t="shared" si="87"/>
        <v>0.58333333332848269</v>
      </c>
      <c r="Y274" s="128">
        <f>Table2[[#This Row],[DEL. AVAILABLE A SLOT]]*24</f>
        <v>13.999999999883585</v>
      </c>
      <c r="Z274" s="1" t="str">
        <f t="shared" si="88"/>
        <v>SI</v>
      </c>
      <c r="AA274" s="127">
        <f t="shared" si="89"/>
        <v>1.5611111111065838</v>
      </c>
      <c r="AB274" s="128">
        <f>Table2[[#This Row],[ATA A TIMESLOT]]*24</f>
        <v>37.466666666558012</v>
      </c>
      <c r="AC274" s="127">
        <f t="shared" si="90"/>
        <v>0</v>
      </c>
      <c r="AD274" s="127" t="str">
        <f t="shared" si="91"/>
        <v>SI</v>
      </c>
      <c r="AE274" s="128">
        <f>Table2[[#This Row],[PUNTUALIDAD (H)]]*24</f>
        <v>0</v>
      </c>
      <c r="AF274" s="127">
        <f t="shared" si="92"/>
        <v>1.4673611111065838</v>
      </c>
      <c r="AG274" s="128">
        <f>Table2[[#This Row],[ATA TO UNLOADING]]*24</f>
        <v>35.216666666558012</v>
      </c>
      <c r="AH274" s="128" t="str">
        <f>IF(Table2[[#This Row],[ATA TO UNLOADING 2]]&lt;=48,"YES","NO")</f>
        <v>YES</v>
      </c>
      <c r="AJ274" s="129">
        <f t="shared" si="93"/>
        <v>4.1666666664241347E-2</v>
      </c>
      <c r="AK274" s="49" t="s">
        <v>36</v>
      </c>
      <c r="AL274" s="2" t="str">
        <f t="shared" si="94"/>
        <v>7/26</v>
      </c>
      <c r="AM274" s="2" t="str">
        <f t="shared" si="95"/>
        <v>MRSU4272467</v>
      </c>
      <c r="AN274" s="130" t="str">
        <f t="shared" si="96"/>
        <v>OM TRANSPORT</v>
      </c>
      <c r="AO274" s="141">
        <v>498.5</v>
      </c>
      <c r="AP274" s="131">
        <v>110</v>
      </c>
      <c r="AQ274" s="131">
        <f>VLOOKUP($E274,Invoicing!$A$1:$H$12,MATCH(TRACKER!$Q$1,Invoicing!$A$1:$H$1,0),FALSE)</f>
        <v>50</v>
      </c>
      <c r="AR274" s="131">
        <v>0</v>
      </c>
      <c r="AS274" s="2">
        <f t="shared" si="97"/>
        <v>5</v>
      </c>
      <c r="AT274" s="2" t="str">
        <f t="shared" si="100"/>
        <v>NIGHT</v>
      </c>
      <c r="AU274" s="2" t="str">
        <f t="shared" si="98"/>
        <v>OM TRANSPORTNIGHT</v>
      </c>
      <c r="AV274" s="94">
        <v>631</v>
      </c>
      <c r="AW274" s="48">
        <f>VLOOKUP(AN274,Invoicing!A:K,11,FALSE)</f>
        <v>20</v>
      </c>
      <c r="AX274" s="48">
        <v>22.5</v>
      </c>
      <c r="AY274" s="94" t="s">
        <v>557</v>
      </c>
      <c r="AZ274" s="48">
        <f t="shared" si="99"/>
        <v>651</v>
      </c>
      <c r="BA274" s="132">
        <f>VLOOKUP(AN274,Invoicing!A:J,10,FALSE)</f>
        <v>70</v>
      </c>
      <c r="BB274" s="132">
        <f>VLOOKUP(AN274,Invoicing!A:L,12,FALSE)</f>
        <v>1</v>
      </c>
      <c r="BC274" s="2" t="s">
        <v>359</v>
      </c>
    </row>
    <row r="275" spans="1:55">
      <c r="A275" s="38" t="s">
        <v>527</v>
      </c>
      <c r="B275" s="140" t="s">
        <v>528</v>
      </c>
      <c r="C275" s="11">
        <v>46064.480555555558</v>
      </c>
      <c r="D275" s="11">
        <v>46064.458333333336</v>
      </c>
      <c r="E275" s="11" t="s">
        <v>83</v>
      </c>
      <c r="F275" s="11" t="s">
        <v>544</v>
      </c>
      <c r="G275" s="11" t="s">
        <v>59</v>
      </c>
      <c r="H275" s="11" t="s">
        <v>91</v>
      </c>
      <c r="I275" s="3" t="s">
        <v>558</v>
      </c>
      <c r="J275" s="3" t="s">
        <v>82</v>
      </c>
      <c r="K275" s="11">
        <v>46065.458333333336</v>
      </c>
      <c r="L275" s="12">
        <v>46065.925000000003</v>
      </c>
      <c r="M275" s="12">
        <v>46066.125</v>
      </c>
      <c r="N275" s="12">
        <v>46065.982638888891</v>
      </c>
      <c r="O275" s="12" t="s">
        <v>63</v>
      </c>
      <c r="P275" s="85" t="s">
        <v>64</v>
      </c>
      <c r="Q275" s="3">
        <v>0</v>
      </c>
      <c r="R275" s="1">
        <f t="shared" si="82"/>
        <v>7</v>
      </c>
      <c r="S275" s="1">
        <f t="shared" si="83"/>
        <v>2</v>
      </c>
      <c r="T275" s="126">
        <f t="shared" si="84"/>
        <v>46065.925000000003</v>
      </c>
      <c r="U275" s="127">
        <f t="shared" si="85"/>
        <v>0.97777777777810115</v>
      </c>
      <c r="V275" s="128">
        <f>Table2[[#This Row],[ATA A OFRECIMIENTO]]*24</f>
        <v>23.466666666674428</v>
      </c>
      <c r="W275" s="1" t="str">
        <f t="shared" si="86"/>
        <v>YES</v>
      </c>
      <c r="X275" s="127">
        <f t="shared" si="87"/>
        <v>0.66666666666424135</v>
      </c>
      <c r="Y275" s="128">
        <f>Table2[[#This Row],[DEL. AVAILABLE A SLOT]]*24</f>
        <v>15.999999999941792</v>
      </c>
      <c r="Z275" s="1" t="str">
        <f t="shared" si="88"/>
        <v>SI</v>
      </c>
      <c r="AA275" s="127">
        <f t="shared" si="89"/>
        <v>1.6444444444423425</v>
      </c>
      <c r="AB275" s="128">
        <f>Table2[[#This Row],[ATA A TIMESLOT]]*24</f>
        <v>39.46666666661622</v>
      </c>
      <c r="AC275" s="127">
        <f t="shared" si="90"/>
        <v>0</v>
      </c>
      <c r="AD275" s="127" t="str">
        <f t="shared" si="91"/>
        <v>SI</v>
      </c>
      <c r="AE275" s="128">
        <f>Table2[[#This Row],[PUNTUALIDAD (H)]]*24</f>
        <v>0</v>
      </c>
      <c r="AF275" s="127">
        <f t="shared" si="92"/>
        <v>1.5020833333328483</v>
      </c>
      <c r="AG275" s="128">
        <f>Table2[[#This Row],[ATA TO UNLOADING]]*24</f>
        <v>36.049999999988358</v>
      </c>
      <c r="AH275" s="128" t="str">
        <f>IF(Table2[[#This Row],[ATA TO UNLOADING 2]]&lt;=48,"YES","NO")</f>
        <v>YES</v>
      </c>
      <c r="AJ275" s="129">
        <f t="shared" si="93"/>
        <v>0.125</v>
      </c>
      <c r="AK275" s="49" t="s">
        <v>36</v>
      </c>
      <c r="AL275" s="2" t="str">
        <f t="shared" si="94"/>
        <v>7/26</v>
      </c>
      <c r="AM275" s="2" t="str">
        <f t="shared" si="95"/>
        <v>TLLU4701577</v>
      </c>
      <c r="AN275" s="130" t="str">
        <f t="shared" si="96"/>
        <v>OM TRANSPORT</v>
      </c>
      <c r="AO275" s="141">
        <v>498.5</v>
      </c>
      <c r="AP275" s="131" t="e">
        <v>#N/A</v>
      </c>
      <c r="AQ275" s="131">
        <f>VLOOKUP($E275,Invoicing!$A$1:$H$12,MATCH(TRACKER!$Q$1,Invoicing!$A$1:$H$1,0),FALSE)</f>
        <v>50</v>
      </c>
      <c r="AR275" s="131">
        <v>0</v>
      </c>
      <c r="AS275" s="2">
        <f t="shared" si="97"/>
        <v>5</v>
      </c>
      <c r="AT275" s="2" t="str">
        <f t="shared" si="100"/>
        <v>NIGHT</v>
      </c>
      <c r="AU275" s="2" t="str">
        <f t="shared" si="98"/>
        <v>OM TRANSPORTNIGHT</v>
      </c>
      <c r="AV275" s="94">
        <v>498.5</v>
      </c>
      <c r="AW275" s="48">
        <f>VLOOKUP(AN275,Invoicing!A:K,11,FALSE)</f>
        <v>20</v>
      </c>
      <c r="AY275" s="48"/>
      <c r="AZ275" s="48">
        <f t="shared" si="99"/>
        <v>518.5</v>
      </c>
      <c r="BA275" s="132">
        <f>VLOOKUP(AN275,Invoicing!A:J,10,FALSE)</f>
        <v>70</v>
      </c>
      <c r="BB275" s="132">
        <f>VLOOKUP(AN275,Invoicing!A:L,12,FALSE)</f>
        <v>1</v>
      </c>
      <c r="BC275" s="2" t="s">
        <v>359</v>
      </c>
    </row>
    <row r="276" spans="1:55">
      <c r="A276" s="38" t="s">
        <v>527</v>
      </c>
      <c r="B276" s="140" t="s">
        <v>528</v>
      </c>
      <c r="C276" s="11">
        <v>46064.480555555558</v>
      </c>
      <c r="D276" s="11">
        <v>46064.458333333336</v>
      </c>
      <c r="E276" s="11" t="s">
        <v>98</v>
      </c>
      <c r="F276" s="11" t="s">
        <v>552</v>
      </c>
      <c r="G276" s="11" t="s">
        <v>59</v>
      </c>
      <c r="H276" s="11" t="s">
        <v>91</v>
      </c>
      <c r="I276" s="3" t="s">
        <v>559</v>
      </c>
      <c r="J276" s="3" t="s">
        <v>82</v>
      </c>
      <c r="K276" s="11">
        <v>46065.458333333336</v>
      </c>
      <c r="L276" s="12">
        <v>46066.162499999999</v>
      </c>
      <c r="M276" s="12">
        <v>46066.166666666664</v>
      </c>
      <c r="N276" s="12">
        <v>46066.172222222223</v>
      </c>
      <c r="O276" s="12" t="s">
        <v>63</v>
      </c>
      <c r="P276" s="85" t="s">
        <v>15</v>
      </c>
      <c r="Q276" s="3">
        <v>0</v>
      </c>
      <c r="R276" s="1">
        <f t="shared" si="82"/>
        <v>7</v>
      </c>
      <c r="S276" s="1">
        <f t="shared" si="83"/>
        <v>2</v>
      </c>
      <c r="T276" s="126">
        <f t="shared" si="84"/>
        <v>46066.162499999999</v>
      </c>
      <c r="U276" s="127">
        <f t="shared" si="85"/>
        <v>0.97777777777810115</v>
      </c>
      <c r="V276" s="128">
        <f>Table2[[#This Row],[ATA A OFRECIMIENTO]]*24</f>
        <v>23.466666666674428</v>
      </c>
      <c r="W276" s="1" t="str">
        <f t="shared" si="86"/>
        <v>YES</v>
      </c>
      <c r="X276" s="127">
        <f t="shared" si="87"/>
        <v>0.70833333332848269</v>
      </c>
      <c r="Y276" s="128">
        <f>Table2[[#This Row],[DEL. AVAILABLE A SLOT]]*24</f>
        <v>16.999999999883585</v>
      </c>
      <c r="Z276" s="1" t="str">
        <f t="shared" si="88"/>
        <v>SI</v>
      </c>
      <c r="AA276" s="127">
        <f t="shared" si="89"/>
        <v>1.6861111111065838</v>
      </c>
      <c r="AB276" s="128">
        <f>Table2[[#This Row],[ATA A TIMESLOT]]*24</f>
        <v>40.466666666558012</v>
      </c>
      <c r="AC276" s="127">
        <f t="shared" si="90"/>
        <v>0</v>
      </c>
      <c r="AD276" s="127" t="str">
        <f t="shared" si="91"/>
        <v>SI</v>
      </c>
      <c r="AE276" s="128">
        <f>Table2[[#This Row],[PUNTUALIDAD (H)]]*24</f>
        <v>0</v>
      </c>
      <c r="AF276" s="127">
        <f t="shared" si="92"/>
        <v>1.6916666666656965</v>
      </c>
      <c r="AG276" s="128">
        <f>Table2[[#This Row],[ATA TO UNLOADING]]*24</f>
        <v>40.599999999976717</v>
      </c>
      <c r="AH276" s="128" t="str">
        <f>IF(Table2[[#This Row],[ATA TO UNLOADING 2]]&lt;=48,"YES","NO")</f>
        <v>YES</v>
      </c>
      <c r="AJ276" s="129">
        <f t="shared" si="93"/>
        <v>0.16666666666424135</v>
      </c>
      <c r="AK276" s="49" t="s">
        <v>36</v>
      </c>
      <c r="AL276" s="2" t="str">
        <f t="shared" si="94"/>
        <v>7/26</v>
      </c>
      <c r="AM276" s="2" t="str">
        <f t="shared" si="95"/>
        <v>UETU6828838</v>
      </c>
      <c r="AN276" s="130" t="str">
        <f t="shared" si="96"/>
        <v>MSI</v>
      </c>
      <c r="AO276" s="141">
        <v>553.5</v>
      </c>
      <c r="AP276" s="131">
        <v>120</v>
      </c>
      <c r="AQ276" s="131">
        <f>VLOOKUP($E276,Invoicing!$A$1:$H$12,MATCH(TRACKER!$Q$1,Invoicing!$A$1:$H$1,0),FALSE)</f>
        <v>50</v>
      </c>
      <c r="AR276" s="131">
        <v>0</v>
      </c>
      <c r="AS276" s="2">
        <f t="shared" si="97"/>
        <v>5</v>
      </c>
      <c r="AT276" s="2" t="str">
        <f t="shared" si="100"/>
        <v>NIGHT</v>
      </c>
      <c r="AU276" s="2" t="str">
        <f t="shared" si="98"/>
        <v>MSINIGHT</v>
      </c>
      <c r="AV276" s="94">
        <v>793.5</v>
      </c>
      <c r="AW276" s="48">
        <f>VLOOKUP(AN276,Invoicing!A:K,11,FALSE)</f>
        <v>20</v>
      </c>
      <c r="AX276" s="48">
        <v>120</v>
      </c>
      <c r="AY276" s="94" t="s">
        <v>560</v>
      </c>
      <c r="AZ276" s="48">
        <f t="shared" si="99"/>
        <v>813.5</v>
      </c>
      <c r="BA276" s="132">
        <f>VLOOKUP(AN276,Invoicing!A:J,10,FALSE)</f>
        <v>70</v>
      </c>
      <c r="BB276" s="132">
        <f>VLOOKUP(AN276,Invoicing!A:L,12,FALSE)</f>
        <v>1</v>
      </c>
      <c r="BC276" s="2" t="s">
        <v>359</v>
      </c>
    </row>
    <row r="277" spans="1:55">
      <c r="A277" s="38" t="s">
        <v>527</v>
      </c>
      <c r="B277" s="140" t="s">
        <v>528</v>
      </c>
      <c r="C277" s="11">
        <v>46064.480555555558</v>
      </c>
      <c r="D277" s="11">
        <v>46064.458333333336</v>
      </c>
      <c r="E277" s="11" t="s">
        <v>71</v>
      </c>
      <c r="F277" s="11" t="s">
        <v>537</v>
      </c>
      <c r="G277" s="11" t="s">
        <v>133</v>
      </c>
      <c r="H277" s="11" t="s">
        <v>91</v>
      </c>
      <c r="I277" s="3" t="s">
        <v>561</v>
      </c>
      <c r="J277" s="3" t="s">
        <v>100</v>
      </c>
      <c r="K277" s="11">
        <v>46065.458333333336</v>
      </c>
      <c r="L277" s="12">
        <v>46066.303472222222</v>
      </c>
      <c r="M277" s="12">
        <v>46066.25</v>
      </c>
      <c r="N277" s="12">
        <v>46066.324999999997</v>
      </c>
      <c r="O277" s="12" t="s">
        <v>63</v>
      </c>
      <c r="P277" s="85" t="s">
        <v>64</v>
      </c>
      <c r="Q277" s="3">
        <v>0</v>
      </c>
      <c r="R277" s="1">
        <f t="shared" si="82"/>
        <v>7</v>
      </c>
      <c r="S277" s="1">
        <f t="shared" si="83"/>
        <v>2</v>
      </c>
      <c r="T277" s="126">
        <f t="shared" si="84"/>
        <v>46066.303472222222</v>
      </c>
      <c r="U277" s="127">
        <f t="shared" si="85"/>
        <v>0.97777777777810115</v>
      </c>
      <c r="V277" s="128">
        <f>Table2[[#This Row],[ATA A OFRECIMIENTO]]*24</f>
        <v>23.466666666674428</v>
      </c>
      <c r="W277" s="1" t="str">
        <f t="shared" si="86"/>
        <v>YES</v>
      </c>
      <c r="X277" s="127">
        <f t="shared" si="87"/>
        <v>0.79166666666424135</v>
      </c>
      <c r="Y277" s="128">
        <f>Table2[[#This Row],[DEL. AVAILABLE A SLOT]]*24</f>
        <v>18.999999999941792</v>
      </c>
      <c r="Z277" s="1" t="str">
        <f t="shared" si="88"/>
        <v>SI</v>
      </c>
      <c r="AA277" s="127">
        <f t="shared" si="89"/>
        <v>1.7694444444423425</v>
      </c>
      <c r="AB277" s="128">
        <f>Table2[[#This Row],[ATA A TIMESLOT]]*24</f>
        <v>42.46666666661622</v>
      </c>
      <c r="AC277" s="127">
        <f t="shared" si="90"/>
        <v>5.3472222221898846E-2</v>
      </c>
      <c r="AD277" s="127" t="str">
        <f t="shared" si="91"/>
        <v>NO</v>
      </c>
      <c r="AE277" s="128">
        <f>Table2[[#This Row],[PUNTUALIDAD (H)]]*24</f>
        <v>1.2833333333255723</v>
      </c>
      <c r="AF277" s="127">
        <f t="shared" si="92"/>
        <v>1.8444444444394321</v>
      </c>
      <c r="AG277" s="128">
        <f>Table2[[#This Row],[ATA TO UNLOADING]]*24</f>
        <v>44.266666666546371</v>
      </c>
      <c r="AH277" s="128" t="str">
        <f>IF(Table2[[#This Row],[ATA TO UNLOADING 2]]&lt;=48,"YES","NO")</f>
        <v>YES</v>
      </c>
      <c r="AJ277" s="129">
        <f t="shared" si="93"/>
        <v>0.25</v>
      </c>
      <c r="AK277" s="2" t="s">
        <v>64</v>
      </c>
      <c r="AL277" s="2" t="str">
        <f t="shared" si="94"/>
        <v>7/26</v>
      </c>
      <c r="AM277" s="2" t="str">
        <f t="shared" si="95"/>
        <v>HAMU4456966</v>
      </c>
      <c r="AN277" s="130" t="str">
        <f t="shared" si="96"/>
        <v>LOGIX</v>
      </c>
      <c r="AO277" s="141">
        <v>573.5</v>
      </c>
      <c r="AP277" s="131" t="e">
        <v>#N/A</v>
      </c>
      <c r="AQ277" s="131">
        <f>VLOOKUP($E277,Invoicing!$A$1:$H$12,MATCH(TRACKER!$Q$1,Invoicing!$A$1:$H$1,0),FALSE)</f>
        <v>50</v>
      </c>
      <c r="AR277" s="131">
        <v>0</v>
      </c>
      <c r="AS277" s="2">
        <f t="shared" si="97"/>
        <v>5</v>
      </c>
      <c r="AT277" s="2" t="str">
        <f t="shared" si="100"/>
        <v>WEEK</v>
      </c>
      <c r="AU277" s="2" t="str">
        <f t="shared" si="98"/>
        <v>LOGIXWEEK</v>
      </c>
      <c r="AV277" s="94">
        <v>573.5</v>
      </c>
      <c r="AW277" s="48">
        <f>VLOOKUP(AN277,Invoicing!A:K,11,FALSE)</f>
        <v>20</v>
      </c>
      <c r="AY277" s="48"/>
      <c r="AZ277" s="48">
        <f t="shared" si="99"/>
        <v>593.5</v>
      </c>
      <c r="BA277" s="132">
        <f>VLOOKUP(AN277,Invoicing!A:J,10,FALSE)</f>
        <v>70</v>
      </c>
      <c r="BB277" s="132">
        <f>VLOOKUP(AN277,Invoicing!A:L,12,FALSE)</f>
        <v>1</v>
      </c>
      <c r="BC277" s="2" t="s">
        <v>359</v>
      </c>
    </row>
    <row r="278" spans="1:55">
      <c r="A278" s="38" t="s">
        <v>527</v>
      </c>
      <c r="B278" s="140" t="s">
        <v>528</v>
      </c>
      <c r="C278" s="11">
        <v>46064.480555555558</v>
      </c>
      <c r="D278" s="11">
        <v>46064.458333333336</v>
      </c>
      <c r="E278" s="11" t="s">
        <v>57</v>
      </c>
      <c r="F278" s="11" t="s">
        <v>529</v>
      </c>
      <c r="G278" s="11" t="s">
        <v>59</v>
      </c>
      <c r="H278" s="11" t="s">
        <v>91</v>
      </c>
      <c r="I278" s="3" t="s">
        <v>562</v>
      </c>
      <c r="J278" s="3" t="s">
        <v>82</v>
      </c>
      <c r="K278" s="11">
        <v>46065.458333333336</v>
      </c>
      <c r="L278" s="12">
        <v>46066.254166666666</v>
      </c>
      <c r="M278" s="12">
        <v>46066.25</v>
      </c>
      <c r="N278" s="12">
        <v>46066.297222222223</v>
      </c>
      <c r="O278" s="12" t="s">
        <v>63</v>
      </c>
      <c r="P278" s="85" t="s">
        <v>64</v>
      </c>
      <c r="Q278" s="3">
        <v>0</v>
      </c>
      <c r="R278" s="1">
        <f t="shared" si="82"/>
        <v>7</v>
      </c>
      <c r="S278" s="1">
        <f t="shared" si="83"/>
        <v>2</v>
      </c>
      <c r="T278" s="126">
        <f t="shared" si="84"/>
        <v>46066.254166666666</v>
      </c>
      <c r="U278" s="127">
        <f t="shared" si="85"/>
        <v>0.97777777777810115</v>
      </c>
      <c r="V278" s="128">
        <f>Table2[[#This Row],[ATA A OFRECIMIENTO]]*24</f>
        <v>23.466666666674428</v>
      </c>
      <c r="W278" s="1" t="str">
        <f t="shared" si="86"/>
        <v>YES</v>
      </c>
      <c r="X278" s="127">
        <f t="shared" si="87"/>
        <v>0.79166666666424135</v>
      </c>
      <c r="Y278" s="128">
        <f>Table2[[#This Row],[DEL. AVAILABLE A SLOT]]*24</f>
        <v>18.999999999941792</v>
      </c>
      <c r="Z278" s="1" t="str">
        <f t="shared" si="88"/>
        <v>SI</v>
      </c>
      <c r="AA278" s="127">
        <f t="shared" si="89"/>
        <v>1.7694444444423425</v>
      </c>
      <c r="AB278" s="128">
        <f>Table2[[#This Row],[ATA A TIMESLOT]]*24</f>
        <v>42.46666666661622</v>
      </c>
      <c r="AC278" s="127">
        <f t="shared" si="90"/>
        <v>4.166666665696539E-3</v>
      </c>
      <c r="AD278" s="127" t="str">
        <f t="shared" si="91"/>
        <v>SI</v>
      </c>
      <c r="AE278" s="128">
        <f>Table2[[#This Row],[PUNTUALIDAD (H)]]*24</f>
        <v>9.9999999976716936E-2</v>
      </c>
      <c r="AF278" s="127">
        <f t="shared" si="92"/>
        <v>1.8166666666656965</v>
      </c>
      <c r="AG278" s="128">
        <f>Table2[[#This Row],[ATA TO UNLOADING]]*24</f>
        <v>43.599999999976717</v>
      </c>
      <c r="AH278" s="128" t="str">
        <f>IF(Table2[[#This Row],[ATA TO UNLOADING 2]]&lt;=48,"YES","NO")</f>
        <v>YES</v>
      </c>
      <c r="AJ278" s="129">
        <f t="shared" si="93"/>
        <v>0.25</v>
      </c>
      <c r="AK278" s="2" t="s">
        <v>64</v>
      </c>
      <c r="AL278" s="2" t="str">
        <f t="shared" si="94"/>
        <v>7/26</v>
      </c>
      <c r="AM278" s="2" t="str">
        <f t="shared" si="95"/>
        <v>TCLU8316190</v>
      </c>
      <c r="AN278" s="130" t="str">
        <f t="shared" si="96"/>
        <v>CTK TRANSPORT</v>
      </c>
      <c r="AO278" s="141">
        <v>573.5</v>
      </c>
      <c r="AP278" s="131" t="e">
        <v>#N/A</v>
      </c>
      <c r="AQ278" s="131">
        <f>VLOOKUP($E278,Invoicing!$A$1:$H$12,MATCH(TRACKER!$Q$1,Invoicing!$A$1:$H$1,0),FALSE)</f>
        <v>50</v>
      </c>
      <c r="AR278" s="131">
        <v>0</v>
      </c>
      <c r="AS278" s="2">
        <f t="shared" si="97"/>
        <v>5</v>
      </c>
      <c r="AT278" s="2" t="str">
        <f t="shared" si="100"/>
        <v>WEEK</v>
      </c>
      <c r="AU278" s="2" t="str">
        <f t="shared" si="98"/>
        <v>CTK TRANSPORTWEEK</v>
      </c>
      <c r="AV278" s="94">
        <v>636</v>
      </c>
      <c r="AW278" s="48">
        <f>VLOOKUP(AN278,Invoicing!A:K,11,FALSE)</f>
        <v>20</v>
      </c>
      <c r="AX278" s="48">
        <v>62.5</v>
      </c>
      <c r="AY278" s="94" t="s">
        <v>563</v>
      </c>
      <c r="AZ278" s="48">
        <f t="shared" si="99"/>
        <v>656</v>
      </c>
      <c r="BA278" s="132">
        <f>VLOOKUP(AN278,Invoicing!A:J,10,FALSE)</f>
        <v>70</v>
      </c>
      <c r="BB278" s="132">
        <f>VLOOKUP(AN278,Invoicing!A:L,12,FALSE)</f>
        <v>1</v>
      </c>
      <c r="BC278" s="2" t="s">
        <v>359</v>
      </c>
    </row>
    <row r="279" spans="1:55">
      <c r="A279" s="38" t="s">
        <v>527</v>
      </c>
      <c r="B279" s="140" t="s">
        <v>528</v>
      </c>
      <c r="C279" s="11">
        <v>46064.480555555558</v>
      </c>
      <c r="D279" s="11">
        <v>46064.458333333336</v>
      </c>
      <c r="E279" s="11" t="s">
        <v>98</v>
      </c>
      <c r="F279" s="11" t="s">
        <v>552</v>
      </c>
      <c r="G279" s="11" t="s">
        <v>59</v>
      </c>
      <c r="H279" s="11" t="s">
        <v>91</v>
      </c>
      <c r="I279" s="3" t="s">
        <v>564</v>
      </c>
      <c r="J279" s="3" t="s">
        <v>82</v>
      </c>
      <c r="K279" s="11">
        <v>46065.458333333336</v>
      </c>
      <c r="L279" s="12">
        <v>46066.291666666664</v>
      </c>
      <c r="M279" s="12">
        <v>46066.291666666664</v>
      </c>
      <c r="N279" s="12">
        <v>46066.305555555555</v>
      </c>
      <c r="O279" s="12" t="s">
        <v>63</v>
      </c>
      <c r="P279" s="85" t="s">
        <v>15</v>
      </c>
      <c r="Q279" s="3">
        <v>0</v>
      </c>
      <c r="R279" s="1">
        <f t="shared" si="82"/>
        <v>7</v>
      </c>
      <c r="S279" s="1">
        <f t="shared" si="83"/>
        <v>2</v>
      </c>
      <c r="T279" s="126">
        <f t="shared" si="84"/>
        <v>46066.291666666664</v>
      </c>
      <c r="U279" s="127">
        <f t="shared" si="85"/>
        <v>0.97777777777810115</v>
      </c>
      <c r="V279" s="128">
        <f>Table2[[#This Row],[ATA A OFRECIMIENTO]]*24</f>
        <v>23.466666666674428</v>
      </c>
      <c r="W279" s="1" t="str">
        <f t="shared" si="86"/>
        <v>YES</v>
      </c>
      <c r="X279" s="127">
        <f t="shared" si="87"/>
        <v>0.83333333332848269</v>
      </c>
      <c r="Y279" s="128">
        <f>Table2[[#This Row],[DEL. AVAILABLE A SLOT]]*24</f>
        <v>19.999999999883585</v>
      </c>
      <c r="Z279" s="1" t="str">
        <f t="shared" si="88"/>
        <v>SI</v>
      </c>
      <c r="AA279" s="127">
        <f t="shared" si="89"/>
        <v>1.8111111111065838</v>
      </c>
      <c r="AB279" s="128">
        <f>Table2[[#This Row],[ATA A TIMESLOT]]*24</f>
        <v>43.466666666558012</v>
      </c>
      <c r="AC279" s="127">
        <f t="shared" si="90"/>
        <v>0</v>
      </c>
      <c r="AD279" s="127" t="str">
        <f t="shared" si="91"/>
        <v>SI</v>
      </c>
      <c r="AE279" s="128">
        <f>Table2[[#This Row],[PUNTUALIDAD (H)]]*24</f>
        <v>0</v>
      </c>
      <c r="AF279" s="127">
        <f t="shared" si="92"/>
        <v>1.8249999999970896</v>
      </c>
      <c r="AG279" s="128">
        <f>Table2[[#This Row],[ATA TO UNLOADING]]*24</f>
        <v>43.799999999930151</v>
      </c>
      <c r="AH279" s="128" t="str">
        <f>IF(Table2[[#This Row],[ATA TO UNLOADING 2]]&lt;=48,"YES","NO")</f>
        <v>YES</v>
      </c>
      <c r="AJ279" s="129">
        <f t="shared" si="93"/>
        <v>0.29166666666424135</v>
      </c>
      <c r="AK279" s="2" t="s">
        <v>64</v>
      </c>
      <c r="AL279" s="2" t="str">
        <f t="shared" si="94"/>
        <v>7/26</v>
      </c>
      <c r="AM279" s="2" t="str">
        <f t="shared" si="95"/>
        <v>MRSU7450032</v>
      </c>
      <c r="AN279" s="130" t="str">
        <f t="shared" si="96"/>
        <v>MSI</v>
      </c>
      <c r="AO279" s="141">
        <v>503.5</v>
      </c>
      <c r="AP279" s="131">
        <v>120</v>
      </c>
      <c r="AQ279" s="131">
        <f>VLOOKUP($E279,Invoicing!$A$1:$H$12,MATCH(TRACKER!$Q$1,Invoicing!$A$1:$H$1,0),FALSE)</f>
        <v>50</v>
      </c>
      <c r="AR279" s="131">
        <v>0</v>
      </c>
      <c r="AS279" s="2">
        <f t="shared" si="97"/>
        <v>5</v>
      </c>
      <c r="AT279" s="2" t="str">
        <f t="shared" si="100"/>
        <v>WEEK</v>
      </c>
      <c r="AU279" s="2" t="str">
        <f t="shared" si="98"/>
        <v>MSIWEEK</v>
      </c>
      <c r="AV279" s="94">
        <v>668.5</v>
      </c>
      <c r="AW279" s="48">
        <f>VLOOKUP(AN279,Invoicing!A:K,11,FALSE)</f>
        <v>20</v>
      </c>
      <c r="AX279" s="48">
        <v>45</v>
      </c>
      <c r="AY279" s="94" t="s">
        <v>565</v>
      </c>
      <c r="AZ279" s="48">
        <f t="shared" si="99"/>
        <v>688.5</v>
      </c>
      <c r="BA279" s="132">
        <f>VLOOKUP(AN279,Invoicing!A:J,10,FALSE)</f>
        <v>70</v>
      </c>
      <c r="BB279" s="132">
        <f>VLOOKUP(AN279,Invoicing!A:L,12,FALSE)</f>
        <v>1</v>
      </c>
      <c r="BC279" s="2" t="s">
        <v>359</v>
      </c>
    </row>
    <row r="280" spans="1:55">
      <c r="A280" s="38" t="s">
        <v>527</v>
      </c>
      <c r="B280" s="140" t="s">
        <v>528</v>
      </c>
      <c r="C280" s="11">
        <v>46064.480555555558</v>
      </c>
      <c r="D280" s="11">
        <v>46064.458333333336</v>
      </c>
      <c r="E280" s="11" t="s">
        <v>71</v>
      </c>
      <c r="F280" s="11" t="s">
        <v>529</v>
      </c>
      <c r="G280" s="11" t="s">
        <v>59</v>
      </c>
      <c r="H280" s="11" t="s">
        <v>91</v>
      </c>
      <c r="I280" s="3" t="s">
        <v>566</v>
      </c>
      <c r="J280" s="3" t="s">
        <v>82</v>
      </c>
      <c r="K280" s="11">
        <v>46065.458333333336</v>
      </c>
      <c r="L280" s="12">
        <v>46066.317361111112</v>
      </c>
      <c r="M280" s="12">
        <v>46066.333333333336</v>
      </c>
      <c r="N280" s="12">
        <v>46066.317361111112</v>
      </c>
      <c r="O280" s="12" t="s">
        <v>63</v>
      </c>
      <c r="P280" s="85" t="s">
        <v>64</v>
      </c>
      <c r="Q280" s="3">
        <v>0</v>
      </c>
      <c r="R280" s="1">
        <f t="shared" si="82"/>
        <v>7</v>
      </c>
      <c r="S280" s="1">
        <f t="shared" si="83"/>
        <v>2</v>
      </c>
      <c r="T280" s="126">
        <f t="shared" si="84"/>
        <v>46066.317361111112</v>
      </c>
      <c r="U280" s="127">
        <f t="shared" si="85"/>
        <v>0.97777777777810115</v>
      </c>
      <c r="V280" s="128">
        <f>Table2[[#This Row],[ATA A OFRECIMIENTO]]*24</f>
        <v>23.466666666674428</v>
      </c>
      <c r="W280" s="1" t="str">
        <f t="shared" si="86"/>
        <v>YES</v>
      </c>
      <c r="X280" s="127">
        <f t="shared" si="87"/>
        <v>0.875</v>
      </c>
      <c r="Y280" s="128">
        <f>Table2[[#This Row],[DEL. AVAILABLE A SLOT]]*24</f>
        <v>21</v>
      </c>
      <c r="Z280" s="1" t="str">
        <f t="shared" si="88"/>
        <v>SI</v>
      </c>
      <c r="AA280" s="127">
        <f t="shared" si="89"/>
        <v>1.8527777777781012</v>
      </c>
      <c r="AB280" s="128">
        <f>Table2[[#This Row],[ATA A TIMESLOT]]*24</f>
        <v>44.466666666674428</v>
      </c>
      <c r="AC280" s="127">
        <f t="shared" si="90"/>
        <v>0</v>
      </c>
      <c r="AD280" s="127" t="str">
        <f t="shared" si="91"/>
        <v>SI</v>
      </c>
      <c r="AE280" s="128">
        <f>Table2[[#This Row],[PUNTUALIDAD (H)]]*24</f>
        <v>0</v>
      </c>
      <c r="AF280" s="127">
        <f t="shared" si="92"/>
        <v>1.8368055555547471</v>
      </c>
      <c r="AG280" s="128">
        <f>Table2[[#This Row],[ATA TO UNLOADING]]*24</f>
        <v>44.083333333313931</v>
      </c>
      <c r="AH280" s="128" t="str">
        <f>IF(Table2[[#This Row],[ATA TO UNLOADING 2]]&lt;=48,"YES","NO")</f>
        <v>YES</v>
      </c>
      <c r="AJ280" s="129">
        <f t="shared" si="93"/>
        <v>0.33333333333575865</v>
      </c>
      <c r="AK280" s="2" t="s">
        <v>64</v>
      </c>
      <c r="AL280" s="2" t="str">
        <f t="shared" si="94"/>
        <v>7/26</v>
      </c>
      <c r="AM280" s="2" t="str">
        <f t="shared" si="95"/>
        <v>TCKU7699441</v>
      </c>
      <c r="AN280" s="130" t="str">
        <f t="shared" si="96"/>
        <v>LOGIX</v>
      </c>
      <c r="AO280" s="141">
        <v>573.5</v>
      </c>
      <c r="AP280" s="131" t="e">
        <v>#N/A</v>
      </c>
      <c r="AQ280" s="131">
        <f>VLOOKUP($E280,Invoicing!$A$1:$H$12,MATCH(TRACKER!$Q$1,Invoicing!$A$1:$H$1,0),FALSE)</f>
        <v>50</v>
      </c>
      <c r="AR280" s="131">
        <v>0</v>
      </c>
      <c r="AS280" s="2">
        <f t="shared" si="97"/>
        <v>5</v>
      </c>
      <c r="AT280" s="2" t="str">
        <f t="shared" si="100"/>
        <v>WEEK</v>
      </c>
      <c r="AU280" s="2" t="str">
        <f t="shared" si="98"/>
        <v>LOGIXWEEK</v>
      </c>
      <c r="AV280" s="94">
        <v>573.5</v>
      </c>
      <c r="AW280" s="48">
        <f>VLOOKUP(AN280,Invoicing!A:K,11,FALSE)</f>
        <v>20</v>
      </c>
      <c r="AY280" s="48"/>
      <c r="AZ280" s="48">
        <f t="shared" si="99"/>
        <v>593.5</v>
      </c>
      <c r="BA280" s="132">
        <f>VLOOKUP(AN280,Invoicing!A:J,10,FALSE)</f>
        <v>70</v>
      </c>
      <c r="BB280" s="132">
        <f>VLOOKUP(AN280,Invoicing!A:L,12,FALSE)</f>
        <v>1</v>
      </c>
      <c r="BC280" s="2" t="s">
        <v>359</v>
      </c>
    </row>
    <row r="281" spans="1:55">
      <c r="A281" s="38" t="s">
        <v>527</v>
      </c>
      <c r="B281" s="140" t="s">
        <v>528</v>
      </c>
      <c r="C281" s="11">
        <v>46064.480555555558</v>
      </c>
      <c r="D281" s="11">
        <v>46064.458333333336</v>
      </c>
      <c r="E281" s="11" t="s">
        <v>83</v>
      </c>
      <c r="F281" s="11" t="s">
        <v>552</v>
      </c>
      <c r="G281" s="11" t="s">
        <v>59</v>
      </c>
      <c r="H281" s="11" t="s">
        <v>91</v>
      </c>
      <c r="I281" s="3" t="s">
        <v>567</v>
      </c>
      <c r="J281" s="3" t="s">
        <v>82</v>
      </c>
      <c r="K281" s="11">
        <v>46065.458333333336</v>
      </c>
      <c r="L281" s="12">
        <v>46066.330555555556</v>
      </c>
      <c r="M281" s="12">
        <v>46066.375</v>
      </c>
      <c r="N281" s="12">
        <v>46066.347222222219</v>
      </c>
      <c r="O281" s="12" t="s">
        <v>63</v>
      </c>
      <c r="P281" s="85" t="s">
        <v>15</v>
      </c>
      <c r="Q281" s="3">
        <v>0</v>
      </c>
      <c r="R281" s="1">
        <f t="shared" si="82"/>
        <v>7</v>
      </c>
      <c r="S281" s="1">
        <f t="shared" si="83"/>
        <v>2</v>
      </c>
      <c r="T281" s="126">
        <f t="shared" si="84"/>
        <v>46066.330555555556</v>
      </c>
      <c r="U281" s="127">
        <f t="shared" si="85"/>
        <v>0.97777777777810115</v>
      </c>
      <c r="V281" s="128">
        <f>Table2[[#This Row],[ATA A OFRECIMIENTO]]*24</f>
        <v>23.466666666674428</v>
      </c>
      <c r="W281" s="1" t="str">
        <f t="shared" si="86"/>
        <v>YES</v>
      </c>
      <c r="X281" s="127">
        <f t="shared" si="87"/>
        <v>0.91666666666424135</v>
      </c>
      <c r="Y281" s="128">
        <f>Table2[[#This Row],[DEL. AVAILABLE A SLOT]]*24</f>
        <v>21.999999999941792</v>
      </c>
      <c r="Z281" s="1" t="str">
        <f t="shared" si="88"/>
        <v>SI</v>
      </c>
      <c r="AA281" s="127">
        <f t="shared" si="89"/>
        <v>1.8944444444423425</v>
      </c>
      <c r="AB281" s="128">
        <f>Table2[[#This Row],[ATA A TIMESLOT]]*24</f>
        <v>45.46666666661622</v>
      </c>
      <c r="AC281" s="127">
        <f t="shared" si="90"/>
        <v>0</v>
      </c>
      <c r="AD281" s="127" t="str">
        <f t="shared" si="91"/>
        <v>SI</v>
      </c>
      <c r="AE281" s="128">
        <f>Table2[[#This Row],[PUNTUALIDAD (H)]]*24</f>
        <v>0</v>
      </c>
      <c r="AF281" s="127">
        <f t="shared" si="92"/>
        <v>1.866666666661331</v>
      </c>
      <c r="AG281" s="128">
        <f>Table2[[#This Row],[ATA TO UNLOADING]]*24</f>
        <v>44.799999999871943</v>
      </c>
      <c r="AH281" s="128" t="str">
        <f>IF(Table2[[#This Row],[ATA TO UNLOADING 2]]&lt;=48,"YES","NO")</f>
        <v>YES</v>
      </c>
      <c r="AJ281" s="129">
        <f t="shared" si="93"/>
        <v>0.375</v>
      </c>
      <c r="AK281" s="2" t="s">
        <v>64</v>
      </c>
      <c r="AL281" s="2" t="str">
        <f t="shared" si="94"/>
        <v>7/26</v>
      </c>
      <c r="AM281" s="2" t="str">
        <f t="shared" si="95"/>
        <v>MRSU8431248</v>
      </c>
      <c r="AN281" s="130" t="str">
        <f t="shared" si="96"/>
        <v>OM TRANSPORT</v>
      </c>
      <c r="AO281" s="141">
        <v>498.5</v>
      </c>
      <c r="AP281" s="131">
        <v>110</v>
      </c>
      <c r="AQ281" s="131">
        <f>VLOOKUP($E281,Invoicing!$A$1:$H$12,MATCH(TRACKER!$Q$1,Invoicing!$A$1:$H$1,0),FALSE)</f>
        <v>50</v>
      </c>
      <c r="AR281" s="131">
        <v>0</v>
      </c>
      <c r="AS281" s="2">
        <f t="shared" si="97"/>
        <v>5</v>
      </c>
      <c r="AT281" s="2" t="str">
        <f t="shared" si="100"/>
        <v>WEEK</v>
      </c>
      <c r="AU281" s="2" t="str">
        <f t="shared" si="98"/>
        <v>OM TRANSPORTWEEK</v>
      </c>
      <c r="AV281" s="94">
        <v>777.25</v>
      </c>
      <c r="AW281" s="48">
        <f>VLOOKUP(AN281,Invoicing!A:K,11,FALSE)</f>
        <v>20</v>
      </c>
      <c r="AX281" s="48">
        <v>168.75</v>
      </c>
      <c r="AY281" s="94" t="s">
        <v>568</v>
      </c>
      <c r="AZ281" s="48">
        <f t="shared" si="99"/>
        <v>797.25</v>
      </c>
      <c r="BA281" s="132">
        <f>VLOOKUP(AN281,Invoicing!A:J,10,FALSE)</f>
        <v>70</v>
      </c>
      <c r="BB281" s="132">
        <f>VLOOKUP(AN281,Invoicing!A:L,12,FALSE)</f>
        <v>1</v>
      </c>
      <c r="BC281" s="2" t="s">
        <v>359</v>
      </c>
    </row>
    <row r="282" spans="1:55">
      <c r="A282" s="38" t="s">
        <v>527</v>
      </c>
      <c r="B282" s="140" t="s">
        <v>528</v>
      </c>
      <c r="C282" s="11">
        <v>46064.480555555558</v>
      </c>
      <c r="D282" s="11">
        <v>46064.458333333336</v>
      </c>
      <c r="E282" s="11" t="s">
        <v>83</v>
      </c>
      <c r="F282" s="11" t="s">
        <v>552</v>
      </c>
      <c r="G282" s="11" t="s">
        <v>59</v>
      </c>
      <c r="H282" s="11" t="s">
        <v>91</v>
      </c>
      <c r="I282" s="3" t="s">
        <v>569</v>
      </c>
      <c r="J282" s="3" t="s">
        <v>82</v>
      </c>
      <c r="K282" s="11">
        <v>46065.458333333336</v>
      </c>
      <c r="L282" s="12">
        <v>46066.436805555553</v>
      </c>
      <c r="M282" s="12">
        <v>46066.458333333336</v>
      </c>
      <c r="N282" s="12">
        <v>46066.46875</v>
      </c>
      <c r="O282" s="12" t="s">
        <v>63</v>
      </c>
      <c r="P282" s="85" t="s">
        <v>15</v>
      </c>
      <c r="Q282" s="3">
        <v>0</v>
      </c>
      <c r="R282" s="1">
        <f t="shared" si="82"/>
        <v>7</v>
      </c>
      <c r="S282" s="1">
        <f t="shared" si="83"/>
        <v>2</v>
      </c>
      <c r="T282" s="126">
        <f t="shared" si="84"/>
        <v>46066.436805555553</v>
      </c>
      <c r="U282" s="127">
        <f t="shared" si="85"/>
        <v>0.97777777777810115</v>
      </c>
      <c r="V282" s="128">
        <f>Table2[[#This Row],[ATA A OFRECIMIENTO]]*24</f>
        <v>23.466666666674428</v>
      </c>
      <c r="W282" s="1" t="str">
        <f t="shared" si="86"/>
        <v>YES</v>
      </c>
      <c r="X282" s="127">
        <f t="shared" si="87"/>
        <v>1</v>
      </c>
      <c r="Y282" s="128">
        <f>Table2[[#This Row],[DEL. AVAILABLE A SLOT]]*24</f>
        <v>24</v>
      </c>
      <c r="Z282" s="1" t="str">
        <f t="shared" si="88"/>
        <v>SI</v>
      </c>
      <c r="AA282" s="127">
        <f t="shared" si="89"/>
        <v>1.9777777777781012</v>
      </c>
      <c r="AB282" s="128">
        <f>Table2[[#This Row],[ATA A TIMESLOT]]*24</f>
        <v>47.466666666674428</v>
      </c>
      <c r="AC282" s="127">
        <f t="shared" si="90"/>
        <v>0</v>
      </c>
      <c r="AD282" s="127" t="str">
        <f t="shared" si="91"/>
        <v>SI</v>
      </c>
      <c r="AE282" s="128">
        <f>Table2[[#This Row],[PUNTUALIDAD (H)]]*24</f>
        <v>0</v>
      </c>
      <c r="AF282" s="127">
        <f t="shared" si="92"/>
        <v>1.9881944444423425</v>
      </c>
      <c r="AG282" s="128">
        <f>Table2[[#This Row],[ATA TO UNLOADING]]*24</f>
        <v>47.71666666661622</v>
      </c>
      <c r="AH282" s="128" t="str">
        <f>IF(Table2[[#This Row],[ATA TO UNLOADING 2]]&lt;=48,"YES","NO")</f>
        <v>YES</v>
      </c>
      <c r="AJ282" s="129">
        <f t="shared" si="93"/>
        <v>0.45833333333575865</v>
      </c>
      <c r="AK282" s="2" t="s">
        <v>64</v>
      </c>
      <c r="AL282" s="2" t="str">
        <f t="shared" si="94"/>
        <v>7/26</v>
      </c>
      <c r="AM282" s="2" t="str">
        <f t="shared" si="95"/>
        <v>MRSU4306850</v>
      </c>
      <c r="AN282" s="130" t="str">
        <f t="shared" si="96"/>
        <v>OM TRANSPORT</v>
      </c>
      <c r="AO282" s="141">
        <v>498.5</v>
      </c>
      <c r="AP282" s="131">
        <v>110</v>
      </c>
      <c r="AQ282" s="131">
        <f>VLOOKUP($E282,Invoicing!$A$1:$H$12,MATCH(TRACKER!$Q$1,Invoicing!$A$1:$H$1,0),FALSE)</f>
        <v>50</v>
      </c>
      <c r="AR282" s="131">
        <v>0</v>
      </c>
      <c r="AS282" s="2">
        <f t="shared" si="97"/>
        <v>5</v>
      </c>
      <c r="AT282" s="2" t="str">
        <f t="shared" si="100"/>
        <v>WEEK</v>
      </c>
      <c r="AU282" s="2" t="str">
        <f t="shared" si="98"/>
        <v>OM TRANSPORTWEEK</v>
      </c>
      <c r="AV282" s="94">
        <v>766</v>
      </c>
      <c r="AW282" s="48">
        <f>VLOOKUP(AN282,Invoicing!A:K,11,FALSE)</f>
        <v>20</v>
      </c>
      <c r="AX282" s="48">
        <v>157.5</v>
      </c>
      <c r="AY282" s="94" t="s">
        <v>415</v>
      </c>
      <c r="AZ282" s="48">
        <f t="shared" si="99"/>
        <v>786</v>
      </c>
      <c r="BA282" s="132">
        <f>VLOOKUP(AN282,Invoicing!A:J,10,FALSE)</f>
        <v>70</v>
      </c>
      <c r="BB282" s="132">
        <f>VLOOKUP(AN282,Invoicing!A:L,12,FALSE)</f>
        <v>1</v>
      </c>
      <c r="BC282" s="2" t="s">
        <v>359</v>
      </c>
    </row>
    <row r="283" spans="1:55">
      <c r="A283" s="38" t="s">
        <v>527</v>
      </c>
      <c r="B283" s="140" t="s">
        <v>528</v>
      </c>
      <c r="C283" s="11">
        <v>46064.480555555558</v>
      </c>
      <c r="D283" s="11">
        <v>46064.458333333336</v>
      </c>
      <c r="E283" s="11" t="s">
        <v>71</v>
      </c>
      <c r="F283" s="11" t="s">
        <v>537</v>
      </c>
      <c r="G283" s="11" t="s">
        <v>133</v>
      </c>
      <c r="H283" s="11" t="s">
        <v>91</v>
      </c>
      <c r="I283" s="3" t="s">
        <v>570</v>
      </c>
      <c r="J283" s="3" t="s">
        <v>82</v>
      </c>
      <c r="K283" s="11">
        <v>46065.458333333336</v>
      </c>
      <c r="L283" s="12">
        <v>46066.5</v>
      </c>
      <c r="M283" s="12">
        <v>46066.5</v>
      </c>
      <c r="N283" s="12">
        <v>46066.511111111111</v>
      </c>
      <c r="O283" s="12" t="s">
        <v>63</v>
      </c>
      <c r="P283" s="85" t="s">
        <v>64</v>
      </c>
      <c r="Q283" s="3">
        <v>0</v>
      </c>
      <c r="R283" s="1">
        <f t="shared" si="82"/>
        <v>7</v>
      </c>
      <c r="S283" s="1">
        <f t="shared" si="83"/>
        <v>2</v>
      </c>
      <c r="T283" s="126">
        <f t="shared" si="84"/>
        <v>46066.5</v>
      </c>
      <c r="U283" s="127">
        <f t="shared" si="85"/>
        <v>0.97777777777810115</v>
      </c>
      <c r="V283" s="128">
        <f>Table2[[#This Row],[ATA A OFRECIMIENTO]]*24</f>
        <v>23.466666666674428</v>
      </c>
      <c r="W283" s="1" t="str">
        <f t="shared" si="86"/>
        <v>YES</v>
      </c>
      <c r="X283" s="127">
        <f t="shared" si="87"/>
        <v>1.0416666666642413</v>
      </c>
      <c r="Y283" s="128">
        <f>Table2[[#This Row],[DEL. AVAILABLE A SLOT]]*24</f>
        <v>24.999999999941792</v>
      </c>
      <c r="Z283" s="1" t="str">
        <f t="shared" si="88"/>
        <v>NO</v>
      </c>
      <c r="AA283" s="127">
        <f t="shared" si="89"/>
        <v>2.0194444444423425</v>
      </c>
      <c r="AB283" s="128">
        <f>Table2[[#This Row],[ATA A TIMESLOT]]*24</f>
        <v>48.46666666661622</v>
      </c>
      <c r="AC283" s="127">
        <f t="shared" si="90"/>
        <v>0</v>
      </c>
      <c r="AD283" s="127" t="str">
        <f t="shared" si="91"/>
        <v>SI</v>
      </c>
      <c r="AE283" s="128">
        <f>Table2[[#This Row],[PUNTUALIDAD (H)]]*24</f>
        <v>0</v>
      </c>
      <c r="AF283" s="127">
        <f t="shared" si="92"/>
        <v>2.0305555555532919</v>
      </c>
      <c r="AG283" s="128">
        <f>Table2[[#This Row],[ATA TO UNLOADING]]*24</f>
        <v>48.733333333279006</v>
      </c>
      <c r="AH283" s="128" t="str">
        <f>IF(Table2[[#This Row],[ATA TO UNLOADING 2]]&lt;=48,"YES","NO")</f>
        <v>NO</v>
      </c>
      <c r="AJ283" s="129">
        <f t="shared" si="93"/>
        <v>0.5</v>
      </c>
      <c r="AK283" s="2" t="s">
        <v>64</v>
      </c>
      <c r="AL283" s="2" t="str">
        <f t="shared" si="94"/>
        <v>7/26</v>
      </c>
      <c r="AM283" s="2" t="str">
        <f t="shared" si="95"/>
        <v>SEKU6738485</v>
      </c>
      <c r="AN283" s="130" t="str">
        <f t="shared" si="96"/>
        <v>LOGIX</v>
      </c>
      <c r="AO283" s="141">
        <v>573.5</v>
      </c>
      <c r="AP283" s="131" t="e">
        <v>#N/A</v>
      </c>
      <c r="AQ283" s="131">
        <f>VLOOKUP($E283,Invoicing!$A$1:$H$12,MATCH(TRACKER!$Q$1,Invoicing!$A$1:$H$1,0),FALSE)</f>
        <v>50</v>
      </c>
      <c r="AR283" s="131">
        <v>0</v>
      </c>
      <c r="AS283" s="2">
        <f t="shared" si="97"/>
        <v>5</v>
      </c>
      <c r="AT283" s="2" t="str">
        <f t="shared" si="100"/>
        <v>WEEK</v>
      </c>
      <c r="AU283" s="2" t="str">
        <f t="shared" si="98"/>
        <v>LOGIXWEEK</v>
      </c>
      <c r="AV283" s="94">
        <v>573.5</v>
      </c>
      <c r="AW283" s="48">
        <f>VLOOKUP(AN283,Invoicing!A:K,11,FALSE)</f>
        <v>20</v>
      </c>
      <c r="AY283" s="48"/>
      <c r="AZ283" s="48">
        <f t="shared" si="99"/>
        <v>593.5</v>
      </c>
      <c r="BA283" s="132">
        <f>VLOOKUP(AN283,Invoicing!A:J,10,FALSE)</f>
        <v>70</v>
      </c>
      <c r="BB283" s="132">
        <f>VLOOKUP(AN283,Invoicing!A:L,12,FALSE)</f>
        <v>1</v>
      </c>
      <c r="BC283" s="2" t="s">
        <v>359</v>
      </c>
    </row>
    <row r="284" spans="1:55">
      <c r="A284" s="38" t="s">
        <v>527</v>
      </c>
      <c r="B284" s="140" t="s">
        <v>528</v>
      </c>
      <c r="C284" s="11">
        <v>46064.480555555558</v>
      </c>
      <c r="D284" s="11">
        <v>46064.458333333336</v>
      </c>
      <c r="E284" s="11" t="s">
        <v>73</v>
      </c>
      <c r="F284" s="11" t="s">
        <v>529</v>
      </c>
      <c r="G284" s="11" t="s">
        <v>59</v>
      </c>
      <c r="H284" s="11" t="s">
        <v>91</v>
      </c>
      <c r="I284" s="3" t="s">
        <v>571</v>
      </c>
      <c r="J284" s="3" t="s">
        <v>82</v>
      </c>
      <c r="K284" s="11">
        <v>46065.458333333336</v>
      </c>
      <c r="L284" s="12">
        <v>46066.727083333331</v>
      </c>
      <c r="M284" s="12">
        <v>46066.708333333336</v>
      </c>
      <c r="N284" s="12">
        <v>46066.746527777781</v>
      </c>
      <c r="O284" s="12" t="s">
        <v>63</v>
      </c>
      <c r="P284" s="85" t="s">
        <v>64</v>
      </c>
      <c r="Q284" s="3">
        <v>0</v>
      </c>
      <c r="R284" s="1">
        <f t="shared" si="82"/>
        <v>7</v>
      </c>
      <c r="S284" s="1">
        <f t="shared" si="83"/>
        <v>2</v>
      </c>
      <c r="T284" s="126">
        <f t="shared" si="84"/>
        <v>46066.727083333331</v>
      </c>
      <c r="U284" s="127">
        <f t="shared" si="85"/>
        <v>0.97777777777810115</v>
      </c>
      <c r="V284" s="128">
        <f>Table2[[#This Row],[ATA A OFRECIMIENTO]]*24</f>
        <v>23.466666666674428</v>
      </c>
      <c r="W284" s="1" t="str">
        <f t="shared" si="86"/>
        <v>YES</v>
      </c>
      <c r="X284" s="127">
        <f t="shared" si="87"/>
        <v>1.25</v>
      </c>
      <c r="Y284" s="128">
        <f>Table2[[#This Row],[DEL. AVAILABLE A SLOT]]*24</f>
        <v>30</v>
      </c>
      <c r="Z284" s="1" t="str">
        <f t="shared" si="88"/>
        <v>NO</v>
      </c>
      <c r="AA284" s="127">
        <f t="shared" si="89"/>
        <v>2.2277777777781012</v>
      </c>
      <c r="AB284" s="128">
        <f>Table2[[#This Row],[ATA A TIMESLOT]]*24</f>
        <v>53.466666666674428</v>
      </c>
      <c r="AC284" s="127">
        <f t="shared" si="90"/>
        <v>1.8749999995634425E-2</v>
      </c>
      <c r="AD284" s="127" t="str">
        <f t="shared" si="91"/>
        <v>SI</v>
      </c>
      <c r="AE284" s="128">
        <f>Table2[[#This Row],[PUNTUALIDAD (H)]]*24</f>
        <v>0.44999999989522621</v>
      </c>
      <c r="AF284" s="127">
        <f t="shared" si="92"/>
        <v>2.265972222223354</v>
      </c>
      <c r="AG284" s="128">
        <f>Table2[[#This Row],[ATA TO UNLOADING]]*24</f>
        <v>54.383333333360497</v>
      </c>
      <c r="AH284" s="128" t="str">
        <f>IF(Table2[[#This Row],[ATA TO UNLOADING 2]]&lt;=48,"YES","NO")</f>
        <v>NO</v>
      </c>
      <c r="AJ284" s="129">
        <f t="shared" si="93"/>
        <v>0.70833333333575865</v>
      </c>
      <c r="AK284" s="2" t="s">
        <v>64</v>
      </c>
      <c r="AL284" s="2" t="str">
        <f t="shared" si="94"/>
        <v>7/26</v>
      </c>
      <c r="AM284" s="2" t="str">
        <f t="shared" si="95"/>
        <v>MRKU4598419</v>
      </c>
      <c r="AN284" s="130" t="str">
        <f t="shared" si="96"/>
        <v>OTL</v>
      </c>
      <c r="AO284" s="141">
        <v>553.5</v>
      </c>
      <c r="AP284" s="131" t="e">
        <v>#N/A</v>
      </c>
      <c r="AQ284" s="131">
        <f>VLOOKUP($E284,Invoicing!$A$1:$H$12,MATCH(TRACKER!$Q$1,Invoicing!$A$1:$H$1,0),FALSE)</f>
        <v>60</v>
      </c>
      <c r="AR284" s="131">
        <v>0</v>
      </c>
      <c r="AS284" s="2">
        <f t="shared" si="97"/>
        <v>5</v>
      </c>
      <c r="AT284" s="2" t="str">
        <f t="shared" si="100"/>
        <v>WEEK</v>
      </c>
      <c r="AU284" s="2" t="str">
        <f t="shared" si="98"/>
        <v>OTLWEEK</v>
      </c>
      <c r="AV284" s="94">
        <v>553.5</v>
      </c>
      <c r="AW284" s="48">
        <f>VLOOKUP(AN284,Invoicing!A:K,11,FALSE)</f>
        <v>20</v>
      </c>
      <c r="AY284" s="48"/>
      <c r="AZ284" s="48">
        <f t="shared" si="99"/>
        <v>573.5</v>
      </c>
      <c r="BA284" s="132">
        <f>VLOOKUP(AN284,Invoicing!A:J,10,FALSE)</f>
        <v>70</v>
      </c>
      <c r="BB284" s="132">
        <f>VLOOKUP(AN284,Invoicing!A:L,12,FALSE)</f>
        <v>1</v>
      </c>
      <c r="BC284" s="2" t="s">
        <v>359</v>
      </c>
    </row>
    <row r="285" spans="1:55">
      <c r="A285" s="38" t="s">
        <v>527</v>
      </c>
      <c r="B285" s="140" t="s">
        <v>528</v>
      </c>
      <c r="C285" s="11">
        <v>46064.480555555558</v>
      </c>
      <c r="D285" s="11">
        <v>46064.458333333336</v>
      </c>
      <c r="E285" s="11" t="s">
        <v>71</v>
      </c>
      <c r="F285" s="11" t="s">
        <v>529</v>
      </c>
      <c r="G285" s="11" t="s">
        <v>59</v>
      </c>
      <c r="H285" s="11" t="s">
        <v>91</v>
      </c>
      <c r="I285" s="3" t="s">
        <v>572</v>
      </c>
      <c r="J285" s="3" t="s">
        <v>82</v>
      </c>
      <c r="K285" s="11">
        <v>46065.458333333336</v>
      </c>
      <c r="L285" s="12">
        <v>46066.756944444445</v>
      </c>
      <c r="M285" s="12">
        <v>46066.708333333336</v>
      </c>
      <c r="N285" s="12">
        <v>46066.811805555553</v>
      </c>
      <c r="O285" s="12" t="s">
        <v>63</v>
      </c>
      <c r="P285" s="85" t="s">
        <v>64</v>
      </c>
      <c r="Q285" s="3">
        <v>0</v>
      </c>
      <c r="R285" s="1">
        <f t="shared" si="82"/>
        <v>7</v>
      </c>
      <c r="S285" s="1">
        <f t="shared" si="83"/>
        <v>2</v>
      </c>
      <c r="T285" s="126">
        <f t="shared" si="84"/>
        <v>46066.756944444445</v>
      </c>
      <c r="U285" s="127">
        <f t="shared" si="85"/>
        <v>0.97777777777810115</v>
      </c>
      <c r="V285" s="128">
        <f>Table2[[#This Row],[ATA A OFRECIMIENTO]]*24</f>
        <v>23.466666666674428</v>
      </c>
      <c r="W285" s="1" t="str">
        <f t="shared" si="86"/>
        <v>YES</v>
      </c>
      <c r="X285" s="127">
        <f t="shared" si="87"/>
        <v>1.25</v>
      </c>
      <c r="Y285" s="128">
        <f>Table2[[#This Row],[DEL. AVAILABLE A SLOT]]*24</f>
        <v>30</v>
      </c>
      <c r="Z285" s="1" t="str">
        <f t="shared" si="88"/>
        <v>NO</v>
      </c>
      <c r="AA285" s="127">
        <f t="shared" si="89"/>
        <v>2.2277777777781012</v>
      </c>
      <c r="AB285" s="128">
        <f>Table2[[#This Row],[ATA A TIMESLOT]]*24</f>
        <v>53.466666666674428</v>
      </c>
      <c r="AC285" s="127">
        <f t="shared" si="90"/>
        <v>4.8611111109494232E-2</v>
      </c>
      <c r="AD285" s="127" t="str">
        <f t="shared" si="91"/>
        <v>NO</v>
      </c>
      <c r="AE285" s="128">
        <f>Table2[[#This Row],[PUNTUALIDAD (H)]]*24</f>
        <v>1.1666666666278616</v>
      </c>
      <c r="AF285" s="127">
        <f t="shared" si="92"/>
        <v>2.3312499999956344</v>
      </c>
      <c r="AG285" s="128">
        <f>Table2[[#This Row],[ATA TO UNLOADING]]*24</f>
        <v>55.949999999895226</v>
      </c>
      <c r="AH285" s="128" t="str">
        <f>IF(Table2[[#This Row],[ATA TO UNLOADING 2]]&lt;=48,"YES","NO")</f>
        <v>NO</v>
      </c>
      <c r="AJ285" s="129">
        <f t="shared" si="93"/>
        <v>0.70833333333575865</v>
      </c>
      <c r="AK285" s="2" t="s">
        <v>64</v>
      </c>
      <c r="AL285" s="2" t="str">
        <f t="shared" si="94"/>
        <v>7/26</v>
      </c>
      <c r="AM285" s="2" t="str">
        <f t="shared" si="95"/>
        <v>MRSU3573194</v>
      </c>
      <c r="AN285" s="130" t="str">
        <f t="shared" si="96"/>
        <v>LOGIX</v>
      </c>
      <c r="AO285" s="141">
        <v>573.5</v>
      </c>
      <c r="AP285" s="131" t="e">
        <v>#N/A</v>
      </c>
      <c r="AQ285" s="131">
        <f>VLOOKUP($E285,Invoicing!$A$1:$H$12,MATCH(TRACKER!$Q$1,Invoicing!$A$1:$H$1,0),FALSE)</f>
        <v>50</v>
      </c>
      <c r="AR285" s="131">
        <v>0</v>
      </c>
      <c r="AS285" s="2">
        <f t="shared" si="97"/>
        <v>5</v>
      </c>
      <c r="AT285" s="2" t="str">
        <f t="shared" si="100"/>
        <v>WEEK</v>
      </c>
      <c r="AU285" s="2" t="str">
        <f t="shared" si="98"/>
        <v>LOGIXWEEK</v>
      </c>
      <c r="AV285" s="94">
        <v>573.5</v>
      </c>
      <c r="AW285" s="48">
        <f>VLOOKUP(AN285,Invoicing!A:K,11,FALSE)</f>
        <v>20</v>
      </c>
      <c r="AY285" s="48"/>
      <c r="AZ285" s="48">
        <f t="shared" si="99"/>
        <v>593.5</v>
      </c>
      <c r="BA285" s="132">
        <f>VLOOKUP(AN285,Invoicing!A:J,10,FALSE)</f>
        <v>70</v>
      </c>
      <c r="BB285" s="132">
        <f>VLOOKUP(AN285,Invoicing!A:L,12,FALSE)</f>
        <v>1</v>
      </c>
      <c r="BC285" s="2" t="s">
        <v>359</v>
      </c>
    </row>
    <row r="286" spans="1:55">
      <c r="A286" s="38" t="s">
        <v>527</v>
      </c>
      <c r="B286" s="140" t="s">
        <v>528</v>
      </c>
      <c r="C286" s="11">
        <v>46064.480555555558</v>
      </c>
      <c r="D286" s="11">
        <v>46064.458333333336</v>
      </c>
      <c r="E286" s="11" t="s">
        <v>98</v>
      </c>
      <c r="F286" s="11" t="s">
        <v>544</v>
      </c>
      <c r="G286" s="11" t="s">
        <v>59</v>
      </c>
      <c r="H286" s="11" t="s">
        <v>91</v>
      </c>
      <c r="I286" s="3" t="s">
        <v>573</v>
      </c>
      <c r="J286" s="3" t="s">
        <v>82</v>
      </c>
      <c r="K286" s="11">
        <v>46065.458333333336</v>
      </c>
      <c r="L286" s="12">
        <v>46066.792361111111</v>
      </c>
      <c r="M286" s="12">
        <v>46066.791666666664</v>
      </c>
      <c r="N286" s="12">
        <v>46066.833333333336</v>
      </c>
      <c r="O286" s="12" t="s">
        <v>63</v>
      </c>
      <c r="P286" s="85" t="s">
        <v>64</v>
      </c>
      <c r="Q286" s="3">
        <v>0</v>
      </c>
      <c r="R286" s="1">
        <f t="shared" si="82"/>
        <v>7</v>
      </c>
      <c r="S286" s="1">
        <f t="shared" si="83"/>
        <v>2</v>
      </c>
      <c r="T286" s="126">
        <f t="shared" si="84"/>
        <v>46066.792361111111</v>
      </c>
      <c r="U286" s="127">
        <f t="shared" si="85"/>
        <v>0.97777777777810115</v>
      </c>
      <c r="V286" s="128">
        <f>Table2[[#This Row],[ATA A OFRECIMIENTO]]*24</f>
        <v>23.466666666674428</v>
      </c>
      <c r="W286" s="1" t="str">
        <f t="shared" si="86"/>
        <v>YES</v>
      </c>
      <c r="X286" s="127">
        <f t="shared" si="87"/>
        <v>1.3333333333284827</v>
      </c>
      <c r="Y286" s="128">
        <f>Table2[[#This Row],[DEL. AVAILABLE A SLOT]]*24</f>
        <v>31.999999999883585</v>
      </c>
      <c r="Z286" s="1" t="str">
        <f t="shared" si="88"/>
        <v>NO</v>
      </c>
      <c r="AA286" s="127">
        <f t="shared" si="89"/>
        <v>2.3111111111065838</v>
      </c>
      <c r="AB286" s="128">
        <f>Table2[[#This Row],[ATA A TIMESLOT]]*24</f>
        <v>55.466666666558012</v>
      </c>
      <c r="AC286" s="127">
        <f t="shared" si="90"/>
        <v>6.944444467080757E-4</v>
      </c>
      <c r="AD286" s="127" t="str">
        <f t="shared" si="91"/>
        <v>SI</v>
      </c>
      <c r="AE286" s="128">
        <f>Table2[[#This Row],[PUNTUALIDAD (H)]]*24</f>
        <v>1.6666666720993817E-2</v>
      </c>
      <c r="AF286" s="127">
        <f t="shared" si="92"/>
        <v>2.3527777777781012</v>
      </c>
      <c r="AG286" s="128">
        <f>Table2[[#This Row],[ATA TO UNLOADING]]*24</f>
        <v>56.466666666674428</v>
      </c>
      <c r="AH286" s="128" t="str">
        <f>IF(Table2[[#This Row],[ATA TO UNLOADING 2]]&lt;=48,"YES","NO")</f>
        <v>NO</v>
      </c>
      <c r="AJ286" s="129">
        <f t="shared" si="93"/>
        <v>0.79166666666424135</v>
      </c>
      <c r="AK286" s="2" t="s">
        <v>64</v>
      </c>
      <c r="AL286" s="2" t="str">
        <f t="shared" si="94"/>
        <v>7/26</v>
      </c>
      <c r="AM286" s="2" t="str">
        <f t="shared" si="95"/>
        <v>MRKU5576477</v>
      </c>
      <c r="AN286" s="130" t="str">
        <f t="shared" si="96"/>
        <v>MSI</v>
      </c>
      <c r="AO286" s="141">
        <v>503.5</v>
      </c>
      <c r="AP286" s="131" t="e">
        <v>#N/A</v>
      </c>
      <c r="AQ286" s="131">
        <f>VLOOKUP($E286,Invoicing!$A$1:$H$12,MATCH(TRACKER!$Q$1,Invoicing!$A$1:$H$1,0),FALSE)</f>
        <v>50</v>
      </c>
      <c r="AR286" s="131">
        <v>0</v>
      </c>
      <c r="AS286" s="2">
        <f t="shared" si="97"/>
        <v>5</v>
      </c>
      <c r="AT286" s="2" t="str">
        <f t="shared" si="100"/>
        <v>WEEK</v>
      </c>
      <c r="AU286" s="2" t="str">
        <f t="shared" si="98"/>
        <v>MSIWEEK</v>
      </c>
      <c r="AV286" s="94">
        <v>638.5</v>
      </c>
      <c r="AW286" s="48">
        <f>VLOOKUP(AN286,Invoicing!A:K,11,FALSE)</f>
        <v>20</v>
      </c>
      <c r="AX286" s="48">
        <v>135</v>
      </c>
      <c r="AY286" s="94" t="s">
        <v>463</v>
      </c>
      <c r="AZ286" s="48">
        <f t="shared" si="99"/>
        <v>658.5</v>
      </c>
      <c r="BA286" s="132">
        <f>VLOOKUP(AN286,Invoicing!A:J,10,FALSE)</f>
        <v>70</v>
      </c>
      <c r="BB286" s="132">
        <f>VLOOKUP(AN286,Invoicing!A:L,12,FALSE)</f>
        <v>1</v>
      </c>
      <c r="BC286" s="2" t="s">
        <v>359</v>
      </c>
    </row>
    <row r="287" spans="1:55">
      <c r="A287" s="38" t="s">
        <v>527</v>
      </c>
      <c r="B287" s="140" t="s">
        <v>528</v>
      </c>
      <c r="C287" s="11">
        <v>46064.480555555558</v>
      </c>
      <c r="D287" s="11">
        <v>46064.458333333336</v>
      </c>
      <c r="E287" s="11" t="s">
        <v>71</v>
      </c>
      <c r="F287" s="11" t="s">
        <v>537</v>
      </c>
      <c r="G287" s="11" t="s">
        <v>133</v>
      </c>
      <c r="H287" s="11" t="s">
        <v>91</v>
      </c>
      <c r="I287" s="3" t="s">
        <v>574</v>
      </c>
      <c r="J287" s="3" t="s">
        <v>82</v>
      </c>
      <c r="K287" s="11">
        <v>46065.458333333336</v>
      </c>
      <c r="L287" s="12">
        <v>46066.772916666669</v>
      </c>
      <c r="M287" s="12">
        <v>46066.833333333336</v>
      </c>
      <c r="N287" s="12">
        <v>46066.811805555553</v>
      </c>
      <c r="O287" s="12" t="s">
        <v>63</v>
      </c>
      <c r="P287" s="85" t="s">
        <v>64</v>
      </c>
      <c r="Q287" s="3">
        <v>0</v>
      </c>
      <c r="R287" s="1">
        <f t="shared" si="82"/>
        <v>7</v>
      </c>
      <c r="S287" s="1">
        <f t="shared" si="83"/>
        <v>2</v>
      </c>
      <c r="T287" s="126">
        <f t="shared" si="84"/>
        <v>46066.772916666669</v>
      </c>
      <c r="U287" s="127">
        <f t="shared" si="85"/>
        <v>0.97777777777810115</v>
      </c>
      <c r="V287" s="128">
        <f>Table2[[#This Row],[ATA A OFRECIMIENTO]]*24</f>
        <v>23.466666666674428</v>
      </c>
      <c r="W287" s="1" t="str">
        <f t="shared" si="86"/>
        <v>YES</v>
      </c>
      <c r="X287" s="127">
        <f t="shared" si="87"/>
        <v>1.375</v>
      </c>
      <c r="Y287" s="128">
        <f>Table2[[#This Row],[DEL. AVAILABLE A SLOT]]*24</f>
        <v>33</v>
      </c>
      <c r="Z287" s="1" t="str">
        <f t="shared" si="88"/>
        <v>NO</v>
      </c>
      <c r="AA287" s="127">
        <f t="shared" si="89"/>
        <v>2.3527777777781012</v>
      </c>
      <c r="AB287" s="128">
        <f>Table2[[#This Row],[ATA A TIMESLOT]]*24</f>
        <v>56.466666666674428</v>
      </c>
      <c r="AC287" s="127">
        <f t="shared" si="90"/>
        <v>0</v>
      </c>
      <c r="AD287" s="127" t="str">
        <f t="shared" si="91"/>
        <v>SI</v>
      </c>
      <c r="AE287" s="128">
        <f>Table2[[#This Row],[PUNTUALIDAD (H)]]*24</f>
        <v>0</v>
      </c>
      <c r="AF287" s="127">
        <f t="shared" si="92"/>
        <v>2.3312499999956344</v>
      </c>
      <c r="AG287" s="128">
        <f>Table2[[#This Row],[ATA TO UNLOADING]]*24</f>
        <v>55.949999999895226</v>
      </c>
      <c r="AH287" s="128" t="str">
        <f>IF(Table2[[#This Row],[ATA TO UNLOADING 2]]&lt;=48,"YES","NO")</f>
        <v>NO</v>
      </c>
      <c r="AJ287" s="129">
        <f t="shared" si="93"/>
        <v>0.83333333333575865</v>
      </c>
      <c r="AK287" s="49" t="s">
        <v>36</v>
      </c>
      <c r="AL287" s="2" t="str">
        <f t="shared" si="94"/>
        <v>7/26</v>
      </c>
      <c r="AM287" s="2" t="str">
        <f t="shared" si="95"/>
        <v>TCLU1660033</v>
      </c>
      <c r="AN287" s="130" t="str">
        <f t="shared" si="96"/>
        <v>LOGIX</v>
      </c>
      <c r="AO287" s="141">
        <v>573.5</v>
      </c>
      <c r="AP287" s="131" t="e">
        <v>#N/A</v>
      </c>
      <c r="AQ287" s="131">
        <f>VLOOKUP($E287,Invoicing!$A$1:$H$12,MATCH(TRACKER!$Q$1,Invoicing!$A$1:$H$1,0),FALSE)</f>
        <v>50</v>
      </c>
      <c r="AR287" s="131">
        <v>0</v>
      </c>
      <c r="AS287" s="2">
        <f t="shared" si="97"/>
        <v>5</v>
      </c>
      <c r="AT287" s="2" t="str">
        <f t="shared" si="100"/>
        <v>NIGHT</v>
      </c>
      <c r="AU287" s="2" t="str">
        <f t="shared" si="98"/>
        <v>LOGIXNIGHT</v>
      </c>
      <c r="AV287" s="94">
        <v>573.5</v>
      </c>
      <c r="AW287" s="48">
        <f>VLOOKUP(AN287,Invoicing!A:K,11,FALSE)</f>
        <v>20</v>
      </c>
      <c r="AY287" s="48"/>
      <c r="AZ287" s="48">
        <f t="shared" si="99"/>
        <v>593.5</v>
      </c>
      <c r="BA287" s="132">
        <f>VLOOKUP(AN287,Invoicing!A:J,10,FALSE)</f>
        <v>70</v>
      </c>
      <c r="BB287" s="132">
        <f>VLOOKUP(AN287,Invoicing!A:L,12,FALSE)</f>
        <v>1</v>
      </c>
      <c r="BC287" s="2" t="s">
        <v>359</v>
      </c>
    </row>
    <row r="288" spans="1:55">
      <c r="A288" s="38" t="s">
        <v>527</v>
      </c>
      <c r="B288" s="140" t="s">
        <v>528</v>
      </c>
      <c r="C288" s="11">
        <v>46064.480555555558</v>
      </c>
      <c r="D288" s="11">
        <v>46064.458333333336</v>
      </c>
      <c r="E288" s="11" t="s">
        <v>57</v>
      </c>
      <c r="F288" s="11" t="s">
        <v>554</v>
      </c>
      <c r="G288" s="11" t="s">
        <v>59</v>
      </c>
      <c r="H288" s="11" t="s">
        <v>91</v>
      </c>
      <c r="I288" s="3" t="s">
        <v>575</v>
      </c>
      <c r="J288" s="3" t="s">
        <v>82</v>
      </c>
      <c r="K288" s="11">
        <v>46065.458333333336</v>
      </c>
      <c r="L288" s="12">
        <v>46066.714583333334</v>
      </c>
      <c r="M288" s="12">
        <v>46066.875</v>
      </c>
      <c r="N288" s="12">
        <v>46066.750694444447</v>
      </c>
      <c r="O288" s="12" t="s">
        <v>63</v>
      </c>
      <c r="P288" s="85" t="s">
        <v>64</v>
      </c>
      <c r="Q288" s="3">
        <v>0</v>
      </c>
      <c r="R288" s="1">
        <f t="shared" si="82"/>
        <v>7</v>
      </c>
      <c r="S288" s="1">
        <f t="shared" si="83"/>
        <v>2</v>
      </c>
      <c r="T288" s="126">
        <f t="shared" si="84"/>
        <v>46066.714583333334</v>
      </c>
      <c r="U288" s="127">
        <f t="shared" si="85"/>
        <v>0.97777777777810115</v>
      </c>
      <c r="V288" s="128">
        <f>Table2[[#This Row],[ATA A OFRECIMIENTO]]*24</f>
        <v>23.466666666674428</v>
      </c>
      <c r="W288" s="1" t="str">
        <f t="shared" si="86"/>
        <v>YES</v>
      </c>
      <c r="X288" s="127">
        <f t="shared" si="87"/>
        <v>1.4166666666642413</v>
      </c>
      <c r="Y288" s="128">
        <f>Table2[[#This Row],[DEL. AVAILABLE A SLOT]]*24</f>
        <v>33.999999999941792</v>
      </c>
      <c r="Z288" s="1" t="str">
        <f t="shared" si="88"/>
        <v>NO</v>
      </c>
      <c r="AA288" s="127">
        <f t="shared" si="89"/>
        <v>2.3944444444423425</v>
      </c>
      <c r="AB288" s="128">
        <f>Table2[[#This Row],[ATA A TIMESLOT]]*24</f>
        <v>57.46666666661622</v>
      </c>
      <c r="AC288" s="127">
        <f t="shared" si="90"/>
        <v>0</v>
      </c>
      <c r="AD288" s="127" t="str">
        <f t="shared" si="91"/>
        <v>SI</v>
      </c>
      <c r="AE288" s="128">
        <f>Table2[[#This Row],[PUNTUALIDAD (H)]]*24</f>
        <v>0</v>
      </c>
      <c r="AF288" s="127">
        <f t="shared" si="92"/>
        <v>2.2701388888890506</v>
      </c>
      <c r="AG288" s="128">
        <f>Table2[[#This Row],[ATA TO UNLOADING]]*24</f>
        <v>54.483333333337214</v>
      </c>
      <c r="AH288" s="128" t="str">
        <f>IF(Table2[[#This Row],[ATA TO UNLOADING 2]]&lt;=48,"YES","NO")</f>
        <v>NO</v>
      </c>
      <c r="AJ288" s="129">
        <f t="shared" si="93"/>
        <v>0.875</v>
      </c>
      <c r="AK288" s="49" t="s">
        <v>36</v>
      </c>
      <c r="AL288" s="2" t="str">
        <f t="shared" si="94"/>
        <v>7/26</v>
      </c>
      <c r="AM288" s="2" t="str">
        <f t="shared" si="95"/>
        <v>CAAU2498632</v>
      </c>
      <c r="AN288" s="130" t="str">
        <f t="shared" si="96"/>
        <v>CTK TRANSPORT</v>
      </c>
      <c r="AO288" s="141">
        <v>623.5</v>
      </c>
      <c r="AP288" s="131" t="e">
        <v>#N/A</v>
      </c>
      <c r="AQ288" s="131">
        <f>VLOOKUP($E288,Invoicing!$A$1:$H$12,MATCH(TRACKER!$Q$1,Invoicing!$A$1:$H$1,0),FALSE)</f>
        <v>50</v>
      </c>
      <c r="AR288" s="131">
        <v>0</v>
      </c>
      <c r="AS288" s="2">
        <f t="shared" si="97"/>
        <v>5</v>
      </c>
      <c r="AT288" s="2" t="str">
        <f t="shared" si="100"/>
        <v>NIGHT</v>
      </c>
      <c r="AU288" s="2" t="str">
        <f t="shared" si="98"/>
        <v>CTK TRANSPORTNIGHT</v>
      </c>
      <c r="AV288" s="94">
        <v>623.5</v>
      </c>
      <c r="AW288" s="48">
        <f>VLOOKUP(AN288,Invoicing!A:K,11,FALSE)</f>
        <v>20</v>
      </c>
      <c r="AY288" s="48"/>
      <c r="AZ288" s="48">
        <f t="shared" si="99"/>
        <v>643.5</v>
      </c>
      <c r="BA288" s="132">
        <f>VLOOKUP(AN288,Invoicing!A:J,10,FALSE)</f>
        <v>70</v>
      </c>
      <c r="BB288" s="132">
        <f>VLOOKUP(AN288,Invoicing!A:L,12,FALSE)</f>
        <v>1</v>
      </c>
      <c r="BC288" s="2" t="s">
        <v>359</v>
      </c>
    </row>
    <row r="289" spans="1:55">
      <c r="A289" s="87" t="s">
        <v>527</v>
      </c>
      <c r="B289" s="140" t="s">
        <v>528</v>
      </c>
      <c r="C289" s="89">
        <v>46064.480555555558</v>
      </c>
      <c r="D289" s="89">
        <v>46064.458333333336</v>
      </c>
      <c r="E289" s="89" t="s">
        <v>98</v>
      </c>
      <c r="F289" s="89" t="s">
        <v>537</v>
      </c>
      <c r="G289" s="89" t="s">
        <v>133</v>
      </c>
      <c r="H289" s="89" t="s">
        <v>91</v>
      </c>
      <c r="I289" s="91" t="s">
        <v>576</v>
      </c>
      <c r="J289" s="91" t="s">
        <v>82</v>
      </c>
      <c r="K289" s="89">
        <v>46065.458333333336</v>
      </c>
      <c r="L289" s="90">
        <v>46066.861111111109</v>
      </c>
      <c r="M289" s="90">
        <v>46066.958333333336</v>
      </c>
      <c r="N289" s="90">
        <v>46066.875</v>
      </c>
      <c r="O289" s="90" t="s">
        <v>63</v>
      </c>
      <c r="P289" s="93" t="s">
        <v>64</v>
      </c>
      <c r="Q289" s="91">
        <v>0</v>
      </c>
      <c r="R289" s="1">
        <f t="shared" si="82"/>
        <v>7</v>
      </c>
      <c r="S289" s="1">
        <f t="shared" si="83"/>
        <v>2</v>
      </c>
      <c r="T289" s="126">
        <f t="shared" si="84"/>
        <v>46066.861111111109</v>
      </c>
      <c r="U289" s="127">
        <f t="shared" si="85"/>
        <v>0.97777777777810115</v>
      </c>
      <c r="V289" s="128">
        <f>Table2[[#This Row],[ATA A OFRECIMIENTO]]*24</f>
        <v>23.466666666674428</v>
      </c>
      <c r="W289" s="1" t="str">
        <f t="shared" si="86"/>
        <v>YES</v>
      </c>
      <c r="X289" s="127">
        <f t="shared" si="87"/>
        <v>1.5</v>
      </c>
      <c r="Y289" s="128">
        <f>Table2[[#This Row],[DEL. AVAILABLE A SLOT]]*24</f>
        <v>36</v>
      </c>
      <c r="Z289" s="1" t="str">
        <f t="shared" si="88"/>
        <v>NO</v>
      </c>
      <c r="AA289" s="127">
        <f t="shared" si="89"/>
        <v>2.4777777777781012</v>
      </c>
      <c r="AB289" s="128">
        <f>Table2[[#This Row],[ATA A TIMESLOT]]*24</f>
        <v>59.466666666674428</v>
      </c>
      <c r="AC289" s="127">
        <f t="shared" si="90"/>
        <v>0</v>
      </c>
      <c r="AD289" s="127" t="str">
        <f t="shared" si="91"/>
        <v>SI</v>
      </c>
      <c r="AE289" s="128">
        <f>Table2[[#This Row],[PUNTUALIDAD (H)]]*24</f>
        <v>0</v>
      </c>
      <c r="AF289" s="127">
        <f t="shared" si="92"/>
        <v>2.3944444444423425</v>
      </c>
      <c r="AG289" s="128">
        <f>Table2[[#This Row],[ATA TO UNLOADING]]*24</f>
        <v>57.46666666661622</v>
      </c>
      <c r="AH289" s="128" t="str">
        <f>IF(Table2[[#This Row],[ATA TO UNLOADING 2]]&lt;=48,"YES","NO")</f>
        <v>NO</v>
      </c>
      <c r="AJ289" s="129">
        <f t="shared" si="93"/>
        <v>0.95833333333575865</v>
      </c>
      <c r="AK289" s="49" t="s">
        <v>36</v>
      </c>
      <c r="AL289" s="2" t="str">
        <f t="shared" si="94"/>
        <v>7/26</v>
      </c>
      <c r="AM289" s="2" t="str">
        <f t="shared" si="95"/>
        <v>UACU6023192</v>
      </c>
      <c r="AN289" s="130" t="str">
        <f t="shared" si="96"/>
        <v>MSI</v>
      </c>
      <c r="AO289" s="141">
        <v>553.5</v>
      </c>
      <c r="AP289" s="131" t="e">
        <v>#N/A</v>
      </c>
      <c r="AQ289" s="131">
        <f>VLOOKUP($E289,Invoicing!$A$1:$H$12,MATCH(TRACKER!$Q$1,Invoicing!$A$1:$H$1,0),FALSE)</f>
        <v>50</v>
      </c>
      <c r="AR289" s="131">
        <v>0</v>
      </c>
      <c r="AS289" s="2">
        <f t="shared" si="97"/>
        <v>5</v>
      </c>
      <c r="AT289" s="2" t="str">
        <f t="shared" si="100"/>
        <v>NIGHT</v>
      </c>
      <c r="AU289" s="2" t="str">
        <f t="shared" si="98"/>
        <v>MSINIGHT</v>
      </c>
      <c r="AV289" s="94">
        <v>553.5</v>
      </c>
      <c r="AW289" s="48">
        <f>VLOOKUP(AN289,Invoicing!A:K,11,FALSE)</f>
        <v>20</v>
      </c>
      <c r="AY289" s="48"/>
      <c r="AZ289" s="48">
        <f t="shared" si="99"/>
        <v>573.5</v>
      </c>
      <c r="BA289" s="132">
        <f>VLOOKUP(AN289,Invoicing!A:J,10,FALSE)</f>
        <v>70</v>
      </c>
      <c r="BB289" s="132">
        <f>VLOOKUP(AN289,Invoicing!A:L,12,FALSE)</f>
        <v>1</v>
      </c>
      <c r="BC289" s="2" t="s">
        <v>359</v>
      </c>
    </row>
    <row r="290" spans="1:55">
      <c r="A290" s="38" t="s">
        <v>577</v>
      </c>
      <c r="B290" s="3" t="s">
        <v>77</v>
      </c>
      <c r="C290" s="11">
        <v>46065.466666666667</v>
      </c>
      <c r="D290" s="11">
        <v>46065.375</v>
      </c>
      <c r="E290" s="11" t="s">
        <v>83</v>
      </c>
      <c r="F290" s="11" t="s">
        <v>578</v>
      </c>
      <c r="G290" s="11" t="s">
        <v>59</v>
      </c>
      <c r="H290" s="11" t="s">
        <v>80</v>
      </c>
      <c r="I290" s="3" t="s">
        <v>579</v>
      </c>
      <c r="J290" s="86" t="s">
        <v>100</v>
      </c>
      <c r="K290" s="12">
        <v>46066.75</v>
      </c>
      <c r="L290" s="12">
        <v>46066.763888888891</v>
      </c>
      <c r="M290" s="12">
        <v>46066.75</v>
      </c>
      <c r="N290" s="12">
        <v>46066.777777777781</v>
      </c>
      <c r="O290" s="12" t="s">
        <v>63</v>
      </c>
      <c r="P290" s="85" t="s">
        <v>64</v>
      </c>
      <c r="Q290" s="3">
        <v>1</v>
      </c>
      <c r="R290" s="1">
        <f t="shared" si="82"/>
        <v>7</v>
      </c>
      <c r="S290" s="1">
        <f t="shared" si="83"/>
        <v>2</v>
      </c>
      <c r="T290" s="126">
        <f t="shared" si="84"/>
        <v>46066.763888888891</v>
      </c>
      <c r="U290" s="127">
        <f t="shared" si="85"/>
        <v>1.2833333333328483</v>
      </c>
      <c r="V290" s="128">
        <f>Table2[[#This Row],[ATA A OFRECIMIENTO]]*24</f>
        <v>30.799999999988358</v>
      </c>
      <c r="W290" s="1" t="str">
        <f t="shared" si="86"/>
        <v>YES</v>
      </c>
      <c r="X290" s="127">
        <f t="shared" si="87"/>
        <v>0</v>
      </c>
      <c r="Y290" s="128">
        <f>Table2[[#This Row],[DEL. AVAILABLE A SLOT]]*24</f>
        <v>0</v>
      </c>
      <c r="Z290" s="1" t="str">
        <f t="shared" si="88"/>
        <v>SI</v>
      </c>
      <c r="AA290" s="127">
        <f t="shared" si="89"/>
        <v>1.2833333333328483</v>
      </c>
      <c r="AB290" s="128">
        <f>Table2[[#This Row],[ATA A TIMESLOT]]*24</f>
        <v>30.799999999988358</v>
      </c>
      <c r="AC290" s="127">
        <f t="shared" si="90"/>
        <v>1.3888888890505768E-2</v>
      </c>
      <c r="AD290" s="127" t="str">
        <f t="shared" si="91"/>
        <v>SI</v>
      </c>
      <c r="AE290" s="128">
        <f>Table2[[#This Row],[PUNTUALIDAD (H)]]*24</f>
        <v>0.33333333337213844</v>
      </c>
      <c r="AF290" s="127">
        <f t="shared" si="92"/>
        <v>1.3111111111138598</v>
      </c>
      <c r="AG290" s="128">
        <f>Table2[[#This Row],[ATA TO UNLOADING]]*24</f>
        <v>31.466666666732635</v>
      </c>
      <c r="AH290" s="128" t="str">
        <f>IF(Table2[[#This Row],[ATA TO UNLOADING 2]]&lt;=48,"YES","NO")</f>
        <v>YES</v>
      </c>
      <c r="AJ290" s="129">
        <f t="shared" si="93"/>
        <v>0.75</v>
      </c>
      <c r="AK290" s="2" t="s">
        <v>64</v>
      </c>
      <c r="AL290" s="2" t="str">
        <f t="shared" si="94"/>
        <v>7/26</v>
      </c>
      <c r="AM290" s="2" t="str">
        <f t="shared" si="95"/>
        <v>MAGU5450915</v>
      </c>
      <c r="AN290" s="130" t="str">
        <f t="shared" si="96"/>
        <v>OM TRANSPORT</v>
      </c>
      <c r="AO290" s="141">
        <v>498.5</v>
      </c>
      <c r="AP290" s="131" t="e">
        <v>#N/A</v>
      </c>
      <c r="AQ290" s="131">
        <f>VLOOKUP($E290,Invoicing!$A$1:$H$12,MATCH(TRACKER!$Q$1,Invoicing!$A$1:$H$1,0),FALSE)</f>
        <v>50</v>
      </c>
      <c r="AR290" s="131">
        <v>50</v>
      </c>
      <c r="AS290" s="2">
        <f t="shared" si="97"/>
        <v>5</v>
      </c>
      <c r="AT290" s="2" t="str">
        <f t="shared" si="100"/>
        <v>WEEK</v>
      </c>
      <c r="AU290" s="2" t="str">
        <f t="shared" si="98"/>
        <v>OM TRANSPORTWEEK</v>
      </c>
      <c r="AV290" s="94">
        <v>683.5</v>
      </c>
      <c r="AW290" s="94">
        <f>VLOOKUP(AN290,Invoicing!A:K,11,FALSE)</f>
        <v>20</v>
      </c>
      <c r="AX290" s="48">
        <v>135</v>
      </c>
      <c r="AY290" s="94" t="s">
        <v>580</v>
      </c>
      <c r="AZ290" s="94">
        <f t="shared" si="99"/>
        <v>703.5</v>
      </c>
      <c r="BA290" s="133">
        <f>VLOOKUP(AN290,Invoicing!A:J,10,FALSE)</f>
        <v>70</v>
      </c>
      <c r="BB290" s="133">
        <f>VLOOKUP(AN290,Invoicing!A:L,12,FALSE)</f>
        <v>1</v>
      </c>
      <c r="BC290" s="2" t="s">
        <v>359</v>
      </c>
    </row>
    <row r="291" spans="1:55">
      <c r="A291" s="38" t="s">
        <v>577</v>
      </c>
      <c r="B291" s="3" t="s">
        <v>77</v>
      </c>
      <c r="C291" s="11">
        <v>46065.466666666667</v>
      </c>
      <c r="D291" s="11">
        <v>46065.375</v>
      </c>
      <c r="E291" s="11" t="s">
        <v>71</v>
      </c>
      <c r="F291" s="11" t="s">
        <v>581</v>
      </c>
      <c r="G291" s="11" t="s">
        <v>59</v>
      </c>
      <c r="H291" s="11" t="s">
        <v>80</v>
      </c>
      <c r="I291" s="3" t="s">
        <v>582</v>
      </c>
      <c r="J291" s="86" t="s">
        <v>82</v>
      </c>
      <c r="K291" s="11">
        <v>46066.916666666664</v>
      </c>
      <c r="L291" s="12">
        <v>46066.911111111112</v>
      </c>
      <c r="M291" s="12">
        <v>46067.083333333336</v>
      </c>
      <c r="N291" s="12">
        <v>46066.972222222219</v>
      </c>
      <c r="O291" s="12" t="s">
        <v>63</v>
      </c>
      <c r="P291" s="85" t="s">
        <v>64</v>
      </c>
      <c r="Q291" s="3">
        <v>0</v>
      </c>
      <c r="R291" s="1">
        <f t="shared" si="82"/>
        <v>7</v>
      </c>
      <c r="S291" s="1">
        <f t="shared" si="83"/>
        <v>2</v>
      </c>
      <c r="T291" s="126">
        <f t="shared" si="84"/>
        <v>46066.911111111112</v>
      </c>
      <c r="U291" s="127">
        <f t="shared" si="85"/>
        <v>1.4499999999970896</v>
      </c>
      <c r="V291" s="128">
        <f>Table2[[#This Row],[ATA A OFRECIMIENTO]]*24</f>
        <v>34.799999999930151</v>
      </c>
      <c r="W291" s="1" t="str">
        <f t="shared" si="86"/>
        <v>YES</v>
      </c>
      <c r="X291" s="127">
        <f t="shared" si="87"/>
        <v>0.16666666667151731</v>
      </c>
      <c r="Y291" s="128">
        <f>Table2[[#This Row],[DEL. AVAILABLE A SLOT]]*24</f>
        <v>4.0000000001164153</v>
      </c>
      <c r="Z291" s="1" t="str">
        <f t="shared" si="88"/>
        <v>SI</v>
      </c>
      <c r="AA291" s="127">
        <f t="shared" si="89"/>
        <v>1.6166666666686069</v>
      </c>
      <c r="AB291" s="128">
        <f>Table2[[#This Row],[ATA A TIMESLOT]]*24</f>
        <v>38.800000000046566</v>
      </c>
      <c r="AC291" s="127">
        <f t="shared" si="90"/>
        <v>0</v>
      </c>
      <c r="AD291" s="127" t="str">
        <f t="shared" si="91"/>
        <v>SI</v>
      </c>
      <c r="AE291" s="128">
        <f>Table2[[#This Row],[PUNTUALIDAD (H)]]*24</f>
        <v>0</v>
      </c>
      <c r="AF291" s="127">
        <f t="shared" si="92"/>
        <v>1.5055555555518367</v>
      </c>
      <c r="AG291" s="128">
        <f>Table2[[#This Row],[ATA TO UNLOADING]]*24</f>
        <v>36.133333333244082</v>
      </c>
      <c r="AH291" s="128" t="str">
        <f>IF(Table2[[#This Row],[ATA TO UNLOADING 2]]&lt;=48,"YES","NO")</f>
        <v>YES</v>
      </c>
      <c r="AJ291" s="129">
        <f t="shared" si="93"/>
        <v>8.3333333335758653E-2</v>
      </c>
      <c r="AK291" s="49" t="s">
        <v>36</v>
      </c>
      <c r="AL291" s="2" t="str">
        <f t="shared" si="94"/>
        <v>7/26</v>
      </c>
      <c r="AM291" s="2" t="str">
        <f t="shared" si="95"/>
        <v>MRKU6057943</v>
      </c>
      <c r="AN291" s="130" t="str">
        <f t="shared" si="96"/>
        <v>LOGIX</v>
      </c>
      <c r="AO291" s="141">
        <v>573.5</v>
      </c>
      <c r="AP291" s="131" t="e">
        <v>#N/A</v>
      </c>
      <c r="AQ291" s="131">
        <f>VLOOKUP($E291,Invoicing!$A$1:$H$12,MATCH(TRACKER!$Q$1,Invoicing!$A$1:$H$1,0),FALSE)</f>
        <v>50</v>
      </c>
      <c r="AR291" s="131">
        <v>0</v>
      </c>
      <c r="AS291" s="2">
        <f t="shared" si="97"/>
        <v>6</v>
      </c>
      <c r="AT291" s="2" t="str">
        <f t="shared" si="100"/>
        <v>SATURDAY</v>
      </c>
      <c r="AU291" s="2" t="str">
        <f t="shared" si="98"/>
        <v>LOGIXSATURDAY</v>
      </c>
      <c r="AV291" s="94">
        <v>573.5</v>
      </c>
      <c r="AW291" s="94">
        <f>VLOOKUP(AN291,Invoicing!A:K,11,FALSE)</f>
        <v>20</v>
      </c>
      <c r="AY291" s="48"/>
      <c r="AZ291" s="94">
        <f t="shared" si="99"/>
        <v>593.5</v>
      </c>
      <c r="BA291" s="133">
        <f>VLOOKUP(AN291,Invoicing!A:J,10,FALSE)</f>
        <v>70</v>
      </c>
      <c r="BB291" s="133">
        <f>VLOOKUP(AN291,Invoicing!A:L,12,FALSE)</f>
        <v>1</v>
      </c>
      <c r="BC291" s="2" t="s">
        <v>359</v>
      </c>
    </row>
    <row r="292" spans="1:55">
      <c r="A292" s="38" t="s">
        <v>577</v>
      </c>
      <c r="B292" s="3" t="s">
        <v>77</v>
      </c>
      <c r="C292" s="11">
        <v>46065.466666666667</v>
      </c>
      <c r="D292" s="11">
        <v>46065.375</v>
      </c>
      <c r="E292" s="11" t="s">
        <v>71</v>
      </c>
      <c r="F292" s="11" t="s">
        <v>578</v>
      </c>
      <c r="G292" s="11" t="s">
        <v>59</v>
      </c>
      <c r="H292" s="11" t="s">
        <v>80</v>
      </c>
      <c r="I292" s="3" t="s">
        <v>583</v>
      </c>
      <c r="J292" s="86" t="s">
        <v>82</v>
      </c>
      <c r="K292" s="11">
        <v>46066.916666666664</v>
      </c>
      <c r="L292" s="12">
        <v>46067.164583333331</v>
      </c>
      <c r="M292" s="12">
        <v>46067.166666666664</v>
      </c>
      <c r="N292" s="12">
        <v>46067.170138888891</v>
      </c>
      <c r="O292" s="12" t="s">
        <v>63</v>
      </c>
      <c r="P292" s="85" t="s">
        <v>64</v>
      </c>
      <c r="Q292" s="3">
        <v>0</v>
      </c>
      <c r="R292" s="1">
        <f t="shared" si="82"/>
        <v>7</v>
      </c>
      <c r="S292" s="1">
        <f t="shared" si="83"/>
        <v>2</v>
      </c>
      <c r="T292" s="126">
        <f t="shared" si="84"/>
        <v>46067.164583333331</v>
      </c>
      <c r="U292" s="127">
        <f t="shared" si="85"/>
        <v>1.4499999999970896</v>
      </c>
      <c r="V292" s="128">
        <f>Table2[[#This Row],[ATA A OFRECIMIENTO]]*24</f>
        <v>34.799999999930151</v>
      </c>
      <c r="W292" s="1" t="str">
        <f t="shared" si="86"/>
        <v>YES</v>
      </c>
      <c r="X292" s="127">
        <f t="shared" si="87"/>
        <v>0.25</v>
      </c>
      <c r="Y292" s="128">
        <f>Table2[[#This Row],[DEL. AVAILABLE A SLOT]]*24</f>
        <v>6</v>
      </c>
      <c r="Z292" s="1" t="str">
        <f t="shared" si="88"/>
        <v>SI</v>
      </c>
      <c r="AA292" s="127">
        <f t="shared" si="89"/>
        <v>1.6999999999970896</v>
      </c>
      <c r="AB292" s="128">
        <f>Table2[[#This Row],[ATA A TIMESLOT]]*24</f>
        <v>40.799999999930151</v>
      </c>
      <c r="AC292" s="127">
        <f t="shared" si="90"/>
        <v>0</v>
      </c>
      <c r="AD292" s="127" t="str">
        <f t="shared" si="91"/>
        <v>SI</v>
      </c>
      <c r="AE292" s="128">
        <f>Table2[[#This Row],[PUNTUALIDAD (H)]]*24</f>
        <v>0</v>
      </c>
      <c r="AF292" s="127">
        <f t="shared" si="92"/>
        <v>1.703472222223354</v>
      </c>
      <c r="AG292" s="128">
        <f>Table2[[#This Row],[ATA TO UNLOADING]]*24</f>
        <v>40.883333333360497</v>
      </c>
      <c r="AH292" s="128" t="str">
        <f>IF(Table2[[#This Row],[ATA TO UNLOADING 2]]&lt;=48,"YES","NO")</f>
        <v>YES</v>
      </c>
      <c r="AJ292" s="129">
        <f t="shared" si="93"/>
        <v>0.16666666666424135</v>
      </c>
      <c r="AK292" s="49" t="s">
        <v>36</v>
      </c>
      <c r="AL292" s="2" t="str">
        <f t="shared" si="94"/>
        <v>7/26</v>
      </c>
      <c r="AM292" s="2" t="str">
        <f t="shared" si="95"/>
        <v>MSKU1792166</v>
      </c>
      <c r="AN292" s="130" t="str">
        <f t="shared" si="96"/>
        <v>LOGIX</v>
      </c>
      <c r="AO292" s="141">
        <v>573.5</v>
      </c>
      <c r="AP292" s="131" t="e">
        <v>#N/A</v>
      </c>
      <c r="AQ292" s="131">
        <f>VLOOKUP($E292,Invoicing!$A$1:$H$12,MATCH(TRACKER!$Q$1,Invoicing!$A$1:$H$1,0),FALSE)</f>
        <v>50</v>
      </c>
      <c r="AR292" s="131">
        <v>0</v>
      </c>
      <c r="AS292" s="2">
        <f t="shared" si="97"/>
        <v>6</v>
      </c>
      <c r="AT292" s="2" t="str">
        <f t="shared" si="100"/>
        <v>SATURDAY</v>
      </c>
      <c r="AU292" s="2" t="str">
        <f t="shared" si="98"/>
        <v>LOGIXSATURDAY</v>
      </c>
      <c r="AV292" s="94">
        <v>573.5</v>
      </c>
      <c r="AW292" s="94">
        <f>VLOOKUP(AN292,Invoicing!A:K,11,FALSE)</f>
        <v>20</v>
      </c>
      <c r="AY292" s="48"/>
      <c r="AZ292" s="94">
        <f t="shared" si="99"/>
        <v>593.5</v>
      </c>
      <c r="BA292" s="133">
        <f>VLOOKUP(AN292,Invoicing!A:J,10,FALSE)</f>
        <v>70</v>
      </c>
      <c r="BB292" s="133">
        <f>VLOOKUP(AN292,Invoicing!A:L,12,FALSE)</f>
        <v>1</v>
      </c>
      <c r="BC292" s="2" t="s">
        <v>359</v>
      </c>
    </row>
    <row r="293" spans="1:55">
      <c r="A293" s="38" t="s">
        <v>577</v>
      </c>
      <c r="B293" s="3" t="s">
        <v>77</v>
      </c>
      <c r="C293" s="11">
        <v>46065.466666666667</v>
      </c>
      <c r="D293" s="11">
        <v>46065.375</v>
      </c>
      <c r="E293" s="11" t="s">
        <v>57</v>
      </c>
      <c r="F293" s="11" t="s">
        <v>581</v>
      </c>
      <c r="G293" s="11" t="s">
        <v>59</v>
      </c>
      <c r="H293" s="11" t="s">
        <v>80</v>
      </c>
      <c r="I293" s="3" t="s">
        <v>584</v>
      </c>
      <c r="J293" s="86" t="s">
        <v>82</v>
      </c>
      <c r="K293" s="11">
        <v>46066.916666666664</v>
      </c>
      <c r="L293" s="12">
        <v>46067.399305555555</v>
      </c>
      <c r="M293" s="12">
        <v>46067.458333333336</v>
      </c>
      <c r="N293" s="12">
        <v>46067.423611111109</v>
      </c>
      <c r="O293" s="12" t="s">
        <v>63</v>
      </c>
      <c r="P293" s="85" t="s">
        <v>64</v>
      </c>
      <c r="Q293" s="3">
        <v>0</v>
      </c>
      <c r="R293" s="1">
        <f t="shared" si="82"/>
        <v>7</v>
      </c>
      <c r="S293" s="1">
        <f t="shared" si="83"/>
        <v>2</v>
      </c>
      <c r="T293" s="126">
        <f t="shared" si="84"/>
        <v>46067.399305555555</v>
      </c>
      <c r="U293" s="127">
        <f t="shared" si="85"/>
        <v>1.4499999999970896</v>
      </c>
      <c r="V293" s="128">
        <f>Table2[[#This Row],[ATA A OFRECIMIENTO]]*24</f>
        <v>34.799999999930151</v>
      </c>
      <c r="W293" s="1" t="str">
        <f t="shared" si="86"/>
        <v>YES</v>
      </c>
      <c r="X293" s="127">
        <f t="shared" si="87"/>
        <v>0.54166666667151731</v>
      </c>
      <c r="Y293" s="128">
        <f>Table2[[#This Row],[DEL. AVAILABLE A SLOT]]*24</f>
        <v>13.000000000116415</v>
      </c>
      <c r="Z293" s="1" t="str">
        <f t="shared" si="88"/>
        <v>SI</v>
      </c>
      <c r="AA293" s="127">
        <f t="shared" si="89"/>
        <v>1.9916666666686069</v>
      </c>
      <c r="AB293" s="128">
        <f>Table2[[#This Row],[ATA A TIMESLOT]]*24</f>
        <v>47.800000000046566</v>
      </c>
      <c r="AC293" s="127">
        <f t="shared" si="90"/>
        <v>0</v>
      </c>
      <c r="AD293" s="127" t="str">
        <f t="shared" si="91"/>
        <v>SI</v>
      </c>
      <c r="AE293" s="128">
        <f>Table2[[#This Row],[PUNTUALIDAD (H)]]*24</f>
        <v>0</v>
      </c>
      <c r="AF293" s="127">
        <f t="shared" si="92"/>
        <v>1.9569444444423425</v>
      </c>
      <c r="AG293" s="128">
        <f>Table2[[#This Row],[ATA TO UNLOADING]]*24</f>
        <v>46.96666666661622</v>
      </c>
      <c r="AH293" s="128" t="str">
        <f>IF(Table2[[#This Row],[ATA TO UNLOADING 2]]&lt;=48,"YES","NO")</f>
        <v>YES</v>
      </c>
      <c r="AJ293" s="129">
        <f t="shared" si="93"/>
        <v>0.45833333333575865</v>
      </c>
      <c r="AK293" s="2" t="s">
        <v>64</v>
      </c>
      <c r="AL293" s="2" t="str">
        <f t="shared" si="94"/>
        <v>7/26</v>
      </c>
      <c r="AM293" s="2" t="str">
        <f t="shared" si="95"/>
        <v>MRSU3563386</v>
      </c>
      <c r="AN293" s="130" t="str">
        <f t="shared" si="96"/>
        <v>CTK TRANSPORT</v>
      </c>
      <c r="AO293" s="150">
        <v>648.5</v>
      </c>
      <c r="AP293" s="131" t="e">
        <v>#N/A</v>
      </c>
      <c r="AQ293" s="131">
        <f>VLOOKUP($E293,Invoicing!$A$1:$H$12,MATCH(TRACKER!$Q$1,Invoicing!$A$1:$H$1,0),FALSE)</f>
        <v>50</v>
      </c>
      <c r="AR293" s="131">
        <v>0</v>
      </c>
      <c r="AS293" s="2">
        <f t="shared" si="97"/>
        <v>6</v>
      </c>
      <c r="AT293" s="2" t="str">
        <f t="shared" si="100"/>
        <v>SATURDAY</v>
      </c>
      <c r="AU293" s="2" t="str">
        <f t="shared" si="98"/>
        <v>CTK TRANSPORTSATURDAY</v>
      </c>
      <c r="AV293" s="94">
        <v>711</v>
      </c>
      <c r="AW293" s="94">
        <f>VLOOKUP(AN293,Invoicing!A:K,11,FALSE)</f>
        <v>20</v>
      </c>
      <c r="AX293" s="48">
        <v>62.5</v>
      </c>
      <c r="AY293" s="94" t="s">
        <v>394</v>
      </c>
      <c r="AZ293" s="94">
        <f t="shared" si="99"/>
        <v>731</v>
      </c>
      <c r="BA293" s="133">
        <f>VLOOKUP(AN293,Invoicing!A:J,10,FALSE)</f>
        <v>70</v>
      </c>
      <c r="BB293" s="133">
        <f>VLOOKUP(AN293,Invoicing!A:L,12,FALSE)</f>
        <v>1</v>
      </c>
      <c r="BC293" s="2" t="s">
        <v>359</v>
      </c>
    </row>
    <row r="294" spans="1:55">
      <c r="A294" s="38" t="s">
        <v>577</v>
      </c>
      <c r="B294" s="3" t="s">
        <v>77</v>
      </c>
      <c r="C294" s="11">
        <v>46065.466666666667</v>
      </c>
      <c r="D294" s="11">
        <v>46065.375</v>
      </c>
      <c r="E294" s="11" t="s">
        <v>98</v>
      </c>
      <c r="F294" s="11" t="s">
        <v>581</v>
      </c>
      <c r="G294" s="11" t="s">
        <v>59</v>
      </c>
      <c r="H294" s="11" t="s">
        <v>80</v>
      </c>
      <c r="I294" s="3" t="s">
        <v>585</v>
      </c>
      <c r="J294" s="86" t="s">
        <v>82</v>
      </c>
      <c r="K294" s="11">
        <v>46066.916666666664</v>
      </c>
      <c r="L294" s="12">
        <v>46067.628472222219</v>
      </c>
      <c r="M294" s="12">
        <v>46067.666666666664</v>
      </c>
      <c r="N294" s="12">
        <v>46067.655555555553</v>
      </c>
      <c r="O294" s="12" t="s">
        <v>63</v>
      </c>
      <c r="P294" s="85" t="s">
        <v>64</v>
      </c>
      <c r="Q294" s="3">
        <v>0</v>
      </c>
      <c r="R294" s="1">
        <f t="shared" si="82"/>
        <v>7</v>
      </c>
      <c r="S294" s="1">
        <f t="shared" si="83"/>
        <v>2</v>
      </c>
      <c r="T294" s="126">
        <f t="shared" si="84"/>
        <v>46067.628472222219</v>
      </c>
      <c r="U294" s="127">
        <f t="shared" si="85"/>
        <v>1.4499999999970896</v>
      </c>
      <c r="V294" s="128">
        <f>Table2[[#This Row],[ATA A OFRECIMIENTO]]*24</f>
        <v>34.799999999930151</v>
      </c>
      <c r="W294" s="1" t="str">
        <f t="shared" si="86"/>
        <v>YES</v>
      </c>
      <c r="X294" s="127">
        <f t="shared" si="87"/>
        <v>0.75</v>
      </c>
      <c r="Y294" s="128">
        <f>Table2[[#This Row],[DEL. AVAILABLE A SLOT]]*24</f>
        <v>18</v>
      </c>
      <c r="Z294" s="1" t="str">
        <f t="shared" si="88"/>
        <v>SI</v>
      </c>
      <c r="AA294" s="127">
        <f t="shared" si="89"/>
        <v>2.1999999999970896</v>
      </c>
      <c r="AB294" s="128">
        <f>Table2[[#This Row],[ATA A TIMESLOT]]*24</f>
        <v>52.799999999930151</v>
      </c>
      <c r="AC294" s="127">
        <f t="shared" si="90"/>
        <v>0</v>
      </c>
      <c r="AD294" s="127" t="str">
        <f t="shared" si="91"/>
        <v>SI</v>
      </c>
      <c r="AE294" s="128">
        <f>Table2[[#This Row],[PUNTUALIDAD (H)]]*24</f>
        <v>0</v>
      </c>
      <c r="AF294" s="127">
        <f t="shared" si="92"/>
        <v>2.1888888888861402</v>
      </c>
      <c r="AG294" s="128">
        <f>Table2[[#This Row],[ATA TO UNLOADING]]*24</f>
        <v>52.533333333267365</v>
      </c>
      <c r="AH294" s="128" t="str">
        <f>IF(Table2[[#This Row],[ATA TO UNLOADING 2]]&lt;=48,"YES","NO")</f>
        <v>NO</v>
      </c>
      <c r="AJ294" s="129">
        <f t="shared" si="93"/>
        <v>0.66666666666424135</v>
      </c>
      <c r="AK294" s="2" t="s">
        <v>64</v>
      </c>
      <c r="AL294" s="2" t="str">
        <f t="shared" si="94"/>
        <v>7/26</v>
      </c>
      <c r="AM294" s="2" t="str">
        <f t="shared" si="95"/>
        <v>MRSU4071225</v>
      </c>
      <c r="AN294" s="130" t="str">
        <f t="shared" si="96"/>
        <v>MSI</v>
      </c>
      <c r="AO294" s="141">
        <v>523.5</v>
      </c>
      <c r="AP294" s="131" t="e">
        <v>#N/A</v>
      </c>
      <c r="AQ294" s="131">
        <f>VLOOKUP($E294,Invoicing!$A$1:$H$12,MATCH(TRACKER!$Q$1,Invoicing!$A$1:$H$1,0),FALSE)</f>
        <v>50</v>
      </c>
      <c r="AR294" s="131">
        <v>0</v>
      </c>
      <c r="AS294" s="2">
        <f t="shared" si="97"/>
        <v>6</v>
      </c>
      <c r="AT294" s="2" t="str">
        <f t="shared" si="100"/>
        <v>SATURDAY</v>
      </c>
      <c r="AU294" s="2" t="str">
        <f t="shared" si="98"/>
        <v>MSISATURDAY</v>
      </c>
      <c r="AV294" s="94">
        <v>658.5</v>
      </c>
      <c r="AW294" s="94">
        <f>VLOOKUP(AN294,Invoicing!A:K,11,FALSE)</f>
        <v>20</v>
      </c>
      <c r="AX294" s="48">
        <v>135</v>
      </c>
      <c r="AY294" s="94" t="s">
        <v>586</v>
      </c>
      <c r="AZ294" s="94">
        <f t="shared" si="99"/>
        <v>678.5</v>
      </c>
      <c r="BA294" s="133">
        <f>VLOOKUP(AN294,Invoicing!A:J,10,FALSE)</f>
        <v>70</v>
      </c>
      <c r="BB294" s="133">
        <f>VLOOKUP(AN294,Invoicing!A:L,12,FALSE)</f>
        <v>1</v>
      </c>
      <c r="BC294" s="2" t="s">
        <v>359</v>
      </c>
    </row>
    <row r="295" spans="1:55">
      <c r="A295" s="38" t="s">
        <v>577</v>
      </c>
      <c r="B295" s="3" t="s">
        <v>77</v>
      </c>
      <c r="C295" s="11">
        <v>46065.466666666667</v>
      </c>
      <c r="D295" s="11">
        <v>46065.375</v>
      </c>
      <c r="E295" s="11" t="s">
        <v>98</v>
      </c>
      <c r="F295" s="11" t="s">
        <v>587</v>
      </c>
      <c r="G295" s="11" t="s">
        <v>59</v>
      </c>
      <c r="H295" s="11" t="s">
        <v>80</v>
      </c>
      <c r="I295" s="3" t="s">
        <v>588</v>
      </c>
      <c r="J295" s="86" t="s">
        <v>82</v>
      </c>
      <c r="K295" s="11">
        <v>46066.916666666664</v>
      </c>
      <c r="L295" s="12">
        <v>46067.67291666667</v>
      </c>
      <c r="M295" s="12">
        <v>46067.708333333336</v>
      </c>
      <c r="N295" s="12">
        <v>46067.688888888886</v>
      </c>
      <c r="O295" s="12" t="s">
        <v>63</v>
      </c>
      <c r="P295" s="85" t="s">
        <v>64</v>
      </c>
      <c r="Q295" s="3">
        <v>0</v>
      </c>
      <c r="R295" s="1">
        <f t="shared" si="82"/>
        <v>7</v>
      </c>
      <c r="S295" s="1">
        <f t="shared" si="83"/>
        <v>2</v>
      </c>
      <c r="T295" s="126">
        <f t="shared" si="84"/>
        <v>46067.67291666667</v>
      </c>
      <c r="U295" s="127">
        <f t="shared" si="85"/>
        <v>1.4499999999970896</v>
      </c>
      <c r="V295" s="128">
        <f>Table2[[#This Row],[ATA A OFRECIMIENTO]]*24</f>
        <v>34.799999999930151</v>
      </c>
      <c r="W295" s="1" t="str">
        <f t="shared" si="86"/>
        <v>YES</v>
      </c>
      <c r="X295" s="127">
        <f t="shared" si="87"/>
        <v>0.79166666667151731</v>
      </c>
      <c r="Y295" s="128">
        <f>Table2[[#This Row],[DEL. AVAILABLE A SLOT]]*24</f>
        <v>19.000000000116415</v>
      </c>
      <c r="Z295" s="1" t="str">
        <f t="shared" si="88"/>
        <v>SI</v>
      </c>
      <c r="AA295" s="127">
        <f t="shared" si="89"/>
        <v>2.2416666666686069</v>
      </c>
      <c r="AB295" s="128">
        <f>Table2[[#This Row],[ATA A TIMESLOT]]*24</f>
        <v>53.800000000046566</v>
      </c>
      <c r="AC295" s="127">
        <f t="shared" si="90"/>
        <v>0</v>
      </c>
      <c r="AD295" s="127" t="str">
        <f t="shared" si="91"/>
        <v>SI</v>
      </c>
      <c r="AE295" s="128">
        <f>Table2[[#This Row],[PUNTUALIDAD (H)]]*24</f>
        <v>0</v>
      </c>
      <c r="AF295" s="127">
        <f t="shared" si="92"/>
        <v>2.2222222222189885</v>
      </c>
      <c r="AG295" s="128">
        <f>Table2[[#This Row],[ATA TO UNLOADING]]*24</f>
        <v>53.333333333255723</v>
      </c>
      <c r="AH295" s="128" t="str">
        <f>IF(Table2[[#This Row],[ATA TO UNLOADING 2]]&lt;=48,"YES","NO")</f>
        <v>NO</v>
      </c>
      <c r="AJ295" s="129">
        <f t="shared" si="93"/>
        <v>0.70833333333575865</v>
      </c>
      <c r="AK295" s="2" t="s">
        <v>64</v>
      </c>
      <c r="AL295" s="2" t="str">
        <f t="shared" si="94"/>
        <v>7/26</v>
      </c>
      <c r="AM295" s="2" t="str">
        <f t="shared" si="95"/>
        <v>SUDU7942061</v>
      </c>
      <c r="AN295" s="130" t="str">
        <f t="shared" si="96"/>
        <v>MSI</v>
      </c>
      <c r="AO295" s="141">
        <v>523.5</v>
      </c>
      <c r="AP295" s="131" t="e">
        <v>#N/A</v>
      </c>
      <c r="AQ295" s="131">
        <f>VLOOKUP($E295,Invoicing!$A$1:$H$12,MATCH(TRACKER!$Q$1,Invoicing!$A$1:$H$1,0),FALSE)</f>
        <v>50</v>
      </c>
      <c r="AR295" s="131">
        <v>0</v>
      </c>
      <c r="AS295" s="2">
        <f t="shared" si="97"/>
        <v>6</v>
      </c>
      <c r="AT295" s="2" t="str">
        <f t="shared" si="100"/>
        <v>SATURDAY</v>
      </c>
      <c r="AU295" s="2" t="str">
        <f t="shared" si="98"/>
        <v>MSISATURDAY</v>
      </c>
      <c r="AV295" s="94">
        <v>523.5</v>
      </c>
      <c r="AW295" s="94">
        <f>VLOOKUP(AN295,Invoicing!A:K,11,FALSE)</f>
        <v>20</v>
      </c>
      <c r="AY295" s="48"/>
      <c r="AZ295" s="94">
        <f t="shared" si="99"/>
        <v>543.5</v>
      </c>
      <c r="BA295" s="133">
        <f>VLOOKUP(AN295,Invoicing!A:J,10,FALSE)</f>
        <v>70</v>
      </c>
      <c r="BB295" s="133">
        <f>VLOOKUP(AN295,Invoicing!A:L,12,FALSE)</f>
        <v>1</v>
      </c>
      <c r="BC295" s="2" t="s">
        <v>359</v>
      </c>
    </row>
    <row r="296" spans="1:55">
      <c r="A296" s="38" t="s">
        <v>577</v>
      </c>
      <c r="B296" s="3" t="s">
        <v>77</v>
      </c>
      <c r="C296" s="11">
        <v>46065.466666666667</v>
      </c>
      <c r="D296" s="11">
        <v>46065.375</v>
      </c>
      <c r="E296" s="11" t="s">
        <v>71</v>
      </c>
      <c r="F296" s="11" t="s">
        <v>589</v>
      </c>
      <c r="G296" s="11" t="s">
        <v>59</v>
      </c>
      <c r="H296" s="11" t="s">
        <v>590</v>
      </c>
      <c r="I296" s="3" t="s">
        <v>591</v>
      </c>
      <c r="J296" s="86" t="s">
        <v>62</v>
      </c>
      <c r="K296" s="11">
        <v>46066.916666666664</v>
      </c>
      <c r="L296" s="12">
        <v>46068.305555555555</v>
      </c>
      <c r="M296" s="12">
        <v>46068.291666666664</v>
      </c>
      <c r="N296" s="12">
        <v>46068.309027777781</v>
      </c>
      <c r="O296" s="12" t="s">
        <v>63</v>
      </c>
      <c r="P296" s="85" t="s">
        <v>64</v>
      </c>
      <c r="Q296" s="3">
        <v>0</v>
      </c>
      <c r="R296" s="1">
        <f t="shared" si="82"/>
        <v>7</v>
      </c>
      <c r="S296" s="1">
        <f t="shared" si="83"/>
        <v>2</v>
      </c>
      <c r="T296" s="126">
        <f t="shared" si="84"/>
        <v>46068.305555555555</v>
      </c>
      <c r="U296" s="127">
        <f t="shared" si="85"/>
        <v>1.4499999999970896</v>
      </c>
      <c r="V296" s="128">
        <f>Table2[[#This Row],[ATA A OFRECIMIENTO]]*24</f>
        <v>34.799999999930151</v>
      </c>
      <c r="W296" s="1" t="str">
        <f t="shared" si="86"/>
        <v>YES</v>
      </c>
      <c r="X296" s="127">
        <f t="shared" si="87"/>
        <v>1.375</v>
      </c>
      <c r="Y296" s="128">
        <f>Table2[[#This Row],[DEL. AVAILABLE A SLOT]]*24</f>
        <v>33</v>
      </c>
      <c r="Z296" s="1" t="str">
        <f t="shared" si="88"/>
        <v>NO</v>
      </c>
      <c r="AA296" s="127">
        <f t="shared" si="89"/>
        <v>2.8249999999970896</v>
      </c>
      <c r="AB296" s="128">
        <f>Table2[[#This Row],[ATA A TIMESLOT]]*24</f>
        <v>67.799999999930151</v>
      </c>
      <c r="AC296" s="127">
        <f t="shared" si="90"/>
        <v>1.3888888890505768E-2</v>
      </c>
      <c r="AD296" s="127" t="str">
        <f t="shared" si="91"/>
        <v>SI</v>
      </c>
      <c r="AE296" s="128">
        <f>Table2[[#This Row],[PUNTUALIDAD (H)]]*24</f>
        <v>0.33333333337213844</v>
      </c>
      <c r="AF296" s="127">
        <f t="shared" si="92"/>
        <v>2.8423611111138598</v>
      </c>
      <c r="AG296" s="128">
        <f>Table2[[#This Row],[ATA TO UNLOADING]]*24</f>
        <v>68.216666666732635</v>
      </c>
      <c r="AH296" s="128" t="str">
        <f>IF(Table2[[#This Row],[ATA TO UNLOADING 2]]&lt;=48,"YES","NO")</f>
        <v>NO</v>
      </c>
      <c r="AJ296" s="129">
        <f t="shared" si="93"/>
        <v>0.29166666666424135</v>
      </c>
      <c r="AK296" s="2" t="s">
        <v>64</v>
      </c>
      <c r="AL296" s="2" t="str">
        <f t="shared" si="94"/>
        <v>7/26</v>
      </c>
      <c r="AM296" s="2" t="str">
        <f t="shared" si="95"/>
        <v>MRSU7336061</v>
      </c>
      <c r="AN296" s="130" t="str">
        <f t="shared" si="96"/>
        <v>LOGIX</v>
      </c>
      <c r="AO296" s="141">
        <v>573.5</v>
      </c>
      <c r="AP296" s="131" t="e">
        <v>#N/A</v>
      </c>
      <c r="AQ296" s="131">
        <f>VLOOKUP($E296,Invoicing!$A$1:$H$12,MATCH(TRACKER!$Q$1,Invoicing!$A$1:$H$1,0),FALSE)</f>
        <v>50</v>
      </c>
      <c r="AR296" s="131">
        <v>0</v>
      </c>
      <c r="AS296" s="2">
        <f t="shared" si="97"/>
        <v>7</v>
      </c>
      <c r="AT296" s="2" t="str">
        <f t="shared" si="100"/>
        <v>SUNDAY</v>
      </c>
      <c r="AU296" s="2" t="str">
        <f t="shared" si="98"/>
        <v>LOGIXSUNDAY</v>
      </c>
      <c r="AV296" s="94">
        <v>573.5</v>
      </c>
      <c r="AW296" s="94">
        <f>VLOOKUP(AN296,Invoicing!A:K,11,FALSE)</f>
        <v>20</v>
      </c>
      <c r="AY296" s="48"/>
      <c r="AZ296" s="94">
        <f t="shared" si="99"/>
        <v>593.5</v>
      </c>
      <c r="BA296" s="133">
        <f>VLOOKUP(AN296,Invoicing!A:J,10,FALSE)</f>
        <v>70</v>
      </c>
      <c r="BB296" s="133">
        <f>VLOOKUP(AN296,Invoicing!A:L,12,FALSE)</f>
        <v>1</v>
      </c>
      <c r="BC296" s="2" t="s">
        <v>359</v>
      </c>
    </row>
    <row r="297" spans="1:55">
      <c r="A297" s="38" t="s">
        <v>577</v>
      </c>
      <c r="B297" s="3" t="s">
        <v>77</v>
      </c>
      <c r="C297" s="11">
        <v>46065.466666666667</v>
      </c>
      <c r="D297" s="11">
        <v>46065.375</v>
      </c>
      <c r="E297" s="11" t="s">
        <v>98</v>
      </c>
      <c r="F297" s="11" t="s">
        <v>592</v>
      </c>
      <c r="G297" s="11" t="s">
        <v>59</v>
      </c>
      <c r="H297" s="11" t="s">
        <v>287</v>
      </c>
      <c r="I297" s="3" t="s">
        <v>593</v>
      </c>
      <c r="J297" s="86" t="s">
        <v>62</v>
      </c>
      <c r="K297" s="11">
        <v>46066.916666666664</v>
      </c>
      <c r="L297" s="12">
        <v>46068.454861111109</v>
      </c>
      <c r="M297" s="12">
        <v>46068.416666666664</v>
      </c>
      <c r="N297" s="12">
        <v>46068.479166666664</v>
      </c>
      <c r="O297" s="12" t="s">
        <v>63</v>
      </c>
      <c r="P297" s="85" t="s">
        <v>64</v>
      </c>
      <c r="Q297" s="3">
        <v>1</v>
      </c>
      <c r="R297" s="1">
        <f t="shared" si="82"/>
        <v>7</v>
      </c>
      <c r="S297" s="1">
        <f t="shared" si="83"/>
        <v>2</v>
      </c>
      <c r="T297" s="126">
        <f t="shared" si="84"/>
        <v>46068.454861111109</v>
      </c>
      <c r="U297" s="127">
        <f t="shared" si="85"/>
        <v>1.4499999999970896</v>
      </c>
      <c r="V297" s="128">
        <f>Table2[[#This Row],[ATA A OFRECIMIENTO]]*24</f>
        <v>34.799999999930151</v>
      </c>
      <c r="W297" s="1" t="str">
        <f t="shared" si="86"/>
        <v>YES</v>
      </c>
      <c r="X297" s="127">
        <f t="shared" si="87"/>
        <v>1.5</v>
      </c>
      <c r="Y297" s="128">
        <f>Table2[[#This Row],[DEL. AVAILABLE A SLOT]]*24</f>
        <v>36</v>
      </c>
      <c r="Z297" s="1" t="str">
        <f t="shared" si="88"/>
        <v>NO</v>
      </c>
      <c r="AA297" s="127">
        <f t="shared" si="89"/>
        <v>2.9499999999970896</v>
      </c>
      <c r="AB297" s="128">
        <f>Table2[[#This Row],[ATA A TIMESLOT]]*24</f>
        <v>70.799999999930151</v>
      </c>
      <c r="AC297" s="127">
        <f t="shared" si="90"/>
        <v>3.8194444445252884E-2</v>
      </c>
      <c r="AD297" s="127" t="str">
        <f t="shared" si="91"/>
        <v>NO</v>
      </c>
      <c r="AE297" s="128">
        <f>Table2[[#This Row],[PUNTUALIDAD (H)]]*24</f>
        <v>0.91666666668606922</v>
      </c>
      <c r="AF297" s="127">
        <f t="shared" si="92"/>
        <v>3.0124999999970896</v>
      </c>
      <c r="AG297" s="128">
        <f>Table2[[#This Row],[ATA TO UNLOADING]]*24</f>
        <v>72.299999999930151</v>
      </c>
      <c r="AH297" s="128" t="str">
        <f>IF(Table2[[#This Row],[ATA TO UNLOADING 2]]&lt;=48,"YES","NO")</f>
        <v>NO</v>
      </c>
      <c r="AJ297" s="129">
        <f t="shared" si="93"/>
        <v>0.41666666666424135</v>
      </c>
      <c r="AK297" s="2" t="s">
        <v>64</v>
      </c>
      <c r="AL297" s="2" t="str">
        <f t="shared" si="94"/>
        <v>7/26</v>
      </c>
      <c r="AM297" s="2" t="str">
        <f t="shared" si="95"/>
        <v>MRKU0447008</v>
      </c>
      <c r="AN297" s="130" t="str">
        <f t="shared" si="96"/>
        <v>MSI</v>
      </c>
      <c r="AO297" s="141">
        <v>523.5</v>
      </c>
      <c r="AP297" s="131" t="e">
        <v>#N/A</v>
      </c>
      <c r="AQ297" s="131">
        <f>VLOOKUP($E297,Invoicing!$A$1:$H$12,MATCH(TRACKER!$Q$1,Invoicing!$A$1:$H$1,0),FALSE)</f>
        <v>50</v>
      </c>
      <c r="AR297" s="131">
        <v>50</v>
      </c>
      <c r="AS297" s="2">
        <f t="shared" si="97"/>
        <v>7</v>
      </c>
      <c r="AT297" s="2" t="str">
        <f t="shared" si="100"/>
        <v>SUNDAY</v>
      </c>
      <c r="AU297" s="2" t="str">
        <f t="shared" si="98"/>
        <v>MSISUNDAY</v>
      </c>
      <c r="AV297" s="94">
        <v>573.5</v>
      </c>
      <c r="AW297" s="94">
        <f>VLOOKUP(AN297,Invoicing!A:K,11,FALSE)</f>
        <v>20</v>
      </c>
      <c r="AY297" s="48"/>
      <c r="AZ297" s="94">
        <f t="shared" si="99"/>
        <v>593.5</v>
      </c>
      <c r="BA297" s="133">
        <f>VLOOKUP(AN297,Invoicing!A:J,10,FALSE)</f>
        <v>70</v>
      </c>
      <c r="BB297" s="133">
        <f>VLOOKUP(AN297,Invoicing!A:L,12,FALSE)</f>
        <v>1</v>
      </c>
      <c r="BC297" s="2" t="s">
        <v>359</v>
      </c>
    </row>
    <row r="298" spans="1:55">
      <c r="A298" s="38" t="s">
        <v>594</v>
      </c>
      <c r="B298" s="3" t="s">
        <v>77</v>
      </c>
      <c r="C298" s="11">
        <v>46069.042361111111</v>
      </c>
      <c r="D298" s="11">
        <v>46068.041666666664</v>
      </c>
      <c r="E298" s="11" t="s">
        <v>57</v>
      </c>
      <c r="F298" s="11" t="s">
        <v>595</v>
      </c>
      <c r="G298" s="11" t="s">
        <v>59</v>
      </c>
      <c r="H298" s="11" t="s">
        <v>91</v>
      </c>
      <c r="I298" s="3" t="s">
        <v>596</v>
      </c>
      <c r="J298" s="86" t="s">
        <v>62</v>
      </c>
      <c r="K298" s="11">
        <v>46069.791666666664</v>
      </c>
      <c r="L298" s="12">
        <v>46069.763888888891</v>
      </c>
      <c r="M298" s="12">
        <v>46069.791666666664</v>
      </c>
      <c r="N298" s="12">
        <v>46069.763888888891</v>
      </c>
      <c r="O298" s="12" t="s">
        <v>63</v>
      </c>
      <c r="P298" s="85" t="s">
        <v>64</v>
      </c>
      <c r="Q298" s="3">
        <v>1</v>
      </c>
      <c r="R298" s="1">
        <f t="shared" si="82"/>
        <v>8</v>
      </c>
      <c r="S298" s="1">
        <f t="shared" si="83"/>
        <v>2</v>
      </c>
      <c r="T298" s="126">
        <f t="shared" si="84"/>
        <v>46069.763888888891</v>
      </c>
      <c r="U298" s="127">
        <f t="shared" si="85"/>
        <v>0.74930555555329192</v>
      </c>
      <c r="V298" s="128">
        <f>Table2[[#This Row],[ATA A OFRECIMIENTO]]*24</f>
        <v>17.983333333279006</v>
      </c>
      <c r="W298" s="1" t="str">
        <f t="shared" si="86"/>
        <v>YES</v>
      </c>
      <c r="X298" s="127">
        <f t="shared" si="87"/>
        <v>0</v>
      </c>
      <c r="Y298" s="128">
        <f>Table2[[#This Row],[DEL. AVAILABLE A SLOT]]*24</f>
        <v>0</v>
      </c>
      <c r="Z298" s="1" t="str">
        <f t="shared" si="88"/>
        <v>SI</v>
      </c>
      <c r="AA298" s="127">
        <f t="shared" si="89"/>
        <v>0.74930555555329192</v>
      </c>
      <c r="AB298" s="128">
        <f>Table2[[#This Row],[ATA A TIMESLOT]]*24</f>
        <v>17.983333333279006</v>
      </c>
      <c r="AC298" s="127">
        <f t="shared" si="90"/>
        <v>0</v>
      </c>
      <c r="AD298" s="127" t="str">
        <f t="shared" si="91"/>
        <v>SI</v>
      </c>
      <c r="AE298" s="128">
        <f>Table2[[#This Row],[PUNTUALIDAD (H)]]*24</f>
        <v>0</v>
      </c>
      <c r="AF298" s="127">
        <f t="shared" si="92"/>
        <v>0.72152777777955635</v>
      </c>
      <c r="AG298" s="128">
        <f>Table2[[#This Row],[ATA TO UNLOADING]]*24</f>
        <v>17.316666666709352</v>
      </c>
      <c r="AH298" s="128" t="str">
        <f>IF(Table2[[#This Row],[ATA TO UNLOADING 2]]&lt;=48,"YES","NO")</f>
        <v>YES</v>
      </c>
      <c r="AJ298" s="129">
        <f t="shared" si="93"/>
        <v>0.79166666666424135</v>
      </c>
      <c r="AK298" s="2" t="s">
        <v>64</v>
      </c>
      <c r="AL298" s="2" t="str">
        <f t="shared" si="94"/>
        <v>8/26</v>
      </c>
      <c r="AM298" s="2" t="str">
        <f t="shared" si="95"/>
        <v>TRHU4955506</v>
      </c>
      <c r="AN298" s="130" t="str">
        <f t="shared" si="96"/>
        <v>CTK TRANSPORT</v>
      </c>
      <c r="AO298" s="150">
        <f>IF($O298="TRUCK",
VLOOKUP($AU298,Invoicing!$A$16:$B$56,MATCH($AO$1,Invoicing!$A$16:$B$16,0),FALSE)+IF(OR($B298="DCD",$B298="HPD2"),23.5,0),
VLOOKUP($AU298,Invoicing!$N$15:$O$19,MATCH($AO$1,Invoicing!$N$15:$O$15,0),FALSE)+IF(OR($B298="DCD",$B298="HPD2"),23.5,0))</f>
        <v>573.5</v>
      </c>
      <c r="AP298" s="131" t="e">
        <f>VLOOKUP($E298,Invoicing!$A$1:$H$12,MATCH(TRACKER!$P298,Invoicing!$A$1:$H$1,0),FALSE)</f>
        <v>#N/A</v>
      </c>
      <c r="AQ298" s="131">
        <f>VLOOKUP($E298,Invoicing!$A$1:$H$12,MATCH(TRACKER!$Q$1,Invoicing!$A$1:$H$1,0),FALSE)</f>
        <v>50</v>
      </c>
      <c r="AR298" s="131">
        <f t="shared" ref="AR298:AR336" si="101">IF($Q298&lt;&gt;0,$Q298*$AQ298,0)</f>
        <v>50</v>
      </c>
      <c r="AS298" s="2">
        <f t="shared" si="97"/>
        <v>1</v>
      </c>
      <c r="AT298" s="2" t="str">
        <f t="shared" si="100"/>
        <v>WEEK</v>
      </c>
      <c r="AU298" s="2" t="str">
        <f t="shared" si="98"/>
        <v>CTK TRANSPORTWEEK</v>
      </c>
      <c r="AV298" s="94">
        <f>(IF(ISNA(AP298),AO298+AR298,SUM($AO298,$AR298,IFERROR($AP298,"0"))))+Table2[[#This Row],[WAITING TIMES]]</f>
        <v>623.5</v>
      </c>
      <c r="AW298" s="94">
        <f>VLOOKUP(AN298,Invoicing!A:K,11,FALSE)</f>
        <v>20</v>
      </c>
      <c r="AY298" s="48"/>
      <c r="AZ298" s="94">
        <f t="shared" si="99"/>
        <v>643.5</v>
      </c>
      <c r="BA298" s="133">
        <f>VLOOKUP(AN298,Invoicing!A:J,10,FALSE)</f>
        <v>70</v>
      </c>
      <c r="BB298" s="133">
        <f>VLOOKUP(AN298,Invoicing!A:L,12,FALSE)</f>
        <v>1</v>
      </c>
      <c r="BC298" s="2"/>
    </row>
    <row r="299" spans="1:55">
      <c r="A299" s="38" t="s">
        <v>594</v>
      </c>
      <c r="B299" s="3" t="s">
        <v>77</v>
      </c>
      <c r="C299" s="11">
        <v>46069.042361111111</v>
      </c>
      <c r="D299" s="11">
        <v>46068.041666666664</v>
      </c>
      <c r="E299" s="11" t="s">
        <v>83</v>
      </c>
      <c r="F299" s="11" t="s">
        <v>597</v>
      </c>
      <c r="G299" s="11" t="s">
        <v>59</v>
      </c>
      <c r="H299" s="11" t="s">
        <v>91</v>
      </c>
      <c r="I299" s="3" t="s">
        <v>598</v>
      </c>
      <c r="J299" s="86" t="s">
        <v>82</v>
      </c>
      <c r="K299" s="11">
        <v>46069.791666666664</v>
      </c>
      <c r="L299" s="12">
        <v>46069.777083333334</v>
      </c>
      <c r="M299" s="12">
        <v>46069.791666666664</v>
      </c>
      <c r="N299" s="12">
        <v>46069.833333333336</v>
      </c>
      <c r="O299" s="12" t="s">
        <v>63</v>
      </c>
      <c r="P299" s="85" t="s">
        <v>15</v>
      </c>
      <c r="Q299" s="3">
        <v>0</v>
      </c>
      <c r="R299" s="1">
        <f t="shared" si="82"/>
        <v>8</v>
      </c>
      <c r="S299" s="1">
        <f t="shared" si="83"/>
        <v>2</v>
      </c>
      <c r="T299" s="126">
        <f t="shared" si="84"/>
        <v>46069.777083333334</v>
      </c>
      <c r="U299" s="127">
        <f t="shared" si="85"/>
        <v>0.74930555555329192</v>
      </c>
      <c r="V299" s="128">
        <f>Table2[[#This Row],[ATA A OFRECIMIENTO]]*24</f>
        <v>17.983333333279006</v>
      </c>
      <c r="W299" s="1" t="str">
        <f t="shared" si="86"/>
        <v>YES</v>
      </c>
      <c r="X299" s="127">
        <f t="shared" si="87"/>
        <v>0</v>
      </c>
      <c r="Y299" s="128">
        <f>Table2[[#This Row],[DEL. AVAILABLE A SLOT]]*24</f>
        <v>0</v>
      </c>
      <c r="Z299" s="1" t="str">
        <f t="shared" si="88"/>
        <v>SI</v>
      </c>
      <c r="AA299" s="127">
        <f t="shared" si="89"/>
        <v>0.74930555555329192</v>
      </c>
      <c r="AB299" s="128">
        <f>Table2[[#This Row],[ATA A TIMESLOT]]*24</f>
        <v>17.983333333279006</v>
      </c>
      <c r="AC299" s="127">
        <f t="shared" si="90"/>
        <v>0</v>
      </c>
      <c r="AD299" s="127" t="str">
        <f t="shared" si="91"/>
        <v>SI</v>
      </c>
      <c r="AE299" s="128">
        <f>Table2[[#This Row],[PUNTUALIDAD (H)]]*24</f>
        <v>0</v>
      </c>
      <c r="AF299" s="127">
        <f t="shared" si="92"/>
        <v>0.79097222222480923</v>
      </c>
      <c r="AG299" s="128">
        <f>Table2[[#This Row],[ATA TO UNLOADING]]*24</f>
        <v>18.983333333395422</v>
      </c>
      <c r="AH299" s="128" t="str">
        <f>IF(Table2[[#This Row],[ATA TO UNLOADING 2]]&lt;=48,"YES","NO")</f>
        <v>YES</v>
      </c>
      <c r="AJ299" s="129">
        <f t="shared" si="93"/>
        <v>0.79166666666424135</v>
      </c>
      <c r="AK299" s="2" t="s">
        <v>64</v>
      </c>
      <c r="AL299" s="2" t="str">
        <f t="shared" si="94"/>
        <v>8/26</v>
      </c>
      <c r="AM299" s="2" t="str">
        <f t="shared" si="95"/>
        <v>MRSU4935750</v>
      </c>
      <c r="AN299" s="130" t="str">
        <f t="shared" si="96"/>
        <v>OM TRANSPORT</v>
      </c>
      <c r="AO299" s="150">
        <f>IF($O299="TRUCK",
VLOOKUP($AU299,Invoicing!$A$16:$B$56,MATCH($AO$1,Invoicing!$A$16:$B$16,0),FALSE)+IF(OR($B299="DCD",$B299="HPD2"),23.5,0),
VLOOKUP($AU299,Invoicing!$N$15:$O$19,MATCH($AO$1,Invoicing!$N$15:$O$15,0),FALSE)+IF(OR($B299="DCD",$B299="HPD2"),23.5,0))</f>
        <v>498.5</v>
      </c>
      <c r="AP299" s="131">
        <f>VLOOKUP($E299,Invoicing!$A$1:$H$12,MATCH(TRACKER!$P299,Invoicing!$A$1:$H$1,0),FALSE)</f>
        <v>110</v>
      </c>
      <c r="AQ299" s="131">
        <f>VLOOKUP($E299,Invoicing!$A$1:$H$12,MATCH(TRACKER!$Q$1,Invoicing!$A$1:$H$1,0),FALSE)</f>
        <v>50</v>
      </c>
      <c r="AR299" s="131">
        <f t="shared" si="101"/>
        <v>0</v>
      </c>
      <c r="AS299" s="2">
        <f t="shared" si="97"/>
        <v>1</v>
      </c>
      <c r="AT299" s="2" t="str">
        <f t="shared" si="100"/>
        <v>WEEK</v>
      </c>
      <c r="AU299" s="2" t="str">
        <f t="shared" si="98"/>
        <v>OM TRANSPORTWEEK</v>
      </c>
      <c r="AV299" s="94">
        <f>(IF(ISNA(AP299),AO299+AR299,SUM($AO299,$AR299,IFERROR($AP299,"0"))))+Table2[[#This Row],[WAITING TIMES]]</f>
        <v>788.5</v>
      </c>
      <c r="AW299" s="94">
        <f>VLOOKUP(AN299,Invoicing!A:K,11,FALSE)</f>
        <v>20</v>
      </c>
      <c r="AX299" s="48">
        <v>180</v>
      </c>
      <c r="AY299" s="48" t="s">
        <v>320</v>
      </c>
      <c r="AZ299" s="94">
        <f t="shared" si="99"/>
        <v>808.5</v>
      </c>
      <c r="BA299" s="133">
        <f>VLOOKUP(AN299,Invoicing!A:J,10,FALSE)</f>
        <v>70</v>
      </c>
      <c r="BB299" s="133">
        <f>VLOOKUP(AN299,Invoicing!A:L,12,FALSE)</f>
        <v>1</v>
      </c>
      <c r="BC299" s="2"/>
    </row>
    <row r="300" spans="1:55">
      <c r="A300" s="38" t="s">
        <v>594</v>
      </c>
      <c r="B300" s="3" t="s">
        <v>77</v>
      </c>
      <c r="C300" s="11">
        <v>46069.042361111111</v>
      </c>
      <c r="D300" s="11">
        <v>46068.041666666664</v>
      </c>
      <c r="E300" s="11" t="s">
        <v>71</v>
      </c>
      <c r="F300" s="11" t="s">
        <v>599</v>
      </c>
      <c r="G300" s="11" t="s">
        <v>59</v>
      </c>
      <c r="H300" s="11" t="s">
        <v>91</v>
      </c>
      <c r="I300" s="3" t="s">
        <v>600</v>
      </c>
      <c r="J300" s="86" t="s">
        <v>100</v>
      </c>
      <c r="K300" s="11">
        <v>46069.791666666664</v>
      </c>
      <c r="L300" s="12">
        <v>46069.791666666664</v>
      </c>
      <c r="M300" s="12">
        <v>46069.791666666664</v>
      </c>
      <c r="N300" s="12">
        <v>46069.791666666664</v>
      </c>
      <c r="O300" s="12" t="s">
        <v>63</v>
      </c>
      <c r="P300" s="85" t="s">
        <v>64</v>
      </c>
      <c r="Q300" s="3">
        <v>1</v>
      </c>
      <c r="R300" s="1">
        <f t="shared" si="82"/>
        <v>8</v>
      </c>
      <c r="S300" s="1">
        <f t="shared" si="83"/>
        <v>2</v>
      </c>
      <c r="T300" s="126">
        <f t="shared" si="84"/>
        <v>46069.791666666664</v>
      </c>
      <c r="U300" s="127">
        <f t="shared" si="85"/>
        <v>0.74930555555329192</v>
      </c>
      <c r="V300" s="128">
        <f>Table2[[#This Row],[ATA A OFRECIMIENTO]]*24</f>
        <v>17.983333333279006</v>
      </c>
      <c r="W300" s="1" t="str">
        <f t="shared" si="86"/>
        <v>YES</v>
      </c>
      <c r="X300" s="127">
        <f t="shared" si="87"/>
        <v>0</v>
      </c>
      <c r="Y300" s="128">
        <f>Table2[[#This Row],[DEL. AVAILABLE A SLOT]]*24</f>
        <v>0</v>
      </c>
      <c r="Z300" s="1" t="str">
        <f t="shared" si="88"/>
        <v>SI</v>
      </c>
      <c r="AA300" s="127">
        <f t="shared" si="89"/>
        <v>0.74930555555329192</v>
      </c>
      <c r="AB300" s="128">
        <f>Table2[[#This Row],[ATA A TIMESLOT]]*24</f>
        <v>17.983333333279006</v>
      </c>
      <c r="AC300" s="127">
        <f t="shared" si="90"/>
        <v>0</v>
      </c>
      <c r="AD300" s="127" t="str">
        <f t="shared" si="91"/>
        <v>SI</v>
      </c>
      <c r="AE300" s="128">
        <f>Table2[[#This Row],[PUNTUALIDAD (H)]]*24</f>
        <v>0</v>
      </c>
      <c r="AF300" s="127">
        <f t="shared" si="92"/>
        <v>0.74930555555329192</v>
      </c>
      <c r="AG300" s="128">
        <f>Table2[[#This Row],[ATA TO UNLOADING]]*24</f>
        <v>17.983333333279006</v>
      </c>
      <c r="AH300" s="128" t="str">
        <f>IF(Table2[[#This Row],[ATA TO UNLOADING 2]]&lt;=48,"YES","NO")</f>
        <v>YES</v>
      </c>
      <c r="AJ300" s="129">
        <f t="shared" si="93"/>
        <v>0.79166666666424135</v>
      </c>
      <c r="AK300" s="2" t="s">
        <v>64</v>
      </c>
      <c r="AL300" s="2" t="str">
        <f t="shared" si="94"/>
        <v>8/26</v>
      </c>
      <c r="AM300" s="2" t="str">
        <f t="shared" si="95"/>
        <v>SUDU8650932</v>
      </c>
      <c r="AN300" s="130" t="str">
        <f t="shared" si="96"/>
        <v>LOGIX</v>
      </c>
      <c r="AO300" s="150">
        <f>IF($O300="TRUCK",
VLOOKUP($AU300,Invoicing!$A$16:$B$56,MATCH($AO$1,Invoicing!$A$16:$B$16,0),FALSE)+IF(OR($B300="DCD",$B300="HPD2"),23.5,0),
VLOOKUP($AU300,Invoicing!$N$15:$O$19,MATCH($AO$1,Invoicing!$N$15:$O$15,0),FALSE)+IF(OR($B300="DCD",$B300="HPD2"),23.5,0))</f>
        <v>573.5</v>
      </c>
      <c r="AP300" s="131" t="e">
        <f>VLOOKUP($E300,Invoicing!$A$1:$H$12,MATCH(TRACKER!$P300,Invoicing!$A$1:$H$1,0),FALSE)</f>
        <v>#N/A</v>
      </c>
      <c r="AQ300" s="131">
        <f>VLOOKUP($E300,Invoicing!$A$1:$H$12,MATCH(TRACKER!$Q$1,Invoicing!$A$1:$H$1,0),FALSE)</f>
        <v>50</v>
      </c>
      <c r="AR300" s="131">
        <f t="shared" si="101"/>
        <v>50</v>
      </c>
      <c r="AS300" s="2">
        <f t="shared" si="97"/>
        <v>1</v>
      </c>
      <c r="AT300" s="2" t="str">
        <f t="shared" si="100"/>
        <v>WEEK</v>
      </c>
      <c r="AU300" s="2" t="str">
        <f t="shared" si="98"/>
        <v>LOGIXWEEK</v>
      </c>
      <c r="AV300" s="94">
        <f>(IF(ISNA(AP300),AO300+AR300,SUM($AO300,$AR300,IFERROR($AP300,"0"))))+Table2[[#This Row],[WAITING TIMES]]</f>
        <v>623.5</v>
      </c>
      <c r="AW300" s="94">
        <f>VLOOKUP(AN300,Invoicing!A:K,11,FALSE)</f>
        <v>20</v>
      </c>
      <c r="AY300" s="48"/>
      <c r="AZ300" s="94">
        <f t="shared" si="99"/>
        <v>643.5</v>
      </c>
      <c r="BA300" s="133">
        <f>VLOOKUP(AN300,Invoicing!A:J,10,FALSE)</f>
        <v>70</v>
      </c>
      <c r="BB300" s="133">
        <f>VLOOKUP(AN300,Invoicing!A:L,12,FALSE)</f>
        <v>1</v>
      </c>
      <c r="BC300" s="2"/>
    </row>
    <row r="301" spans="1:55">
      <c r="A301" s="38" t="s">
        <v>594</v>
      </c>
      <c r="B301" s="3" t="s">
        <v>77</v>
      </c>
      <c r="C301" s="11">
        <v>46069.042361111111</v>
      </c>
      <c r="D301" s="11">
        <v>46068.041666666664</v>
      </c>
      <c r="E301" s="11" t="s">
        <v>83</v>
      </c>
      <c r="F301" s="11" t="s">
        <v>597</v>
      </c>
      <c r="G301" s="11" t="s">
        <v>59</v>
      </c>
      <c r="H301" s="11" t="s">
        <v>91</v>
      </c>
      <c r="I301" s="3" t="s">
        <v>601</v>
      </c>
      <c r="J301" s="86" t="s">
        <v>82</v>
      </c>
      <c r="K301" s="11">
        <v>46069.791666666664</v>
      </c>
      <c r="L301" s="12">
        <v>46069.770833333336</v>
      </c>
      <c r="M301" s="12">
        <v>46069.875</v>
      </c>
      <c r="N301" s="12">
        <v>46069.833333333336</v>
      </c>
      <c r="O301" s="12" t="s">
        <v>63</v>
      </c>
      <c r="P301" s="85" t="s">
        <v>15</v>
      </c>
      <c r="Q301" s="3">
        <v>0</v>
      </c>
      <c r="R301" s="1">
        <f t="shared" si="82"/>
        <v>8</v>
      </c>
      <c r="S301" s="1">
        <f t="shared" si="83"/>
        <v>2</v>
      </c>
      <c r="T301" s="126">
        <f t="shared" si="84"/>
        <v>46069.770833333336</v>
      </c>
      <c r="U301" s="127">
        <f t="shared" si="85"/>
        <v>0.74930555555329192</v>
      </c>
      <c r="V301" s="128">
        <f>Table2[[#This Row],[ATA A OFRECIMIENTO]]*24</f>
        <v>17.983333333279006</v>
      </c>
      <c r="W301" s="1" t="str">
        <f t="shared" si="86"/>
        <v>YES</v>
      </c>
      <c r="X301" s="127">
        <f t="shared" si="87"/>
        <v>8.3333333335758653E-2</v>
      </c>
      <c r="Y301" s="128">
        <f>Table2[[#This Row],[DEL. AVAILABLE A SLOT]]*24</f>
        <v>2.0000000000582077</v>
      </c>
      <c r="Z301" s="1" t="str">
        <f t="shared" si="88"/>
        <v>SI</v>
      </c>
      <c r="AA301" s="127">
        <f t="shared" si="89"/>
        <v>0.83263888888905058</v>
      </c>
      <c r="AB301" s="128">
        <f>Table2[[#This Row],[ATA A TIMESLOT]]*24</f>
        <v>19.983333333337214</v>
      </c>
      <c r="AC301" s="127">
        <f t="shared" si="90"/>
        <v>0</v>
      </c>
      <c r="AD301" s="127" t="str">
        <f t="shared" si="91"/>
        <v>SI</v>
      </c>
      <c r="AE301" s="128">
        <f>Table2[[#This Row],[PUNTUALIDAD (H)]]*24</f>
        <v>0</v>
      </c>
      <c r="AF301" s="127">
        <f t="shared" si="92"/>
        <v>0.79097222222480923</v>
      </c>
      <c r="AG301" s="128">
        <f>Table2[[#This Row],[ATA TO UNLOADING]]*24</f>
        <v>18.983333333395422</v>
      </c>
      <c r="AH301" s="128" t="str">
        <f>IF(Table2[[#This Row],[ATA TO UNLOADING 2]]&lt;=48,"YES","NO")</f>
        <v>YES</v>
      </c>
      <c r="AJ301" s="129">
        <f t="shared" si="93"/>
        <v>0.875</v>
      </c>
      <c r="AK301" s="49" t="s">
        <v>36</v>
      </c>
      <c r="AL301" s="2" t="str">
        <f t="shared" si="94"/>
        <v>8/26</v>
      </c>
      <c r="AM301" s="2" t="str">
        <f t="shared" si="95"/>
        <v>TLLU5839874</v>
      </c>
      <c r="AN301" s="130" t="str">
        <f t="shared" si="96"/>
        <v>OM TRANSPORT</v>
      </c>
      <c r="AO301" s="150">
        <f>IF($O301="TRUCK",
VLOOKUP($AU301,Invoicing!$A$16:$B$56,MATCH($AO$1,Invoicing!$A$16:$B$16,0),FALSE)+IF(OR($B301="DCD",$B301="HPD2"),23.5,0),
VLOOKUP($AU301,Invoicing!$N$15:$O$19,MATCH($AO$1,Invoicing!$N$15:$O$15,0),FALSE)+IF(OR($B301="DCD",$B301="HPD2"),23.5,0))</f>
        <v>498.5</v>
      </c>
      <c r="AP301" s="131">
        <f>VLOOKUP($E301,Invoicing!$A$1:$H$12,MATCH(TRACKER!$P301,Invoicing!$A$1:$H$1,0),FALSE)</f>
        <v>110</v>
      </c>
      <c r="AQ301" s="131">
        <f>VLOOKUP($E301,Invoicing!$A$1:$H$12,MATCH(TRACKER!$Q$1,Invoicing!$A$1:$H$1,0),FALSE)</f>
        <v>50</v>
      </c>
      <c r="AR301" s="131">
        <f t="shared" si="101"/>
        <v>0</v>
      </c>
      <c r="AS301" s="2">
        <f t="shared" si="97"/>
        <v>1</v>
      </c>
      <c r="AT301" s="2" t="str">
        <f t="shared" si="100"/>
        <v>NIGHT</v>
      </c>
      <c r="AU301" s="2" t="str">
        <f t="shared" si="98"/>
        <v>OM TRANSPORTNIGHT</v>
      </c>
      <c r="AV301" s="94">
        <f>(IF(ISNA(AP301),AO301+AR301,SUM($AO301,$AR301,IFERROR($AP301,"0"))))+Table2[[#This Row],[WAITING TIMES]]</f>
        <v>608.5</v>
      </c>
      <c r="AW301" s="94">
        <f>VLOOKUP(AN301,Invoicing!A:K,11,FALSE)</f>
        <v>20</v>
      </c>
      <c r="AY301" s="48"/>
      <c r="AZ301" s="94">
        <f t="shared" si="99"/>
        <v>628.5</v>
      </c>
      <c r="BA301" s="133">
        <f>VLOOKUP(AN301,Invoicing!A:J,10,FALSE)</f>
        <v>70</v>
      </c>
      <c r="BB301" s="133">
        <f>VLOOKUP(AN301,Invoicing!A:L,12,FALSE)</f>
        <v>1</v>
      </c>
      <c r="BC301" s="2"/>
    </row>
    <row r="302" spans="1:55">
      <c r="A302" s="38" t="s">
        <v>594</v>
      </c>
      <c r="B302" s="3" t="s">
        <v>77</v>
      </c>
      <c r="C302" s="11">
        <v>46069.042361111111</v>
      </c>
      <c r="D302" s="11">
        <v>46068.041666666664</v>
      </c>
      <c r="E302" s="11" t="s">
        <v>83</v>
      </c>
      <c r="F302" s="11" t="s">
        <v>597</v>
      </c>
      <c r="G302" s="11" t="s">
        <v>59</v>
      </c>
      <c r="H302" s="11" t="s">
        <v>91</v>
      </c>
      <c r="I302" s="3" t="s">
        <v>602</v>
      </c>
      <c r="J302" s="86" t="s">
        <v>82</v>
      </c>
      <c r="K302" s="11">
        <v>46069.791666666664</v>
      </c>
      <c r="L302" s="12">
        <v>46069.958333333336</v>
      </c>
      <c r="M302" s="12">
        <v>46069.958333333336</v>
      </c>
      <c r="N302" s="12">
        <v>46069.979166666664</v>
      </c>
      <c r="O302" s="12" t="s">
        <v>63</v>
      </c>
      <c r="P302" s="85" t="s">
        <v>15</v>
      </c>
      <c r="Q302" s="3">
        <v>0</v>
      </c>
      <c r="R302" s="1">
        <f t="shared" si="82"/>
        <v>8</v>
      </c>
      <c r="S302" s="1">
        <f t="shared" si="83"/>
        <v>2</v>
      </c>
      <c r="T302" s="126">
        <f t="shared" si="84"/>
        <v>46069.958333333336</v>
      </c>
      <c r="U302" s="127">
        <f t="shared" si="85"/>
        <v>0.74930555555329192</v>
      </c>
      <c r="V302" s="128">
        <f>Table2[[#This Row],[ATA A OFRECIMIENTO]]*24</f>
        <v>17.983333333279006</v>
      </c>
      <c r="W302" s="1" t="str">
        <f t="shared" si="86"/>
        <v>YES</v>
      </c>
      <c r="X302" s="127">
        <f t="shared" si="87"/>
        <v>0.16666666667151731</v>
      </c>
      <c r="Y302" s="128">
        <f>Table2[[#This Row],[DEL. AVAILABLE A SLOT]]*24</f>
        <v>4.0000000001164153</v>
      </c>
      <c r="Z302" s="1" t="str">
        <f t="shared" si="88"/>
        <v>SI</v>
      </c>
      <c r="AA302" s="127">
        <f t="shared" si="89"/>
        <v>0.91597222222480923</v>
      </c>
      <c r="AB302" s="128">
        <f>Table2[[#This Row],[ATA A TIMESLOT]]*24</f>
        <v>21.983333333395422</v>
      </c>
      <c r="AC302" s="127">
        <f t="shared" si="90"/>
        <v>0</v>
      </c>
      <c r="AD302" s="127" t="str">
        <f t="shared" si="91"/>
        <v>SI</v>
      </c>
      <c r="AE302" s="128">
        <f>Table2[[#This Row],[PUNTUALIDAD (H)]]*24</f>
        <v>0</v>
      </c>
      <c r="AF302" s="127">
        <f t="shared" si="92"/>
        <v>0.93680555555329192</v>
      </c>
      <c r="AG302" s="128">
        <f>Table2[[#This Row],[ATA TO UNLOADING]]*24</f>
        <v>22.483333333279006</v>
      </c>
      <c r="AH302" s="128" t="str">
        <f>IF(Table2[[#This Row],[ATA TO UNLOADING 2]]&lt;=48,"YES","NO")</f>
        <v>YES</v>
      </c>
      <c r="AJ302" s="129">
        <f t="shared" si="93"/>
        <v>0.95833333333575865</v>
      </c>
      <c r="AK302" s="49" t="s">
        <v>36</v>
      </c>
      <c r="AL302" s="2" t="str">
        <f t="shared" si="94"/>
        <v>8/26</v>
      </c>
      <c r="AM302" s="2" t="str">
        <f t="shared" si="95"/>
        <v>CIPU5223004</v>
      </c>
      <c r="AN302" s="130" t="str">
        <f t="shared" si="96"/>
        <v>OM TRANSPORT</v>
      </c>
      <c r="AO302" s="150">
        <f>IF($O302="TRUCK",
VLOOKUP($AU302,Invoicing!$A$16:$B$56,MATCH($AO$1,Invoicing!$A$16:$B$16,0),FALSE)+IF(OR($B302="DCD",$B302="HPD2"),23.5,0),
VLOOKUP($AU302,Invoicing!$N$15:$O$19,MATCH($AO$1,Invoicing!$N$15:$O$15,0),FALSE)+IF(OR($B302="DCD",$B302="HPD2"),23.5,0))</f>
        <v>498.5</v>
      </c>
      <c r="AP302" s="131">
        <f>VLOOKUP($E302,Invoicing!$A$1:$H$12,MATCH(TRACKER!$P302,Invoicing!$A$1:$H$1,0),FALSE)</f>
        <v>110</v>
      </c>
      <c r="AQ302" s="131">
        <f>VLOOKUP($E302,Invoicing!$A$1:$H$12,MATCH(TRACKER!$Q$1,Invoicing!$A$1:$H$1,0),FALSE)</f>
        <v>50</v>
      </c>
      <c r="AR302" s="131">
        <f t="shared" si="101"/>
        <v>0</v>
      </c>
      <c r="AS302" s="2">
        <f t="shared" si="97"/>
        <v>1</v>
      </c>
      <c r="AT302" s="2" t="str">
        <f t="shared" si="100"/>
        <v>NIGHT</v>
      </c>
      <c r="AU302" s="2" t="str">
        <f t="shared" si="98"/>
        <v>OM TRANSPORTNIGHT</v>
      </c>
      <c r="AV302" s="94">
        <f>(IF(ISNA(AP302),AO302+AR302,SUM($AO302,$AR302,IFERROR($AP302,"0"))))+Table2[[#This Row],[WAITING TIMES]]</f>
        <v>923.5</v>
      </c>
      <c r="AW302" s="94">
        <f>VLOOKUP(AN302,Invoicing!A:K,11,FALSE)</f>
        <v>20</v>
      </c>
      <c r="AX302" s="48">
        <v>315</v>
      </c>
      <c r="AY302" s="48" t="s">
        <v>603</v>
      </c>
      <c r="AZ302" s="94">
        <f t="shared" si="99"/>
        <v>943.5</v>
      </c>
      <c r="BA302" s="133">
        <f>VLOOKUP(AN302,Invoicing!A:J,10,FALSE)</f>
        <v>70</v>
      </c>
      <c r="BB302" s="133">
        <f>VLOOKUP(AN302,Invoicing!A:L,12,FALSE)</f>
        <v>1</v>
      </c>
      <c r="BC302" s="2"/>
    </row>
    <row r="303" spans="1:55">
      <c r="A303" s="38" t="s">
        <v>594</v>
      </c>
      <c r="B303" s="3" t="s">
        <v>77</v>
      </c>
      <c r="C303" s="11">
        <v>46069.042361111111</v>
      </c>
      <c r="D303" s="11">
        <v>46068.041666666664</v>
      </c>
      <c r="E303" s="11" t="s">
        <v>71</v>
      </c>
      <c r="F303" s="11" t="s">
        <v>604</v>
      </c>
      <c r="G303" s="11" t="s">
        <v>59</v>
      </c>
      <c r="H303" s="11" t="s">
        <v>91</v>
      </c>
      <c r="I303" s="3" t="s">
        <v>605</v>
      </c>
      <c r="J303" s="86" t="s">
        <v>82</v>
      </c>
      <c r="K303" s="11">
        <v>46069.791666666664</v>
      </c>
      <c r="L303" s="12">
        <v>46070.11041666667</v>
      </c>
      <c r="M303" s="12">
        <v>46070.041666666664</v>
      </c>
      <c r="N303" s="12">
        <v>46070.138888888891</v>
      </c>
      <c r="O303" s="12" t="s">
        <v>63</v>
      </c>
      <c r="P303" s="85" t="s">
        <v>64</v>
      </c>
      <c r="Q303" s="3">
        <v>0</v>
      </c>
      <c r="R303" s="1">
        <f t="shared" si="82"/>
        <v>8</v>
      </c>
      <c r="S303" s="1">
        <f t="shared" si="83"/>
        <v>2</v>
      </c>
      <c r="T303" s="126">
        <f t="shared" si="84"/>
        <v>46070.11041666667</v>
      </c>
      <c r="U303" s="127">
        <f t="shared" si="85"/>
        <v>0.74930555555329192</v>
      </c>
      <c r="V303" s="128">
        <f>Table2[[#This Row],[ATA A OFRECIMIENTO]]*24</f>
        <v>17.983333333279006</v>
      </c>
      <c r="W303" s="1" t="str">
        <f t="shared" si="86"/>
        <v>YES</v>
      </c>
      <c r="X303" s="127">
        <f t="shared" si="87"/>
        <v>0.25</v>
      </c>
      <c r="Y303" s="128">
        <f>Table2[[#This Row],[DEL. AVAILABLE A SLOT]]*24</f>
        <v>6</v>
      </c>
      <c r="Z303" s="1" t="str">
        <f t="shared" si="88"/>
        <v>SI</v>
      </c>
      <c r="AA303" s="127">
        <f t="shared" si="89"/>
        <v>0.99930555555329192</v>
      </c>
      <c r="AB303" s="128">
        <f>Table2[[#This Row],[ATA A TIMESLOT]]*24</f>
        <v>23.983333333279006</v>
      </c>
      <c r="AC303" s="127">
        <f t="shared" si="90"/>
        <v>6.8750000005820766E-2</v>
      </c>
      <c r="AD303" s="127" t="str">
        <f t="shared" si="91"/>
        <v>NO</v>
      </c>
      <c r="AE303" s="128">
        <f>Table2[[#This Row],[PUNTUALIDAD (H)]]*24</f>
        <v>1.6500000001396984</v>
      </c>
      <c r="AF303" s="127">
        <f t="shared" si="92"/>
        <v>1.0965277777795563</v>
      </c>
      <c r="AG303" s="128">
        <f>Table2[[#This Row],[ATA TO UNLOADING]]*24</f>
        <v>26.316666666709352</v>
      </c>
      <c r="AH303" s="128" t="str">
        <f>IF(Table2[[#This Row],[ATA TO UNLOADING 2]]&lt;=48,"YES","NO")</f>
        <v>YES</v>
      </c>
      <c r="AJ303" s="129">
        <f t="shared" si="93"/>
        <v>4.1666666664241347E-2</v>
      </c>
      <c r="AK303" s="49" t="s">
        <v>36</v>
      </c>
      <c r="AL303" s="2" t="str">
        <f t="shared" si="94"/>
        <v>8/26</v>
      </c>
      <c r="AM303" s="2" t="str">
        <f t="shared" si="95"/>
        <v>MRSU6256681</v>
      </c>
      <c r="AN303" s="130" t="str">
        <f t="shared" si="96"/>
        <v>LOGIX</v>
      </c>
      <c r="AO303" s="150">
        <f>IF($O303="TRUCK",
VLOOKUP($AU303,Invoicing!$A$16:$B$56,MATCH($AO$1,Invoicing!$A$16:$B$16,0),FALSE)+IF(OR($B303="DCD",$B303="HPD2"),23.5,0),
VLOOKUP($AU303,Invoicing!$N$15:$O$19,MATCH($AO$1,Invoicing!$N$15:$O$15,0),FALSE)+IF(OR($B303="DCD",$B303="HPD2"),23.5,0))</f>
        <v>573.5</v>
      </c>
      <c r="AP303" s="131" t="e">
        <f>VLOOKUP($E303,Invoicing!$A$1:$H$12,MATCH(TRACKER!$P303,Invoicing!$A$1:$H$1,0),FALSE)</f>
        <v>#N/A</v>
      </c>
      <c r="AQ303" s="131">
        <f>VLOOKUP($E303,Invoicing!$A$1:$H$12,MATCH(TRACKER!$Q$1,Invoicing!$A$1:$H$1,0),FALSE)</f>
        <v>50</v>
      </c>
      <c r="AR303" s="131">
        <f t="shared" si="101"/>
        <v>0</v>
      </c>
      <c r="AS303" s="2">
        <f t="shared" si="97"/>
        <v>2</v>
      </c>
      <c r="AT303" s="2" t="str">
        <f t="shared" si="100"/>
        <v>NIGHT</v>
      </c>
      <c r="AU303" s="2" t="str">
        <f t="shared" si="98"/>
        <v>LOGIXNIGHT</v>
      </c>
      <c r="AV303" s="94">
        <f>(IF(ISNA(AP303),AO303+AR303,SUM($AO303,$AR303,IFERROR($AP303,"0"))))+Table2[[#This Row],[WAITING TIMES]]</f>
        <v>573.5</v>
      </c>
      <c r="AW303" s="94">
        <f>VLOOKUP(AN303,Invoicing!A:K,11,FALSE)</f>
        <v>20</v>
      </c>
      <c r="AY303" s="48"/>
      <c r="AZ303" s="94">
        <f t="shared" si="99"/>
        <v>593.5</v>
      </c>
      <c r="BA303" s="133">
        <f>VLOOKUP(AN303,Invoicing!A:J,10,FALSE)</f>
        <v>70</v>
      </c>
      <c r="BB303" s="133">
        <f>VLOOKUP(AN303,Invoicing!A:L,12,FALSE)</f>
        <v>1</v>
      </c>
      <c r="BC303" s="2"/>
    </row>
    <row r="304" spans="1:55">
      <c r="A304" s="38" t="s">
        <v>594</v>
      </c>
      <c r="B304" s="3" t="s">
        <v>77</v>
      </c>
      <c r="C304" s="11">
        <v>46069.042361111111</v>
      </c>
      <c r="D304" s="11">
        <v>46068.041666666664</v>
      </c>
      <c r="E304" s="11" t="s">
        <v>98</v>
      </c>
      <c r="F304" s="11" t="s">
        <v>606</v>
      </c>
      <c r="G304" s="11" t="s">
        <v>59</v>
      </c>
      <c r="H304" s="11" t="s">
        <v>91</v>
      </c>
      <c r="I304" s="3" t="s">
        <v>607</v>
      </c>
      <c r="J304" s="86" t="s">
        <v>82</v>
      </c>
      <c r="K304" s="11">
        <v>46069.791666666664</v>
      </c>
      <c r="L304" s="12">
        <v>46070.131249999999</v>
      </c>
      <c r="M304" s="12">
        <v>46070.125</v>
      </c>
      <c r="N304" s="12">
        <v>46070.232638888891</v>
      </c>
      <c r="O304" s="12" t="s">
        <v>63</v>
      </c>
      <c r="P304" s="85" t="s">
        <v>15</v>
      </c>
      <c r="Q304" s="3">
        <v>0</v>
      </c>
      <c r="R304" s="1">
        <f t="shared" si="82"/>
        <v>8</v>
      </c>
      <c r="S304" s="1">
        <f t="shared" si="83"/>
        <v>2</v>
      </c>
      <c r="T304" s="126">
        <f t="shared" si="84"/>
        <v>46070.131249999999</v>
      </c>
      <c r="U304" s="127">
        <f t="shared" si="85"/>
        <v>0.74930555555329192</v>
      </c>
      <c r="V304" s="128">
        <f>Table2[[#This Row],[ATA A OFRECIMIENTO]]*24</f>
        <v>17.983333333279006</v>
      </c>
      <c r="W304" s="1" t="str">
        <f t="shared" si="86"/>
        <v>YES</v>
      </c>
      <c r="X304" s="127">
        <f t="shared" si="87"/>
        <v>0.33333333333575865</v>
      </c>
      <c r="Y304" s="128">
        <f>Table2[[#This Row],[DEL. AVAILABLE A SLOT]]*24</f>
        <v>8.0000000000582077</v>
      </c>
      <c r="Z304" s="1" t="str">
        <f t="shared" si="88"/>
        <v>SI</v>
      </c>
      <c r="AA304" s="127">
        <f t="shared" si="89"/>
        <v>1.0826388888890506</v>
      </c>
      <c r="AB304" s="128">
        <f>Table2[[#This Row],[ATA A TIMESLOT]]*24</f>
        <v>25.983333333337214</v>
      </c>
      <c r="AC304" s="127">
        <f t="shared" si="90"/>
        <v>6.2499999985448085E-3</v>
      </c>
      <c r="AD304" s="127" t="str">
        <f t="shared" si="91"/>
        <v>SI</v>
      </c>
      <c r="AE304" s="128">
        <f>Table2[[#This Row],[PUNTUALIDAD (H)]]*24</f>
        <v>0.1499999999650754</v>
      </c>
      <c r="AF304" s="127">
        <f t="shared" si="92"/>
        <v>1.1902777777795563</v>
      </c>
      <c r="AG304" s="128">
        <f>Table2[[#This Row],[ATA TO UNLOADING]]*24</f>
        <v>28.566666666709352</v>
      </c>
      <c r="AH304" s="128" t="str">
        <f>IF(Table2[[#This Row],[ATA TO UNLOADING 2]]&lt;=48,"YES","NO")</f>
        <v>YES</v>
      </c>
      <c r="AJ304" s="129">
        <f t="shared" si="93"/>
        <v>0.125</v>
      </c>
      <c r="AK304" s="49" t="s">
        <v>36</v>
      </c>
      <c r="AL304" s="2" t="str">
        <f t="shared" si="94"/>
        <v>8/26</v>
      </c>
      <c r="AM304" s="2" t="str">
        <f t="shared" si="95"/>
        <v>MRSU7107403</v>
      </c>
      <c r="AN304" s="130" t="str">
        <f t="shared" si="96"/>
        <v>MSI</v>
      </c>
      <c r="AO304" s="150">
        <f>IF($O304="TRUCK",
VLOOKUP($AU304,Invoicing!$A$16:$B$56,MATCH($AO$1,Invoicing!$A$16:$B$16,0),FALSE)+IF(OR($B304="DCD",$B304="HPD2"),23.5,0),
VLOOKUP($AU304,Invoicing!$N$15:$O$19,MATCH($AO$1,Invoicing!$N$15:$O$15,0),FALSE)+IF(OR($B304="DCD",$B304="HPD2"),23.5,0))</f>
        <v>553.5</v>
      </c>
      <c r="AP304" s="131">
        <f>VLOOKUP($E304,Invoicing!$A$1:$H$12,MATCH(TRACKER!$P304,Invoicing!$A$1:$H$1,0),FALSE)</f>
        <v>120</v>
      </c>
      <c r="AQ304" s="131">
        <f>VLOOKUP($E304,Invoicing!$A$1:$H$12,MATCH(TRACKER!$Q$1,Invoicing!$A$1:$H$1,0),FALSE)</f>
        <v>50</v>
      </c>
      <c r="AR304" s="131">
        <f t="shared" si="101"/>
        <v>0</v>
      </c>
      <c r="AS304" s="2">
        <f t="shared" si="97"/>
        <v>2</v>
      </c>
      <c r="AT304" s="2" t="str">
        <f t="shared" si="100"/>
        <v>NIGHT</v>
      </c>
      <c r="AU304" s="2" t="str">
        <f t="shared" si="98"/>
        <v>MSINIGHT</v>
      </c>
      <c r="AV304" s="94">
        <f>(IF(ISNA(AP304),AO304+AR304,SUM($AO304,$AR304,IFERROR($AP304,"0"))))+Table2[[#This Row],[WAITING TIMES]]</f>
        <v>913.5</v>
      </c>
      <c r="AW304" s="94">
        <f>VLOOKUP(AN304,Invoicing!A:K,11,FALSE)</f>
        <v>20</v>
      </c>
      <c r="AX304" s="48">
        <v>240</v>
      </c>
      <c r="AY304" s="94" t="s">
        <v>608</v>
      </c>
      <c r="AZ304" s="94">
        <f t="shared" si="99"/>
        <v>933.5</v>
      </c>
      <c r="BA304" s="133">
        <f>VLOOKUP(AN304,Invoicing!A:J,10,FALSE)</f>
        <v>70</v>
      </c>
      <c r="BB304" s="133">
        <f>VLOOKUP(AN304,Invoicing!A:L,12,FALSE)</f>
        <v>1</v>
      </c>
      <c r="BC304" s="2"/>
    </row>
    <row r="305" spans="1:55">
      <c r="A305" s="38" t="s">
        <v>594</v>
      </c>
      <c r="B305" s="3" t="s">
        <v>77</v>
      </c>
      <c r="C305" s="11">
        <v>46069.042361111111</v>
      </c>
      <c r="D305" s="11">
        <v>46068.041666666664</v>
      </c>
      <c r="E305" s="11" t="s">
        <v>98</v>
      </c>
      <c r="F305" s="11" t="s">
        <v>606</v>
      </c>
      <c r="G305" s="11" t="s">
        <v>59</v>
      </c>
      <c r="H305" s="11" t="s">
        <v>91</v>
      </c>
      <c r="I305" s="3" t="s">
        <v>609</v>
      </c>
      <c r="J305" s="86" t="s">
        <v>82</v>
      </c>
      <c r="K305" s="11">
        <v>46069.791666666664</v>
      </c>
      <c r="L305" s="12">
        <v>46070.155555555553</v>
      </c>
      <c r="M305" s="12">
        <v>46070.166666666664</v>
      </c>
      <c r="N305" s="12">
        <v>46070.229166666664</v>
      </c>
      <c r="O305" s="12" t="s">
        <v>63</v>
      </c>
      <c r="P305" s="85" t="s">
        <v>15</v>
      </c>
      <c r="Q305" s="3">
        <v>0</v>
      </c>
      <c r="R305" s="1">
        <f t="shared" si="82"/>
        <v>8</v>
      </c>
      <c r="S305" s="1">
        <f t="shared" si="83"/>
        <v>2</v>
      </c>
      <c r="T305" s="126">
        <f t="shared" si="84"/>
        <v>46070.155555555553</v>
      </c>
      <c r="U305" s="127">
        <f t="shared" si="85"/>
        <v>0.74930555555329192</v>
      </c>
      <c r="V305" s="128">
        <f>Table2[[#This Row],[ATA A OFRECIMIENTO]]*24</f>
        <v>17.983333333279006</v>
      </c>
      <c r="W305" s="1" t="str">
        <f t="shared" si="86"/>
        <v>YES</v>
      </c>
      <c r="X305" s="127">
        <f t="shared" si="87"/>
        <v>0.375</v>
      </c>
      <c r="Y305" s="128">
        <f>Table2[[#This Row],[DEL. AVAILABLE A SLOT]]*24</f>
        <v>9</v>
      </c>
      <c r="Z305" s="1" t="str">
        <f t="shared" si="88"/>
        <v>SI</v>
      </c>
      <c r="AA305" s="127">
        <f t="shared" si="89"/>
        <v>1.1243055555532919</v>
      </c>
      <c r="AB305" s="128">
        <f>Table2[[#This Row],[ATA A TIMESLOT]]*24</f>
        <v>26.983333333279006</v>
      </c>
      <c r="AC305" s="127">
        <f t="shared" si="90"/>
        <v>0</v>
      </c>
      <c r="AD305" s="127" t="str">
        <f t="shared" si="91"/>
        <v>SI</v>
      </c>
      <c r="AE305" s="128">
        <f>Table2[[#This Row],[PUNTUALIDAD (H)]]*24</f>
        <v>0</v>
      </c>
      <c r="AF305" s="127">
        <f t="shared" si="92"/>
        <v>1.1868055555532919</v>
      </c>
      <c r="AG305" s="128">
        <f>Table2[[#This Row],[ATA TO UNLOADING]]*24</f>
        <v>28.483333333279006</v>
      </c>
      <c r="AH305" s="128" t="str">
        <f>IF(Table2[[#This Row],[ATA TO UNLOADING 2]]&lt;=48,"YES","NO")</f>
        <v>YES</v>
      </c>
      <c r="AJ305" s="129">
        <f t="shared" si="93"/>
        <v>0.16666666666424135</v>
      </c>
      <c r="AK305" s="49" t="s">
        <v>36</v>
      </c>
      <c r="AL305" s="2" t="str">
        <f t="shared" si="94"/>
        <v>8/26</v>
      </c>
      <c r="AM305" s="2" t="str">
        <f t="shared" si="95"/>
        <v>MSKU0723366</v>
      </c>
      <c r="AN305" s="130" t="str">
        <f t="shared" si="96"/>
        <v>MSI</v>
      </c>
      <c r="AO305" s="150">
        <f>IF($O305="TRUCK",
VLOOKUP($AU305,Invoicing!$A$16:$B$56,MATCH($AO$1,Invoicing!$A$16:$B$16,0),FALSE)+IF(OR($B305="DCD",$B305="HPD2"),23.5,0),
VLOOKUP($AU305,Invoicing!$N$15:$O$19,MATCH($AO$1,Invoicing!$N$15:$O$15,0),FALSE)+IF(OR($B305="DCD",$B305="HPD2"),23.5,0))</f>
        <v>553.5</v>
      </c>
      <c r="AP305" s="131">
        <f>VLOOKUP($E305,Invoicing!$A$1:$H$12,MATCH(TRACKER!$P305,Invoicing!$A$1:$H$1,0),FALSE)</f>
        <v>120</v>
      </c>
      <c r="AQ305" s="131">
        <f>VLOOKUP($E305,Invoicing!$A$1:$H$12,MATCH(TRACKER!$Q$1,Invoicing!$A$1:$H$1,0),FALSE)</f>
        <v>50</v>
      </c>
      <c r="AR305" s="131">
        <f t="shared" si="101"/>
        <v>0</v>
      </c>
      <c r="AS305" s="2">
        <f t="shared" si="97"/>
        <v>2</v>
      </c>
      <c r="AT305" s="2" t="str">
        <f t="shared" si="100"/>
        <v>NIGHT</v>
      </c>
      <c r="AU305" s="2" t="str">
        <f t="shared" si="98"/>
        <v>MSINIGHT</v>
      </c>
      <c r="AV305" s="94">
        <f>(IF(ISNA(AP305),AO305+AR305,SUM($AO305,$AR305,IFERROR($AP305,"0"))))+Table2[[#This Row],[WAITING TIMES]]</f>
        <v>868.5</v>
      </c>
      <c r="AW305" s="94">
        <f>VLOOKUP(AN305,Invoicing!A:K,11,FALSE)</f>
        <v>20</v>
      </c>
      <c r="AX305" s="48">
        <v>195</v>
      </c>
      <c r="AY305" s="94" t="s">
        <v>610</v>
      </c>
      <c r="AZ305" s="94">
        <f t="shared" si="99"/>
        <v>888.5</v>
      </c>
      <c r="BA305" s="133">
        <f>VLOOKUP(AN305,Invoicing!A:J,10,FALSE)</f>
        <v>70</v>
      </c>
      <c r="BB305" s="133">
        <f>VLOOKUP(AN305,Invoicing!A:L,12,FALSE)</f>
        <v>1</v>
      </c>
      <c r="BC305" s="2"/>
    </row>
    <row r="306" spans="1:55">
      <c r="A306" s="38" t="s">
        <v>594</v>
      </c>
      <c r="B306" s="3" t="s">
        <v>77</v>
      </c>
      <c r="C306" s="11">
        <v>46069.042361111111</v>
      </c>
      <c r="D306" s="11">
        <v>46068.041666666664</v>
      </c>
      <c r="E306" s="11" t="s">
        <v>71</v>
      </c>
      <c r="F306" s="11" t="s">
        <v>599</v>
      </c>
      <c r="G306" s="11" t="s">
        <v>59</v>
      </c>
      <c r="H306" s="11" t="s">
        <v>91</v>
      </c>
      <c r="I306" s="3" t="s">
        <v>611</v>
      </c>
      <c r="J306" s="86" t="s">
        <v>82</v>
      </c>
      <c r="K306" s="11">
        <v>46069.791666666664</v>
      </c>
      <c r="L306" s="12">
        <v>46069.984027777777</v>
      </c>
      <c r="M306" s="12">
        <v>46070.208333333336</v>
      </c>
      <c r="N306" s="12">
        <v>46070.114583333336</v>
      </c>
      <c r="O306" s="12" t="s">
        <v>63</v>
      </c>
      <c r="P306" s="85" t="s">
        <v>64</v>
      </c>
      <c r="Q306" s="3">
        <v>0</v>
      </c>
      <c r="R306" s="1">
        <f t="shared" si="82"/>
        <v>8</v>
      </c>
      <c r="S306" s="1">
        <f t="shared" si="83"/>
        <v>2</v>
      </c>
      <c r="T306" s="126">
        <f t="shared" si="84"/>
        <v>46069.984027777777</v>
      </c>
      <c r="U306" s="127">
        <f t="shared" si="85"/>
        <v>0.74930555555329192</v>
      </c>
      <c r="V306" s="128">
        <f>Table2[[#This Row],[ATA A OFRECIMIENTO]]*24</f>
        <v>17.983333333279006</v>
      </c>
      <c r="W306" s="1" t="str">
        <f t="shared" si="86"/>
        <v>YES</v>
      </c>
      <c r="X306" s="127">
        <f t="shared" si="87"/>
        <v>0.41666666667151731</v>
      </c>
      <c r="Y306" s="128">
        <f>Table2[[#This Row],[DEL. AVAILABLE A SLOT]]*24</f>
        <v>10.000000000116415</v>
      </c>
      <c r="Z306" s="1" t="str">
        <f t="shared" si="88"/>
        <v>SI</v>
      </c>
      <c r="AA306" s="127">
        <f t="shared" si="89"/>
        <v>1.1659722222248092</v>
      </c>
      <c r="AB306" s="128">
        <f>Table2[[#This Row],[ATA A TIMESLOT]]*24</f>
        <v>27.983333333395422</v>
      </c>
      <c r="AC306" s="127">
        <f t="shared" si="90"/>
        <v>0</v>
      </c>
      <c r="AD306" s="127" t="str">
        <f t="shared" si="91"/>
        <v>SI</v>
      </c>
      <c r="AE306" s="128">
        <f>Table2[[#This Row],[PUNTUALIDAD (H)]]*24</f>
        <v>0</v>
      </c>
      <c r="AF306" s="127">
        <f t="shared" si="92"/>
        <v>1.0722222222248092</v>
      </c>
      <c r="AG306" s="128">
        <f>Table2[[#This Row],[ATA TO UNLOADING]]*24</f>
        <v>25.733333333395422</v>
      </c>
      <c r="AH306" s="128" t="str">
        <f>IF(Table2[[#This Row],[ATA TO UNLOADING 2]]&lt;=48,"YES","NO")</f>
        <v>YES</v>
      </c>
      <c r="AJ306" s="129">
        <f t="shared" si="93"/>
        <v>0.20833333333575865</v>
      </c>
      <c r="AK306" s="2" t="s">
        <v>64</v>
      </c>
      <c r="AL306" s="2" t="str">
        <f t="shared" si="94"/>
        <v>8/26</v>
      </c>
      <c r="AM306" s="2" t="str">
        <f t="shared" si="95"/>
        <v>MVIU0030171</v>
      </c>
      <c r="AN306" s="130" t="str">
        <f t="shared" si="96"/>
        <v>LOGIX</v>
      </c>
      <c r="AO306" s="150">
        <f>IF($O306="TRUCK",
VLOOKUP($AU306,Invoicing!$A$16:$B$56,MATCH($AO$1,Invoicing!$A$16:$B$16,0),FALSE)+IF(OR($B306="DCD",$B306="HPD2"),23.5,0),
VLOOKUP($AU306,Invoicing!$N$15:$O$19,MATCH($AO$1,Invoicing!$N$15:$O$15,0),FALSE)+IF(OR($B306="DCD",$B306="HPD2"),23.5,0))</f>
        <v>573.5</v>
      </c>
      <c r="AP306" s="131" t="e">
        <f>VLOOKUP($E306,Invoicing!$A$1:$H$12,MATCH(TRACKER!$P306,Invoicing!$A$1:$H$1,0),FALSE)</f>
        <v>#N/A</v>
      </c>
      <c r="AQ306" s="131">
        <f>VLOOKUP($E306,Invoicing!$A$1:$H$12,MATCH(TRACKER!$Q$1,Invoicing!$A$1:$H$1,0),FALSE)</f>
        <v>50</v>
      </c>
      <c r="AR306" s="131">
        <f t="shared" si="101"/>
        <v>0</v>
      </c>
      <c r="AS306" s="2">
        <f t="shared" si="97"/>
        <v>2</v>
      </c>
      <c r="AT306" s="2" t="str">
        <f t="shared" si="100"/>
        <v>WEEK</v>
      </c>
      <c r="AU306" s="2" t="str">
        <f t="shared" si="98"/>
        <v>LOGIXWEEK</v>
      </c>
      <c r="AV306" s="94">
        <f>(IF(ISNA(AP306),AO306+AR306,SUM($AO306,$AR306,IFERROR($AP306,"0"))))+Table2[[#This Row],[WAITING TIMES]]</f>
        <v>573.5</v>
      </c>
      <c r="AW306" s="94">
        <f>VLOOKUP(AN306,Invoicing!A:K,11,FALSE)</f>
        <v>20</v>
      </c>
      <c r="AY306" s="48"/>
      <c r="AZ306" s="94">
        <f t="shared" si="99"/>
        <v>593.5</v>
      </c>
      <c r="BA306" s="133">
        <f>VLOOKUP(AN306,Invoicing!A:J,10,FALSE)</f>
        <v>70</v>
      </c>
      <c r="BB306" s="133">
        <f>VLOOKUP(AN306,Invoicing!A:L,12,FALSE)</f>
        <v>1</v>
      </c>
      <c r="BC306" s="2"/>
    </row>
    <row r="307" spans="1:55">
      <c r="A307" s="38" t="s">
        <v>594</v>
      </c>
      <c r="B307" s="3" t="s">
        <v>77</v>
      </c>
      <c r="C307" s="11">
        <v>46069.042361111111</v>
      </c>
      <c r="D307" s="11">
        <v>46068.041666666664</v>
      </c>
      <c r="E307" s="11" t="s">
        <v>98</v>
      </c>
      <c r="F307" s="11" t="s">
        <v>606</v>
      </c>
      <c r="G307" s="11" t="s">
        <v>59</v>
      </c>
      <c r="H307" s="11" t="s">
        <v>91</v>
      </c>
      <c r="I307" s="3" t="s">
        <v>612</v>
      </c>
      <c r="J307" s="86" t="s">
        <v>82</v>
      </c>
      <c r="K307" s="11">
        <v>46069.791666666664</v>
      </c>
      <c r="L307" s="12">
        <v>46070.222222222219</v>
      </c>
      <c r="M307" s="12">
        <v>46070.208333333336</v>
      </c>
      <c r="N307" s="12">
        <v>46070.236111111109</v>
      </c>
      <c r="O307" s="12" t="s">
        <v>63</v>
      </c>
      <c r="P307" s="85" t="s">
        <v>15</v>
      </c>
      <c r="Q307" s="3">
        <v>0</v>
      </c>
      <c r="R307" s="1">
        <f t="shared" si="82"/>
        <v>8</v>
      </c>
      <c r="S307" s="1">
        <f t="shared" si="83"/>
        <v>2</v>
      </c>
      <c r="T307" s="126">
        <f t="shared" si="84"/>
        <v>46070.222222222219</v>
      </c>
      <c r="U307" s="127">
        <f t="shared" si="85"/>
        <v>0.74930555555329192</v>
      </c>
      <c r="V307" s="128">
        <f>Table2[[#This Row],[ATA A OFRECIMIENTO]]*24</f>
        <v>17.983333333279006</v>
      </c>
      <c r="W307" s="1" t="str">
        <f t="shared" si="86"/>
        <v>YES</v>
      </c>
      <c r="X307" s="127">
        <f t="shared" si="87"/>
        <v>0.41666666667151731</v>
      </c>
      <c r="Y307" s="128">
        <f>Table2[[#This Row],[DEL. AVAILABLE A SLOT]]*24</f>
        <v>10.000000000116415</v>
      </c>
      <c r="Z307" s="1" t="str">
        <f t="shared" si="88"/>
        <v>SI</v>
      </c>
      <c r="AA307" s="127">
        <f t="shared" si="89"/>
        <v>1.1659722222248092</v>
      </c>
      <c r="AB307" s="128">
        <f>Table2[[#This Row],[ATA A TIMESLOT]]*24</f>
        <v>27.983333333395422</v>
      </c>
      <c r="AC307" s="127">
        <f t="shared" si="90"/>
        <v>1.3888888883229811E-2</v>
      </c>
      <c r="AD307" s="127" t="str">
        <f t="shared" si="91"/>
        <v>SI</v>
      </c>
      <c r="AE307" s="128">
        <f>Table2[[#This Row],[PUNTUALIDAD (H)]]*24</f>
        <v>0.33333333319751546</v>
      </c>
      <c r="AF307" s="127">
        <f t="shared" si="92"/>
        <v>1.1937499999985448</v>
      </c>
      <c r="AG307" s="128">
        <f>Table2[[#This Row],[ATA TO UNLOADING]]*24</f>
        <v>28.649999999965075</v>
      </c>
      <c r="AH307" s="128" t="str">
        <f>IF(Table2[[#This Row],[ATA TO UNLOADING 2]]&lt;=48,"YES","NO")</f>
        <v>YES</v>
      </c>
      <c r="AJ307" s="129">
        <f t="shared" si="93"/>
        <v>0.20833333333575865</v>
      </c>
      <c r="AK307" s="2" t="s">
        <v>64</v>
      </c>
      <c r="AL307" s="2" t="str">
        <f t="shared" si="94"/>
        <v>8/26</v>
      </c>
      <c r="AM307" s="2" t="str">
        <f t="shared" si="95"/>
        <v>TRHU5139620</v>
      </c>
      <c r="AN307" s="130" t="str">
        <f t="shared" si="96"/>
        <v>MSI</v>
      </c>
      <c r="AO307" s="150">
        <f>IF($O307="TRUCK",
VLOOKUP($AU307,Invoicing!$A$16:$B$56,MATCH($AO$1,Invoicing!$A$16:$B$16,0),FALSE)+IF(OR($B307="DCD",$B307="HPD2"),23.5,0),
VLOOKUP($AU307,Invoicing!$N$15:$O$19,MATCH($AO$1,Invoicing!$N$15:$O$15,0),FALSE)+IF(OR($B307="DCD",$B307="HPD2"),23.5,0))</f>
        <v>503.5</v>
      </c>
      <c r="AP307" s="131">
        <f>VLOOKUP($E307,Invoicing!$A$1:$H$12,MATCH(TRACKER!$P307,Invoicing!$A$1:$H$1,0),FALSE)</f>
        <v>120</v>
      </c>
      <c r="AQ307" s="131">
        <f>VLOOKUP($E307,Invoicing!$A$1:$H$12,MATCH(TRACKER!$Q$1,Invoicing!$A$1:$H$1,0),FALSE)</f>
        <v>50</v>
      </c>
      <c r="AR307" s="131">
        <f t="shared" si="101"/>
        <v>0</v>
      </c>
      <c r="AS307" s="2">
        <f t="shared" si="97"/>
        <v>2</v>
      </c>
      <c r="AT307" s="2" t="str">
        <f t="shared" si="100"/>
        <v>WEEK</v>
      </c>
      <c r="AU307" s="2" t="str">
        <f t="shared" si="98"/>
        <v>MSIWEEK</v>
      </c>
      <c r="AV307" s="94">
        <f>(IF(ISNA(AP307),AO307+AR307,SUM($AO307,$AR307,IFERROR($AP307,"0"))))+Table2[[#This Row],[WAITING TIMES]]</f>
        <v>773.5</v>
      </c>
      <c r="AW307" s="94">
        <f>VLOOKUP(AN307,Invoicing!A:K,11,FALSE)</f>
        <v>20</v>
      </c>
      <c r="AX307" s="48">
        <v>150</v>
      </c>
      <c r="AY307" s="94" t="s">
        <v>613</v>
      </c>
      <c r="AZ307" s="94">
        <f t="shared" si="99"/>
        <v>793.5</v>
      </c>
      <c r="BA307" s="133">
        <f>VLOOKUP(AN307,Invoicing!A:J,10,FALSE)</f>
        <v>70</v>
      </c>
      <c r="BB307" s="133">
        <f>VLOOKUP(AN307,Invoicing!A:L,12,FALSE)</f>
        <v>1</v>
      </c>
      <c r="BC307" s="2"/>
    </row>
    <row r="308" spans="1:55">
      <c r="A308" s="38" t="s">
        <v>594</v>
      </c>
      <c r="B308" s="3" t="s">
        <v>77</v>
      </c>
      <c r="C308" s="11">
        <v>46069.042361111111</v>
      </c>
      <c r="D308" s="11">
        <v>46068.041666666664</v>
      </c>
      <c r="E308" s="11" t="s">
        <v>73</v>
      </c>
      <c r="F308" s="11" t="s">
        <v>595</v>
      </c>
      <c r="G308" s="11" t="s">
        <v>59</v>
      </c>
      <c r="H308" s="11" t="s">
        <v>91</v>
      </c>
      <c r="I308" s="3" t="s">
        <v>614</v>
      </c>
      <c r="J308" s="86" t="s">
        <v>100</v>
      </c>
      <c r="K308" s="11">
        <v>46069.791666666664</v>
      </c>
      <c r="L308" s="12">
        <v>46070.305555555555</v>
      </c>
      <c r="M308" s="12">
        <v>46070.25</v>
      </c>
      <c r="N308" s="12">
        <v>46070.3125</v>
      </c>
      <c r="O308" s="12" t="s">
        <v>63</v>
      </c>
      <c r="P308" s="85" t="s">
        <v>64</v>
      </c>
      <c r="Q308" s="3">
        <v>0</v>
      </c>
      <c r="R308" s="1">
        <f t="shared" si="82"/>
        <v>8</v>
      </c>
      <c r="S308" s="1">
        <f t="shared" si="83"/>
        <v>2</v>
      </c>
      <c r="T308" s="126">
        <f t="shared" si="84"/>
        <v>46070.305555555555</v>
      </c>
      <c r="U308" s="127">
        <f t="shared" si="85"/>
        <v>0.74930555555329192</v>
      </c>
      <c r="V308" s="128">
        <f>Table2[[#This Row],[ATA A OFRECIMIENTO]]*24</f>
        <v>17.983333333279006</v>
      </c>
      <c r="W308" s="1" t="str">
        <f t="shared" si="86"/>
        <v>YES</v>
      </c>
      <c r="X308" s="127">
        <f t="shared" si="87"/>
        <v>0.45833333333575865</v>
      </c>
      <c r="Y308" s="128">
        <f>Table2[[#This Row],[DEL. AVAILABLE A SLOT]]*24</f>
        <v>11.000000000058208</v>
      </c>
      <c r="Z308" s="1" t="str">
        <f t="shared" si="88"/>
        <v>SI</v>
      </c>
      <c r="AA308" s="127">
        <f t="shared" si="89"/>
        <v>1.2076388888890506</v>
      </c>
      <c r="AB308" s="128">
        <f>Table2[[#This Row],[ATA A TIMESLOT]]*24</f>
        <v>28.983333333337214</v>
      </c>
      <c r="AC308" s="127">
        <f t="shared" si="90"/>
        <v>5.5555555554747116E-2</v>
      </c>
      <c r="AD308" s="127" t="str">
        <f t="shared" si="91"/>
        <v>NO</v>
      </c>
      <c r="AE308" s="128">
        <f>Table2[[#This Row],[PUNTUALIDAD (H)]]*24</f>
        <v>1.3333333333139308</v>
      </c>
      <c r="AF308" s="127">
        <f t="shared" si="92"/>
        <v>1.2701388888890506</v>
      </c>
      <c r="AG308" s="128">
        <f>Table2[[#This Row],[ATA TO UNLOADING]]*24</f>
        <v>30.483333333337214</v>
      </c>
      <c r="AH308" s="128" t="str">
        <f>IF(Table2[[#This Row],[ATA TO UNLOADING 2]]&lt;=48,"YES","NO")</f>
        <v>YES</v>
      </c>
      <c r="AJ308" s="129">
        <f t="shared" si="93"/>
        <v>0.25</v>
      </c>
      <c r="AK308" s="2" t="s">
        <v>64</v>
      </c>
      <c r="AL308" s="2" t="str">
        <f t="shared" si="94"/>
        <v>8/26</v>
      </c>
      <c r="AM308" s="2" t="str">
        <f t="shared" si="95"/>
        <v>MRSU3239063</v>
      </c>
      <c r="AN308" s="130" t="str">
        <f t="shared" si="96"/>
        <v>OTL</v>
      </c>
      <c r="AO308" s="150">
        <f>IF($O308="TRUCK",
VLOOKUP($AU308,Invoicing!$A$16:$B$56,MATCH($AO$1,Invoicing!$A$16:$B$16,0),FALSE)+IF(OR($B308="DCD",$B308="HPD2"),23.5,0),
VLOOKUP($AU308,Invoicing!$N$15:$O$19,MATCH($AO$1,Invoicing!$N$15:$O$15,0),FALSE)+IF(OR($B308="DCD",$B308="HPD2"),23.5,0))</f>
        <v>553.5</v>
      </c>
      <c r="AP308" s="131" t="e">
        <f>VLOOKUP($E308,Invoicing!$A$1:$H$12,MATCH(TRACKER!$P308,Invoicing!$A$1:$H$1,0),FALSE)</f>
        <v>#N/A</v>
      </c>
      <c r="AQ308" s="131">
        <f>VLOOKUP($E308,Invoicing!$A$1:$H$12,MATCH(TRACKER!$Q$1,Invoicing!$A$1:$H$1,0),FALSE)</f>
        <v>60</v>
      </c>
      <c r="AR308" s="131">
        <f t="shared" si="101"/>
        <v>0</v>
      </c>
      <c r="AS308" s="2">
        <f t="shared" si="97"/>
        <v>2</v>
      </c>
      <c r="AT308" s="2" t="str">
        <f t="shared" si="100"/>
        <v>WEEK</v>
      </c>
      <c r="AU308" s="2" t="str">
        <f t="shared" si="98"/>
        <v>OTLWEEK</v>
      </c>
      <c r="AV308" s="94">
        <f>(IF(ISNA(AP308),AO308+AR308,SUM($AO308,$AR308,IFERROR($AP308,"0"))))+Table2[[#This Row],[WAITING TIMES]]</f>
        <v>553.5</v>
      </c>
      <c r="AW308" s="94">
        <f>VLOOKUP(AN308,Invoicing!A:K,11,FALSE)</f>
        <v>20</v>
      </c>
      <c r="AY308" s="48"/>
      <c r="AZ308" s="94">
        <f t="shared" si="99"/>
        <v>573.5</v>
      </c>
      <c r="BA308" s="133">
        <f>VLOOKUP(AN308,Invoicing!A:J,10,FALSE)</f>
        <v>70</v>
      </c>
      <c r="BB308" s="133">
        <f>VLOOKUP(AN308,Invoicing!A:L,12,FALSE)</f>
        <v>1</v>
      </c>
      <c r="BC308" s="2"/>
    </row>
    <row r="309" spans="1:55">
      <c r="A309" s="38" t="s">
        <v>594</v>
      </c>
      <c r="B309" s="3" t="s">
        <v>77</v>
      </c>
      <c r="C309" s="11">
        <v>46069.042361111111</v>
      </c>
      <c r="D309" s="11">
        <v>46068.041666666664</v>
      </c>
      <c r="E309" s="11" t="s">
        <v>98</v>
      </c>
      <c r="F309" s="11" t="s">
        <v>604</v>
      </c>
      <c r="G309" s="11" t="s">
        <v>59</v>
      </c>
      <c r="H309" s="11" t="s">
        <v>91</v>
      </c>
      <c r="I309" s="3" t="s">
        <v>615</v>
      </c>
      <c r="J309" s="86" t="s">
        <v>100</v>
      </c>
      <c r="K309" s="11">
        <v>46069.791666666664</v>
      </c>
      <c r="L309" s="12">
        <v>46070.268750000003</v>
      </c>
      <c r="M309" s="12">
        <v>46070.25</v>
      </c>
      <c r="N309" s="12">
        <v>46070.274305555555</v>
      </c>
      <c r="O309" s="12" t="s">
        <v>63</v>
      </c>
      <c r="P309" s="85" t="s">
        <v>64</v>
      </c>
      <c r="Q309" s="3">
        <v>0</v>
      </c>
      <c r="R309" s="1">
        <f t="shared" si="82"/>
        <v>8</v>
      </c>
      <c r="S309" s="1">
        <f t="shared" si="83"/>
        <v>2</v>
      </c>
      <c r="T309" s="126">
        <f t="shared" si="84"/>
        <v>46070.268750000003</v>
      </c>
      <c r="U309" s="127">
        <f t="shared" si="85"/>
        <v>0.74930555555329192</v>
      </c>
      <c r="V309" s="128">
        <f>Table2[[#This Row],[ATA A OFRECIMIENTO]]*24</f>
        <v>17.983333333279006</v>
      </c>
      <c r="W309" s="1" t="str">
        <f t="shared" si="86"/>
        <v>YES</v>
      </c>
      <c r="X309" s="127">
        <f t="shared" si="87"/>
        <v>0.45833333333575865</v>
      </c>
      <c r="Y309" s="128">
        <f>Table2[[#This Row],[DEL. AVAILABLE A SLOT]]*24</f>
        <v>11.000000000058208</v>
      </c>
      <c r="Z309" s="1" t="str">
        <f t="shared" si="88"/>
        <v>SI</v>
      </c>
      <c r="AA309" s="127">
        <f t="shared" si="89"/>
        <v>1.2076388888890506</v>
      </c>
      <c r="AB309" s="128">
        <f>Table2[[#This Row],[ATA A TIMESLOT]]*24</f>
        <v>28.983333333337214</v>
      </c>
      <c r="AC309" s="127">
        <f t="shared" si="90"/>
        <v>1.8750000002910383E-2</v>
      </c>
      <c r="AD309" s="127" t="str">
        <f t="shared" si="91"/>
        <v>SI</v>
      </c>
      <c r="AE309" s="128">
        <f>Table2[[#This Row],[PUNTUALIDAD (H)]]*24</f>
        <v>0.45000000006984919</v>
      </c>
      <c r="AF309" s="127">
        <f t="shared" si="92"/>
        <v>1.2319444444437977</v>
      </c>
      <c r="AG309" s="128">
        <f>Table2[[#This Row],[ATA TO UNLOADING]]*24</f>
        <v>29.566666666651145</v>
      </c>
      <c r="AH309" s="128" t="str">
        <f>IF(Table2[[#This Row],[ATA TO UNLOADING 2]]&lt;=48,"YES","NO")</f>
        <v>YES</v>
      </c>
      <c r="AJ309" s="129">
        <f t="shared" si="93"/>
        <v>0.25</v>
      </c>
      <c r="AK309" s="2" t="s">
        <v>64</v>
      </c>
      <c r="AL309" s="2" t="str">
        <f t="shared" si="94"/>
        <v>8/26</v>
      </c>
      <c r="AM309" s="2" t="str">
        <f t="shared" si="95"/>
        <v>MSKU1144604</v>
      </c>
      <c r="AN309" s="130" t="str">
        <f t="shared" si="96"/>
        <v>MSI</v>
      </c>
      <c r="AO309" s="150">
        <f>IF($O309="TRUCK",
VLOOKUP($AU309,Invoicing!$A$16:$B$56,MATCH($AO$1,Invoicing!$A$16:$B$16,0),FALSE)+IF(OR($B309="DCD",$B309="HPD2"),23.5,0),
VLOOKUP($AU309,Invoicing!$N$15:$O$19,MATCH($AO$1,Invoicing!$N$15:$O$15,0),FALSE)+IF(OR($B309="DCD",$B309="HPD2"),23.5,0))</f>
        <v>503.5</v>
      </c>
      <c r="AP309" s="131" t="e">
        <f>VLOOKUP($E309,Invoicing!$A$1:$H$12,MATCH(TRACKER!$P309,Invoicing!$A$1:$H$1,0),FALSE)</f>
        <v>#N/A</v>
      </c>
      <c r="AQ309" s="131">
        <f>VLOOKUP($E309,Invoicing!$A$1:$H$12,MATCH(TRACKER!$Q$1,Invoicing!$A$1:$H$1,0),FALSE)</f>
        <v>50</v>
      </c>
      <c r="AR309" s="131">
        <f t="shared" si="101"/>
        <v>0</v>
      </c>
      <c r="AS309" s="2">
        <f t="shared" si="97"/>
        <v>2</v>
      </c>
      <c r="AT309" s="2" t="str">
        <f t="shared" si="100"/>
        <v>WEEK</v>
      </c>
      <c r="AU309" s="2" t="str">
        <f t="shared" si="98"/>
        <v>MSIWEEK</v>
      </c>
      <c r="AV309" s="94">
        <f>(IF(ISNA(AP309),AO309+AR309,SUM($AO309,$AR309,IFERROR($AP309,"0"))))+Table2[[#This Row],[WAITING TIMES]]</f>
        <v>503.5</v>
      </c>
      <c r="AW309" s="94">
        <f>VLOOKUP(AN309,Invoicing!A:K,11,FALSE)</f>
        <v>20</v>
      </c>
      <c r="AY309" s="48"/>
      <c r="AZ309" s="94">
        <f t="shared" si="99"/>
        <v>523.5</v>
      </c>
      <c r="BA309" s="133">
        <f>VLOOKUP(AN309,Invoicing!A:J,10,FALSE)</f>
        <v>70</v>
      </c>
      <c r="BB309" s="133">
        <f>VLOOKUP(AN309,Invoicing!A:L,12,FALSE)</f>
        <v>1</v>
      </c>
      <c r="BC309" s="2"/>
    </row>
    <row r="310" spans="1:55">
      <c r="A310" s="38" t="s">
        <v>594</v>
      </c>
      <c r="B310" s="3" t="s">
        <v>77</v>
      </c>
      <c r="C310" s="11">
        <v>46069.042361111111</v>
      </c>
      <c r="D310" s="11">
        <v>46068.041666666664</v>
      </c>
      <c r="E310" s="11" t="s">
        <v>83</v>
      </c>
      <c r="F310" s="11" t="s">
        <v>604</v>
      </c>
      <c r="G310" s="11" t="s">
        <v>59</v>
      </c>
      <c r="H310" s="11" t="s">
        <v>91</v>
      </c>
      <c r="I310" s="3" t="s">
        <v>616</v>
      </c>
      <c r="J310" s="86" t="s">
        <v>82</v>
      </c>
      <c r="K310" s="11">
        <v>46069.791666666664</v>
      </c>
      <c r="L310" s="12">
        <v>46070.262499999997</v>
      </c>
      <c r="M310" s="12">
        <v>46070.25</v>
      </c>
      <c r="N310" s="12">
        <v>46070.305555555555</v>
      </c>
      <c r="O310" s="12" t="s">
        <v>63</v>
      </c>
      <c r="P310" s="85" t="s">
        <v>64</v>
      </c>
      <c r="Q310" s="3">
        <v>0</v>
      </c>
      <c r="R310" s="1">
        <f t="shared" si="82"/>
        <v>8</v>
      </c>
      <c r="S310" s="1">
        <f t="shared" si="83"/>
        <v>2</v>
      </c>
      <c r="T310" s="126">
        <f t="shared" si="84"/>
        <v>46070.262499999997</v>
      </c>
      <c r="U310" s="127">
        <f t="shared" si="85"/>
        <v>0.74930555555329192</v>
      </c>
      <c r="V310" s="128">
        <f>Table2[[#This Row],[ATA A OFRECIMIENTO]]*24</f>
        <v>17.983333333279006</v>
      </c>
      <c r="W310" s="1" t="str">
        <f t="shared" si="86"/>
        <v>YES</v>
      </c>
      <c r="X310" s="127">
        <f t="shared" si="87"/>
        <v>0.45833333333575865</v>
      </c>
      <c r="Y310" s="128">
        <f>Table2[[#This Row],[DEL. AVAILABLE A SLOT]]*24</f>
        <v>11.000000000058208</v>
      </c>
      <c r="Z310" s="1" t="str">
        <f t="shared" si="88"/>
        <v>SI</v>
      </c>
      <c r="AA310" s="127">
        <f t="shared" si="89"/>
        <v>1.2076388888890506</v>
      </c>
      <c r="AB310" s="128">
        <f>Table2[[#This Row],[ATA A TIMESLOT]]*24</f>
        <v>28.983333333337214</v>
      </c>
      <c r="AC310" s="127">
        <f t="shared" si="90"/>
        <v>1.2499999997089617E-2</v>
      </c>
      <c r="AD310" s="127" t="str">
        <f t="shared" si="91"/>
        <v>SI</v>
      </c>
      <c r="AE310" s="128">
        <f>Table2[[#This Row],[PUNTUALIDAD (H)]]*24</f>
        <v>0.29999999993015081</v>
      </c>
      <c r="AF310" s="127">
        <f t="shared" si="92"/>
        <v>1.2631944444437977</v>
      </c>
      <c r="AG310" s="128">
        <f>Table2[[#This Row],[ATA TO UNLOADING]]*24</f>
        <v>30.316666666651145</v>
      </c>
      <c r="AH310" s="128" t="str">
        <f>IF(Table2[[#This Row],[ATA TO UNLOADING 2]]&lt;=48,"YES","NO")</f>
        <v>YES</v>
      </c>
      <c r="AJ310" s="129">
        <f t="shared" si="93"/>
        <v>0.25</v>
      </c>
      <c r="AK310" s="2" t="s">
        <v>64</v>
      </c>
      <c r="AL310" s="2" t="str">
        <f t="shared" si="94"/>
        <v>8/26</v>
      </c>
      <c r="AM310" s="2" t="str">
        <f t="shared" si="95"/>
        <v>MSKU6726510</v>
      </c>
      <c r="AN310" s="130" t="str">
        <f t="shared" si="96"/>
        <v>OM TRANSPORT</v>
      </c>
      <c r="AO310" s="150">
        <f>IF($O310="TRUCK",
VLOOKUP($AU310,Invoicing!$A$16:$B$56,MATCH($AO$1,Invoicing!$A$16:$B$16,0),FALSE)+IF(OR($B310="DCD",$B310="HPD2"),23.5,0),
VLOOKUP($AU310,Invoicing!$N$15:$O$19,MATCH($AO$1,Invoicing!$N$15:$O$15,0),FALSE)+IF(OR($B310="DCD",$B310="HPD2"),23.5,0))</f>
        <v>498.5</v>
      </c>
      <c r="AP310" s="131" t="e">
        <f>VLOOKUP($E310,Invoicing!$A$1:$H$12,MATCH(TRACKER!$P310,Invoicing!$A$1:$H$1,0),FALSE)</f>
        <v>#N/A</v>
      </c>
      <c r="AQ310" s="131">
        <f>VLOOKUP($E310,Invoicing!$A$1:$H$12,MATCH(TRACKER!$Q$1,Invoicing!$A$1:$H$1,0),FALSE)</f>
        <v>50</v>
      </c>
      <c r="AR310" s="131">
        <f t="shared" si="101"/>
        <v>0</v>
      </c>
      <c r="AS310" s="2">
        <f t="shared" si="97"/>
        <v>2</v>
      </c>
      <c r="AT310" s="2" t="str">
        <f t="shared" si="100"/>
        <v>WEEK</v>
      </c>
      <c r="AU310" s="2" t="str">
        <f t="shared" si="98"/>
        <v>OM TRANSPORTWEEK</v>
      </c>
      <c r="AV310" s="94">
        <f>(IF(ISNA(AP310),AO310+AR310,SUM($AO310,$AR310,IFERROR($AP310,"0"))))+Table2[[#This Row],[WAITING TIMES]]</f>
        <v>566</v>
      </c>
      <c r="AW310" s="94">
        <f>VLOOKUP(AN310,Invoicing!A:K,11,FALSE)</f>
        <v>20</v>
      </c>
      <c r="AX310" s="48">
        <v>67.5</v>
      </c>
      <c r="AY310" s="48" t="s">
        <v>617</v>
      </c>
      <c r="AZ310" s="94">
        <f t="shared" si="99"/>
        <v>586</v>
      </c>
      <c r="BA310" s="133">
        <f>VLOOKUP(AN310,Invoicing!A:J,10,FALSE)</f>
        <v>70</v>
      </c>
      <c r="BB310" s="133">
        <f>VLOOKUP(AN310,Invoicing!A:L,12,FALSE)</f>
        <v>1</v>
      </c>
      <c r="BC310" s="2"/>
    </row>
    <row r="311" spans="1:55">
      <c r="A311" s="38" t="s">
        <v>594</v>
      </c>
      <c r="B311" s="3" t="s">
        <v>77</v>
      </c>
      <c r="C311" s="11">
        <v>46069.042361111111</v>
      </c>
      <c r="D311" s="11">
        <v>46068.041666666664</v>
      </c>
      <c r="E311" s="11" t="s">
        <v>83</v>
      </c>
      <c r="F311" s="11" t="s">
        <v>618</v>
      </c>
      <c r="G311" s="11" t="s">
        <v>59</v>
      </c>
      <c r="H311" s="11" t="s">
        <v>91</v>
      </c>
      <c r="I311" s="3" t="s">
        <v>619</v>
      </c>
      <c r="J311" s="86" t="s">
        <v>82</v>
      </c>
      <c r="K311" s="11">
        <v>46069.791666666664</v>
      </c>
      <c r="L311" s="12">
        <v>46070.267361111109</v>
      </c>
      <c r="M311" s="12">
        <v>46070.291666666664</v>
      </c>
      <c r="N311" s="12">
        <v>46070.3125</v>
      </c>
      <c r="O311" s="12" t="s">
        <v>63</v>
      </c>
      <c r="P311" s="85" t="s">
        <v>15</v>
      </c>
      <c r="Q311" s="3">
        <v>0</v>
      </c>
      <c r="R311" s="1">
        <f t="shared" si="82"/>
        <v>8</v>
      </c>
      <c r="S311" s="1">
        <f t="shared" si="83"/>
        <v>2</v>
      </c>
      <c r="T311" s="126">
        <f t="shared" si="84"/>
        <v>46070.267361111109</v>
      </c>
      <c r="U311" s="127">
        <f t="shared" si="85"/>
        <v>0.74930555555329192</v>
      </c>
      <c r="V311" s="128">
        <f>Table2[[#This Row],[ATA A OFRECIMIENTO]]*24</f>
        <v>17.983333333279006</v>
      </c>
      <c r="W311" s="1" t="str">
        <f t="shared" si="86"/>
        <v>YES</v>
      </c>
      <c r="X311" s="127">
        <f t="shared" si="87"/>
        <v>0.5</v>
      </c>
      <c r="Y311" s="128">
        <f>Table2[[#This Row],[DEL. AVAILABLE A SLOT]]*24</f>
        <v>12</v>
      </c>
      <c r="Z311" s="1" t="str">
        <f t="shared" si="88"/>
        <v>SI</v>
      </c>
      <c r="AA311" s="127">
        <f t="shared" si="89"/>
        <v>1.2493055555532919</v>
      </c>
      <c r="AB311" s="128">
        <f>Table2[[#This Row],[ATA A TIMESLOT]]*24</f>
        <v>29.983333333279006</v>
      </c>
      <c r="AC311" s="127">
        <f t="shared" si="90"/>
        <v>0</v>
      </c>
      <c r="AD311" s="127" t="str">
        <f t="shared" si="91"/>
        <v>SI</v>
      </c>
      <c r="AE311" s="128">
        <f>Table2[[#This Row],[PUNTUALIDAD (H)]]*24</f>
        <v>0</v>
      </c>
      <c r="AF311" s="127">
        <f t="shared" si="92"/>
        <v>1.2701388888890506</v>
      </c>
      <c r="AG311" s="128">
        <f>Table2[[#This Row],[ATA TO UNLOADING]]*24</f>
        <v>30.483333333337214</v>
      </c>
      <c r="AH311" s="128" t="str">
        <f>IF(Table2[[#This Row],[ATA TO UNLOADING 2]]&lt;=48,"YES","NO")</f>
        <v>YES</v>
      </c>
      <c r="AJ311" s="129">
        <f t="shared" si="93"/>
        <v>0.29166666666424135</v>
      </c>
      <c r="AK311" s="2" t="s">
        <v>64</v>
      </c>
      <c r="AL311" s="2" t="str">
        <f t="shared" si="94"/>
        <v>8/26</v>
      </c>
      <c r="AM311" s="2" t="str">
        <f t="shared" si="95"/>
        <v>TCKU7017161</v>
      </c>
      <c r="AN311" s="130" t="str">
        <f t="shared" si="96"/>
        <v>OM TRANSPORT</v>
      </c>
      <c r="AO311" s="150">
        <f>IF($O311="TRUCK",
VLOOKUP($AU311,Invoicing!$A$16:$B$56,MATCH($AO$1,Invoicing!$A$16:$B$16,0),FALSE)+IF(OR($B311="DCD",$B311="HPD2"),23.5,0),
VLOOKUP($AU311,Invoicing!$N$15:$O$19,MATCH($AO$1,Invoicing!$N$15:$O$15,0),FALSE)+IF(OR($B311="DCD",$B311="HPD2"),23.5,0))</f>
        <v>498.5</v>
      </c>
      <c r="AP311" s="131">
        <f>VLOOKUP($E311,Invoicing!$A$1:$H$12,MATCH(TRACKER!$P311,Invoicing!$A$1:$H$1,0),FALSE)</f>
        <v>110</v>
      </c>
      <c r="AQ311" s="131">
        <f>VLOOKUP($E311,Invoicing!$A$1:$H$12,MATCH(TRACKER!$Q$1,Invoicing!$A$1:$H$1,0),FALSE)</f>
        <v>50</v>
      </c>
      <c r="AR311" s="131">
        <f t="shared" si="101"/>
        <v>0</v>
      </c>
      <c r="AS311" s="2">
        <f t="shared" si="97"/>
        <v>2</v>
      </c>
      <c r="AT311" s="2" t="str">
        <f t="shared" si="100"/>
        <v>WEEK</v>
      </c>
      <c r="AU311" s="2" t="str">
        <f t="shared" si="98"/>
        <v>OM TRANSPORTWEEK</v>
      </c>
      <c r="AV311" s="94">
        <f>(IF(ISNA(AP311),AO311+AR311,SUM($AO311,$AR311,IFERROR($AP311,"0"))))+Table2[[#This Row],[WAITING TIMES]]</f>
        <v>743.5</v>
      </c>
      <c r="AW311" s="94">
        <f>VLOOKUP(AN311,Invoicing!A:K,11,FALSE)</f>
        <v>20</v>
      </c>
      <c r="AX311" s="48">
        <v>135</v>
      </c>
      <c r="AY311" s="48" t="s">
        <v>620</v>
      </c>
      <c r="AZ311" s="94">
        <f t="shared" si="99"/>
        <v>763.5</v>
      </c>
      <c r="BA311" s="133">
        <f>VLOOKUP(AN311,Invoicing!A:J,10,FALSE)</f>
        <v>70</v>
      </c>
      <c r="BB311" s="133">
        <f>VLOOKUP(AN311,Invoicing!A:L,12,FALSE)</f>
        <v>1</v>
      </c>
      <c r="BC311" s="2"/>
    </row>
    <row r="312" spans="1:55">
      <c r="A312" s="38" t="s">
        <v>594</v>
      </c>
      <c r="B312" s="3" t="s">
        <v>77</v>
      </c>
      <c r="C312" s="11">
        <v>46069.042361111111</v>
      </c>
      <c r="D312" s="11">
        <v>46068.041666666664</v>
      </c>
      <c r="E312" s="11" t="s">
        <v>71</v>
      </c>
      <c r="F312" s="11" t="s">
        <v>599</v>
      </c>
      <c r="G312" s="11" t="s">
        <v>59</v>
      </c>
      <c r="H312" s="11" t="s">
        <v>91</v>
      </c>
      <c r="I312" s="3" t="s">
        <v>621</v>
      </c>
      <c r="J312" s="86" t="s">
        <v>100</v>
      </c>
      <c r="K312" s="11">
        <v>46069.791666666664</v>
      </c>
      <c r="L312" s="12">
        <v>46070.327777777777</v>
      </c>
      <c r="M312" s="12">
        <v>46070.333333333336</v>
      </c>
      <c r="N312" s="12">
        <v>46070.336805555555</v>
      </c>
      <c r="O312" s="12" t="s">
        <v>63</v>
      </c>
      <c r="P312" s="85" t="s">
        <v>64</v>
      </c>
      <c r="Q312" s="3">
        <v>1</v>
      </c>
      <c r="R312" s="1">
        <f t="shared" si="82"/>
        <v>8</v>
      </c>
      <c r="S312" s="1">
        <f t="shared" si="83"/>
        <v>2</v>
      </c>
      <c r="T312" s="126">
        <f t="shared" si="84"/>
        <v>46070.327777777777</v>
      </c>
      <c r="U312" s="127">
        <f t="shared" si="85"/>
        <v>0.74930555555329192</v>
      </c>
      <c r="V312" s="128">
        <f>Table2[[#This Row],[ATA A OFRECIMIENTO]]*24</f>
        <v>17.983333333279006</v>
      </c>
      <c r="W312" s="1" t="str">
        <f t="shared" si="86"/>
        <v>YES</v>
      </c>
      <c r="X312" s="127">
        <f t="shared" si="87"/>
        <v>0.54166666667151731</v>
      </c>
      <c r="Y312" s="128">
        <f>Table2[[#This Row],[DEL. AVAILABLE A SLOT]]*24</f>
        <v>13.000000000116415</v>
      </c>
      <c r="Z312" s="1" t="str">
        <f t="shared" si="88"/>
        <v>SI</v>
      </c>
      <c r="AA312" s="127">
        <f t="shared" si="89"/>
        <v>1.2909722222248092</v>
      </c>
      <c r="AB312" s="128">
        <f>Table2[[#This Row],[ATA A TIMESLOT]]*24</f>
        <v>30.983333333395422</v>
      </c>
      <c r="AC312" s="127">
        <f t="shared" si="90"/>
        <v>0</v>
      </c>
      <c r="AD312" s="127" t="str">
        <f t="shared" si="91"/>
        <v>SI</v>
      </c>
      <c r="AE312" s="128">
        <f>Table2[[#This Row],[PUNTUALIDAD (H)]]*24</f>
        <v>0</v>
      </c>
      <c r="AF312" s="127">
        <f t="shared" si="92"/>
        <v>1.2944444444437977</v>
      </c>
      <c r="AG312" s="128">
        <f>Table2[[#This Row],[ATA TO UNLOADING]]*24</f>
        <v>31.066666666651145</v>
      </c>
      <c r="AH312" s="128" t="str">
        <f>IF(Table2[[#This Row],[ATA TO UNLOADING 2]]&lt;=48,"YES","NO")</f>
        <v>YES</v>
      </c>
      <c r="AJ312" s="129">
        <f t="shared" si="93"/>
        <v>0.33333333333575865</v>
      </c>
      <c r="AK312" s="2" t="s">
        <v>64</v>
      </c>
      <c r="AL312" s="2" t="str">
        <f t="shared" si="94"/>
        <v>8/26</v>
      </c>
      <c r="AM312" s="2" t="str">
        <f t="shared" si="95"/>
        <v>TCNU2813242</v>
      </c>
      <c r="AN312" s="130" t="str">
        <f t="shared" si="96"/>
        <v>LOGIX</v>
      </c>
      <c r="AO312" s="150">
        <f>IF($O312="TRUCK",
VLOOKUP($AU312,Invoicing!$A$16:$B$56,MATCH($AO$1,Invoicing!$A$16:$B$16,0),FALSE)+IF(OR($B312="DCD",$B312="HPD2"),23.5,0),
VLOOKUP($AU312,Invoicing!$N$15:$O$19,MATCH($AO$1,Invoicing!$N$15:$O$15,0),FALSE)+IF(OR($B312="DCD",$B312="HPD2"),23.5,0))</f>
        <v>573.5</v>
      </c>
      <c r="AP312" s="131" t="e">
        <f>VLOOKUP($E312,Invoicing!$A$1:$H$12,MATCH(TRACKER!$P312,Invoicing!$A$1:$H$1,0),FALSE)</f>
        <v>#N/A</v>
      </c>
      <c r="AQ312" s="131">
        <f>VLOOKUP($E312,Invoicing!$A$1:$H$12,MATCH(TRACKER!$Q$1,Invoicing!$A$1:$H$1,0),FALSE)</f>
        <v>50</v>
      </c>
      <c r="AR312" s="131">
        <f t="shared" si="101"/>
        <v>50</v>
      </c>
      <c r="AS312" s="2">
        <f t="shared" si="97"/>
        <v>2</v>
      </c>
      <c r="AT312" s="2" t="str">
        <f t="shared" si="100"/>
        <v>WEEK</v>
      </c>
      <c r="AU312" s="2" t="str">
        <f t="shared" si="98"/>
        <v>LOGIXWEEK</v>
      </c>
      <c r="AV312" s="94">
        <f>(IF(ISNA(AP312),AO312+AR312,SUM($AO312,$AR312,IFERROR($AP312,"0"))))+Table2[[#This Row],[WAITING TIMES]]</f>
        <v>623.5</v>
      </c>
      <c r="AW312" s="94">
        <f>VLOOKUP(AN312,Invoicing!A:K,11,FALSE)</f>
        <v>20</v>
      </c>
      <c r="AY312" s="48"/>
      <c r="AZ312" s="94">
        <f t="shared" si="99"/>
        <v>643.5</v>
      </c>
      <c r="BA312" s="133">
        <f>VLOOKUP(AN312,Invoicing!A:J,10,FALSE)</f>
        <v>70</v>
      </c>
      <c r="BB312" s="133">
        <f>VLOOKUP(AN312,Invoicing!A:L,12,FALSE)</f>
        <v>1</v>
      </c>
      <c r="BC312" s="2"/>
    </row>
    <row r="313" spans="1:55">
      <c r="A313" s="38" t="s">
        <v>594</v>
      </c>
      <c r="B313" s="3" t="s">
        <v>77</v>
      </c>
      <c r="C313" s="11">
        <v>46069.042361111111</v>
      </c>
      <c r="D313" s="11">
        <v>46068.041666666664</v>
      </c>
      <c r="E313" s="11" t="s">
        <v>71</v>
      </c>
      <c r="F313" s="11" t="s">
        <v>599</v>
      </c>
      <c r="G313" s="11" t="s">
        <v>59</v>
      </c>
      <c r="H313" s="11" t="s">
        <v>91</v>
      </c>
      <c r="I313" s="3" t="s">
        <v>622</v>
      </c>
      <c r="J313" s="86" t="s">
        <v>82</v>
      </c>
      <c r="K313" s="11">
        <v>46069.791666666664</v>
      </c>
      <c r="L313" s="12">
        <v>46070.230555555558</v>
      </c>
      <c r="M313" s="12">
        <v>46070.333333333336</v>
      </c>
      <c r="N313" s="12">
        <v>46070.274305555555</v>
      </c>
      <c r="O313" s="12" t="s">
        <v>63</v>
      </c>
      <c r="P313" s="85" t="s">
        <v>64</v>
      </c>
      <c r="Q313" s="3">
        <v>0</v>
      </c>
      <c r="R313" s="1">
        <f t="shared" si="82"/>
        <v>8</v>
      </c>
      <c r="S313" s="1">
        <f t="shared" si="83"/>
        <v>2</v>
      </c>
      <c r="T313" s="126">
        <f t="shared" si="84"/>
        <v>46070.230555555558</v>
      </c>
      <c r="U313" s="127">
        <f t="shared" si="85"/>
        <v>0.74930555555329192</v>
      </c>
      <c r="V313" s="128">
        <f>Table2[[#This Row],[ATA A OFRECIMIENTO]]*24</f>
        <v>17.983333333279006</v>
      </c>
      <c r="W313" s="1" t="str">
        <f t="shared" si="86"/>
        <v>YES</v>
      </c>
      <c r="X313" s="127">
        <f t="shared" si="87"/>
        <v>0.54166666667151731</v>
      </c>
      <c r="Y313" s="128">
        <f>Table2[[#This Row],[DEL. AVAILABLE A SLOT]]*24</f>
        <v>13.000000000116415</v>
      </c>
      <c r="Z313" s="1" t="str">
        <f t="shared" si="88"/>
        <v>SI</v>
      </c>
      <c r="AA313" s="127">
        <f t="shared" si="89"/>
        <v>1.2909722222248092</v>
      </c>
      <c r="AB313" s="128">
        <f>Table2[[#This Row],[ATA A TIMESLOT]]*24</f>
        <v>30.983333333395422</v>
      </c>
      <c r="AC313" s="127">
        <f t="shared" si="90"/>
        <v>0</v>
      </c>
      <c r="AD313" s="127" t="str">
        <f t="shared" si="91"/>
        <v>SI</v>
      </c>
      <c r="AE313" s="128">
        <f>Table2[[#This Row],[PUNTUALIDAD (H)]]*24</f>
        <v>0</v>
      </c>
      <c r="AF313" s="127">
        <f t="shared" si="92"/>
        <v>1.2319444444437977</v>
      </c>
      <c r="AG313" s="128">
        <f>Table2[[#This Row],[ATA TO UNLOADING]]*24</f>
        <v>29.566666666651145</v>
      </c>
      <c r="AH313" s="128" t="str">
        <f>IF(Table2[[#This Row],[ATA TO UNLOADING 2]]&lt;=48,"YES","NO")</f>
        <v>YES</v>
      </c>
      <c r="AJ313" s="129">
        <f t="shared" si="93"/>
        <v>0.33333333333575865</v>
      </c>
      <c r="AK313" s="2" t="s">
        <v>64</v>
      </c>
      <c r="AL313" s="2" t="str">
        <f t="shared" si="94"/>
        <v>8/26</v>
      </c>
      <c r="AM313" s="2" t="str">
        <f t="shared" si="95"/>
        <v>TCNU7575152</v>
      </c>
      <c r="AN313" s="130" t="str">
        <f t="shared" si="96"/>
        <v>LOGIX</v>
      </c>
      <c r="AO313" s="150">
        <f>IF($O313="TRUCK",
VLOOKUP($AU313,Invoicing!$A$16:$B$56,MATCH($AO$1,Invoicing!$A$16:$B$16,0),FALSE)+IF(OR($B313="DCD",$B313="HPD2"),23.5,0),
VLOOKUP($AU313,Invoicing!$N$15:$O$19,MATCH($AO$1,Invoicing!$N$15:$O$15,0),FALSE)+IF(OR($B313="DCD",$B313="HPD2"),23.5,0))</f>
        <v>573.5</v>
      </c>
      <c r="AP313" s="131" t="e">
        <f>VLOOKUP($E313,Invoicing!$A$1:$H$12,MATCH(TRACKER!$P313,Invoicing!$A$1:$H$1,0),FALSE)</f>
        <v>#N/A</v>
      </c>
      <c r="AQ313" s="131">
        <f>VLOOKUP($E313,Invoicing!$A$1:$H$12,MATCH(TRACKER!$Q$1,Invoicing!$A$1:$H$1,0),FALSE)</f>
        <v>50</v>
      </c>
      <c r="AR313" s="131">
        <f t="shared" si="101"/>
        <v>0</v>
      </c>
      <c r="AS313" s="2">
        <f t="shared" si="97"/>
        <v>2</v>
      </c>
      <c r="AT313" s="2" t="str">
        <f t="shared" si="100"/>
        <v>WEEK</v>
      </c>
      <c r="AU313" s="2" t="str">
        <f t="shared" si="98"/>
        <v>LOGIXWEEK</v>
      </c>
      <c r="AV313" s="94">
        <f>(IF(ISNA(AP313),AO313+AR313,SUM($AO313,$AR313,IFERROR($AP313,"0"))))+Table2[[#This Row],[WAITING TIMES]]</f>
        <v>573.5</v>
      </c>
      <c r="AW313" s="94">
        <f>VLOOKUP(AN313,Invoicing!A:K,11,FALSE)</f>
        <v>20</v>
      </c>
      <c r="AY313" s="48"/>
      <c r="AZ313" s="94">
        <f t="shared" si="99"/>
        <v>593.5</v>
      </c>
      <c r="BA313" s="133">
        <f>VLOOKUP(AN313,Invoicing!A:J,10,FALSE)</f>
        <v>70</v>
      </c>
      <c r="BB313" s="133">
        <f>VLOOKUP(AN313,Invoicing!A:L,12,FALSE)</f>
        <v>1</v>
      </c>
      <c r="BC313" s="2"/>
    </row>
    <row r="314" spans="1:55">
      <c r="A314" s="38" t="s">
        <v>594</v>
      </c>
      <c r="B314" s="3" t="s">
        <v>77</v>
      </c>
      <c r="C314" s="11">
        <v>46069.042361111111</v>
      </c>
      <c r="D314" s="11">
        <v>46068.041666666664</v>
      </c>
      <c r="E314" s="11" t="s">
        <v>98</v>
      </c>
      <c r="F314" s="11" t="s">
        <v>604</v>
      </c>
      <c r="G314" s="11" t="s">
        <v>59</v>
      </c>
      <c r="H314" s="11" t="s">
        <v>91</v>
      </c>
      <c r="I314" s="3" t="s">
        <v>623</v>
      </c>
      <c r="J314" s="86" t="s">
        <v>100</v>
      </c>
      <c r="K314" s="11">
        <v>46069.791666666664</v>
      </c>
      <c r="L314" s="12">
        <v>46070.397916666669</v>
      </c>
      <c r="M314" s="12">
        <v>46070.416666666664</v>
      </c>
      <c r="N314" s="12">
        <v>46070.40625</v>
      </c>
      <c r="O314" s="12" t="s">
        <v>63</v>
      </c>
      <c r="P314" s="85" t="s">
        <v>64</v>
      </c>
      <c r="Q314" s="3">
        <v>1</v>
      </c>
      <c r="R314" s="1">
        <f t="shared" si="82"/>
        <v>8</v>
      </c>
      <c r="S314" s="1">
        <f t="shared" si="83"/>
        <v>2</v>
      </c>
      <c r="T314" s="126">
        <f t="shared" si="84"/>
        <v>46070.397916666669</v>
      </c>
      <c r="U314" s="127">
        <f t="shared" si="85"/>
        <v>0.74930555555329192</v>
      </c>
      <c r="V314" s="128">
        <f>Table2[[#This Row],[ATA A OFRECIMIENTO]]*24</f>
        <v>17.983333333279006</v>
      </c>
      <c r="W314" s="1" t="str">
        <f t="shared" si="86"/>
        <v>YES</v>
      </c>
      <c r="X314" s="127">
        <f t="shared" si="87"/>
        <v>0.625</v>
      </c>
      <c r="Y314" s="128">
        <f>Table2[[#This Row],[DEL. AVAILABLE A SLOT]]*24</f>
        <v>15</v>
      </c>
      <c r="Z314" s="1" t="str">
        <f t="shared" si="88"/>
        <v>SI</v>
      </c>
      <c r="AA314" s="127">
        <f t="shared" si="89"/>
        <v>1.3743055555532919</v>
      </c>
      <c r="AB314" s="128">
        <f>Table2[[#This Row],[ATA A TIMESLOT]]*24</f>
        <v>32.983333333279006</v>
      </c>
      <c r="AC314" s="127">
        <f t="shared" si="90"/>
        <v>0</v>
      </c>
      <c r="AD314" s="127" t="str">
        <f t="shared" si="91"/>
        <v>SI</v>
      </c>
      <c r="AE314" s="128">
        <f>Table2[[#This Row],[PUNTUALIDAD (H)]]*24</f>
        <v>0</v>
      </c>
      <c r="AF314" s="127">
        <f t="shared" si="92"/>
        <v>1.3638888888890506</v>
      </c>
      <c r="AG314" s="128">
        <f>Table2[[#This Row],[ATA TO UNLOADING]]*24</f>
        <v>32.733333333337214</v>
      </c>
      <c r="AH314" s="128" t="str">
        <f>IF(Table2[[#This Row],[ATA TO UNLOADING 2]]&lt;=48,"YES","NO")</f>
        <v>YES</v>
      </c>
      <c r="AJ314" s="129">
        <f t="shared" si="93"/>
        <v>0.41666666666424135</v>
      </c>
      <c r="AK314" s="2" t="s">
        <v>64</v>
      </c>
      <c r="AL314" s="2" t="str">
        <f t="shared" si="94"/>
        <v>8/26</v>
      </c>
      <c r="AM314" s="2" t="str">
        <f t="shared" si="95"/>
        <v>BSIU9110053</v>
      </c>
      <c r="AN314" s="130" t="str">
        <f t="shared" si="96"/>
        <v>MSI</v>
      </c>
      <c r="AO314" s="150">
        <f>IF($O314="TRUCK",
VLOOKUP($AU314,Invoicing!$A$16:$B$56,MATCH($AO$1,Invoicing!$A$16:$B$16,0),FALSE)+IF(OR($B314="DCD",$B314="HPD2"),23.5,0),
VLOOKUP($AU314,Invoicing!$N$15:$O$19,MATCH($AO$1,Invoicing!$N$15:$O$15,0),FALSE)+IF(OR($B314="DCD",$B314="HPD2"),23.5,0))</f>
        <v>503.5</v>
      </c>
      <c r="AP314" s="131" t="e">
        <f>VLOOKUP($E314,Invoicing!$A$1:$H$12,MATCH(TRACKER!$P314,Invoicing!$A$1:$H$1,0),FALSE)</f>
        <v>#N/A</v>
      </c>
      <c r="AQ314" s="131">
        <f>VLOOKUP($E314,Invoicing!$A$1:$H$12,MATCH(TRACKER!$Q$1,Invoicing!$A$1:$H$1,0),FALSE)</f>
        <v>50</v>
      </c>
      <c r="AR314" s="131">
        <f t="shared" si="101"/>
        <v>50</v>
      </c>
      <c r="AS314" s="2">
        <f t="shared" si="97"/>
        <v>2</v>
      </c>
      <c r="AT314" s="2" t="str">
        <f t="shared" si="100"/>
        <v>WEEK</v>
      </c>
      <c r="AU314" s="2" t="str">
        <f t="shared" si="98"/>
        <v>MSIWEEK</v>
      </c>
      <c r="AV314" s="94">
        <f>(IF(ISNA(AP314),AO314+AR314,SUM($AO314,$AR314,IFERROR($AP314,"0"))))+Table2[[#This Row],[WAITING TIMES]]</f>
        <v>553.5</v>
      </c>
      <c r="AW314" s="94">
        <f>VLOOKUP(AN314,Invoicing!A:K,11,FALSE)</f>
        <v>20</v>
      </c>
      <c r="AY314" s="48"/>
      <c r="AZ314" s="94">
        <f t="shared" si="99"/>
        <v>573.5</v>
      </c>
      <c r="BA314" s="133">
        <f>VLOOKUP(AN314,Invoicing!A:J,10,FALSE)</f>
        <v>70</v>
      </c>
      <c r="BB314" s="133">
        <f>VLOOKUP(AN314,Invoicing!A:L,12,FALSE)</f>
        <v>1</v>
      </c>
      <c r="BC314" s="2"/>
    </row>
    <row r="315" spans="1:55">
      <c r="A315" s="38" t="s">
        <v>594</v>
      </c>
      <c r="B315" s="3" t="s">
        <v>77</v>
      </c>
      <c r="C315" s="11">
        <v>46069.042361111111</v>
      </c>
      <c r="D315" s="11">
        <v>46068.041666666664</v>
      </c>
      <c r="E315" s="11" t="s">
        <v>98</v>
      </c>
      <c r="F315" s="11" t="s">
        <v>599</v>
      </c>
      <c r="G315" s="11" t="s">
        <v>59</v>
      </c>
      <c r="H315" s="11" t="s">
        <v>91</v>
      </c>
      <c r="I315" s="3" t="s">
        <v>624</v>
      </c>
      <c r="J315" s="86" t="s">
        <v>100</v>
      </c>
      <c r="K315" s="11">
        <v>46069.791666666664</v>
      </c>
      <c r="L315" s="12">
        <v>46070.434027777781</v>
      </c>
      <c r="M315" s="12">
        <v>46070.458333333336</v>
      </c>
      <c r="N315" s="12">
        <v>46070.434027777781</v>
      </c>
      <c r="O315" s="12" t="s">
        <v>63</v>
      </c>
      <c r="P315" s="85" t="s">
        <v>64</v>
      </c>
      <c r="Q315" s="3">
        <v>1</v>
      </c>
      <c r="R315" s="1">
        <f t="shared" si="82"/>
        <v>8</v>
      </c>
      <c r="S315" s="1">
        <f t="shared" si="83"/>
        <v>2</v>
      </c>
      <c r="T315" s="126">
        <f t="shared" si="84"/>
        <v>46070.434027777781</v>
      </c>
      <c r="U315" s="127">
        <f t="shared" si="85"/>
        <v>0.74930555555329192</v>
      </c>
      <c r="V315" s="128">
        <f>Table2[[#This Row],[ATA A OFRECIMIENTO]]*24</f>
        <v>17.983333333279006</v>
      </c>
      <c r="W315" s="1" t="str">
        <f t="shared" si="86"/>
        <v>YES</v>
      </c>
      <c r="X315" s="127">
        <f t="shared" si="87"/>
        <v>0.66666666667151731</v>
      </c>
      <c r="Y315" s="128">
        <f>Table2[[#This Row],[DEL. AVAILABLE A SLOT]]*24</f>
        <v>16.000000000116415</v>
      </c>
      <c r="Z315" s="1" t="str">
        <f t="shared" si="88"/>
        <v>SI</v>
      </c>
      <c r="AA315" s="127">
        <f t="shared" si="89"/>
        <v>1.4159722222248092</v>
      </c>
      <c r="AB315" s="128">
        <f>Table2[[#This Row],[ATA A TIMESLOT]]*24</f>
        <v>33.983333333395422</v>
      </c>
      <c r="AC315" s="127">
        <f t="shared" si="90"/>
        <v>0</v>
      </c>
      <c r="AD315" s="127" t="str">
        <f t="shared" si="91"/>
        <v>SI</v>
      </c>
      <c r="AE315" s="128">
        <f>Table2[[#This Row],[PUNTUALIDAD (H)]]*24</f>
        <v>0</v>
      </c>
      <c r="AF315" s="127">
        <f t="shared" si="92"/>
        <v>1.3916666666700621</v>
      </c>
      <c r="AG315" s="128">
        <f>Table2[[#This Row],[ATA TO UNLOADING]]*24</f>
        <v>33.400000000081491</v>
      </c>
      <c r="AH315" s="128" t="str">
        <f>IF(Table2[[#This Row],[ATA TO UNLOADING 2]]&lt;=48,"YES","NO")</f>
        <v>YES</v>
      </c>
      <c r="AJ315" s="129">
        <f t="shared" si="93"/>
        <v>0.45833333333575865</v>
      </c>
      <c r="AK315" s="2" t="s">
        <v>64</v>
      </c>
      <c r="AL315" s="2" t="str">
        <f t="shared" si="94"/>
        <v>8/26</v>
      </c>
      <c r="AM315" s="2" t="str">
        <f t="shared" si="95"/>
        <v>TCNU6574969</v>
      </c>
      <c r="AN315" s="130" t="str">
        <f t="shared" si="96"/>
        <v>MSI</v>
      </c>
      <c r="AO315" s="150">
        <f>IF($O315="TRUCK",
VLOOKUP($AU315,Invoicing!$A$16:$B$56,MATCH($AO$1,Invoicing!$A$16:$B$16,0),FALSE)+IF(OR($B315="DCD",$B315="HPD2"),23.5,0),
VLOOKUP($AU315,Invoicing!$N$15:$O$19,MATCH($AO$1,Invoicing!$N$15:$O$15,0),FALSE)+IF(OR($B315="DCD",$B315="HPD2"),23.5,0))</f>
        <v>503.5</v>
      </c>
      <c r="AP315" s="131" t="e">
        <f>VLOOKUP($E315,Invoicing!$A$1:$H$12,MATCH(TRACKER!$P315,Invoicing!$A$1:$H$1,0),FALSE)</f>
        <v>#N/A</v>
      </c>
      <c r="AQ315" s="131">
        <f>VLOOKUP($E315,Invoicing!$A$1:$H$12,MATCH(TRACKER!$Q$1,Invoicing!$A$1:$H$1,0),FALSE)</f>
        <v>50</v>
      </c>
      <c r="AR315" s="131">
        <f t="shared" si="101"/>
        <v>50</v>
      </c>
      <c r="AS315" s="2">
        <f t="shared" si="97"/>
        <v>2</v>
      </c>
      <c r="AT315" s="2" t="str">
        <f t="shared" si="100"/>
        <v>WEEK</v>
      </c>
      <c r="AU315" s="2" t="str">
        <f t="shared" si="98"/>
        <v>MSIWEEK</v>
      </c>
      <c r="AV315" s="94">
        <f>(IF(ISNA(AP315),AO315+AR315,SUM($AO315,$AR315,IFERROR($AP315,"0"))))+Table2[[#This Row],[WAITING TIMES]]</f>
        <v>553.5</v>
      </c>
      <c r="AW315" s="94">
        <f>VLOOKUP(AN315,Invoicing!A:K,11,FALSE)</f>
        <v>20</v>
      </c>
      <c r="AY315" s="48"/>
      <c r="AZ315" s="94">
        <f t="shared" si="99"/>
        <v>573.5</v>
      </c>
      <c r="BA315" s="133">
        <f>VLOOKUP(AN315,Invoicing!A:J,10,FALSE)</f>
        <v>70</v>
      </c>
      <c r="BB315" s="133">
        <f>VLOOKUP(AN315,Invoicing!A:L,12,FALSE)</f>
        <v>1</v>
      </c>
      <c r="BC315" s="2"/>
    </row>
    <row r="316" spans="1:55">
      <c r="A316" s="38" t="s">
        <v>594</v>
      </c>
      <c r="B316" s="3" t="s">
        <v>77</v>
      </c>
      <c r="C316" s="11">
        <v>46069.042361111111</v>
      </c>
      <c r="D316" s="11">
        <v>46068.041666666664</v>
      </c>
      <c r="E316" s="11" t="s">
        <v>98</v>
      </c>
      <c r="F316" s="11" t="s">
        <v>595</v>
      </c>
      <c r="G316" s="11" t="s">
        <v>59</v>
      </c>
      <c r="H316" s="11" t="s">
        <v>91</v>
      </c>
      <c r="I316" s="3" t="s">
        <v>625</v>
      </c>
      <c r="J316" s="86" t="s">
        <v>82</v>
      </c>
      <c r="K316" s="11">
        <v>46069.791666666664</v>
      </c>
      <c r="L316" s="12">
        <v>46070.511805555558</v>
      </c>
      <c r="M316" s="12">
        <v>46070.541666666664</v>
      </c>
      <c r="N316" s="12">
        <v>46070.53125</v>
      </c>
      <c r="O316" s="12" t="s">
        <v>63</v>
      </c>
      <c r="P316" s="85" t="s">
        <v>64</v>
      </c>
      <c r="Q316" s="3">
        <v>0</v>
      </c>
      <c r="R316" s="1">
        <f t="shared" si="82"/>
        <v>8</v>
      </c>
      <c r="S316" s="1">
        <f t="shared" si="83"/>
        <v>2</v>
      </c>
      <c r="T316" s="126">
        <f t="shared" si="84"/>
        <v>46070.511805555558</v>
      </c>
      <c r="U316" s="127">
        <f t="shared" si="85"/>
        <v>0.74930555555329192</v>
      </c>
      <c r="V316" s="128">
        <f>Table2[[#This Row],[ATA A OFRECIMIENTO]]*24</f>
        <v>17.983333333279006</v>
      </c>
      <c r="W316" s="1" t="str">
        <f t="shared" si="86"/>
        <v>YES</v>
      </c>
      <c r="X316" s="127">
        <f t="shared" si="87"/>
        <v>0.75</v>
      </c>
      <c r="Y316" s="128">
        <f>Table2[[#This Row],[DEL. AVAILABLE A SLOT]]*24</f>
        <v>18</v>
      </c>
      <c r="Z316" s="1" t="str">
        <f t="shared" si="88"/>
        <v>SI</v>
      </c>
      <c r="AA316" s="127">
        <f t="shared" si="89"/>
        <v>1.4993055555532919</v>
      </c>
      <c r="AB316" s="128">
        <f>Table2[[#This Row],[ATA A TIMESLOT]]*24</f>
        <v>35.983333333279006</v>
      </c>
      <c r="AC316" s="127">
        <f t="shared" si="90"/>
        <v>0</v>
      </c>
      <c r="AD316" s="127" t="str">
        <f t="shared" si="91"/>
        <v>SI</v>
      </c>
      <c r="AE316" s="128">
        <f>Table2[[#This Row],[PUNTUALIDAD (H)]]*24</f>
        <v>0</v>
      </c>
      <c r="AF316" s="127">
        <f t="shared" si="92"/>
        <v>1.4888888888890506</v>
      </c>
      <c r="AG316" s="128">
        <f>Table2[[#This Row],[ATA TO UNLOADING]]*24</f>
        <v>35.733333333337214</v>
      </c>
      <c r="AH316" s="128" t="str">
        <f>IF(Table2[[#This Row],[ATA TO UNLOADING 2]]&lt;=48,"YES","NO")</f>
        <v>YES</v>
      </c>
      <c r="AJ316" s="129">
        <f t="shared" si="93"/>
        <v>0.54166666666424135</v>
      </c>
      <c r="AK316" s="2" t="s">
        <v>64</v>
      </c>
      <c r="AL316" s="2" t="str">
        <f t="shared" si="94"/>
        <v>8/26</v>
      </c>
      <c r="AM316" s="2" t="str">
        <f t="shared" si="95"/>
        <v>TRHU7442071</v>
      </c>
      <c r="AN316" s="130" t="str">
        <f t="shared" si="96"/>
        <v>MSI</v>
      </c>
      <c r="AO316" s="150">
        <f>IF($O316="TRUCK",
VLOOKUP($AU316,Invoicing!$A$16:$B$56,MATCH($AO$1,Invoicing!$A$16:$B$16,0),FALSE)+IF(OR($B316="DCD",$B316="HPD2"),23.5,0),
VLOOKUP($AU316,Invoicing!$N$15:$O$19,MATCH($AO$1,Invoicing!$N$15:$O$15,0),FALSE)+IF(OR($B316="DCD",$B316="HPD2"),23.5,0))</f>
        <v>503.5</v>
      </c>
      <c r="AP316" s="131" t="e">
        <f>VLOOKUP($E316,Invoicing!$A$1:$H$12,MATCH(TRACKER!$P316,Invoicing!$A$1:$H$1,0),FALSE)</f>
        <v>#N/A</v>
      </c>
      <c r="AQ316" s="131">
        <f>VLOOKUP($E316,Invoicing!$A$1:$H$12,MATCH(TRACKER!$Q$1,Invoicing!$A$1:$H$1,0),FALSE)</f>
        <v>50</v>
      </c>
      <c r="AR316" s="131">
        <f t="shared" si="101"/>
        <v>0</v>
      </c>
      <c r="AS316" s="2">
        <f t="shared" si="97"/>
        <v>2</v>
      </c>
      <c r="AT316" s="2" t="str">
        <f t="shared" si="100"/>
        <v>WEEK</v>
      </c>
      <c r="AU316" s="2" t="str">
        <f t="shared" si="98"/>
        <v>MSIWEEK</v>
      </c>
      <c r="AV316" s="94">
        <f>(IF(ISNA(AP316),AO316+AR316,SUM($AO316,$AR316,IFERROR($AP316,"0"))))+Table2[[#This Row],[WAITING TIMES]]</f>
        <v>593.5</v>
      </c>
      <c r="AW316" s="94">
        <f>VLOOKUP(AN316,Invoicing!A:K,11,FALSE)</f>
        <v>20</v>
      </c>
      <c r="AX316" s="48">
        <v>90</v>
      </c>
      <c r="AY316" s="94" t="s">
        <v>626</v>
      </c>
      <c r="AZ316" s="94">
        <f t="shared" si="99"/>
        <v>613.5</v>
      </c>
      <c r="BA316" s="133">
        <f>VLOOKUP(AN316,Invoicing!A:J,10,FALSE)</f>
        <v>70</v>
      </c>
      <c r="BB316" s="133">
        <f>VLOOKUP(AN316,Invoicing!A:L,12,FALSE)</f>
        <v>1</v>
      </c>
      <c r="BC316" s="2"/>
    </row>
    <row r="317" spans="1:55">
      <c r="A317" s="38" t="s">
        <v>594</v>
      </c>
      <c r="B317" s="3" t="s">
        <v>77</v>
      </c>
      <c r="C317" s="11">
        <v>46069.042361111111</v>
      </c>
      <c r="D317" s="11">
        <v>46068.041666666664</v>
      </c>
      <c r="E317" s="11" t="s">
        <v>71</v>
      </c>
      <c r="F317" s="11" t="s">
        <v>595</v>
      </c>
      <c r="G317" s="11" t="s">
        <v>59</v>
      </c>
      <c r="H317" s="11" t="s">
        <v>91</v>
      </c>
      <c r="I317" s="3" t="s">
        <v>627</v>
      </c>
      <c r="J317" s="86" t="s">
        <v>100</v>
      </c>
      <c r="K317" s="11">
        <v>46069.791666666664</v>
      </c>
      <c r="L317" s="12">
        <v>46070.555555555555</v>
      </c>
      <c r="M317" s="12">
        <v>46070.583333333336</v>
      </c>
      <c r="N317" s="12">
        <v>46070.5625</v>
      </c>
      <c r="O317" s="12" t="s">
        <v>63</v>
      </c>
      <c r="P317" s="85" t="s">
        <v>64</v>
      </c>
      <c r="Q317" s="3">
        <v>0</v>
      </c>
      <c r="R317" s="1">
        <f t="shared" si="82"/>
        <v>8</v>
      </c>
      <c r="S317" s="1">
        <f t="shared" si="83"/>
        <v>2</v>
      </c>
      <c r="T317" s="126">
        <f t="shared" si="84"/>
        <v>46070.555555555555</v>
      </c>
      <c r="U317" s="127">
        <f t="shared" si="85"/>
        <v>0.74930555555329192</v>
      </c>
      <c r="V317" s="128">
        <f>Table2[[#This Row],[ATA A OFRECIMIENTO]]*24</f>
        <v>17.983333333279006</v>
      </c>
      <c r="W317" s="1" t="str">
        <f t="shared" si="86"/>
        <v>YES</v>
      </c>
      <c r="X317" s="127">
        <f t="shared" si="87"/>
        <v>0.79166666667151731</v>
      </c>
      <c r="Y317" s="128">
        <f>Table2[[#This Row],[DEL. AVAILABLE A SLOT]]*24</f>
        <v>19.000000000116415</v>
      </c>
      <c r="Z317" s="1" t="str">
        <f t="shared" si="88"/>
        <v>SI</v>
      </c>
      <c r="AA317" s="127">
        <f t="shared" si="89"/>
        <v>1.5409722222248092</v>
      </c>
      <c r="AB317" s="128">
        <f>Table2[[#This Row],[ATA A TIMESLOT]]*24</f>
        <v>36.983333333395422</v>
      </c>
      <c r="AC317" s="127">
        <f t="shared" si="90"/>
        <v>0</v>
      </c>
      <c r="AD317" s="127" t="str">
        <f t="shared" si="91"/>
        <v>SI</v>
      </c>
      <c r="AE317" s="128">
        <f>Table2[[#This Row],[PUNTUALIDAD (H)]]*24</f>
        <v>0</v>
      </c>
      <c r="AF317" s="127">
        <f t="shared" si="92"/>
        <v>1.5201388888890506</v>
      </c>
      <c r="AG317" s="128">
        <f>Table2[[#This Row],[ATA TO UNLOADING]]*24</f>
        <v>36.483333333337214</v>
      </c>
      <c r="AH317" s="128" t="str">
        <f>IF(Table2[[#This Row],[ATA TO UNLOADING 2]]&lt;=48,"YES","NO")</f>
        <v>YES</v>
      </c>
      <c r="AJ317" s="129">
        <f t="shared" si="93"/>
        <v>0.58333333333575865</v>
      </c>
      <c r="AK317" s="2" t="s">
        <v>64</v>
      </c>
      <c r="AL317" s="2" t="str">
        <f t="shared" si="94"/>
        <v>8/26</v>
      </c>
      <c r="AM317" s="2" t="str">
        <f t="shared" si="95"/>
        <v>TRHU4956987</v>
      </c>
      <c r="AN317" s="130" t="str">
        <f t="shared" si="96"/>
        <v>LOGIX</v>
      </c>
      <c r="AO317" s="150">
        <f>IF($O317="TRUCK",
VLOOKUP($AU317,Invoicing!$A$16:$B$56,MATCH($AO$1,Invoicing!$A$16:$B$16,0),FALSE)+IF(OR($B317="DCD",$B317="HPD2"),23.5,0),
VLOOKUP($AU317,Invoicing!$N$15:$O$19,MATCH($AO$1,Invoicing!$N$15:$O$15,0),FALSE)+IF(OR($B317="DCD",$B317="HPD2"),23.5,0))</f>
        <v>573.5</v>
      </c>
      <c r="AP317" s="131" t="e">
        <f>VLOOKUP($E317,Invoicing!$A$1:$H$12,MATCH(TRACKER!$P317,Invoicing!$A$1:$H$1,0),FALSE)</f>
        <v>#N/A</v>
      </c>
      <c r="AQ317" s="131">
        <f>VLOOKUP($E317,Invoicing!$A$1:$H$12,MATCH(TRACKER!$Q$1,Invoicing!$A$1:$H$1,0),FALSE)</f>
        <v>50</v>
      </c>
      <c r="AR317" s="131">
        <f t="shared" si="101"/>
        <v>0</v>
      </c>
      <c r="AS317" s="2">
        <f t="shared" si="97"/>
        <v>2</v>
      </c>
      <c r="AT317" s="2" t="str">
        <f t="shared" si="100"/>
        <v>WEEK</v>
      </c>
      <c r="AU317" s="2" t="str">
        <f t="shared" si="98"/>
        <v>LOGIXWEEK</v>
      </c>
      <c r="AV317" s="94">
        <f>(IF(ISNA(AP317),AO317+AR317,SUM($AO317,$AR317,IFERROR($AP317,"0"))))+Table2[[#This Row],[WAITING TIMES]]</f>
        <v>573.5</v>
      </c>
      <c r="AW317" s="94">
        <f>VLOOKUP(AN317,Invoicing!A:K,11,FALSE)</f>
        <v>20</v>
      </c>
      <c r="AY317" s="48"/>
      <c r="AZ317" s="94">
        <f t="shared" si="99"/>
        <v>593.5</v>
      </c>
      <c r="BA317" s="133">
        <f>VLOOKUP(AN317,Invoicing!A:J,10,FALSE)</f>
        <v>70</v>
      </c>
      <c r="BB317" s="133">
        <f>VLOOKUP(AN317,Invoicing!A:L,12,FALSE)</f>
        <v>1</v>
      </c>
      <c r="BC317" s="2"/>
    </row>
    <row r="318" spans="1:55">
      <c r="A318" s="38" t="s">
        <v>594</v>
      </c>
      <c r="B318" s="3" t="s">
        <v>77</v>
      </c>
      <c r="C318" s="11">
        <v>46069.042361111111</v>
      </c>
      <c r="D318" s="11">
        <v>46068.041666666664</v>
      </c>
      <c r="E318" s="11" t="s">
        <v>83</v>
      </c>
      <c r="F318" s="11" t="s">
        <v>604</v>
      </c>
      <c r="G318" s="11" t="s">
        <v>59</v>
      </c>
      <c r="H318" s="11" t="s">
        <v>91</v>
      </c>
      <c r="I318" s="3" t="s">
        <v>628</v>
      </c>
      <c r="J318" s="86" t="s">
        <v>100</v>
      </c>
      <c r="K318" s="11">
        <v>46069.791666666664</v>
      </c>
      <c r="L318" s="12">
        <v>46070.611111111109</v>
      </c>
      <c r="M318" s="12">
        <v>46070.666666666664</v>
      </c>
      <c r="N318" s="12">
        <v>46070.618055555555</v>
      </c>
      <c r="O318" s="12" t="s">
        <v>63</v>
      </c>
      <c r="P318" s="85" t="s">
        <v>64</v>
      </c>
      <c r="Q318" s="3">
        <v>0</v>
      </c>
      <c r="R318" s="1">
        <f t="shared" si="82"/>
        <v>8</v>
      </c>
      <c r="S318" s="1">
        <f t="shared" si="83"/>
        <v>2</v>
      </c>
      <c r="T318" s="126">
        <f t="shared" si="84"/>
        <v>46070.611111111109</v>
      </c>
      <c r="U318" s="127">
        <f t="shared" si="85"/>
        <v>0.74930555555329192</v>
      </c>
      <c r="V318" s="128">
        <f>Table2[[#This Row],[ATA A OFRECIMIENTO]]*24</f>
        <v>17.983333333279006</v>
      </c>
      <c r="W318" s="1" t="str">
        <f t="shared" si="86"/>
        <v>YES</v>
      </c>
      <c r="X318" s="127">
        <f t="shared" si="87"/>
        <v>0.875</v>
      </c>
      <c r="Y318" s="128">
        <f>Table2[[#This Row],[DEL. AVAILABLE A SLOT]]*24</f>
        <v>21</v>
      </c>
      <c r="Z318" s="1" t="str">
        <f t="shared" si="88"/>
        <v>SI</v>
      </c>
      <c r="AA318" s="127">
        <f t="shared" si="89"/>
        <v>1.6243055555532919</v>
      </c>
      <c r="AB318" s="128">
        <f>Table2[[#This Row],[ATA A TIMESLOT]]*24</f>
        <v>38.983333333279006</v>
      </c>
      <c r="AC318" s="127">
        <f t="shared" si="90"/>
        <v>0</v>
      </c>
      <c r="AD318" s="127" t="str">
        <f t="shared" si="91"/>
        <v>SI</v>
      </c>
      <c r="AE318" s="128">
        <f>Table2[[#This Row],[PUNTUALIDAD (H)]]*24</f>
        <v>0</v>
      </c>
      <c r="AF318" s="127">
        <f t="shared" si="92"/>
        <v>1.5756944444437977</v>
      </c>
      <c r="AG318" s="128">
        <f>Table2[[#This Row],[ATA TO UNLOADING]]*24</f>
        <v>37.816666666651145</v>
      </c>
      <c r="AH318" s="128" t="str">
        <f>IF(Table2[[#This Row],[ATA TO UNLOADING 2]]&lt;=48,"YES","NO")</f>
        <v>YES</v>
      </c>
      <c r="AJ318" s="129">
        <f t="shared" si="93"/>
        <v>0.66666666666424135</v>
      </c>
      <c r="AK318" s="2" t="s">
        <v>64</v>
      </c>
      <c r="AL318" s="2" t="str">
        <f t="shared" si="94"/>
        <v>8/26</v>
      </c>
      <c r="AM318" s="2" t="str">
        <f t="shared" si="95"/>
        <v>MSKU9773408</v>
      </c>
      <c r="AN318" s="130" t="str">
        <f t="shared" si="96"/>
        <v>OM TRANSPORT</v>
      </c>
      <c r="AO318" s="150">
        <f>IF($O318="TRUCK",
VLOOKUP($AU318,Invoicing!$A$16:$B$56,MATCH($AO$1,Invoicing!$A$16:$B$16,0),FALSE)+IF(OR($B318="DCD",$B318="HPD2"),23.5,0),
VLOOKUP($AU318,Invoicing!$N$15:$O$19,MATCH($AO$1,Invoicing!$N$15:$O$15,0),FALSE)+IF(OR($B318="DCD",$B318="HPD2"),23.5,0))</f>
        <v>498.5</v>
      </c>
      <c r="AP318" s="131" t="e">
        <f>VLOOKUP($E318,Invoicing!$A$1:$H$12,MATCH(TRACKER!$P318,Invoicing!$A$1:$H$1,0),FALSE)</f>
        <v>#N/A</v>
      </c>
      <c r="AQ318" s="131">
        <f>VLOOKUP($E318,Invoicing!$A$1:$H$12,MATCH(TRACKER!$Q$1,Invoicing!$A$1:$H$1,0),FALSE)</f>
        <v>50</v>
      </c>
      <c r="AR318" s="131">
        <f t="shared" si="101"/>
        <v>0</v>
      </c>
      <c r="AS318" s="2">
        <f t="shared" si="97"/>
        <v>2</v>
      </c>
      <c r="AT318" s="2" t="str">
        <f t="shared" si="100"/>
        <v>WEEK</v>
      </c>
      <c r="AU318" s="2" t="str">
        <f t="shared" si="98"/>
        <v>OM TRANSPORTWEEK</v>
      </c>
      <c r="AV318" s="94">
        <f>(IF(ISNA(AP318),AO318+AR318,SUM($AO318,$AR318,IFERROR($AP318,"0"))))+Table2[[#This Row],[WAITING TIMES]]</f>
        <v>498.5</v>
      </c>
      <c r="AW318" s="94">
        <f>VLOOKUP(AN318,Invoicing!A:K,11,FALSE)</f>
        <v>20</v>
      </c>
      <c r="AY318" s="48"/>
      <c r="AZ318" s="94">
        <f t="shared" si="99"/>
        <v>518.5</v>
      </c>
      <c r="BA318" s="133">
        <f>VLOOKUP(AN318,Invoicing!A:J,10,FALSE)</f>
        <v>70</v>
      </c>
      <c r="BB318" s="133">
        <f>VLOOKUP(AN318,Invoicing!A:L,12,FALSE)</f>
        <v>1</v>
      </c>
      <c r="BC318" s="2"/>
    </row>
    <row r="319" spans="1:55">
      <c r="A319" s="38" t="s">
        <v>594</v>
      </c>
      <c r="B319" s="3" t="s">
        <v>77</v>
      </c>
      <c r="C319" s="11">
        <v>46069.042361111111</v>
      </c>
      <c r="D319" s="11">
        <v>46068.041666666664</v>
      </c>
      <c r="E319" s="11" t="s">
        <v>83</v>
      </c>
      <c r="F319" s="11" t="s">
        <v>604</v>
      </c>
      <c r="G319" s="11" t="s">
        <v>59</v>
      </c>
      <c r="H319" s="11" t="s">
        <v>91</v>
      </c>
      <c r="I319" s="3" t="s">
        <v>629</v>
      </c>
      <c r="J319" s="86" t="s">
        <v>82</v>
      </c>
      <c r="K319" s="11">
        <v>46069.791666666664</v>
      </c>
      <c r="L319" s="12">
        <v>46070.743750000001</v>
      </c>
      <c r="M319" s="12">
        <v>46070.75</v>
      </c>
      <c r="N319" s="12">
        <v>46070.743750000001</v>
      </c>
      <c r="O319" s="12" t="s">
        <v>63</v>
      </c>
      <c r="P319" s="85" t="s">
        <v>64</v>
      </c>
      <c r="Q319" s="3">
        <v>0</v>
      </c>
      <c r="R319" s="1">
        <f t="shared" si="82"/>
        <v>8</v>
      </c>
      <c r="S319" s="1">
        <f t="shared" si="83"/>
        <v>2</v>
      </c>
      <c r="T319" s="126">
        <f t="shared" si="84"/>
        <v>46070.743750000001</v>
      </c>
      <c r="U319" s="127">
        <f t="shared" si="85"/>
        <v>0.74930555555329192</v>
      </c>
      <c r="V319" s="128">
        <f>Table2[[#This Row],[ATA A OFRECIMIENTO]]*24</f>
        <v>17.983333333279006</v>
      </c>
      <c r="W319" s="1" t="str">
        <f t="shared" si="86"/>
        <v>YES</v>
      </c>
      <c r="X319" s="127">
        <f t="shared" si="87"/>
        <v>0.95833333333575865</v>
      </c>
      <c r="Y319" s="128">
        <f>Table2[[#This Row],[DEL. AVAILABLE A SLOT]]*24</f>
        <v>23.000000000058208</v>
      </c>
      <c r="Z319" s="1" t="str">
        <f t="shared" si="88"/>
        <v>SI</v>
      </c>
      <c r="AA319" s="127">
        <f t="shared" si="89"/>
        <v>1.7076388888890506</v>
      </c>
      <c r="AB319" s="128">
        <f>Table2[[#This Row],[ATA A TIMESLOT]]*24</f>
        <v>40.983333333337214</v>
      </c>
      <c r="AC319" s="127">
        <f t="shared" si="90"/>
        <v>0</v>
      </c>
      <c r="AD319" s="127" t="str">
        <f t="shared" si="91"/>
        <v>SI</v>
      </c>
      <c r="AE319" s="128">
        <f>Table2[[#This Row],[PUNTUALIDAD (H)]]*24</f>
        <v>0</v>
      </c>
      <c r="AF319" s="127">
        <f t="shared" si="92"/>
        <v>1.7013888888905058</v>
      </c>
      <c r="AG319" s="128">
        <f>Table2[[#This Row],[ATA TO UNLOADING]]*24</f>
        <v>40.833333333372138</v>
      </c>
      <c r="AH319" s="128" t="str">
        <f>IF(Table2[[#This Row],[ATA TO UNLOADING 2]]&lt;=48,"YES","NO")</f>
        <v>YES</v>
      </c>
      <c r="AJ319" s="129">
        <f t="shared" si="93"/>
        <v>0.75</v>
      </c>
      <c r="AK319" s="2" t="s">
        <v>64</v>
      </c>
      <c r="AL319" s="2" t="str">
        <f t="shared" si="94"/>
        <v>8/26</v>
      </c>
      <c r="AM319" s="2" t="str">
        <f t="shared" si="95"/>
        <v>TTNU1148768</v>
      </c>
      <c r="AN319" s="130" t="str">
        <f t="shared" si="96"/>
        <v>OM TRANSPORT</v>
      </c>
      <c r="AO319" s="150">
        <f>IF($O319="TRUCK",
VLOOKUP($AU319,Invoicing!$A$16:$B$56,MATCH($AO$1,Invoicing!$A$16:$B$16,0),FALSE)+IF(OR($B319="DCD",$B319="HPD2"),23.5,0),
VLOOKUP($AU319,Invoicing!$N$15:$O$19,MATCH($AO$1,Invoicing!$N$15:$O$15,0),FALSE)+IF(OR($B319="DCD",$B319="HPD2"),23.5,0))</f>
        <v>498.5</v>
      </c>
      <c r="AP319" s="131" t="e">
        <f>VLOOKUP($E319,Invoicing!$A$1:$H$12,MATCH(TRACKER!$P319,Invoicing!$A$1:$H$1,0),FALSE)</f>
        <v>#N/A</v>
      </c>
      <c r="AQ319" s="131">
        <f>VLOOKUP($E319,Invoicing!$A$1:$H$12,MATCH(TRACKER!$Q$1,Invoicing!$A$1:$H$1,0),FALSE)</f>
        <v>50</v>
      </c>
      <c r="AR319" s="131">
        <f t="shared" si="101"/>
        <v>0</v>
      </c>
      <c r="AS319" s="2">
        <f t="shared" si="97"/>
        <v>2</v>
      </c>
      <c r="AT319" s="2" t="str">
        <f t="shared" si="100"/>
        <v>WEEK</v>
      </c>
      <c r="AU319" s="2" t="str">
        <f t="shared" si="98"/>
        <v>OM TRANSPORTWEEK</v>
      </c>
      <c r="AV319" s="94">
        <f>(IF(ISNA(AP319),AO319+AR319,SUM($AO319,$AR319,IFERROR($AP319,"0"))))+Table2[[#This Row],[WAITING TIMES]]</f>
        <v>498.5</v>
      </c>
      <c r="AW319" s="94">
        <f>VLOOKUP(AN319,Invoicing!A:K,11,FALSE)</f>
        <v>20</v>
      </c>
      <c r="AY319" s="48"/>
      <c r="AZ319" s="94">
        <f t="shared" si="99"/>
        <v>518.5</v>
      </c>
      <c r="BA319" s="133">
        <f>VLOOKUP(AN319,Invoicing!A:J,10,FALSE)</f>
        <v>70</v>
      </c>
      <c r="BB319" s="133">
        <f>VLOOKUP(AN319,Invoicing!A:L,12,FALSE)</f>
        <v>1</v>
      </c>
      <c r="BC319" s="2"/>
    </row>
    <row r="320" spans="1:55">
      <c r="A320" s="87" t="s">
        <v>594</v>
      </c>
      <c r="B320" s="91" t="s">
        <v>77</v>
      </c>
      <c r="C320" s="89">
        <v>46069.042361111111</v>
      </c>
      <c r="D320" s="89">
        <v>46068.041666666664</v>
      </c>
      <c r="E320" s="89" t="s">
        <v>73</v>
      </c>
      <c r="F320" s="89" t="s">
        <v>604</v>
      </c>
      <c r="G320" s="89" t="s">
        <v>59</v>
      </c>
      <c r="H320" s="89" t="s">
        <v>91</v>
      </c>
      <c r="I320" s="91" t="s">
        <v>630</v>
      </c>
      <c r="J320" s="88" t="s">
        <v>82</v>
      </c>
      <c r="K320" s="89">
        <v>46069.791666666664</v>
      </c>
      <c r="L320" s="90">
        <v>46070.796527777777</v>
      </c>
      <c r="M320" s="90">
        <v>46070.791666666664</v>
      </c>
      <c r="N320" s="90">
        <v>46070.81527777778</v>
      </c>
      <c r="O320" s="90" t="s">
        <v>63</v>
      </c>
      <c r="P320" s="93" t="s">
        <v>64</v>
      </c>
      <c r="Q320" s="91">
        <v>0</v>
      </c>
      <c r="R320" s="1">
        <f t="shared" si="82"/>
        <v>8</v>
      </c>
      <c r="S320" s="1">
        <f t="shared" si="83"/>
        <v>2</v>
      </c>
      <c r="T320" s="126">
        <f t="shared" si="84"/>
        <v>46070.796527777777</v>
      </c>
      <c r="U320" s="127">
        <f t="shared" si="85"/>
        <v>0.74930555555329192</v>
      </c>
      <c r="V320" s="128">
        <f>Table2[[#This Row],[ATA A OFRECIMIENTO]]*24</f>
        <v>17.983333333279006</v>
      </c>
      <c r="W320" s="1" t="str">
        <f t="shared" si="86"/>
        <v>YES</v>
      </c>
      <c r="X320" s="127">
        <f t="shared" si="87"/>
        <v>1</v>
      </c>
      <c r="Y320" s="128">
        <f>Table2[[#This Row],[DEL. AVAILABLE A SLOT]]*24</f>
        <v>24</v>
      </c>
      <c r="Z320" s="1" t="str">
        <f t="shared" si="88"/>
        <v>SI</v>
      </c>
      <c r="AA320" s="127">
        <f t="shared" si="89"/>
        <v>1.7493055555532919</v>
      </c>
      <c r="AB320" s="128">
        <f>Table2[[#This Row],[ATA A TIMESLOT]]*24</f>
        <v>41.983333333279006</v>
      </c>
      <c r="AC320" s="127">
        <f t="shared" si="90"/>
        <v>4.8611111124046147E-3</v>
      </c>
      <c r="AD320" s="127" t="str">
        <f t="shared" si="91"/>
        <v>SI</v>
      </c>
      <c r="AE320" s="128">
        <f>Table2[[#This Row],[PUNTUALIDAD (H)]]*24</f>
        <v>0.11666666669771075</v>
      </c>
      <c r="AF320" s="127">
        <f t="shared" si="92"/>
        <v>1.7729166666686069</v>
      </c>
      <c r="AG320" s="128">
        <f>Table2[[#This Row],[ATA TO UNLOADING]]*24</f>
        <v>42.550000000046566</v>
      </c>
      <c r="AH320" s="128" t="str">
        <f>IF(Table2[[#This Row],[ATA TO UNLOADING 2]]&lt;=48,"YES","NO")</f>
        <v>YES</v>
      </c>
      <c r="AJ320" s="129">
        <f t="shared" si="93"/>
        <v>0.79166666666424135</v>
      </c>
      <c r="AK320" s="2" t="s">
        <v>64</v>
      </c>
      <c r="AL320" s="2" t="str">
        <f t="shared" si="94"/>
        <v>8/26</v>
      </c>
      <c r="AM320" s="2" t="str">
        <f t="shared" si="95"/>
        <v>HASU4093081</v>
      </c>
      <c r="AN320" s="130" t="str">
        <f t="shared" si="96"/>
        <v>OTL</v>
      </c>
      <c r="AO320" s="150">
        <f>IF($O320="TRUCK",
VLOOKUP($AU320,Invoicing!$A$16:$B$56,MATCH($AO$1,Invoicing!$A$16:$B$16,0),FALSE)+IF(OR($B320="DCD",$B320="HPD2"),23.5,0),
VLOOKUP($AU320,Invoicing!$N$15:$O$19,MATCH($AO$1,Invoicing!$N$15:$O$15,0),FALSE)+IF(OR($B320="DCD",$B320="HPD2"),23.5,0))</f>
        <v>553.5</v>
      </c>
      <c r="AP320" s="131" t="e">
        <f>VLOOKUP($E320,Invoicing!$A$1:$H$12,MATCH(TRACKER!$P320,Invoicing!$A$1:$H$1,0),FALSE)</f>
        <v>#N/A</v>
      </c>
      <c r="AQ320" s="131">
        <f>VLOOKUP($E320,Invoicing!$A$1:$H$12,MATCH(TRACKER!$Q$1,Invoicing!$A$1:$H$1,0),FALSE)</f>
        <v>60</v>
      </c>
      <c r="AR320" s="131">
        <f t="shared" si="101"/>
        <v>0</v>
      </c>
      <c r="AS320" s="2">
        <f t="shared" si="97"/>
        <v>2</v>
      </c>
      <c r="AT320" s="2" t="str">
        <f t="shared" si="100"/>
        <v>WEEK</v>
      </c>
      <c r="AU320" s="2" t="str">
        <f t="shared" si="98"/>
        <v>OTLWEEK</v>
      </c>
      <c r="AV320" s="94">
        <f>(IF(ISNA(AP320),AO320+AR320,SUM($AO320,$AR320,IFERROR($AP320,"0"))))+Table2[[#This Row],[WAITING TIMES]]</f>
        <v>553.5</v>
      </c>
      <c r="AW320" s="94">
        <f>VLOOKUP(AN320,Invoicing!A:K,11,FALSE)</f>
        <v>20</v>
      </c>
      <c r="AY320" s="48"/>
      <c r="AZ320" s="94">
        <f t="shared" si="99"/>
        <v>573.5</v>
      </c>
      <c r="BA320" s="133">
        <f>VLOOKUP(AN320,Invoicing!A:J,10,FALSE)</f>
        <v>70</v>
      </c>
      <c r="BB320" s="133">
        <f>VLOOKUP(AN320,Invoicing!A:L,12,FALSE)</f>
        <v>1</v>
      </c>
      <c r="BC320" s="2"/>
    </row>
    <row r="321" spans="1:55">
      <c r="A321" s="134" t="s">
        <v>631</v>
      </c>
      <c r="B321" s="86" t="s">
        <v>56</v>
      </c>
      <c r="C321" s="11">
        <v>46070.158333333333</v>
      </c>
      <c r="D321" s="11">
        <v>46070.166666666664</v>
      </c>
      <c r="E321" s="11" t="s">
        <v>98</v>
      </c>
      <c r="F321" s="11" t="s">
        <v>632</v>
      </c>
      <c r="G321" s="11" t="s">
        <v>59</v>
      </c>
      <c r="H321" s="11" t="s">
        <v>68</v>
      </c>
      <c r="I321" s="86" t="s">
        <v>633</v>
      </c>
      <c r="J321" s="86" t="s">
        <v>100</v>
      </c>
      <c r="K321" s="11">
        <v>46071.75</v>
      </c>
      <c r="L321" s="12">
        <v>46072.240277777775</v>
      </c>
      <c r="M321" s="12">
        <v>46072.25</v>
      </c>
      <c r="N321" s="12">
        <v>46072.260416666664</v>
      </c>
      <c r="O321" s="12" t="s">
        <v>63</v>
      </c>
      <c r="P321" s="135" t="s">
        <v>64</v>
      </c>
      <c r="Q321" s="86">
        <v>0</v>
      </c>
      <c r="R321" s="1">
        <f t="shared" si="82"/>
        <v>8</v>
      </c>
      <c r="S321" s="1">
        <f t="shared" si="83"/>
        <v>2</v>
      </c>
      <c r="T321" s="126">
        <f t="shared" si="84"/>
        <v>46072.240277777775</v>
      </c>
      <c r="U321" s="127">
        <f t="shared" si="85"/>
        <v>1.5916666666671517</v>
      </c>
      <c r="V321" s="128">
        <f>Table2[[#This Row],[ATA A OFRECIMIENTO]]*24</f>
        <v>38.200000000011642</v>
      </c>
      <c r="W321" s="1" t="str">
        <f t="shared" si="86"/>
        <v>YES</v>
      </c>
      <c r="X321" s="127">
        <f t="shared" si="87"/>
        <v>0.5</v>
      </c>
      <c r="Y321" s="128">
        <f>Table2[[#This Row],[DEL. AVAILABLE A SLOT]]*24</f>
        <v>12</v>
      </c>
      <c r="Z321" s="1" t="str">
        <f t="shared" si="88"/>
        <v>SI</v>
      </c>
      <c r="AA321" s="127">
        <f t="shared" si="89"/>
        <v>2.0916666666671517</v>
      </c>
      <c r="AB321" s="128">
        <f>Table2[[#This Row],[ATA A TIMESLOT]]*24</f>
        <v>50.200000000011642</v>
      </c>
      <c r="AC321" s="127">
        <f t="shared" si="90"/>
        <v>0</v>
      </c>
      <c r="AD321" s="127" t="str">
        <f t="shared" si="91"/>
        <v>SI</v>
      </c>
      <c r="AE321" s="128">
        <f>Table2[[#This Row],[PUNTUALIDAD (H)]]*24</f>
        <v>0</v>
      </c>
      <c r="AF321" s="127">
        <f t="shared" si="92"/>
        <v>2.1020833333313931</v>
      </c>
      <c r="AG321" s="128">
        <f>Table2[[#This Row],[ATA TO UNLOADING]]*24</f>
        <v>50.449999999953434</v>
      </c>
      <c r="AH321" s="128" t="str">
        <f>IF(Table2[[#This Row],[ATA TO UNLOADING 2]]&lt;=48,"YES","NO")</f>
        <v>NO</v>
      </c>
      <c r="AJ321" s="129">
        <f t="shared" si="93"/>
        <v>0.25</v>
      </c>
      <c r="AK321" s="2" t="s">
        <v>64</v>
      </c>
      <c r="AL321" s="2" t="str">
        <f t="shared" si="94"/>
        <v>8/26</v>
      </c>
      <c r="AM321" s="2" t="str">
        <f t="shared" si="95"/>
        <v>BSIU8587334</v>
      </c>
      <c r="AN321" s="130" t="str">
        <f t="shared" si="96"/>
        <v>MSI</v>
      </c>
      <c r="AO321" s="151">
        <f>IF($O321="TRUCK",
VLOOKUP($AU321,Invoicing!$A$16:$B$56,MATCH($AO$1,Invoicing!$A$16:$B$16,0),FALSE)+IF(OR($B321="DCD",$B321="HPD2"),23.5,0),
VLOOKUP($AU321,Invoicing!$N$15:$O$19,MATCH($AO$1,Invoicing!$N$15:$O$15,0),FALSE)+IF(OR($B321="DCD",$B321="HPD2"),23.5,0))</f>
        <v>480</v>
      </c>
      <c r="AP321" s="131" t="e">
        <f>VLOOKUP($E321,Invoicing!$A$1:$H$12,MATCH(TRACKER!$P321,Invoicing!$A$1:$H$1,0),FALSE)</f>
        <v>#N/A</v>
      </c>
      <c r="AQ321" s="131">
        <f>VLOOKUP($E321,Invoicing!$A$1:$H$12,MATCH(TRACKER!$Q$1,Invoicing!$A$1:$H$1,0),FALSE)</f>
        <v>50</v>
      </c>
      <c r="AR321" s="131">
        <f t="shared" si="101"/>
        <v>0</v>
      </c>
      <c r="AS321" s="2">
        <f t="shared" si="97"/>
        <v>4</v>
      </c>
      <c r="AT321" s="2" t="str">
        <f t="shared" si="100"/>
        <v>WEEK</v>
      </c>
      <c r="AU321" s="2" t="str">
        <f t="shared" si="98"/>
        <v>MSIWEEK</v>
      </c>
      <c r="AV321" s="94">
        <f>(IF(ISNA(AP321),AO321+AR321,SUM($AO321,$AR321,IFERROR($AP321,"0"))))+Table2[[#This Row],[WAITING TIMES]]</f>
        <v>480</v>
      </c>
      <c r="AW321" s="48">
        <f>VLOOKUP(AN321,Invoicing!A:K,11,FALSE)</f>
        <v>20</v>
      </c>
      <c r="AY321" s="48"/>
      <c r="AZ321" s="48">
        <f t="shared" si="99"/>
        <v>500</v>
      </c>
      <c r="BA321" s="132">
        <f>VLOOKUP(AN321,Invoicing!A:J,10,FALSE)</f>
        <v>70</v>
      </c>
      <c r="BB321" s="132">
        <f>VLOOKUP(AN321,Invoicing!A:L,12,FALSE)</f>
        <v>1</v>
      </c>
      <c r="BC321" s="2"/>
    </row>
    <row r="322" spans="1:55">
      <c r="A322" s="134" t="s">
        <v>631</v>
      </c>
      <c r="B322" s="86" t="s">
        <v>56</v>
      </c>
      <c r="C322" s="11">
        <v>46070.158333333333</v>
      </c>
      <c r="D322" s="11">
        <v>46070.166666666664</v>
      </c>
      <c r="E322" s="11" t="s">
        <v>83</v>
      </c>
      <c r="F322" s="11" t="s">
        <v>632</v>
      </c>
      <c r="G322" s="11" t="s">
        <v>59</v>
      </c>
      <c r="H322" s="11" t="s">
        <v>68</v>
      </c>
      <c r="I322" s="86" t="s">
        <v>634</v>
      </c>
      <c r="J322" s="86" t="s">
        <v>100</v>
      </c>
      <c r="K322" s="11">
        <v>46071.75</v>
      </c>
      <c r="L322" s="12">
        <v>46071.590277777781</v>
      </c>
      <c r="M322" s="12">
        <v>46071.833333333336</v>
      </c>
      <c r="N322" s="12">
        <v>46071.590277777781</v>
      </c>
      <c r="O322" s="12" t="s">
        <v>63</v>
      </c>
      <c r="P322" s="135" t="s">
        <v>64</v>
      </c>
      <c r="Q322" s="86">
        <v>1</v>
      </c>
      <c r="R322" s="1">
        <f t="shared" ref="R322:R385" si="102">IF(M322="","",WEEKNUM(T322,2))</f>
        <v>8</v>
      </c>
      <c r="S322" s="1">
        <f t="shared" ref="S322:S385" si="103">IF(M322="","",MONTH(T322))</f>
        <v>2</v>
      </c>
      <c r="T322" s="126">
        <f t="shared" ref="T322:T385" si="104">IF(ISBLANK(L322),IF(ISBLANK(N322),"00:00",N322),L322)</f>
        <v>46071.590277777781</v>
      </c>
      <c r="U322" s="127">
        <f t="shared" ref="U322:U385" si="105">(K322-C322)</f>
        <v>1.5916666666671517</v>
      </c>
      <c r="V322" s="128">
        <f>Table2[[#This Row],[ATA A OFRECIMIENTO]]*24</f>
        <v>38.200000000011642</v>
      </c>
      <c r="W322" s="1" t="str">
        <f t="shared" ref="W322:W385" si="106">IF(U322="","",IF(U322&lt;=2,"YES","NO"))</f>
        <v>YES</v>
      </c>
      <c r="X322" s="127">
        <f t="shared" ref="X322:X385" si="107">(M322-K322)</f>
        <v>8.3333333335758653E-2</v>
      </c>
      <c r="Y322" s="128">
        <f>Table2[[#This Row],[DEL. AVAILABLE A SLOT]]*24</f>
        <v>2.0000000000582077</v>
      </c>
      <c r="Z322" s="1" t="str">
        <f t="shared" ref="Z322:Z385" si="108">IF(X322="","",IF(X322&lt;=1,"SI","NO"))</f>
        <v>SI</v>
      </c>
      <c r="AA322" s="127">
        <f t="shared" ref="AA322:AA385" si="109">(M322-C322)</f>
        <v>1.6750000000029104</v>
      </c>
      <c r="AB322" s="128">
        <f>Table2[[#This Row],[ATA A TIMESLOT]]*24</f>
        <v>40.200000000069849</v>
      </c>
      <c r="AC322" s="127">
        <f t="shared" ref="AC322:AC385" si="110">IF(T322&lt; M322, TIME(0,0,0), T322-M322)</f>
        <v>0</v>
      </c>
      <c r="AD322" s="127" t="str">
        <f t="shared" ref="AD322:AD385" si="111">IF(AC322&gt;TIME(0,40,0),"NO","SI")</f>
        <v>SI</v>
      </c>
      <c r="AE322" s="128">
        <f>Table2[[#This Row],[PUNTUALIDAD (H)]]*24</f>
        <v>0</v>
      </c>
      <c r="AF322" s="127">
        <f t="shared" ref="AF322:AF385" si="112">(N322-C322)</f>
        <v>1.4319444444481633</v>
      </c>
      <c r="AG322" s="128">
        <f>Table2[[#This Row],[ATA TO UNLOADING]]*24</f>
        <v>34.366666666755918</v>
      </c>
      <c r="AH322" s="128" t="str">
        <f>IF(Table2[[#This Row],[ATA TO UNLOADING 2]]&lt;=48,"YES","NO")</f>
        <v>YES</v>
      </c>
      <c r="AJ322" s="129">
        <f t="shared" ref="AJ322:AJ385" si="113">MOD(M322,1)</f>
        <v>0.83333333333575865</v>
      </c>
      <c r="AK322" s="49" t="s">
        <v>36</v>
      </c>
      <c r="AL322" s="2" t="str">
        <f t="shared" ref="AL322:AL385" si="114">IF(M322="","",_xlfn.ISOWEEKNUM(M322)&amp;"/"&amp;RIGHT(YEAR(M322),2))</f>
        <v>8/26</v>
      </c>
      <c r="AM322" s="2" t="str">
        <f t="shared" ref="AM322:AM385" si="115">I322</f>
        <v>CAAU7060865</v>
      </c>
      <c r="AN322" s="130" t="str">
        <f t="shared" ref="AN322:AN385" si="116">E322</f>
        <v>OM TRANSPORT</v>
      </c>
      <c r="AO322" s="151">
        <f>IF($O322="TRUCK",
VLOOKUP($AU322,Invoicing!$A$16:$B$56,MATCH($AO$1,Invoicing!$A$16:$B$16,0),FALSE)+IF(OR($B322="DCD",$B322="HPD2"),23.5,0),
VLOOKUP($AU322,Invoicing!$N$15:$O$19,MATCH($AO$1,Invoicing!$N$15:$O$15,0),FALSE)+IF(OR($B322="DCD",$B322="HPD2"),23.5,0))</f>
        <v>475</v>
      </c>
      <c r="AP322" s="131" t="e">
        <f>VLOOKUP($E322,Invoicing!$A$1:$H$12,MATCH(TRACKER!$P322,Invoicing!$A$1:$H$1,0),FALSE)</f>
        <v>#N/A</v>
      </c>
      <c r="AQ322" s="131">
        <f>VLOOKUP($E322,Invoicing!$A$1:$H$12,MATCH(TRACKER!$Q$1,Invoicing!$A$1:$H$1,0),FALSE)</f>
        <v>50</v>
      </c>
      <c r="AR322" s="131">
        <f t="shared" si="101"/>
        <v>50</v>
      </c>
      <c r="AS322" s="2">
        <f t="shared" ref="AS322:AS385" si="117">WEEKDAY(M322,2)</f>
        <v>3</v>
      </c>
      <c r="AT322" s="2" t="str">
        <f t="shared" si="100"/>
        <v>NIGHT</v>
      </c>
      <c r="AU322" s="2" t="str">
        <f t="shared" ref="AU322:AU385" si="118">AN322&amp;AT322</f>
        <v>OM TRANSPORTNIGHT</v>
      </c>
      <c r="AV322" s="94">
        <f>(IF(ISNA(AP322),AO322+AR322,SUM($AO322,$AR322,IFERROR($AP322,"0"))))+Table2[[#This Row],[WAITING TIMES]]</f>
        <v>525</v>
      </c>
      <c r="AW322" s="48">
        <f>VLOOKUP(AN322,Invoicing!A:K,11,FALSE)</f>
        <v>20</v>
      </c>
      <c r="AY322" s="48"/>
      <c r="AZ322" s="48">
        <f t="shared" ref="AZ322:AZ385" si="119">AV322+AW322</f>
        <v>545</v>
      </c>
      <c r="BA322" s="132">
        <f>VLOOKUP(AN322,Invoicing!A:J,10,FALSE)</f>
        <v>70</v>
      </c>
      <c r="BB322" s="132">
        <f>VLOOKUP(AN322,Invoicing!A:L,12,FALSE)</f>
        <v>1</v>
      </c>
      <c r="BC322" s="2"/>
    </row>
    <row r="323" spans="1:55">
      <c r="A323" s="134" t="s">
        <v>631</v>
      </c>
      <c r="B323" s="86" t="s">
        <v>56</v>
      </c>
      <c r="C323" s="11">
        <v>46070.158333333333</v>
      </c>
      <c r="D323" s="11">
        <v>46070.166666666664</v>
      </c>
      <c r="E323" s="11" t="s">
        <v>83</v>
      </c>
      <c r="F323" s="11" t="s">
        <v>635</v>
      </c>
      <c r="G323" s="11" t="s">
        <v>59</v>
      </c>
      <c r="H323" s="11" t="s">
        <v>636</v>
      </c>
      <c r="I323" s="86" t="s">
        <v>637</v>
      </c>
      <c r="J323" s="86" t="s">
        <v>82</v>
      </c>
      <c r="K323" s="11">
        <v>46071.75</v>
      </c>
      <c r="L323" s="12">
        <v>46071.546527777777</v>
      </c>
      <c r="M323" s="12">
        <v>46071.75</v>
      </c>
      <c r="N323" s="12">
        <v>46071.576388888891</v>
      </c>
      <c r="O323" s="12" t="s">
        <v>63</v>
      </c>
      <c r="P323" s="135" t="s">
        <v>64</v>
      </c>
      <c r="Q323" s="86">
        <v>0</v>
      </c>
      <c r="R323" s="1">
        <f t="shared" si="102"/>
        <v>8</v>
      </c>
      <c r="S323" s="1">
        <f t="shared" si="103"/>
        <v>2</v>
      </c>
      <c r="T323" s="126">
        <f t="shared" si="104"/>
        <v>46071.546527777777</v>
      </c>
      <c r="U323" s="127">
        <f t="shared" si="105"/>
        <v>1.5916666666671517</v>
      </c>
      <c r="V323" s="128">
        <f>Table2[[#This Row],[ATA A OFRECIMIENTO]]*24</f>
        <v>38.200000000011642</v>
      </c>
      <c r="W323" s="1" t="str">
        <f t="shared" si="106"/>
        <v>YES</v>
      </c>
      <c r="X323" s="127">
        <f t="shared" si="107"/>
        <v>0</v>
      </c>
      <c r="Y323" s="128">
        <f>Table2[[#This Row],[DEL. AVAILABLE A SLOT]]*24</f>
        <v>0</v>
      </c>
      <c r="Z323" s="1" t="str">
        <f t="shared" si="108"/>
        <v>SI</v>
      </c>
      <c r="AA323" s="127">
        <f t="shared" si="109"/>
        <v>1.5916666666671517</v>
      </c>
      <c r="AB323" s="128">
        <f>Table2[[#This Row],[ATA A TIMESLOT]]*24</f>
        <v>38.200000000011642</v>
      </c>
      <c r="AC323" s="127">
        <f t="shared" si="110"/>
        <v>0</v>
      </c>
      <c r="AD323" s="127" t="str">
        <f t="shared" si="111"/>
        <v>SI</v>
      </c>
      <c r="AE323" s="128">
        <f>Table2[[#This Row],[PUNTUALIDAD (H)]]*24</f>
        <v>0</v>
      </c>
      <c r="AF323" s="127">
        <f t="shared" si="112"/>
        <v>1.4180555555576575</v>
      </c>
      <c r="AG323" s="128">
        <f>Table2[[#This Row],[ATA TO UNLOADING]]*24</f>
        <v>34.03333333338378</v>
      </c>
      <c r="AH323" s="128" t="str">
        <f>IF(Table2[[#This Row],[ATA TO UNLOADING 2]]&lt;=48,"YES","NO")</f>
        <v>YES</v>
      </c>
      <c r="AJ323" s="129">
        <f t="shared" si="113"/>
        <v>0.75</v>
      </c>
      <c r="AK323" s="2" t="s">
        <v>64</v>
      </c>
      <c r="AL323" s="2" t="str">
        <f t="shared" si="114"/>
        <v>8/26</v>
      </c>
      <c r="AM323" s="2" t="str">
        <f t="shared" si="115"/>
        <v>HASU1516913</v>
      </c>
      <c r="AN323" s="130" t="str">
        <f t="shared" si="116"/>
        <v>OM TRANSPORT</v>
      </c>
      <c r="AO323" s="151">
        <f>IF($O323="TRUCK",
VLOOKUP($AU323,Invoicing!$A$16:$B$56,MATCH($AO$1,Invoicing!$A$16:$B$16,0),FALSE)+IF(OR($B323="DCD",$B323="HPD2"),23.5,0),
VLOOKUP($AU323,Invoicing!$N$15:$O$19,MATCH($AO$1,Invoicing!$N$15:$O$15,0),FALSE)+IF(OR($B323="DCD",$B323="HPD2"),23.5,0))</f>
        <v>475</v>
      </c>
      <c r="AP323" s="131" t="e">
        <f>VLOOKUP($E323,Invoicing!$A$1:$H$12,MATCH(TRACKER!$P323,Invoicing!$A$1:$H$1,0),FALSE)</f>
        <v>#N/A</v>
      </c>
      <c r="AQ323" s="131">
        <f>VLOOKUP($E323,Invoicing!$A$1:$H$12,MATCH(TRACKER!$Q$1,Invoicing!$A$1:$H$1,0),FALSE)</f>
        <v>50</v>
      </c>
      <c r="AR323" s="131">
        <f t="shared" si="101"/>
        <v>0</v>
      </c>
      <c r="AS323" s="2">
        <f t="shared" si="117"/>
        <v>3</v>
      </c>
      <c r="AT323" s="2" t="str">
        <f t="shared" ref="AT323:AT386" si="120">IF(AS323=7,"SUNDAY",IF(AS323=6,"SATURDAY",IF(AK323="NIGHT","NIGHT",IF(AS323&lt;=5,"WEEK","SUNDAY"))))</f>
        <v>WEEK</v>
      </c>
      <c r="AU323" s="2" t="str">
        <f t="shared" si="118"/>
        <v>OM TRANSPORTWEEK</v>
      </c>
      <c r="AV323" s="94">
        <f>(IF(ISNA(AP323),AO323+AR323,SUM($AO323,$AR323,IFERROR($AP323,"0"))))+Table2[[#This Row],[WAITING TIMES]]</f>
        <v>475</v>
      </c>
      <c r="AW323" s="48">
        <f>VLOOKUP(AN323,Invoicing!A:K,11,FALSE)</f>
        <v>20</v>
      </c>
      <c r="AY323" s="48"/>
      <c r="AZ323" s="48">
        <f t="shared" si="119"/>
        <v>495</v>
      </c>
      <c r="BA323" s="132">
        <f>VLOOKUP(AN323,Invoicing!A:J,10,FALSE)</f>
        <v>70</v>
      </c>
      <c r="BB323" s="132">
        <f>VLOOKUP(AN323,Invoicing!A:L,12,FALSE)</f>
        <v>1</v>
      </c>
      <c r="BC323" s="2"/>
    </row>
    <row r="324" spans="1:55">
      <c r="A324" s="134" t="s">
        <v>631</v>
      </c>
      <c r="B324" s="86" t="s">
        <v>56</v>
      </c>
      <c r="C324" s="11">
        <v>46070.158333333333</v>
      </c>
      <c r="D324" s="11">
        <v>46070.166666666664</v>
      </c>
      <c r="E324" s="11" t="s">
        <v>98</v>
      </c>
      <c r="F324" s="11" t="s">
        <v>638</v>
      </c>
      <c r="G324" s="11" t="s">
        <v>59</v>
      </c>
      <c r="H324" s="11" t="s">
        <v>60</v>
      </c>
      <c r="I324" s="86" t="s">
        <v>639</v>
      </c>
      <c r="J324" s="86" t="s">
        <v>100</v>
      </c>
      <c r="K324" s="11">
        <v>46071.75</v>
      </c>
      <c r="L324" s="12">
        <v>46071.819444444445</v>
      </c>
      <c r="M324" s="12">
        <v>46071.75</v>
      </c>
      <c r="N324" s="12">
        <v>46071.826388888891</v>
      </c>
      <c r="O324" s="12" t="s">
        <v>63</v>
      </c>
      <c r="P324" s="135" t="s">
        <v>64</v>
      </c>
      <c r="Q324" s="86">
        <v>1</v>
      </c>
      <c r="R324" s="1">
        <f t="shared" si="102"/>
        <v>8</v>
      </c>
      <c r="S324" s="1">
        <f t="shared" si="103"/>
        <v>2</v>
      </c>
      <c r="T324" s="126">
        <f t="shared" si="104"/>
        <v>46071.819444444445</v>
      </c>
      <c r="U324" s="127">
        <f t="shared" si="105"/>
        <v>1.5916666666671517</v>
      </c>
      <c r="V324" s="128">
        <f>Table2[[#This Row],[ATA A OFRECIMIENTO]]*24</f>
        <v>38.200000000011642</v>
      </c>
      <c r="W324" s="1" t="str">
        <f t="shared" si="106"/>
        <v>YES</v>
      </c>
      <c r="X324" s="127">
        <f t="shared" si="107"/>
        <v>0</v>
      </c>
      <c r="Y324" s="128">
        <f>Table2[[#This Row],[DEL. AVAILABLE A SLOT]]*24</f>
        <v>0</v>
      </c>
      <c r="Z324" s="1" t="str">
        <f t="shared" si="108"/>
        <v>SI</v>
      </c>
      <c r="AA324" s="127">
        <f t="shared" si="109"/>
        <v>1.5916666666671517</v>
      </c>
      <c r="AB324" s="128">
        <f>Table2[[#This Row],[ATA A TIMESLOT]]*24</f>
        <v>38.200000000011642</v>
      </c>
      <c r="AC324" s="127">
        <f t="shared" si="110"/>
        <v>6.9444444445252884E-2</v>
      </c>
      <c r="AD324" s="127" t="str">
        <f t="shared" si="111"/>
        <v>NO</v>
      </c>
      <c r="AE324" s="128">
        <f>Table2[[#This Row],[PUNTUALIDAD (H)]]*24</f>
        <v>1.6666666666860692</v>
      </c>
      <c r="AF324" s="127">
        <f t="shared" si="112"/>
        <v>1.6680555555576575</v>
      </c>
      <c r="AG324" s="128">
        <f>Table2[[#This Row],[ATA TO UNLOADING]]*24</f>
        <v>40.03333333338378</v>
      </c>
      <c r="AH324" s="128" t="str">
        <f>IF(Table2[[#This Row],[ATA TO UNLOADING 2]]&lt;=48,"YES","NO")</f>
        <v>YES</v>
      </c>
      <c r="AJ324" s="129">
        <f t="shared" si="113"/>
        <v>0.75</v>
      </c>
      <c r="AK324" s="2" t="s">
        <v>64</v>
      </c>
      <c r="AL324" s="2" t="str">
        <f t="shared" si="114"/>
        <v>8/26</v>
      </c>
      <c r="AM324" s="2" t="str">
        <f t="shared" si="115"/>
        <v>MAEU9162648</v>
      </c>
      <c r="AN324" s="130" t="str">
        <f t="shared" si="116"/>
        <v>MSI</v>
      </c>
      <c r="AO324" s="151">
        <f>IF($O324="TRUCK",
VLOOKUP($AU324,Invoicing!$A$16:$B$56,MATCH($AO$1,Invoicing!$A$16:$B$16,0),FALSE)+IF(OR($B324="DCD",$B324="HPD2"),23.5,0),
VLOOKUP($AU324,Invoicing!$N$15:$O$19,MATCH($AO$1,Invoicing!$N$15:$O$15,0),FALSE)+IF(OR($B324="DCD",$B324="HPD2"),23.5,0))</f>
        <v>480</v>
      </c>
      <c r="AP324" s="131" t="e">
        <f>VLOOKUP($E324,Invoicing!$A$1:$H$12,MATCH(TRACKER!$P324,Invoicing!$A$1:$H$1,0),FALSE)</f>
        <v>#N/A</v>
      </c>
      <c r="AQ324" s="131">
        <f>VLOOKUP($E324,Invoicing!$A$1:$H$12,MATCH(TRACKER!$Q$1,Invoicing!$A$1:$H$1,0),FALSE)</f>
        <v>50</v>
      </c>
      <c r="AR324" s="131">
        <f t="shared" si="101"/>
        <v>50</v>
      </c>
      <c r="AS324" s="2">
        <f t="shared" si="117"/>
        <v>3</v>
      </c>
      <c r="AT324" s="2" t="str">
        <f t="shared" si="120"/>
        <v>WEEK</v>
      </c>
      <c r="AU324" s="2" t="str">
        <f t="shared" si="118"/>
        <v>MSIWEEK</v>
      </c>
      <c r="AV324" s="94">
        <f>(IF(ISNA(AP324),AO324+AR324,SUM($AO324,$AR324,IFERROR($AP324,"0"))))+Table2[[#This Row],[WAITING TIMES]]</f>
        <v>530</v>
      </c>
      <c r="AW324" s="48">
        <f>VLOOKUP(AN324,Invoicing!A:K,11,FALSE)</f>
        <v>20</v>
      </c>
      <c r="AY324" s="48"/>
      <c r="AZ324" s="48">
        <f t="shared" si="119"/>
        <v>550</v>
      </c>
      <c r="BA324" s="132">
        <f>VLOOKUP(AN324,Invoicing!A:J,10,FALSE)</f>
        <v>70</v>
      </c>
      <c r="BB324" s="132">
        <f>VLOOKUP(AN324,Invoicing!A:L,12,FALSE)</f>
        <v>1</v>
      </c>
      <c r="BC324" s="2"/>
    </row>
    <row r="325" spans="1:55">
      <c r="A325" s="134" t="s">
        <v>631</v>
      </c>
      <c r="B325" s="86" t="s">
        <v>56</v>
      </c>
      <c r="C325" s="11">
        <v>46070.158333333333</v>
      </c>
      <c r="D325" s="11">
        <v>46070.166666666664</v>
      </c>
      <c r="E325" s="11" t="s">
        <v>73</v>
      </c>
      <c r="F325" s="11" t="s">
        <v>640</v>
      </c>
      <c r="G325" s="11" t="s">
        <v>59</v>
      </c>
      <c r="H325" s="11" t="s">
        <v>60</v>
      </c>
      <c r="I325" s="86" t="s">
        <v>641</v>
      </c>
      <c r="J325" s="86" t="s">
        <v>62</v>
      </c>
      <c r="K325" s="11">
        <v>46071.75</v>
      </c>
      <c r="L325" s="12">
        <v>46071.729166666664</v>
      </c>
      <c r="M325" s="12">
        <v>46071.75</v>
      </c>
      <c r="N325" s="12">
        <v>46071.729166666664</v>
      </c>
      <c r="O325" s="12" t="s">
        <v>63</v>
      </c>
      <c r="P325" s="135" t="s">
        <v>64</v>
      </c>
      <c r="Q325" s="86">
        <v>0</v>
      </c>
      <c r="R325" s="1">
        <f t="shared" si="102"/>
        <v>8</v>
      </c>
      <c r="S325" s="1">
        <f t="shared" si="103"/>
        <v>2</v>
      </c>
      <c r="T325" s="126">
        <f t="shared" si="104"/>
        <v>46071.729166666664</v>
      </c>
      <c r="U325" s="127">
        <f t="shared" si="105"/>
        <v>1.5916666666671517</v>
      </c>
      <c r="V325" s="128">
        <f>Table2[[#This Row],[ATA A OFRECIMIENTO]]*24</f>
        <v>38.200000000011642</v>
      </c>
      <c r="W325" s="1" t="str">
        <f t="shared" si="106"/>
        <v>YES</v>
      </c>
      <c r="X325" s="127">
        <f t="shared" si="107"/>
        <v>0</v>
      </c>
      <c r="Y325" s="128">
        <f>Table2[[#This Row],[DEL. AVAILABLE A SLOT]]*24</f>
        <v>0</v>
      </c>
      <c r="Z325" s="1" t="str">
        <f t="shared" si="108"/>
        <v>SI</v>
      </c>
      <c r="AA325" s="127">
        <f t="shared" si="109"/>
        <v>1.5916666666671517</v>
      </c>
      <c r="AB325" s="128">
        <f>Table2[[#This Row],[ATA A TIMESLOT]]*24</f>
        <v>38.200000000011642</v>
      </c>
      <c r="AC325" s="127">
        <f t="shared" si="110"/>
        <v>0</v>
      </c>
      <c r="AD325" s="127" t="str">
        <f t="shared" si="111"/>
        <v>SI</v>
      </c>
      <c r="AE325" s="128">
        <f>Table2[[#This Row],[PUNTUALIDAD (H)]]*24</f>
        <v>0</v>
      </c>
      <c r="AF325" s="127">
        <f t="shared" si="112"/>
        <v>1.5708333333313931</v>
      </c>
      <c r="AG325" s="128">
        <f>Table2[[#This Row],[ATA TO UNLOADING]]*24</f>
        <v>37.699999999953434</v>
      </c>
      <c r="AH325" s="128" t="str">
        <f>IF(Table2[[#This Row],[ATA TO UNLOADING 2]]&lt;=48,"YES","NO")</f>
        <v>YES</v>
      </c>
      <c r="AJ325" s="129">
        <f t="shared" si="113"/>
        <v>0.75</v>
      </c>
      <c r="AK325" s="2" t="s">
        <v>64</v>
      </c>
      <c r="AL325" s="2" t="str">
        <f t="shared" si="114"/>
        <v>8/26</v>
      </c>
      <c r="AM325" s="2" t="str">
        <f t="shared" si="115"/>
        <v>MAEU9227163</v>
      </c>
      <c r="AN325" s="130" t="str">
        <f t="shared" si="116"/>
        <v>OTL</v>
      </c>
      <c r="AO325" s="151">
        <f>IF($O325="TRUCK",
VLOOKUP($AU325,Invoicing!$A$16:$B$56,MATCH($AO$1,Invoicing!$A$16:$B$16,0),FALSE)+IF(OR($B325="DCD",$B325="HPD2"),23.5,0),
VLOOKUP($AU325,Invoicing!$N$15:$O$19,MATCH($AO$1,Invoicing!$N$15:$O$15,0),FALSE)+IF(OR($B325="DCD",$B325="HPD2"),23.5,0))</f>
        <v>530</v>
      </c>
      <c r="AP325" s="131" t="e">
        <f>VLOOKUP($E325,Invoicing!$A$1:$H$12,MATCH(TRACKER!$P325,Invoicing!$A$1:$H$1,0),FALSE)</f>
        <v>#N/A</v>
      </c>
      <c r="AQ325" s="131">
        <f>VLOOKUP($E325,Invoicing!$A$1:$H$12,MATCH(TRACKER!$Q$1,Invoicing!$A$1:$H$1,0),FALSE)</f>
        <v>60</v>
      </c>
      <c r="AR325" s="131">
        <f t="shared" si="101"/>
        <v>0</v>
      </c>
      <c r="AS325" s="2">
        <f t="shared" si="117"/>
        <v>3</v>
      </c>
      <c r="AT325" s="2" t="str">
        <f t="shared" si="120"/>
        <v>WEEK</v>
      </c>
      <c r="AU325" s="2" t="str">
        <f t="shared" si="118"/>
        <v>OTLWEEK</v>
      </c>
      <c r="AV325" s="94">
        <f>(IF(ISNA(AP325),AO325+AR325,SUM($AO325,$AR325,IFERROR($AP325,"0"))))+Table2[[#This Row],[WAITING TIMES]]</f>
        <v>530</v>
      </c>
      <c r="AW325" s="48">
        <f>VLOOKUP(AN325,Invoicing!A:K,11,FALSE)</f>
        <v>20</v>
      </c>
      <c r="AY325" s="48"/>
      <c r="AZ325" s="48">
        <f t="shared" si="119"/>
        <v>550</v>
      </c>
      <c r="BA325" s="132">
        <f>VLOOKUP(AN325,Invoicing!A:J,10,FALSE)</f>
        <v>70</v>
      </c>
      <c r="BB325" s="132">
        <f>VLOOKUP(AN325,Invoicing!A:L,12,FALSE)</f>
        <v>1</v>
      </c>
      <c r="BC325" s="2"/>
    </row>
    <row r="326" spans="1:55">
      <c r="A326" s="134" t="s">
        <v>631</v>
      </c>
      <c r="B326" s="86" t="s">
        <v>56</v>
      </c>
      <c r="C326" s="11">
        <v>46070.158333333333</v>
      </c>
      <c r="D326" s="11">
        <v>46070.166666666664</v>
      </c>
      <c r="E326" s="11" t="s">
        <v>71</v>
      </c>
      <c r="F326" s="11" t="s">
        <v>642</v>
      </c>
      <c r="G326" s="11" t="s">
        <v>59</v>
      </c>
      <c r="H326" s="11" t="s">
        <v>643</v>
      </c>
      <c r="I326" s="86" t="s">
        <v>644</v>
      </c>
      <c r="J326" s="86" t="s">
        <v>82</v>
      </c>
      <c r="K326" s="11">
        <v>46071.75</v>
      </c>
      <c r="L326" s="12">
        <v>46072.488194444442</v>
      </c>
      <c r="M326" s="12">
        <v>46072.5</v>
      </c>
      <c r="N326" s="12">
        <v>46072.538888888892</v>
      </c>
      <c r="O326" s="12" t="s">
        <v>63</v>
      </c>
      <c r="P326" s="135" t="s">
        <v>64</v>
      </c>
      <c r="Q326" s="86">
        <v>0</v>
      </c>
      <c r="R326" s="1">
        <f t="shared" si="102"/>
        <v>8</v>
      </c>
      <c r="S326" s="1">
        <f t="shared" si="103"/>
        <v>2</v>
      </c>
      <c r="T326" s="126">
        <f t="shared" si="104"/>
        <v>46072.488194444442</v>
      </c>
      <c r="U326" s="127">
        <f t="shared" si="105"/>
        <v>1.5916666666671517</v>
      </c>
      <c r="V326" s="128">
        <f>Table2[[#This Row],[ATA A OFRECIMIENTO]]*24</f>
        <v>38.200000000011642</v>
      </c>
      <c r="W326" s="1" t="str">
        <f t="shared" si="106"/>
        <v>YES</v>
      </c>
      <c r="X326" s="127">
        <f t="shared" si="107"/>
        <v>0.75</v>
      </c>
      <c r="Y326" s="128">
        <f>Table2[[#This Row],[DEL. AVAILABLE A SLOT]]*24</f>
        <v>18</v>
      </c>
      <c r="Z326" s="1" t="str">
        <f t="shared" si="108"/>
        <v>SI</v>
      </c>
      <c r="AA326" s="127">
        <f t="shared" si="109"/>
        <v>2.3416666666671517</v>
      </c>
      <c r="AB326" s="128">
        <f>Table2[[#This Row],[ATA A TIMESLOT]]*24</f>
        <v>56.200000000011642</v>
      </c>
      <c r="AC326" s="127">
        <f t="shared" si="110"/>
        <v>0</v>
      </c>
      <c r="AD326" s="127" t="str">
        <f t="shared" si="111"/>
        <v>SI</v>
      </c>
      <c r="AE326" s="128">
        <f>Table2[[#This Row],[PUNTUALIDAD (H)]]*24</f>
        <v>0</v>
      </c>
      <c r="AF326" s="127">
        <f t="shared" si="112"/>
        <v>2.3805555555591127</v>
      </c>
      <c r="AG326" s="128">
        <f>Table2[[#This Row],[ATA TO UNLOADING]]*24</f>
        <v>57.133333333418705</v>
      </c>
      <c r="AH326" s="128" t="str">
        <f>IF(Table2[[#This Row],[ATA TO UNLOADING 2]]&lt;=48,"YES","NO")</f>
        <v>NO</v>
      </c>
      <c r="AJ326" s="129">
        <f t="shared" si="113"/>
        <v>0.5</v>
      </c>
      <c r="AK326" s="2" t="s">
        <v>64</v>
      </c>
      <c r="AL326" s="2" t="str">
        <f t="shared" si="114"/>
        <v>8/26</v>
      </c>
      <c r="AM326" s="2" t="str">
        <f t="shared" si="115"/>
        <v>MRKU0998870</v>
      </c>
      <c r="AN326" s="130" t="str">
        <f t="shared" si="116"/>
        <v>LOGIX</v>
      </c>
      <c r="AO326" s="151">
        <f>IF($O326="TRUCK",
VLOOKUP($AU326,Invoicing!$A$16:$B$56,MATCH($AO$1,Invoicing!$A$16:$B$16,0),FALSE)+IF(OR($B326="DCD",$B326="HPD2"),23.5,0),
VLOOKUP($AU326,Invoicing!$N$15:$O$19,MATCH($AO$1,Invoicing!$N$15:$O$15,0),FALSE)+IF(OR($B326="DCD",$B326="HPD2"),23.5,0))</f>
        <v>550</v>
      </c>
      <c r="AP326" s="131" t="e">
        <f>VLOOKUP($E326,Invoicing!$A$1:$H$12,MATCH(TRACKER!$P326,Invoicing!$A$1:$H$1,0),FALSE)</f>
        <v>#N/A</v>
      </c>
      <c r="AQ326" s="131">
        <f>VLOOKUP($E326,Invoicing!$A$1:$H$12,MATCH(TRACKER!$Q$1,Invoicing!$A$1:$H$1,0),FALSE)</f>
        <v>50</v>
      </c>
      <c r="AR326" s="131">
        <f t="shared" si="101"/>
        <v>0</v>
      </c>
      <c r="AS326" s="2">
        <f t="shared" si="117"/>
        <v>4</v>
      </c>
      <c r="AT326" s="2" t="str">
        <f t="shared" si="120"/>
        <v>WEEK</v>
      </c>
      <c r="AU326" s="2" t="str">
        <f t="shared" si="118"/>
        <v>LOGIXWEEK</v>
      </c>
      <c r="AV326" s="94">
        <f>(IF(ISNA(AP326),AO326+AR326,SUM($AO326,$AR326,IFERROR($AP326,"0"))))+Table2[[#This Row],[WAITING TIMES]]</f>
        <v>550</v>
      </c>
      <c r="AW326" s="48">
        <f>VLOOKUP(AN326,Invoicing!A:K,11,FALSE)</f>
        <v>20</v>
      </c>
      <c r="AY326" s="48"/>
      <c r="AZ326" s="48">
        <f t="shared" si="119"/>
        <v>570</v>
      </c>
      <c r="BA326" s="132">
        <f>VLOOKUP(AN326,Invoicing!A:J,10,FALSE)</f>
        <v>70</v>
      </c>
      <c r="BB326" s="132">
        <f>VLOOKUP(AN326,Invoicing!A:L,12,FALSE)</f>
        <v>1</v>
      </c>
      <c r="BC326" s="2"/>
    </row>
    <row r="327" spans="1:55">
      <c r="A327" s="134" t="s">
        <v>631</v>
      </c>
      <c r="B327" s="86" t="s">
        <v>56</v>
      </c>
      <c r="C327" s="11">
        <v>46070.158333333333</v>
      </c>
      <c r="D327" s="11">
        <v>46070.166666666664</v>
      </c>
      <c r="E327" s="11" t="s">
        <v>98</v>
      </c>
      <c r="F327" s="11" t="s">
        <v>632</v>
      </c>
      <c r="G327" s="11" t="s">
        <v>59</v>
      </c>
      <c r="H327" s="11" t="s">
        <v>68</v>
      </c>
      <c r="I327" s="86" t="s">
        <v>645</v>
      </c>
      <c r="J327" s="86" t="s">
        <v>100</v>
      </c>
      <c r="K327" s="11">
        <v>46071.75</v>
      </c>
      <c r="L327" s="12">
        <v>46071.864583333336</v>
      </c>
      <c r="M327" s="12">
        <v>46071.791666666664</v>
      </c>
      <c r="N327" s="12">
        <v>46072.364583333336</v>
      </c>
      <c r="O327" s="12" t="s">
        <v>63</v>
      </c>
      <c r="P327" s="135" t="s">
        <v>64</v>
      </c>
      <c r="Q327" s="86">
        <v>2</v>
      </c>
      <c r="R327" s="1">
        <f t="shared" si="102"/>
        <v>8</v>
      </c>
      <c r="S327" s="1">
        <f t="shared" si="103"/>
        <v>2</v>
      </c>
      <c r="T327" s="126">
        <f t="shared" si="104"/>
        <v>46071.864583333336</v>
      </c>
      <c r="U327" s="127">
        <f t="shared" si="105"/>
        <v>1.5916666666671517</v>
      </c>
      <c r="V327" s="128">
        <f>Table2[[#This Row],[ATA A OFRECIMIENTO]]*24</f>
        <v>38.200000000011642</v>
      </c>
      <c r="W327" s="1" t="str">
        <f t="shared" si="106"/>
        <v>YES</v>
      </c>
      <c r="X327" s="127">
        <f t="shared" si="107"/>
        <v>4.1666666664241347E-2</v>
      </c>
      <c r="Y327" s="128">
        <f>Table2[[#This Row],[DEL. AVAILABLE A SLOT]]*24</f>
        <v>0.99999999994179234</v>
      </c>
      <c r="Z327" s="1" t="str">
        <f t="shared" si="108"/>
        <v>SI</v>
      </c>
      <c r="AA327" s="127">
        <f t="shared" si="109"/>
        <v>1.6333333333313931</v>
      </c>
      <c r="AB327" s="128">
        <f>Table2[[#This Row],[ATA A TIMESLOT]]*24</f>
        <v>39.199999999953434</v>
      </c>
      <c r="AC327" s="127">
        <f t="shared" si="110"/>
        <v>7.2916666671517305E-2</v>
      </c>
      <c r="AD327" s="127" t="str">
        <f t="shared" si="111"/>
        <v>NO</v>
      </c>
      <c r="AE327" s="128">
        <f>Table2[[#This Row],[PUNTUALIDAD (H)]]*24</f>
        <v>1.7500000001164153</v>
      </c>
      <c r="AF327" s="127">
        <f t="shared" si="112"/>
        <v>2.2062500000029104</v>
      </c>
      <c r="AG327" s="128">
        <f>Table2[[#This Row],[ATA TO UNLOADING]]*24</f>
        <v>52.950000000069849</v>
      </c>
      <c r="AH327" s="128" t="str">
        <f>IF(Table2[[#This Row],[ATA TO UNLOADING 2]]&lt;=48,"YES","NO")</f>
        <v>NO</v>
      </c>
      <c r="AJ327" s="129">
        <f t="shared" si="113"/>
        <v>0.79166666666424135</v>
      </c>
      <c r="AK327" s="2" t="s">
        <v>64</v>
      </c>
      <c r="AL327" s="2" t="str">
        <f t="shared" si="114"/>
        <v>8/26</v>
      </c>
      <c r="AM327" s="2" t="str">
        <f t="shared" si="115"/>
        <v>MRKU3087728</v>
      </c>
      <c r="AN327" s="130" t="str">
        <f t="shared" si="116"/>
        <v>MSI</v>
      </c>
      <c r="AO327" s="151">
        <f>IF($O327="TRUCK",
VLOOKUP($AU327,Invoicing!$A$16:$B$56,MATCH($AO$1,Invoicing!$A$16:$B$16,0),FALSE)+IF(OR($B327="DCD",$B327="HPD2"),23.5,0),
VLOOKUP($AU327,Invoicing!$N$15:$O$19,MATCH($AO$1,Invoicing!$N$15:$O$15,0),FALSE)+IF(OR($B327="DCD",$B327="HPD2"),23.5,0))</f>
        <v>480</v>
      </c>
      <c r="AP327" s="131" t="e">
        <f>VLOOKUP($E327,Invoicing!$A$1:$H$12,MATCH(TRACKER!$P327,Invoicing!$A$1:$H$1,0),FALSE)</f>
        <v>#N/A</v>
      </c>
      <c r="AQ327" s="131">
        <f>VLOOKUP($E327,Invoicing!$A$1:$H$12,MATCH(TRACKER!$Q$1,Invoicing!$A$1:$H$1,0),FALSE)</f>
        <v>50</v>
      </c>
      <c r="AR327" s="131">
        <f t="shared" si="101"/>
        <v>100</v>
      </c>
      <c r="AS327" s="2">
        <f t="shared" si="117"/>
        <v>3</v>
      </c>
      <c r="AT327" s="2" t="str">
        <f t="shared" si="120"/>
        <v>WEEK</v>
      </c>
      <c r="AU327" s="2" t="str">
        <f t="shared" si="118"/>
        <v>MSIWEEK</v>
      </c>
      <c r="AV327" s="94">
        <f>(IF(ISNA(AP327),AO327+AR327,SUM($AO327,$AR327,IFERROR($AP327,"0"))))+Table2[[#This Row],[WAITING TIMES]]</f>
        <v>580</v>
      </c>
      <c r="AW327" s="48">
        <f>VLOOKUP(AN327,Invoicing!A:K,11,FALSE)</f>
        <v>20</v>
      </c>
      <c r="AY327" s="48"/>
      <c r="AZ327" s="48">
        <f t="shared" si="119"/>
        <v>600</v>
      </c>
      <c r="BA327" s="132">
        <f>VLOOKUP(AN327,Invoicing!A:J,10,FALSE)</f>
        <v>70</v>
      </c>
      <c r="BB327" s="132">
        <f>VLOOKUP(AN327,Invoicing!A:L,12,FALSE)</f>
        <v>1</v>
      </c>
      <c r="BC327" s="2"/>
    </row>
    <row r="328" spans="1:55">
      <c r="A328" s="134" t="s">
        <v>631</v>
      </c>
      <c r="B328" s="86" t="s">
        <v>56</v>
      </c>
      <c r="C328" s="11">
        <v>46070.158333333333</v>
      </c>
      <c r="D328" s="11">
        <v>46070.166666666664</v>
      </c>
      <c r="E328" s="11" t="s">
        <v>83</v>
      </c>
      <c r="F328" s="11" t="s">
        <v>635</v>
      </c>
      <c r="G328" s="11" t="s">
        <v>59</v>
      </c>
      <c r="H328" s="11" t="s">
        <v>636</v>
      </c>
      <c r="I328" s="86" t="s">
        <v>646</v>
      </c>
      <c r="J328" s="86" t="s">
        <v>82</v>
      </c>
      <c r="K328" s="11">
        <v>46071.75</v>
      </c>
      <c r="L328" s="12">
        <v>46071.840277777781</v>
      </c>
      <c r="M328" s="12">
        <v>46071.958333333336</v>
      </c>
      <c r="N328" s="12">
        <v>46071.840277777781</v>
      </c>
      <c r="O328" s="12" t="s">
        <v>63</v>
      </c>
      <c r="P328" s="135" t="s">
        <v>64</v>
      </c>
      <c r="Q328" s="86">
        <v>0</v>
      </c>
      <c r="R328" s="1">
        <f t="shared" si="102"/>
        <v>8</v>
      </c>
      <c r="S328" s="1">
        <f t="shared" si="103"/>
        <v>2</v>
      </c>
      <c r="T328" s="126">
        <f t="shared" si="104"/>
        <v>46071.840277777781</v>
      </c>
      <c r="U328" s="127">
        <f t="shared" si="105"/>
        <v>1.5916666666671517</v>
      </c>
      <c r="V328" s="128">
        <f>Table2[[#This Row],[ATA A OFRECIMIENTO]]*24</f>
        <v>38.200000000011642</v>
      </c>
      <c r="W328" s="1" t="str">
        <f t="shared" si="106"/>
        <v>YES</v>
      </c>
      <c r="X328" s="127">
        <f t="shared" si="107"/>
        <v>0.20833333333575865</v>
      </c>
      <c r="Y328" s="128">
        <f>Table2[[#This Row],[DEL. AVAILABLE A SLOT]]*24</f>
        <v>5.0000000000582077</v>
      </c>
      <c r="Z328" s="1" t="str">
        <f t="shared" si="108"/>
        <v>SI</v>
      </c>
      <c r="AA328" s="127">
        <f t="shared" si="109"/>
        <v>1.8000000000029104</v>
      </c>
      <c r="AB328" s="128">
        <f>Table2[[#This Row],[ATA A TIMESLOT]]*24</f>
        <v>43.200000000069849</v>
      </c>
      <c r="AC328" s="127">
        <f t="shared" si="110"/>
        <v>0</v>
      </c>
      <c r="AD328" s="127" t="str">
        <f t="shared" si="111"/>
        <v>SI</v>
      </c>
      <c r="AE328" s="128">
        <f>Table2[[#This Row],[PUNTUALIDAD (H)]]*24</f>
        <v>0</v>
      </c>
      <c r="AF328" s="127">
        <f t="shared" si="112"/>
        <v>1.6819444444481633</v>
      </c>
      <c r="AG328" s="128">
        <f>Table2[[#This Row],[ATA TO UNLOADING]]*24</f>
        <v>40.366666666755918</v>
      </c>
      <c r="AH328" s="128" t="str">
        <f>IF(Table2[[#This Row],[ATA TO UNLOADING 2]]&lt;=48,"YES","NO")</f>
        <v>YES</v>
      </c>
      <c r="AJ328" s="129">
        <f t="shared" si="113"/>
        <v>0.95833333333575865</v>
      </c>
      <c r="AK328" s="49" t="s">
        <v>36</v>
      </c>
      <c r="AL328" s="2" t="str">
        <f t="shared" si="114"/>
        <v>8/26</v>
      </c>
      <c r="AM328" s="2" t="str">
        <f t="shared" si="115"/>
        <v>MRSU3476229</v>
      </c>
      <c r="AN328" s="130" t="str">
        <f t="shared" si="116"/>
        <v>OM TRANSPORT</v>
      </c>
      <c r="AO328" s="151">
        <f>IF($O328="TRUCK",
VLOOKUP($AU328,Invoicing!$A$16:$B$56,MATCH($AO$1,Invoicing!$A$16:$B$16,0),FALSE)+IF(OR($B328="DCD",$B328="HPD2"),23.5,0),
VLOOKUP($AU328,Invoicing!$N$15:$O$19,MATCH($AO$1,Invoicing!$N$15:$O$15,0),FALSE)+IF(OR($B328="DCD",$B328="HPD2"),23.5,0))</f>
        <v>475</v>
      </c>
      <c r="AP328" s="131" t="e">
        <f>VLOOKUP($E328,Invoicing!$A$1:$H$12,MATCH(TRACKER!$P328,Invoicing!$A$1:$H$1,0),FALSE)</f>
        <v>#N/A</v>
      </c>
      <c r="AQ328" s="131">
        <f>VLOOKUP($E328,Invoicing!$A$1:$H$12,MATCH(TRACKER!$Q$1,Invoicing!$A$1:$H$1,0),FALSE)</f>
        <v>50</v>
      </c>
      <c r="AR328" s="131">
        <f t="shared" si="101"/>
        <v>0</v>
      </c>
      <c r="AS328" s="2">
        <f t="shared" si="117"/>
        <v>3</v>
      </c>
      <c r="AT328" s="2" t="str">
        <f t="shared" si="120"/>
        <v>NIGHT</v>
      </c>
      <c r="AU328" s="2" t="str">
        <f t="shared" si="118"/>
        <v>OM TRANSPORTNIGHT</v>
      </c>
      <c r="AV328" s="94">
        <f>(IF(ISNA(AP328),AO328+AR328,SUM($AO328,$AR328,IFERROR($AP328,"0"))))+Table2[[#This Row],[WAITING TIMES]]</f>
        <v>475</v>
      </c>
      <c r="AW328" s="48">
        <f>VLOOKUP(AN328,Invoicing!A:K,11,FALSE)</f>
        <v>20</v>
      </c>
      <c r="AY328" s="48"/>
      <c r="AZ328" s="48">
        <f t="shared" si="119"/>
        <v>495</v>
      </c>
      <c r="BA328" s="132">
        <f>VLOOKUP(AN328,Invoicing!A:J,10,FALSE)</f>
        <v>70</v>
      </c>
      <c r="BB328" s="132">
        <f>VLOOKUP(AN328,Invoicing!A:L,12,FALSE)</f>
        <v>1</v>
      </c>
      <c r="BC328" s="2"/>
    </row>
    <row r="329" spans="1:55">
      <c r="A329" s="134" t="s">
        <v>631</v>
      </c>
      <c r="B329" s="86" t="s">
        <v>56</v>
      </c>
      <c r="C329" s="11">
        <v>46070.158333333333</v>
      </c>
      <c r="D329" s="11">
        <v>46070.166666666664</v>
      </c>
      <c r="E329" s="11" t="s">
        <v>83</v>
      </c>
      <c r="F329" s="11" t="s">
        <v>635</v>
      </c>
      <c r="G329" s="11" t="s">
        <v>59</v>
      </c>
      <c r="H329" s="11" t="s">
        <v>636</v>
      </c>
      <c r="I329" s="86" t="s">
        <v>647</v>
      </c>
      <c r="J329" s="86" t="s">
        <v>82</v>
      </c>
      <c r="K329" s="12">
        <v>46071.625</v>
      </c>
      <c r="L329" s="12">
        <v>46071.625</v>
      </c>
      <c r="M329" s="12">
        <v>46071.625</v>
      </c>
      <c r="N329" s="12">
        <v>46071.666666666664</v>
      </c>
      <c r="O329" s="12" t="s">
        <v>63</v>
      </c>
      <c r="P329" s="135" t="s">
        <v>64</v>
      </c>
      <c r="Q329" s="86">
        <v>0</v>
      </c>
      <c r="R329" s="1">
        <f t="shared" si="102"/>
        <v>8</v>
      </c>
      <c r="S329" s="1">
        <f t="shared" si="103"/>
        <v>2</v>
      </c>
      <c r="T329" s="126">
        <f t="shared" si="104"/>
        <v>46071.625</v>
      </c>
      <c r="U329" s="127">
        <f t="shared" si="105"/>
        <v>1.4666666666671517</v>
      </c>
      <c r="V329" s="128">
        <f>Table2[[#This Row],[ATA A OFRECIMIENTO]]*24</f>
        <v>35.200000000011642</v>
      </c>
      <c r="W329" s="1" t="str">
        <f t="shared" si="106"/>
        <v>YES</v>
      </c>
      <c r="X329" s="127">
        <f t="shared" si="107"/>
        <v>0</v>
      </c>
      <c r="Y329" s="128">
        <f>Table2[[#This Row],[DEL. AVAILABLE A SLOT]]*24</f>
        <v>0</v>
      </c>
      <c r="Z329" s="1" t="str">
        <f t="shared" si="108"/>
        <v>SI</v>
      </c>
      <c r="AA329" s="127">
        <f t="shared" si="109"/>
        <v>1.4666666666671517</v>
      </c>
      <c r="AB329" s="128">
        <f>Table2[[#This Row],[ATA A TIMESLOT]]*24</f>
        <v>35.200000000011642</v>
      </c>
      <c r="AC329" s="127">
        <f t="shared" si="110"/>
        <v>0</v>
      </c>
      <c r="AD329" s="127" t="str">
        <f t="shared" si="111"/>
        <v>SI</v>
      </c>
      <c r="AE329" s="128">
        <f>Table2[[#This Row],[PUNTUALIDAD (H)]]*24</f>
        <v>0</v>
      </c>
      <c r="AF329" s="127">
        <f t="shared" si="112"/>
        <v>1.5083333333313931</v>
      </c>
      <c r="AG329" s="128">
        <f>Table2[[#This Row],[ATA TO UNLOADING]]*24</f>
        <v>36.199999999953434</v>
      </c>
      <c r="AH329" s="128" t="str">
        <f>IF(Table2[[#This Row],[ATA TO UNLOADING 2]]&lt;=48,"YES","NO")</f>
        <v>YES</v>
      </c>
      <c r="AJ329" s="129">
        <f t="shared" si="113"/>
        <v>0.625</v>
      </c>
      <c r="AK329" s="2" t="s">
        <v>64</v>
      </c>
      <c r="AL329" s="2" t="str">
        <f t="shared" si="114"/>
        <v>8/26</v>
      </c>
      <c r="AM329" s="2" t="str">
        <f t="shared" si="115"/>
        <v>MRSU8932126</v>
      </c>
      <c r="AN329" s="130" t="str">
        <f t="shared" si="116"/>
        <v>OM TRANSPORT</v>
      </c>
      <c r="AO329" s="151">
        <f>IF($O329="TRUCK",
VLOOKUP($AU329,Invoicing!$A$16:$B$56,MATCH($AO$1,Invoicing!$A$16:$B$16,0),FALSE)+IF(OR($B329="DCD",$B329="HPD2"),23.5,0),
VLOOKUP($AU329,Invoicing!$N$15:$O$19,MATCH($AO$1,Invoicing!$N$15:$O$15,0),FALSE)+IF(OR($B329="DCD",$B329="HPD2"),23.5,0))</f>
        <v>475</v>
      </c>
      <c r="AP329" s="131" t="e">
        <f>VLOOKUP($E329,Invoicing!$A$1:$H$12,MATCH(TRACKER!$P329,Invoicing!$A$1:$H$1,0),FALSE)</f>
        <v>#N/A</v>
      </c>
      <c r="AQ329" s="131">
        <f>VLOOKUP($E329,Invoicing!$A$1:$H$12,MATCH(TRACKER!$Q$1,Invoicing!$A$1:$H$1,0),FALSE)</f>
        <v>50</v>
      </c>
      <c r="AR329" s="131">
        <f t="shared" si="101"/>
        <v>0</v>
      </c>
      <c r="AS329" s="2">
        <f t="shared" si="117"/>
        <v>3</v>
      </c>
      <c r="AT329" s="2" t="str">
        <f t="shared" si="120"/>
        <v>WEEK</v>
      </c>
      <c r="AU329" s="2" t="str">
        <f t="shared" si="118"/>
        <v>OM TRANSPORTWEEK</v>
      </c>
      <c r="AV329" s="94">
        <f>(IF(ISNA(AP329),AO329+AR329,SUM($AO329,$AR329,IFERROR($AP329,"0"))))+Table2[[#This Row],[WAITING TIMES]]</f>
        <v>475</v>
      </c>
      <c r="AW329" s="48">
        <f>VLOOKUP(AN329,Invoicing!A:K,11,FALSE)</f>
        <v>20</v>
      </c>
      <c r="AY329" s="48"/>
      <c r="AZ329" s="48">
        <f t="shared" si="119"/>
        <v>495</v>
      </c>
      <c r="BA329" s="132">
        <f>VLOOKUP(AN329,Invoicing!A:J,10,FALSE)</f>
        <v>70</v>
      </c>
      <c r="BB329" s="132">
        <f>VLOOKUP(AN329,Invoicing!A:L,12,FALSE)</f>
        <v>1</v>
      </c>
      <c r="BC329" s="2"/>
    </row>
    <row r="330" spans="1:55">
      <c r="A330" s="134" t="s">
        <v>631</v>
      </c>
      <c r="B330" s="86" t="s">
        <v>56</v>
      </c>
      <c r="C330" s="11">
        <v>46070.158333333333</v>
      </c>
      <c r="D330" s="11">
        <v>46070.166666666664</v>
      </c>
      <c r="E330" s="11" t="s">
        <v>71</v>
      </c>
      <c r="F330" s="11" t="s">
        <v>632</v>
      </c>
      <c r="G330" s="11" t="s">
        <v>59</v>
      </c>
      <c r="H330" s="11" t="s">
        <v>68</v>
      </c>
      <c r="I330" s="86" t="s">
        <v>648</v>
      </c>
      <c r="J330" s="86" t="s">
        <v>100</v>
      </c>
      <c r="K330" s="12">
        <v>46071.5</v>
      </c>
      <c r="L330" s="12">
        <v>46071.5</v>
      </c>
      <c r="M330" s="12">
        <v>46071.5</v>
      </c>
      <c r="N330" s="12">
        <v>46071.527777777781</v>
      </c>
      <c r="O330" s="12" t="s">
        <v>63</v>
      </c>
      <c r="P330" s="135" t="s">
        <v>64</v>
      </c>
      <c r="Q330" s="86">
        <v>2</v>
      </c>
      <c r="R330" s="1">
        <f t="shared" si="102"/>
        <v>8</v>
      </c>
      <c r="S330" s="1">
        <f t="shared" si="103"/>
        <v>2</v>
      </c>
      <c r="T330" s="126">
        <f t="shared" si="104"/>
        <v>46071.5</v>
      </c>
      <c r="U330" s="127">
        <f t="shared" si="105"/>
        <v>1.3416666666671517</v>
      </c>
      <c r="V330" s="128">
        <f>Table2[[#This Row],[ATA A OFRECIMIENTO]]*24</f>
        <v>32.200000000011642</v>
      </c>
      <c r="W330" s="1" t="str">
        <f t="shared" si="106"/>
        <v>YES</v>
      </c>
      <c r="X330" s="127">
        <f t="shared" si="107"/>
        <v>0</v>
      </c>
      <c r="Y330" s="128">
        <f>Table2[[#This Row],[DEL. AVAILABLE A SLOT]]*24</f>
        <v>0</v>
      </c>
      <c r="Z330" s="1" t="str">
        <f t="shared" si="108"/>
        <v>SI</v>
      </c>
      <c r="AA330" s="127">
        <f t="shared" si="109"/>
        <v>1.3416666666671517</v>
      </c>
      <c r="AB330" s="128">
        <f>Table2[[#This Row],[ATA A TIMESLOT]]*24</f>
        <v>32.200000000011642</v>
      </c>
      <c r="AC330" s="127">
        <f t="shared" si="110"/>
        <v>0</v>
      </c>
      <c r="AD330" s="127" t="str">
        <f t="shared" si="111"/>
        <v>SI</v>
      </c>
      <c r="AE330" s="128">
        <f>Table2[[#This Row],[PUNTUALIDAD (H)]]*24</f>
        <v>0</v>
      </c>
      <c r="AF330" s="127">
        <f t="shared" si="112"/>
        <v>1.3694444444481633</v>
      </c>
      <c r="AG330" s="128">
        <f>Table2[[#This Row],[ATA TO UNLOADING]]*24</f>
        <v>32.866666666755918</v>
      </c>
      <c r="AH330" s="128" t="str">
        <f>IF(Table2[[#This Row],[ATA TO UNLOADING 2]]&lt;=48,"YES","NO")</f>
        <v>YES</v>
      </c>
      <c r="AJ330" s="129">
        <f t="shared" si="113"/>
        <v>0.5</v>
      </c>
      <c r="AK330" s="2" t="s">
        <v>64</v>
      </c>
      <c r="AL330" s="2" t="str">
        <f t="shared" si="114"/>
        <v>8/26</v>
      </c>
      <c r="AM330" s="2" t="str">
        <f t="shared" si="115"/>
        <v>MSKU1026920</v>
      </c>
      <c r="AN330" s="130" t="str">
        <f t="shared" si="116"/>
        <v>LOGIX</v>
      </c>
      <c r="AO330" s="151">
        <f>IF($O330="TRUCK",
VLOOKUP($AU330,Invoicing!$A$16:$B$56,MATCH($AO$1,Invoicing!$A$16:$B$16,0),FALSE)+IF(OR($B330="DCD",$B330="HPD2"),23.5,0),
VLOOKUP($AU330,Invoicing!$N$15:$O$19,MATCH($AO$1,Invoicing!$N$15:$O$15,0),FALSE)+IF(OR($B330="DCD",$B330="HPD2"),23.5,0))</f>
        <v>550</v>
      </c>
      <c r="AP330" s="131" t="e">
        <f>VLOOKUP($E330,Invoicing!$A$1:$H$12,MATCH(TRACKER!$P330,Invoicing!$A$1:$H$1,0),FALSE)</f>
        <v>#N/A</v>
      </c>
      <c r="AQ330" s="131">
        <f>VLOOKUP($E330,Invoicing!$A$1:$H$12,MATCH(TRACKER!$Q$1,Invoicing!$A$1:$H$1,0),FALSE)</f>
        <v>50</v>
      </c>
      <c r="AR330" s="131">
        <f t="shared" si="101"/>
        <v>100</v>
      </c>
      <c r="AS330" s="2">
        <f t="shared" si="117"/>
        <v>3</v>
      </c>
      <c r="AT330" s="2" t="str">
        <f t="shared" si="120"/>
        <v>WEEK</v>
      </c>
      <c r="AU330" s="2" t="str">
        <f t="shared" si="118"/>
        <v>LOGIXWEEK</v>
      </c>
      <c r="AV330" s="94">
        <f>(IF(ISNA(AP330),AO330+AR330,SUM($AO330,$AR330,IFERROR($AP330,"0"))))+Table2[[#This Row],[WAITING TIMES]]</f>
        <v>650</v>
      </c>
      <c r="AW330" s="48">
        <f>VLOOKUP(AN330,Invoicing!A:K,11,FALSE)</f>
        <v>20</v>
      </c>
      <c r="AY330" s="48"/>
      <c r="AZ330" s="48">
        <f t="shared" si="119"/>
        <v>670</v>
      </c>
      <c r="BA330" s="132">
        <f>VLOOKUP(AN330,Invoicing!A:J,10,FALSE)</f>
        <v>70</v>
      </c>
      <c r="BB330" s="132">
        <f>VLOOKUP(AN330,Invoicing!A:L,12,FALSE)</f>
        <v>1</v>
      </c>
      <c r="BC330" s="2"/>
    </row>
    <row r="331" spans="1:55">
      <c r="A331" s="134" t="s">
        <v>631</v>
      </c>
      <c r="B331" s="86" t="s">
        <v>56</v>
      </c>
      <c r="C331" s="11">
        <v>46070.158333333333</v>
      </c>
      <c r="D331" s="11">
        <v>46070.166666666664</v>
      </c>
      <c r="E331" s="11" t="s">
        <v>98</v>
      </c>
      <c r="F331" s="11" t="s">
        <v>649</v>
      </c>
      <c r="G331" s="11" t="s">
        <v>59</v>
      </c>
      <c r="H331" s="11" t="s">
        <v>60</v>
      </c>
      <c r="I331" s="86" t="s">
        <v>650</v>
      </c>
      <c r="J331" s="86" t="s">
        <v>100</v>
      </c>
      <c r="K331" s="11">
        <v>46071.75</v>
      </c>
      <c r="L331" s="12">
        <v>46071.853472222225</v>
      </c>
      <c r="M331" s="12">
        <v>46071.833333333336</v>
      </c>
      <c r="N331" s="12">
        <v>46071.878472222219</v>
      </c>
      <c r="O331" s="12" t="s">
        <v>63</v>
      </c>
      <c r="P331" s="135" t="s">
        <v>64</v>
      </c>
      <c r="Q331" s="86">
        <v>0</v>
      </c>
      <c r="R331" s="1">
        <f t="shared" si="102"/>
        <v>8</v>
      </c>
      <c r="S331" s="1">
        <f t="shared" si="103"/>
        <v>2</v>
      </c>
      <c r="T331" s="126">
        <f t="shared" si="104"/>
        <v>46071.853472222225</v>
      </c>
      <c r="U331" s="127">
        <f t="shared" si="105"/>
        <v>1.5916666666671517</v>
      </c>
      <c r="V331" s="128">
        <f>Table2[[#This Row],[ATA A OFRECIMIENTO]]*24</f>
        <v>38.200000000011642</v>
      </c>
      <c r="W331" s="1" t="str">
        <f t="shared" si="106"/>
        <v>YES</v>
      </c>
      <c r="X331" s="127">
        <f t="shared" si="107"/>
        <v>8.3333333335758653E-2</v>
      </c>
      <c r="Y331" s="128">
        <f>Table2[[#This Row],[DEL. AVAILABLE A SLOT]]*24</f>
        <v>2.0000000000582077</v>
      </c>
      <c r="Z331" s="1" t="str">
        <f t="shared" si="108"/>
        <v>SI</v>
      </c>
      <c r="AA331" s="127">
        <f t="shared" si="109"/>
        <v>1.6750000000029104</v>
      </c>
      <c r="AB331" s="128">
        <f>Table2[[#This Row],[ATA A TIMESLOT]]*24</f>
        <v>40.200000000069849</v>
      </c>
      <c r="AC331" s="127">
        <f t="shared" si="110"/>
        <v>2.0138888889050577E-2</v>
      </c>
      <c r="AD331" s="127" t="str">
        <f t="shared" si="111"/>
        <v>SI</v>
      </c>
      <c r="AE331" s="128">
        <f>Table2[[#This Row],[PUNTUALIDAD (H)]]*24</f>
        <v>0.48333333333721384</v>
      </c>
      <c r="AF331" s="127">
        <f t="shared" si="112"/>
        <v>1.7201388888861402</v>
      </c>
      <c r="AG331" s="128">
        <f>Table2[[#This Row],[ATA TO UNLOADING]]*24</f>
        <v>41.283333333267365</v>
      </c>
      <c r="AH331" s="128" t="str">
        <f>IF(Table2[[#This Row],[ATA TO UNLOADING 2]]&lt;=48,"YES","NO")</f>
        <v>YES</v>
      </c>
      <c r="AJ331" s="129">
        <f t="shared" si="113"/>
        <v>0.83333333333575865</v>
      </c>
      <c r="AK331" s="49" t="s">
        <v>36</v>
      </c>
      <c r="AL331" s="2" t="str">
        <f t="shared" si="114"/>
        <v>8/26</v>
      </c>
      <c r="AM331" s="2" t="str">
        <f t="shared" si="115"/>
        <v>MSKU4783384</v>
      </c>
      <c r="AN331" s="130" t="str">
        <f t="shared" si="116"/>
        <v>MSI</v>
      </c>
      <c r="AO331" s="151">
        <f>IF($O331="TRUCK",
VLOOKUP($AU331,Invoicing!$A$16:$B$56,MATCH($AO$1,Invoicing!$A$16:$B$16,0),FALSE)+IF(OR($B331="DCD",$B331="HPD2"),23.5,0),
VLOOKUP($AU331,Invoicing!$N$15:$O$19,MATCH($AO$1,Invoicing!$N$15:$O$15,0),FALSE)+IF(OR($B331="DCD",$B331="HPD2"),23.5,0))</f>
        <v>530</v>
      </c>
      <c r="AP331" s="131" t="e">
        <f>VLOOKUP($E331,Invoicing!$A$1:$H$12,MATCH(TRACKER!$P331,Invoicing!$A$1:$H$1,0),FALSE)</f>
        <v>#N/A</v>
      </c>
      <c r="AQ331" s="131">
        <f>VLOOKUP($E331,Invoicing!$A$1:$H$12,MATCH(TRACKER!$Q$1,Invoicing!$A$1:$H$1,0),FALSE)</f>
        <v>50</v>
      </c>
      <c r="AR331" s="131">
        <f t="shared" si="101"/>
        <v>0</v>
      </c>
      <c r="AS331" s="2">
        <f t="shared" si="117"/>
        <v>3</v>
      </c>
      <c r="AT331" s="2" t="str">
        <f t="shared" si="120"/>
        <v>NIGHT</v>
      </c>
      <c r="AU331" s="2" t="str">
        <f t="shared" si="118"/>
        <v>MSINIGHT</v>
      </c>
      <c r="AV331" s="94">
        <f>(IF(ISNA(AP331),AO331+AR331,SUM($AO331,$AR331,IFERROR($AP331,"0"))))+Table2[[#This Row],[WAITING TIMES]]</f>
        <v>530</v>
      </c>
      <c r="AW331" s="48">
        <f>VLOOKUP(AN331,Invoicing!A:K,11,FALSE)</f>
        <v>20</v>
      </c>
      <c r="AY331" s="48"/>
      <c r="AZ331" s="48">
        <f t="shared" si="119"/>
        <v>550</v>
      </c>
      <c r="BA331" s="132">
        <f>VLOOKUP(AN331,Invoicing!A:J,10,FALSE)</f>
        <v>70</v>
      </c>
      <c r="BB331" s="132">
        <f>VLOOKUP(AN331,Invoicing!A:L,12,FALSE)</f>
        <v>1</v>
      </c>
      <c r="BC331" s="2"/>
    </row>
    <row r="332" spans="1:55">
      <c r="A332" s="134" t="s">
        <v>631</v>
      </c>
      <c r="B332" s="86" t="s">
        <v>56</v>
      </c>
      <c r="C332" s="11">
        <v>46070.158333333333</v>
      </c>
      <c r="D332" s="11">
        <v>46070.166666666664</v>
      </c>
      <c r="E332" s="11" t="s">
        <v>83</v>
      </c>
      <c r="F332" s="11" t="s">
        <v>651</v>
      </c>
      <c r="G332" s="11" t="s">
        <v>59</v>
      </c>
      <c r="H332" s="11" t="s">
        <v>223</v>
      </c>
      <c r="I332" s="86" t="s">
        <v>652</v>
      </c>
      <c r="J332" s="86" t="s">
        <v>82</v>
      </c>
      <c r="K332" s="11">
        <v>46071.75</v>
      </c>
      <c r="L332" s="12">
        <v>46072.259027777778</v>
      </c>
      <c r="M332" s="12">
        <v>46072.25</v>
      </c>
      <c r="N332" s="12">
        <v>46072.302083333336</v>
      </c>
      <c r="O332" s="12" t="s">
        <v>63</v>
      </c>
      <c r="P332" s="135" t="s">
        <v>64</v>
      </c>
      <c r="Q332" s="86">
        <v>0</v>
      </c>
      <c r="R332" s="1">
        <f t="shared" si="102"/>
        <v>8</v>
      </c>
      <c r="S332" s="1">
        <f t="shared" si="103"/>
        <v>2</v>
      </c>
      <c r="T332" s="126">
        <f t="shared" si="104"/>
        <v>46072.259027777778</v>
      </c>
      <c r="U332" s="127">
        <f t="shared" si="105"/>
        <v>1.5916666666671517</v>
      </c>
      <c r="V332" s="128">
        <f>Table2[[#This Row],[ATA A OFRECIMIENTO]]*24</f>
        <v>38.200000000011642</v>
      </c>
      <c r="W332" s="1" t="str">
        <f t="shared" si="106"/>
        <v>YES</v>
      </c>
      <c r="X332" s="127">
        <f t="shared" si="107"/>
        <v>0.5</v>
      </c>
      <c r="Y332" s="128">
        <f>Table2[[#This Row],[DEL. AVAILABLE A SLOT]]*24</f>
        <v>12</v>
      </c>
      <c r="Z332" s="1" t="str">
        <f t="shared" si="108"/>
        <v>SI</v>
      </c>
      <c r="AA332" s="127">
        <f t="shared" si="109"/>
        <v>2.0916666666671517</v>
      </c>
      <c r="AB332" s="128">
        <f>Table2[[#This Row],[ATA A TIMESLOT]]*24</f>
        <v>50.200000000011642</v>
      </c>
      <c r="AC332" s="127">
        <f t="shared" si="110"/>
        <v>9.0277777781011537E-3</v>
      </c>
      <c r="AD332" s="127" t="str">
        <f t="shared" si="111"/>
        <v>SI</v>
      </c>
      <c r="AE332" s="128">
        <f>Table2[[#This Row],[PUNTUALIDAD (H)]]*24</f>
        <v>0.21666666667442769</v>
      </c>
      <c r="AF332" s="127">
        <f t="shared" si="112"/>
        <v>2.1437500000029104</v>
      </c>
      <c r="AG332" s="128">
        <f>Table2[[#This Row],[ATA TO UNLOADING]]*24</f>
        <v>51.450000000069849</v>
      </c>
      <c r="AH332" s="128" t="str">
        <f>IF(Table2[[#This Row],[ATA TO UNLOADING 2]]&lt;=48,"YES","NO")</f>
        <v>NO</v>
      </c>
      <c r="AJ332" s="129">
        <f t="shared" si="113"/>
        <v>0.25</v>
      </c>
      <c r="AK332" s="2" t="s">
        <v>64</v>
      </c>
      <c r="AL332" s="2" t="str">
        <f t="shared" si="114"/>
        <v>8/26</v>
      </c>
      <c r="AM332" s="2" t="str">
        <f t="shared" si="115"/>
        <v>MSKU5928944</v>
      </c>
      <c r="AN332" s="130" t="str">
        <f t="shared" si="116"/>
        <v>OM TRANSPORT</v>
      </c>
      <c r="AO332" s="151">
        <f>IF($O332="TRUCK",
VLOOKUP($AU332,Invoicing!$A$16:$B$56,MATCH($AO$1,Invoicing!$A$16:$B$16,0),FALSE)+IF(OR($B332="DCD",$B332="HPD2"),23.5,0),
VLOOKUP($AU332,Invoicing!$N$15:$O$19,MATCH($AO$1,Invoicing!$N$15:$O$15,0),FALSE)+IF(OR($B332="DCD",$B332="HPD2"),23.5,0))</f>
        <v>475</v>
      </c>
      <c r="AP332" s="131" t="e">
        <f>VLOOKUP($E332,Invoicing!$A$1:$H$12,MATCH(TRACKER!$P332,Invoicing!$A$1:$H$1,0),FALSE)</f>
        <v>#N/A</v>
      </c>
      <c r="AQ332" s="131">
        <f>VLOOKUP($E332,Invoicing!$A$1:$H$12,MATCH(TRACKER!$Q$1,Invoicing!$A$1:$H$1,0),FALSE)</f>
        <v>50</v>
      </c>
      <c r="AR332" s="131">
        <f t="shared" si="101"/>
        <v>0</v>
      </c>
      <c r="AS332" s="2">
        <f t="shared" si="117"/>
        <v>4</v>
      </c>
      <c r="AT332" s="2" t="str">
        <f t="shared" si="120"/>
        <v>WEEK</v>
      </c>
      <c r="AU332" s="2" t="str">
        <f t="shared" si="118"/>
        <v>OM TRANSPORTWEEK</v>
      </c>
      <c r="AV332" s="94">
        <f>(IF(ISNA(AP332),AO332+AR332,SUM($AO332,$AR332,IFERROR($AP332,"0"))))+Table2[[#This Row],[WAITING TIMES]]</f>
        <v>520</v>
      </c>
      <c r="AW332" s="48">
        <f>VLOOKUP(AN332,Invoicing!A:K,11,FALSE)</f>
        <v>20</v>
      </c>
      <c r="AX332" s="48">
        <v>45</v>
      </c>
      <c r="AY332" s="48" t="s">
        <v>203</v>
      </c>
      <c r="AZ332" s="48">
        <f t="shared" si="119"/>
        <v>540</v>
      </c>
      <c r="BA332" s="132">
        <f>VLOOKUP(AN332,Invoicing!A:J,10,FALSE)</f>
        <v>70</v>
      </c>
      <c r="BB332" s="132">
        <f>VLOOKUP(AN332,Invoicing!A:L,12,FALSE)</f>
        <v>1</v>
      </c>
      <c r="BC332" s="2"/>
    </row>
    <row r="333" spans="1:55">
      <c r="A333" s="134" t="s">
        <v>631</v>
      </c>
      <c r="B333" s="86" t="s">
        <v>56</v>
      </c>
      <c r="C333" s="11">
        <v>46070.158333333333</v>
      </c>
      <c r="D333" s="11">
        <v>46070.166666666664</v>
      </c>
      <c r="E333" s="11" t="s">
        <v>73</v>
      </c>
      <c r="F333" s="11" t="s">
        <v>635</v>
      </c>
      <c r="G333" s="11" t="s">
        <v>59</v>
      </c>
      <c r="H333" s="11" t="s">
        <v>636</v>
      </c>
      <c r="I333" s="86" t="s">
        <v>653</v>
      </c>
      <c r="J333" s="86" t="s">
        <v>82</v>
      </c>
      <c r="K333" s="11">
        <v>46071.75</v>
      </c>
      <c r="L333" s="12">
        <v>46071.923611111109</v>
      </c>
      <c r="M333" s="12">
        <v>46072</v>
      </c>
      <c r="N333" s="12">
        <v>46071.923611111109</v>
      </c>
      <c r="O333" s="12" t="s">
        <v>63</v>
      </c>
      <c r="P333" s="135" t="s">
        <v>64</v>
      </c>
      <c r="Q333" s="86">
        <v>0</v>
      </c>
      <c r="R333" s="1">
        <f t="shared" si="102"/>
        <v>8</v>
      </c>
      <c r="S333" s="1">
        <f t="shared" si="103"/>
        <v>2</v>
      </c>
      <c r="T333" s="126">
        <f t="shared" si="104"/>
        <v>46071.923611111109</v>
      </c>
      <c r="U333" s="127">
        <f t="shared" si="105"/>
        <v>1.5916666666671517</v>
      </c>
      <c r="V333" s="128">
        <f>Table2[[#This Row],[ATA A OFRECIMIENTO]]*24</f>
        <v>38.200000000011642</v>
      </c>
      <c r="W333" s="1" t="str">
        <f t="shared" si="106"/>
        <v>YES</v>
      </c>
      <c r="X333" s="127">
        <f t="shared" si="107"/>
        <v>0.25</v>
      </c>
      <c r="Y333" s="128">
        <f>Table2[[#This Row],[DEL. AVAILABLE A SLOT]]*24</f>
        <v>6</v>
      </c>
      <c r="Z333" s="1" t="str">
        <f t="shared" si="108"/>
        <v>SI</v>
      </c>
      <c r="AA333" s="127">
        <f t="shared" si="109"/>
        <v>1.8416666666671517</v>
      </c>
      <c r="AB333" s="128">
        <f>Table2[[#This Row],[ATA A TIMESLOT]]*24</f>
        <v>44.200000000011642</v>
      </c>
      <c r="AC333" s="127">
        <f t="shared" si="110"/>
        <v>0</v>
      </c>
      <c r="AD333" s="127" t="str">
        <f t="shared" si="111"/>
        <v>SI</v>
      </c>
      <c r="AE333" s="128">
        <f>Table2[[#This Row],[PUNTUALIDAD (H)]]*24</f>
        <v>0</v>
      </c>
      <c r="AF333" s="127">
        <f t="shared" si="112"/>
        <v>1.765277777776646</v>
      </c>
      <c r="AG333" s="128">
        <f>Table2[[#This Row],[ATA TO UNLOADING]]*24</f>
        <v>42.366666666639503</v>
      </c>
      <c r="AH333" s="128" t="str">
        <f>IF(Table2[[#This Row],[ATA TO UNLOADING 2]]&lt;=48,"YES","NO")</f>
        <v>YES</v>
      </c>
      <c r="AJ333" s="129">
        <f t="shared" si="113"/>
        <v>0</v>
      </c>
      <c r="AK333" s="49" t="s">
        <v>36</v>
      </c>
      <c r="AL333" s="2" t="str">
        <f t="shared" si="114"/>
        <v>8/26</v>
      </c>
      <c r="AM333" s="2" t="str">
        <f t="shared" si="115"/>
        <v>SUDU8723598</v>
      </c>
      <c r="AN333" s="130" t="str">
        <f t="shared" si="116"/>
        <v>OTL</v>
      </c>
      <c r="AO333" s="151">
        <f>IF($O333="TRUCK",
VLOOKUP($AU333,Invoicing!$A$16:$B$56,MATCH($AO$1,Invoicing!$A$16:$B$16,0),FALSE)+IF(OR($B333="DCD",$B333="HPD2"),23.5,0),
VLOOKUP($AU333,Invoicing!$N$15:$O$19,MATCH($AO$1,Invoicing!$N$15:$O$15,0),FALSE)+IF(OR($B333="DCD",$B333="HPD2"),23.5,0))</f>
        <v>530</v>
      </c>
      <c r="AP333" s="131" t="e">
        <f>VLOOKUP($E333,Invoicing!$A$1:$H$12,MATCH(TRACKER!$P333,Invoicing!$A$1:$H$1,0),FALSE)</f>
        <v>#N/A</v>
      </c>
      <c r="AQ333" s="131">
        <f>VLOOKUP($E333,Invoicing!$A$1:$H$12,MATCH(TRACKER!$Q$1,Invoicing!$A$1:$H$1,0),FALSE)</f>
        <v>60</v>
      </c>
      <c r="AR333" s="131">
        <f t="shared" si="101"/>
        <v>0</v>
      </c>
      <c r="AS333" s="2">
        <f t="shared" si="117"/>
        <v>4</v>
      </c>
      <c r="AT333" s="2" t="str">
        <f t="shared" si="120"/>
        <v>NIGHT</v>
      </c>
      <c r="AU333" s="2" t="str">
        <f t="shared" si="118"/>
        <v>OTLNIGHT</v>
      </c>
      <c r="AV333" s="94">
        <f>(IF(ISNA(AP333),AO333+AR333,SUM($AO333,$AR333,IFERROR($AP333,"0"))))+Table2[[#This Row],[WAITING TIMES]]</f>
        <v>530</v>
      </c>
      <c r="AW333" s="48">
        <f>VLOOKUP(AN333,Invoicing!A:K,11,FALSE)</f>
        <v>20</v>
      </c>
      <c r="AY333" s="48"/>
      <c r="AZ333" s="48">
        <f t="shared" si="119"/>
        <v>550</v>
      </c>
      <c r="BA333" s="132">
        <f>VLOOKUP(AN333,Invoicing!A:J,10,FALSE)</f>
        <v>70</v>
      </c>
      <c r="BB333" s="132">
        <f>VLOOKUP(AN333,Invoicing!A:L,12,FALSE)</f>
        <v>1</v>
      </c>
      <c r="BC333" s="2"/>
    </row>
    <row r="334" spans="1:55">
      <c r="A334" s="134" t="s">
        <v>631</v>
      </c>
      <c r="B334" s="86" t="s">
        <v>56</v>
      </c>
      <c r="C334" s="11">
        <v>46070.158333333333</v>
      </c>
      <c r="D334" s="11">
        <v>46070.166666666664</v>
      </c>
      <c r="E334" s="11" t="s">
        <v>98</v>
      </c>
      <c r="F334" s="11" t="s">
        <v>654</v>
      </c>
      <c r="G334" s="11" t="s">
        <v>59</v>
      </c>
      <c r="H334" s="11" t="s">
        <v>266</v>
      </c>
      <c r="I334" s="86" t="s">
        <v>655</v>
      </c>
      <c r="J334" s="86" t="s">
        <v>82</v>
      </c>
      <c r="K334" s="11">
        <v>46071.75</v>
      </c>
      <c r="L334" s="12">
        <v>46072.440972222219</v>
      </c>
      <c r="M334" s="12">
        <v>46072.458333333336</v>
      </c>
      <c r="N334" s="12">
        <v>46072.46875</v>
      </c>
      <c r="O334" s="12" t="s">
        <v>63</v>
      </c>
      <c r="P334" s="135" t="s">
        <v>64</v>
      </c>
      <c r="Q334" s="86">
        <v>0</v>
      </c>
      <c r="R334" s="1">
        <f t="shared" si="102"/>
        <v>8</v>
      </c>
      <c r="S334" s="1">
        <f t="shared" si="103"/>
        <v>2</v>
      </c>
      <c r="T334" s="126">
        <f t="shared" si="104"/>
        <v>46072.440972222219</v>
      </c>
      <c r="U334" s="127">
        <f t="shared" si="105"/>
        <v>1.5916666666671517</v>
      </c>
      <c r="V334" s="128">
        <f>Table2[[#This Row],[ATA A OFRECIMIENTO]]*24</f>
        <v>38.200000000011642</v>
      </c>
      <c r="W334" s="1" t="str">
        <f t="shared" si="106"/>
        <v>YES</v>
      </c>
      <c r="X334" s="127">
        <f t="shared" si="107"/>
        <v>0.70833333333575865</v>
      </c>
      <c r="Y334" s="128">
        <f>Table2[[#This Row],[DEL. AVAILABLE A SLOT]]*24</f>
        <v>17.000000000058208</v>
      </c>
      <c r="Z334" s="1" t="str">
        <f t="shared" si="108"/>
        <v>SI</v>
      </c>
      <c r="AA334" s="127">
        <f t="shared" si="109"/>
        <v>2.3000000000029104</v>
      </c>
      <c r="AB334" s="128">
        <f>Table2[[#This Row],[ATA A TIMESLOT]]*24</f>
        <v>55.200000000069849</v>
      </c>
      <c r="AC334" s="127">
        <f t="shared" si="110"/>
        <v>0</v>
      </c>
      <c r="AD334" s="127" t="str">
        <f t="shared" si="111"/>
        <v>SI</v>
      </c>
      <c r="AE334" s="128">
        <f>Table2[[#This Row],[PUNTUALIDAD (H)]]*24</f>
        <v>0</v>
      </c>
      <c r="AF334" s="127">
        <f t="shared" si="112"/>
        <v>2.3104166666671517</v>
      </c>
      <c r="AG334" s="128">
        <f>Table2[[#This Row],[ATA TO UNLOADING]]*24</f>
        <v>55.450000000011642</v>
      </c>
      <c r="AH334" s="128" t="str">
        <f>IF(Table2[[#This Row],[ATA TO UNLOADING 2]]&lt;=48,"YES","NO")</f>
        <v>NO</v>
      </c>
      <c r="AJ334" s="129">
        <f t="shared" si="113"/>
        <v>0.45833333333575865</v>
      </c>
      <c r="AK334" s="2" t="s">
        <v>64</v>
      </c>
      <c r="AL334" s="2" t="str">
        <f t="shared" si="114"/>
        <v>8/26</v>
      </c>
      <c r="AM334" s="2" t="str">
        <f t="shared" si="115"/>
        <v>TCLU6809639</v>
      </c>
      <c r="AN334" s="130" t="str">
        <f t="shared" si="116"/>
        <v>MSI</v>
      </c>
      <c r="AO334" s="151">
        <f>IF($O334="TRUCK",
VLOOKUP($AU334,Invoicing!$A$16:$B$56,MATCH($AO$1,Invoicing!$A$16:$B$16,0),FALSE)+IF(OR($B334="DCD",$B334="HPD2"),23.5,0),
VLOOKUP($AU334,Invoicing!$N$15:$O$19,MATCH($AO$1,Invoicing!$N$15:$O$15,0),FALSE)+IF(OR($B334="DCD",$B334="HPD2"),23.5,0))</f>
        <v>480</v>
      </c>
      <c r="AP334" s="131" t="e">
        <f>VLOOKUP($E334,Invoicing!$A$1:$H$12,MATCH(TRACKER!$P334,Invoicing!$A$1:$H$1,0),FALSE)</f>
        <v>#N/A</v>
      </c>
      <c r="AQ334" s="131">
        <f>VLOOKUP($E334,Invoicing!$A$1:$H$12,MATCH(TRACKER!$Q$1,Invoicing!$A$1:$H$1,0),FALSE)</f>
        <v>50</v>
      </c>
      <c r="AR334" s="131">
        <f t="shared" si="101"/>
        <v>0</v>
      </c>
      <c r="AS334" s="2">
        <f t="shared" si="117"/>
        <v>4</v>
      </c>
      <c r="AT334" s="2" t="str">
        <f t="shared" si="120"/>
        <v>WEEK</v>
      </c>
      <c r="AU334" s="2" t="str">
        <f t="shared" si="118"/>
        <v>MSIWEEK</v>
      </c>
      <c r="AV334" s="94">
        <f>(IF(ISNA(AP334),AO334+AR334,SUM($AO334,$AR334,IFERROR($AP334,"0"))))+Table2[[#This Row],[WAITING TIMES]]</f>
        <v>480</v>
      </c>
      <c r="AW334" s="48">
        <f>VLOOKUP(AN334,Invoicing!A:K,11,FALSE)</f>
        <v>20</v>
      </c>
      <c r="AY334" s="48"/>
      <c r="AZ334" s="48">
        <f t="shared" si="119"/>
        <v>500</v>
      </c>
      <c r="BA334" s="132">
        <f>VLOOKUP(AN334,Invoicing!A:J,10,FALSE)</f>
        <v>70</v>
      </c>
      <c r="BB334" s="132">
        <f>VLOOKUP(AN334,Invoicing!A:L,12,FALSE)</f>
        <v>1</v>
      </c>
      <c r="BC334" s="2"/>
    </row>
    <row r="335" spans="1:55">
      <c r="A335" s="134" t="s">
        <v>631</v>
      </c>
      <c r="B335" s="86" t="s">
        <v>56</v>
      </c>
      <c r="C335" s="11">
        <v>46070.158333333333</v>
      </c>
      <c r="D335" s="11">
        <v>46070.166666666664</v>
      </c>
      <c r="E335" s="11" t="s">
        <v>71</v>
      </c>
      <c r="F335" s="11" t="s">
        <v>632</v>
      </c>
      <c r="G335" s="11" t="s">
        <v>59</v>
      </c>
      <c r="H335" s="11" t="s">
        <v>68</v>
      </c>
      <c r="I335" s="86" t="s">
        <v>656</v>
      </c>
      <c r="J335" s="86" t="s">
        <v>62</v>
      </c>
      <c r="K335" s="11">
        <v>46071.75</v>
      </c>
      <c r="L335" s="12">
        <v>46071.852083333331</v>
      </c>
      <c r="M335" s="12">
        <v>46071.875</v>
      </c>
      <c r="N335" s="12">
        <v>46071.9375</v>
      </c>
      <c r="O335" s="12" t="s">
        <v>63</v>
      </c>
      <c r="P335" s="135" t="s">
        <v>64</v>
      </c>
      <c r="Q335" s="86">
        <v>0</v>
      </c>
      <c r="R335" s="1">
        <f t="shared" si="102"/>
        <v>8</v>
      </c>
      <c r="S335" s="1">
        <f t="shared" si="103"/>
        <v>2</v>
      </c>
      <c r="T335" s="126">
        <f t="shared" si="104"/>
        <v>46071.852083333331</v>
      </c>
      <c r="U335" s="127">
        <f t="shared" si="105"/>
        <v>1.5916666666671517</v>
      </c>
      <c r="V335" s="128">
        <f>Table2[[#This Row],[ATA A OFRECIMIENTO]]*24</f>
        <v>38.200000000011642</v>
      </c>
      <c r="W335" s="1" t="str">
        <f t="shared" si="106"/>
        <v>YES</v>
      </c>
      <c r="X335" s="127">
        <f t="shared" si="107"/>
        <v>0.125</v>
      </c>
      <c r="Y335" s="128">
        <f>Table2[[#This Row],[DEL. AVAILABLE A SLOT]]*24</f>
        <v>3</v>
      </c>
      <c r="Z335" s="1" t="str">
        <f t="shared" si="108"/>
        <v>SI</v>
      </c>
      <c r="AA335" s="127">
        <f t="shared" si="109"/>
        <v>1.7166666666671517</v>
      </c>
      <c r="AB335" s="128">
        <f>Table2[[#This Row],[ATA A TIMESLOT]]*24</f>
        <v>41.200000000011642</v>
      </c>
      <c r="AC335" s="127">
        <f t="shared" si="110"/>
        <v>0</v>
      </c>
      <c r="AD335" s="127" t="str">
        <f t="shared" si="111"/>
        <v>SI</v>
      </c>
      <c r="AE335" s="128">
        <f>Table2[[#This Row],[PUNTUALIDAD (H)]]*24</f>
        <v>0</v>
      </c>
      <c r="AF335" s="127">
        <f t="shared" si="112"/>
        <v>1.7791666666671517</v>
      </c>
      <c r="AG335" s="128">
        <f>Table2[[#This Row],[ATA TO UNLOADING]]*24</f>
        <v>42.700000000011642</v>
      </c>
      <c r="AH335" s="128" t="str">
        <f>IF(Table2[[#This Row],[ATA TO UNLOADING 2]]&lt;=48,"YES","NO")</f>
        <v>YES</v>
      </c>
      <c r="AJ335" s="129">
        <f t="shared" si="113"/>
        <v>0.875</v>
      </c>
      <c r="AK335" s="49" t="s">
        <v>36</v>
      </c>
      <c r="AL335" s="2" t="str">
        <f t="shared" si="114"/>
        <v>8/26</v>
      </c>
      <c r="AM335" s="2" t="str">
        <f t="shared" si="115"/>
        <v>TRHU6769347</v>
      </c>
      <c r="AN335" s="130" t="str">
        <f t="shared" si="116"/>
        <v>LOGIX</v>
      </c>
      <c r="AO335" s="151">
        <f>IF($O335="TRUCK",
VLOOKUP($AU335,Invoicing!$A$16:$B$56,MATCH($AO$1,Invoicing!$A$16:$B$16,0),FALSE)+IF(OR($B335="DCD",$B335="HPD2"),23.5,0),
VLOOKUP($AU335,Invoicing!$N$15:$O$19,MATCH($AO$1,Invoicing!$N$15:$O$15,0),FALSE)+IF(OR($B335="DCD",$B335="HPD2"),23.5,0))</f>
        <v>550</v>
      </c>
      <c r="AP335" s="131" t="e">
        <f>VLOOKUP($E335,Invoicing!$A$1:$H$12,MATCH(TRACKER!$P335,Invoicing!$A$1:$H$1,0),FALSE)</f>
        <v>#N/A</v>
      </c>
      <c r="AQ335" s="131">
        <f>VLOOKUP($E335,Invoicing!$A$1:$H$12,MATCH(TRACKER!$Q$1,Invoicing!$A$1:$H$1,0),FALSE)</f>
        <v>50</v>
      </c>
      <c r="AR335" s="131">
        <f t="shared" si="101"/>
        <v>0</v>
      </c>
      <c r="AS335" s="2">
        <f t="shared" si="117"/>
        <v>3</v>
      </c>
      <c r="AT335" s="2" t="str">
        <f t="shared" si="120"/>
        <v>NIGHT</v>
      </c>
      <c r="AU335" s="2" t="str">
        <f t="shared" si="118"/>
        <v>LOGIXNIGHT</v>
      </c>
      <c r="AV335" s="94">
        <f>(IF(ISNA(AP335),AO335+AR335,SUM($AO335,$AR335,IFERROR($AP335,"0"))))+Table2[[#This Row],[WAITING TIMES]]</f>
        <v>550</v>
      </c>
      <c r="AW335" s="48">
        <f>VLOOKUP(AN335,Invoicing!A:K,11,FALSE)</f>
        <v>20</v>
      </c>
      <c r="AY335" s="48"/>
      <c r="AZ335" s="48">
        <f t="shared" si="119"/>
        <v>570</v>
      </c>
      <c r="BA335" s="132">
        <f>VLOOKUP(AN335,Invoicing!A:J,10,FALSE)</f>
        <v>70</v>
      </c>
      <c r="BB335" s="132">
        <f>VLOOKUP(AN335,Invoicing!A:L,12,FALSE)</f>
        <v>1</v>
      </c>
      <c r="BC335" s="2"/>
    </row>
    <row r="336" spans="1:55">
      <c r="A336" s="136" t="s">
        <v>631</v>
      </c>
      <c r="B336" s="88" t="s">
        <v>56</v>
      </c>
      <c r="C336" s="89">
        <v>46070.158333333333</v>
      </c>
      <c r="D336" s="89">
        <v>46070.166666666664</v>
      </c>
      <c r="E336" s="89" t="s">
        <v>71</v>
      </c>
      <c r="F336" s="89" t="s">
        <v>632</v>
      </c>
      <c r="G336" s="89" t="s">
        <v>59</v>
      </c>
      <c r="H336" s="89" t="s">
        <v>68</v>
      </c>
      <c r="I336" s="88" t="s">
        <v>657</v>
      </c>
      <c r="J336" s="88" t="s">
        <v>100</v>
      </c>
      <c r="K336" s="89">
        <v>46071.75</v>
      </c>
      <c r="L336" s="90">
        <v>46072.248611111114</v>
      </c>
      <c r="M336" s="90">
        <v>46072.25</v>
      </c>
      <c r="N336" s="90">
        <v>46072.274305555555</v>
      </c>
      <c r="O336" s="90" t="s">
        <v>63</v>
      </c>
      <c r="P336" s="137" t="s">
        <v>64</v>
      </c>
      <c r="Q336" s="88">
        <v>2</v>
      </c>
      <c r="R336" s="1">
        <f t="shared" si="102"/>
        <v>8</v>
      </c>
      <c r="S336" s="1">
        <f t="shared" si="103"/>
        <v>2</v>
      </c>
      <c r="T336" s="126">
        <f t="shared" si="104"/>
        <v>46072.248611111114</v>
      </c>
      <c r="U336" s="127">
        <f t="shared" si="105"/>
        <v>1.5916666666671517</v>
      </c>
      <c r="V336" s="128">
        <f>Table2[[#This Row],[ATA A OFRECIMIENTO]]*24</f>
        <v>38.200000000011642</v>
      </c>
      <c r="W336" s="1" t="str">
        <f t="shared" si="106"/>
        <v>YES</v>
      </c>
      <c r="X336" s="127">
        <f t="shared" si="107"/>
        <v>0.5</v>
      </c>
      <c r="Y336" s="128">
        <f>Table2[[#This Row],[DEL. AVAILABLE A SLOT]]*24</f>
        <v>12</v>
      </c>
      <c r="Z336" s="1" t="str">
        <f t="shared" si="108"/>
        <v>SI</v>
      </c>
      <c r="AA336" s="127">
        <f t="shared" si="109"/>
        <v>2.0916666666671517</v>
      </c>
      <c r="AB336" s="128">
        <f>Table2[[#This Row],[ATA A TIMESLOT]]*24</f>
        <v>50.200000000011642</v>
      </c>
      <c r="AC336" s="127">
        <f t="shared" si="110"/>
        <v>0</v>
      </c>
      <c r="AD336" s="127" t="str">
        <f t="shared" si="111"/>
        <v>SI</v>
      </c>
      <c r="AE336" s="128">
        <f>Table2[[#This Row],[PUNTUALIDAD (H)]]*24</f>
        <v>0</v>
      </c>
      <c r="AF336" s="127">
        <f t="shared" si="112"/>
        <v>2.1159722222218988</v>
      </c>
      <c r="AG336" s="128">
        <f>Table2[[#This Row],[ATA TO UNLOADING]]*24</f>
        <v>50.783333333325572</v>
      </c>
      <c r="AH336" s="128" t="str">
        <f>IF(Table2[[#This Row],[ATA TO UNLOADING 2]]&lt;=48,"YES","NO")</f>
        <v>NO</v>
      </c>
      <c r="AJ336" s="129">
        <f t="shared" si="113"/>
        <v>0.25</v>
      </c>
      <c r="AK336" s="2" t="s">
        <v>64</v>
      </c>
      <c r="AL336" s="2" t="str">
        <f t="shared" si="114"/>
        <v>8/26</v>
      </c>
      <c r="AM336" s="2" t="str">
        <f t="shared" si="115"/>
        <v>UETU8471117</v>
      </c>
      <c r="AN336" s="130" t="str">
        <f t="shared" si="116"/>
        <v>LOGIX</v>
      </c>
      <c r="AO336" s="151">
        <f>IF($O336="TRUCK",
VLOOKUP($AU336,Invoicing!$A$16:$B$56,MATCH($AO$1,Invoicing!$A$16:$B$16,0),FALSE)+IF(OR($B336="DCD",$B336="HPD2"),23.5,0),
VLOOKUP($AU336,Invoicing!$N$15:$O$19,MATCH($AO$1,Invoicing!$N$15:$O$15,0),FALSE)+IF(OR($B336="DCD",$B336="HPD2"),23.5,0))</f>
        <v>550</v>
      </c>
      <c r="AP336" s="131" t="e">
        <f>VLOOKUP($E336,Invoicing!$A$1:$H$12,MATCH(TRACKER!$P336,Invoicing!$A$1:$H$1,0),FALSE)</f>
        <v>#N/A</v>
      </c>
      <c r="AQ336" s="131">
        <f>VLOOKUP($E336,Invoicing!$A$1:$H$12,MATCH(TRACKER!$Q$1,Invoicing!$A$1:$H$1,0),FALSE)</f>
        <v>50</v>
      </c>
      <c r="AR336" s="131">
        <f t="shared" si="101"/>
        <v>100</v>
      </c>
      <c r="AS336" s="2">
        <f t="shared" si="117"/>
        <v>4</v>
      </c>
      <c r="AT336" s="2" t="str">
        <f t="shared" si="120"/>
        <v>WEEK</v>
      </c>
      <c r="AU336" s="2" t="str">
        <f t="shared" si="118"/>
        <v>LOGIXWEEK</v>
      </c>
      <c r="AV336" s="94">
        <f>(IF(ISNA(AP336),AO336+AR336,SUM($AO336,$AR336,IFERROR($AP336,"0"))))+Table2[[#This Row],[WAITING TIMES]]</f>
        <v>650</v>
      </c>
      <c r="AW336" s="48">
        <f>VLOOKUP(AN336,Invoicing!A:K,11,FALSE)</f>
        <v>20</v>
      </c>
      <c r="AY336" s="48"/>
      <c r="AZ336" s="48">
        <f t="shared" si="119"/>
        <v>670</v>
      </c>
      <c r="BA336" s="132">
        <f>VLOOKUP(AN336,Invoicing!A:J,10,FALSE)</f>
        <v>70</v>
      </c>
      <c r="BB336" s="132">
        <f>VLOOKUP(AN336,Invoicing!A:L,12,FALSE)</f>
        <v>1</v>
      </c>
      <c r="BC336" s="2"/>
    </row>
    <row r="337" spans="1:55">
      <c r="A337" s="38" t="s">
        <v>658</v>
      </c>
      <c r="B337" s="3" t="s">
        <v>659</v>
      </c>
      <c r="C337" s="11">
        <v>46070.795138888891</v>
      </c>
      <c r="D337" s="11">
        <v>46070.833333333336</v>
      </c>
      <c r="E337" s="11" t="s">
        <v>660</v>
      </c>
      <c r="F337" s="11" t="s">
        <v>661</v>
      </c>
      <c r="G337" s="89" t="s">
        <v>59</v>
      </c>
      <c r="H337" s="11" t="s">
        <v>91</v>
      </c>
      <c r="I337" s="86" t="s">
        <v>662</v>
      </c>
      <c r="J337" s="86" t="s">
        <v>82</v>
      </c>
      <c r="K337" s="11">
        <v>46074.416666666664</v>
      </c>
      <c r="L337" s="12">
        <v>46074.513888888891</v>
      </c>
      <c r="M337" s="12">
        <v>46074.541666666664</v>
      </c>
      <c r="N337" s="12">
        <v>46074.513888888891</v>
      </c>
      <c r="O337" s="12" t="s">
        <v>63</v>
      </c>
      <c r="P337" s="85" t="s">
        <v>64</v>
      </c>
      <c r="Q337" s="3">
        <v>0</v>
      </c>
      <c r="R337" s="1">
        <f t="shared" si="102"/>
        <v>8</v>
      </c>
      <c r="S337" s="1">
        <f t="shared" si="103"/>
        <v>2</v>
      </c>
      <c r="T337" s="126">
        <f t="shared" si="104"/>
        <v>46074.513888888891</v>
      </c>
      <c r="U337" s="127">
        <f t="shared" si="105"/>
        <v>3.6215277777737356</v>
      </c>
      <c r="V337" s="128">
        <f>Table2[[#This Row],[ATA A OFRECIMIENTO]]*24</f>
        <v>86.916666666569654</v>
      </c>
      <c r="W337" s="1" t="str">
        <f t="shared" si="106"/>
        <v>NO</v>
      </c>
      <c r="X337" s="127">
        <f t="shared" si="107"/>
        <v>0.125</v>
      </c>
      <c r="Y337" s="128">
        <f>Table2[[#This Row],[DEL. AVAILABLE A SLOT]]*24</f>
        <v>3</v>
      </c>
      <c r="Z337" s="1" t="str">
        <f t="shared" si="108"/>
        <v>SI</v>
      </c>
      <c r="AA337" s="127">
        <f t="shared" si="109"/>
        <v>3.7465277777737356</v>
      </c>
      <c r="AB337" s="128">
        <f>Table2[[#This Row],[ATA A TIMESLOT]]*24</f>
        <v>89.916666666569654</v>
      </c>
      <c r="AC337" s="127">
        <f t="shared" si="110"/>
        <v>0</v>
      </c>
      <c r="AD337" s="127" t="str">
        <f t="shared" si="111"/>
        <v>SI</v>
      </c>
      <c r="AE337" s="128">
        <f>Table2[[#This Row],[PUNTUALIDAD (H)]]*24</f>
        <v>0</v>
      </c>
      <c r="AF337" s="127">
        <f t="shared" si="112"/>
        <v>3.71875</v>
      </c>
      <c r="AG337" s="128">
        <f>Table2[[#This Row],[ATA TO UNLOADING]]*24</f>
        <v>89.25</v>
      </c>
      <c r="AH337" s="128" t="str">
        <f>IF(Table2[[#This Row],[ATA TO UNLOADING 2]]&lt;=48,"YES","NO")</f>
        <v>NO</v>
      </c>
      <c r="AJ337" s="129">
        <f t="shared" si="113"/>
        <v>0.54166666666424135</v>
      </c>
      <c r="AK337" s="2" t="s">
        <v>64</v>
      </c>
      <c r="AL337" s="2" t="str">
        <f t="shared" si="114"/>
        <v>8/26</v>
      </c>
      <c r="AM337" s="2" t="str">
        <f t="shared" si="115"/>
        <v>MRSU4314011</v>
      </c>
      <c r="AN337" s="130" t="str">
        <f t="shared" si="116"/>
        <v>ALTRANSA</v>
      </c>
      <c r="AO337" s="150">
        <v>0</v>
      </c>
      <c r="AP337" s="131" t="e">
        <f>VLOOKUP($E337,Invoicing!$A$1:$H$12,MATCH(TRACKER!$P337,Invoicing!$A$1:$H$1,0),FALSE)</f>
        <v>#N/A</v>
      </c>
      <c r="AQ337" s="131" t="e">
        <f>VLOOKUP($E337,Invoicing!$A$1:$H$12,MATCH(TRACKER!$Q$1,Invoicing!$A$1:$H$1,0),FALSE)</f>
        <v>#N/A</v>
      </c>
      <c r="AR337" s="131">
        <v>0</v>
      </c>
      <c r="AS337" s="2">
        <f t="shared" si="117"/>
        <v>6</v>
      </c>
      <c r="AT337" s="2" t="str">
        <f t="shared" si="120"/>
        <v>SATURDAY</v>
      </c>
      <c r="AU337" s="2" t="str">
        <f t="shared" si="118"/>
        <v>ALTRANSASATURDAY</v>
      </c>
      <c r="AV337" s="94">
        <f>(IF(ISNA(AP337),AO337+AR337,SUM($AO337,$AR337,IFERROR($AP337,"0"))))+Table2[[#This Row],[WAITING TIMES]]</f>
        <v>0</v>
      </c>
      <c r="AW337" s="48">
        <v>0</v>
      </c>
      <c r="AY337" s="48"/>
      <c r="AZ337" s="94">
        <f t="shared" si="119"/>
        <v>0</v>
      </c>
      <c r="BA337" s="133">
        <v>70</v>
      </c>
      <c r="BB337" s="133">
        <v>2</v>
      </c>
      <c r="BC337" s="2"/>
    </row>
    <row r="338" spans="1:55">
      <c r="A338" s="38" t="s">
        <v>658</v>
      </c>
      <c r="B338" s="3" t="s">
        <v>659</v>
      </c>
      <c r="C338" s="11">
        <v>46070.795138888891</v>
      </c>
      <c r="D338" s="11">
        <v>46070.833333333336</v>
      </c>
      <c r="E338" s="11" t="s">
        <v>660</v>
      </c>
      <c r="F338" s="11" t="s">
        <v>663</v>
      </c>
      <c r="G338" s="89" t="s">
        <v>59</v>
      </c>
      <c r="H338" s="11" t="s">
        <v>91</v>
      </c>
      <c r="I338" s="86" t="s">
        <v>664</v>
      </c>
      <c r="J338" s="86" t="s">
        <v>82</v>
      </c>
      <c r="K338" s="11">
        <v>46074.416666666664</v>
      </c>
      <c r="L338" s="12">
        <v>46074.496527777781</v>
      </c>
      <c r="M338" s="12">
        <v>46074.625</v>
      </c>
      <c r="N338" s="12">
        <v>46074.510416666664</v>
      </c>
      <c r="O338" s="12" t="s">
        <v>63</v>
      </c>
      <c r="P338" s="85" t="s">
        <v>15</v>
      </c>
      <c r="Q338" s="3">
        <v>0</v>
      </c>
      <c r="R338" s="1">
        <f t="shared" si="102"/>
        <v>8</v>
      </c>
      <c r="S338" s="1">
        <f t="shared" si="103"/>
        <v>2</v>
      </c>
      <c r="T338" s="126">
        <f t="shared" si="104"/>
        <v>46074.496527777781</v>
      </c>
      <c r="U338" s="127">
        <f t="shared" si="105"/>
        <v>3.6215277777737356</v>
      </c>
      <c r="V338" s="128">
        <f>Table2[[#This Row],[ATA A OFRECIMIENTO]]*24</f>
        <v>86.916666666569654</v>
      </c>
      <c r="W338" s="1" t="str">
        <f t="shared" si="106"/>
        <v>NO</v>
      </c>
      <c r="X338" s="127">
        <f t="shared" si="107"/>
        <v>0.20833333333575865</v>
      </c>
      <c r="Y338" s="128">
        <f>Table2[[#This Row],[DEL. AVAILABLE A SLOT]]*24</f>
        <v>5.0000000000582077</v>
      </c>
      <c r="Z338" s="1" t="str">
        <f t="shared" si="108"/>
        <v>SI</v>
      </c>
      <c r="AA338" s="127">
        <f t="shared" si="109"/>
        <v>3.8298611111094942</v>
      </c>
      <c r="AB338" s="128">
        <f>Table2[[#This Row],[ATA A TIMESLOT]]*24</f>
        <v>91.916666666627862</v>
      </c>
      <c r="AC338" s="127">
        <f t="shared" si="110"/>
        <v>0</v>
      </c>
      <c r="AD338" s="127" t="str">
        <f t="shared" si="111"/>
        <v>SI</v>
      </c>
      <c r="AE338" s="128">
        <f>Table2[[#This Row],[PUNTUALIDAD (H)]]*24</f>
        <v>0</v>
      </c>
      <c r="AF338" s="127">
        <f t="shared" si="112"/>
        <v>3.7152777777737356</v>
      </c>
      <c r="AG338" s="128">
        <f>Table2[[#This Row],[ATA TO UNLOADING]]*24</f>
        <v>89.166666666569654</v>
      </c>
      <c r="AH338" s="128" t="str">
        <f>IF(Table2[[#This Row],[ATA TO UNLOADING 2]]&lt;=48,"YES","NO")</f>
        <v>NO</v>
      </c>
      <c r="AJ338" s="129">
        <f t="shared" si="113"/>
        <v>0.625</v>
      </c>
      <c r="AK338" s="2" t="s">
        <v>64</v>
      </c>
      <c r="AL338" s="2" t="str">
        <f t="shared" si="114"/>
        <v>8/26</v>
      </c>
      <c r="AM338" s="2" t="str">
        <f t="shared" si="115"/>
        <v>TCKU6647401</v>
      </c>
      <c r="AN338" s="130" t="str">
        <f t="shared" si="116"/>
        <v>ALTRANSA</v>
      </c>
      <c r="AO338" s="150">
        <v>0</v>
      </c>
      <c r="AP338" s="131" t="e">
        <f>VLOOKUP($E338,Invoicing!$A$1:$H$12,MATCH(TRACKER!$P338,Invoicing!$A$1:$H$1,0),FALSE)</f>
        <v>#N/A</v>
      </c>
      <c r="AQ338" s="131" t="e">
        <f>VLOOKUP($E338,Invoicing!$A$1:$H$12,MATCH(TRACKER!$Q$1,Invoicing!$A$1:$H$1,0),FALSE)</f>
        <v>#N/A</v>
      </c>
      <c r="AR338" s="131">
        <v>0</v>
      </c>
      <c r="AS338" s="2">
        <f t="shared" si="117"/>
        <v>6</v>
      </c>
      <c r="AT338" s="2" t="str">
        <f t="shared" si="120"/>
        <v>SATURDAY</v>
      </c>
      <c r="AU338" s="2" t="str">
        <f t="shared" si="118"/>
        <v>ALTRANSASATURDAY</v>
      </c>
      <c r="AV338" s="94">
        <f>(IF(ISNA(AP338),AO338+AR338,SUM($AO338,$AR338,IFERROR($AP338,"0"))))+Table2[[#This Row],[WAITING TIMES]]</f>
        <v>0</v>
      </c>
      <c r="AW338" s="48">
        <v>0</v>
      </c>
      <c r="AY338" s="48"/>
      <c r="AZ338" s="94">
        <f t="shared" si="119"/>
        <v>0</v>
      </c>
      <c r="BA338" s="133">
        <v>70</v>
      </c>
      <c r="BB338" s="133">
        <v>2</v>
      </c>
      <c r="BC338" s="2"/>
    </row>
    <row r="339" spans="1:55">
      <c r="A339" s="38" t="s">
        <v>658</v>
      </c>
      <c r="B339" s="3" t="s">
        <v>659</v>
      </c>
      <c r="C339" s="11">
        <v>46070.795138888891</v>
      </c>
      <c r="D339" s="11">
        <v>46070.833333333336</v>
      </c>
      <c r="E339" s="11" t="s">
        <v>660</v>
      </c>
      <c r="F339" s="11" t="s">
        <v>665</v>
      </c>
      <c r="G339" s="89" t="s">
        <v>59</v>
      </c>
      <c r="H339" s="11" t="s">
        <v>91</v>
      </c>
      <c r="I339" s="86" t="s">
        <v>666</v>
      </c>
      <c r="J339" s="86" t="s">
        <v>100</v>
      </c>
      <c r="K339" s="11">
        <v>46074.416666666664</v>
      </c>
      <c r="L339" s="12">
        <v>46075.339583333334</v>
      </c>
      <c r="M339" s="12">
        <v>46075.333333333336</v>
      </c>
      <c r="N339" s="12">
        <v>46075.34375</v>
      </c>
      <c r="O339" s="12" t="s">
        <v>63</v>
      </c>
      <c r="P339" s="85" t="s">
        <v>64</v>
      </c>
      <c r="Q339" s="3">
        <v>1</v>
      </c>
      <c r="R339" s="1">
        <f t="shared" si="102"/>
        <v>8</v>
      </c>
      <c r="S339" s="1">
        <f t="shared" si="103"/>
        <v>2</v>
      </c>
      <c r="T339" s="126">
        <f t="shared" si="104"/>
        <v>46075.339583333334</v>
      </c>
      <c r="U339" s="127">
        <f t="shared" si="105"/>
        <v>3.6215277777737356</v>
      </c>
      <c r="V339" s="128">
        <f>Table2[[#This Row],[ATA A OFRECIMIENTO]]*24</f>
        <v>86.916666666569654</v>
      </c>
      <c r="W339" s="1" t="str">
        <f t="shared" si="106"/>
        <v>NO</v>
      </c>
      <c r="X339" s="127">
        <f t="shared" si="107"/>
        <v>0.91666666667151731</v>
      </c>
      <c r="Y339" s="128">
        <f>Table2[[#This Row],[DEL. AVAILABLE A SLOT]]*24</f>
        <v>22.000000000116415</v>
      </c>
      <c r="Z339" s="1" t="str">
        <f t="shared" si="108"/>
        <v>SI</v>
      </c>
      <c r="AA339" s="127">
        <f t="shared" si="109"/>
        <v>4.5381944444452529</v>
      </c>
      <c r="AB339" s="128">
        <f>Table2[[#This Row],[ATA A TIMESLOT]]*24</f>
        <v>108.91666666668607</v>
      </c>
      <c r="AC339" s="127">
        <f t="shared" si="110"/>
        <v>6.2499999985448085E-3</v>
      </c>
      <c r="AD339" s="127" t="str">
        <f t="shared" si="111"/>
        <v>SI</v>
      </c>
      <c r="AE339" s="128">
        <f>Table2[[#This Row],[PUNTUALIDAD (H)]]*24</f>
        <v>0.1499999999650754</v>
      </c>
      <c r="AF339" s="127">
        <f t="shared" si="112"/>
        <v>4.5486111111094942</v>
      </c>
      <c r="AG339" s="128">
        <f>Table2[[#This Row],[ATA TO UNLOADING]]*24</f>
        <v>109.16666666662786</v>
      </c>
      <c r="AH339" s="128" t="str">
        <f>IF(Table2[[#This Row],[ATA TO UNLOADING 2]]&lt;=48,"YES","NO")</f>
        <v>NO</v>
      </c>
      <c r="AJ339" s="129">
        <f t="shared" si="113"/>
        <v>0.33333333333575865</v>
      </c>
      <c r="AK339" s="2" t="s">
        <v>64</v>
      </c>
      <c r="AL339" s="2" t="str">
        <f t="shared" si="114"/>
        <v>8/26</v>
      </c>
      <c r="AM339" s="2" t="str">
        <f t="shared" si="115"/>
        <v>MRKU4691877</v>
      </c>
      <c r="AN339" s="130" t="str">
        <f t="shared" si="116"/>
        <v>ALTRANSA</v>
      </c>
      <c r="AO339" s="150">
        <v>0</v>
      </c>
      <c r="AP339" s="131" t="e">
        <f>VLOOKUP($E339,Invoicing!$A$1:$H$12,MATCH(TRACKER!$P339,Invoicing!$A$1:$H$1,0),FALSE)</f>
        <v>#N/A</v>
      </c>
      <c r="AQ339" s="131" t="e">
        <f>VLOOKUP($E339,Invoicing!$A$1:$H$12,MATCH(TRACKER!$Q$1,Invoicing!$A$1:$H$1,0),FALSE)</f>
        <v>#N/A</v>
      </c>
      <c r="AR339" s="131">
        <v>0</v>
      </c>
      <c r="AS339" s="2">
        <f t="shared" si="117"/>
        <v>7</v>
      </c>
      <c r="AT339" s="2" t="str">
        <f t="shared" si="120"/>
        <v>SUNDAY</v>
      </c>
      <c r="AU339" s="2" t="str">
        <f t="shared" si="118"/>
        <v>ALTRANSASUNDAY</v>
      </c>
      <c r="AV339" s="94">
        <f>(IF(ISNA(AP339),AO339+AR339,SUM($AO339,$AR339,IFERROR($AP339,"0"))))+Table2[[#This Row],[WAITING TIMES]]</f>
        <v>0</v>
      </c>
      <c r="AW339" s="48">
        <v>0</v>
      </c>
      <c r="AY339" s="48"/>
      <c r="AZ339" s="94">
        <f t="shared" si="119"/>
        <v>0</v>
      </c>
      <c r="BA339" s="133">
        <v>70</v>
      </c>
      <c r="BB339" s="133">
        <v>2</v>
      </c>
      <c r="BC339" s="2"/>
    </row>
    <row r="340" spans="1:55">
      <c r="A340" s="38" t="s">
        <v>658</v>
      </c>
      <c r="B340" s="3" t="s">
        <v>659</v>
      </c>
      <c r="C340" s="11">
        <v>46070.795138888891</v>
      </c>
      <c r="D340" s="11">
        <v>46070.833333333336</v>
      </c>
      <c r="E340" s="11" t="s">
        <v>660</v>
      </c>
      <c r="F340" s="11" t="s">
        <v>665</v>
      </c>
      <c r="G340" s="89" t="s">
        <v>59</v>
      </c>
      <c r="H340" s="11" t="s">
        <v>91</v>
      </c>
      <c r="I340" s="86" t="s">
        <v>667</v>
      </c>
      <c r="J340" s="86" t="s">
        <v>100</v>
      </c>
      <c r="K340" s="11">
        <v>46074.416666666664</v>
      </c>
      <c r="L340" s="12">
        <v>46075.40625</v>
      </c>
      <c r="M340" s="12">
        <v>46075.416666666664</v>
      </c>
      <c r="N340" s="12">
        <v>46075.416666666664</v>
      </c>
      <c r="O340" s="12" t="s">
        <v>63</v>
      </c>
      <c r="P340" s="85" t="s">
        <v>64</v>
      </c>
      <c r="Q340" s="3">
        <v>0</v>
      </c>
      <c r="R340" s="1">
        <f t="shared" si="102"/>
        <v>8</v>
      </c>
      <c r="S340" s="1">
        <f t="shared" si="103"/>
        <v>2</v>
      </c>
      <c r="T340" s="126">
        <f t="shared" si="104"/>
        <v>46075.40625</v>
      </c>
      <c r="U340" s="127">
        <f t="shared" si="105"/>
        <v>3.6215277777737356</v>
      </c>
      <c r="V340" s="128">
        <f>Table2[[#This Row],[ATA A OFRECIMIENTO]]*24</f>
        <v>86.916666666569654</v>
      </c>
      <c r="W340" s="1" t="str">
        <f t="shared" si="106"/>
        <v>NO</v>
      </c>
      <c r="X340" s="127">
        <f t="shared" si="107"/>
        <v>1</v>
      </c>
      <c r="Y340" s="128">
        <f>Table2[[#This Row],[DEL. AVAILABLE A SLOT]]*24</f>
        <v>24</v>
      </c>
      <c r="Z340" s="1" t="str">
        <f t="shared" si="108"/>
        <v>SI</v>
      </c>
      <c r="AA340" s="127">
        <f t="shared" si="109"/>
        <v>4.6215277777737356</v>
      </c>
      <c r="AB340" s="128">
        <f>Table2[[#This Row],[ATA A TIMESLOT]]*24</f>
        <v>110.91666666656965</v>
      </c>
      <c r="AC340" s="127">
        <f t="shared" si="110"/>
        <v>0</v>
      </c>
      <c r="AD340" s="127" t="str">
        <f t="shared" si="111"/>
        <v>SI</v>
      </c>
      <c r="AE340" s="128">
        <f>Table2[[#This Row],[PUNTUALIDAD (H)]]*24</f>
        <v>0</v>
      </c>
      <c r="AF340" s="127">
        <f t="shared" si="112"/>
        <v>4.6215277777737356</v>
      </c>
      <c r="AG340" s="128">
        <f>Table2[[#This Row],[ATA TO UNLOADING]]*24</f>
        <v>110.91666666656965</v>
      </c>
      <c r="AH340" s="128" t="str">
        <f>IF(Table2[[#This Row],[ATA TO UNLOADING 2]]&lt;=48,"YES","NO")</f>
        <v>NO</v>
      </c>
      <c r="AJ340" s="129">
        <f t="shared" si="113"/>
        <v>0.41666666666424135</v>
      </c>
      <c r="AK340" s="2" t="s">
        <v>64</v>
      </c>
      <c r="AL340" s="2" t="str">
        <f t="shared" si="114"/>
        <v>8/26</v>
      </c>
      <c r="AM340" s="2" t="str">
        <f t="shared" si="115"/>
        <v>TRHU5900473</v>
      </c>
      <c r="AN340" s="130" t="str">
        <f t="shared" si="116"/>
        <v>ALTRANSA</v>
      </c>
      <c r="AO340" s="150">
        <v>0</v>
      </c>
      <c r="AP340" s="131" t="e">
        <f>VLOOKUP($E340,Invoicing!$A$1:$H$12,MATCH(TRACKER!$P340,Invoicing!$A$1:$H$1,0),FALSE)</f>
        <v>#N/A</v>
      </c>
      <c r="AQ340" s="131" t="e">
        <f>VLOOKUP($E340,Invoicing!$A$1:$H$12,MATCH(TRACKER!$Q$1,Invoicing!$A$1:$H$1,0),FALSE)</f>
        <v>#N/A</v>
      </c>
      <c r="AR340" s="131">
        <v>0</v>
      </c>
      <c r="AS340" s="2">
        <f t="shared" si="117"/>
        <v>7</v>
      </c>
      <c r="AT340" s="2" t="str">
        <f t="shared" si="120"/>
        <v>SUNDAY</v>
      </c>
      <c r="AU340" s="2" t="str">
        <f t="shared" si="118"/>
        <v>ALTRANSASUNDAY</v>
      </c>
      <c r="AV340" s="94">
        <f>(IF(ISNA(AP340),AO340+AR340,SUM($AO340,$AR340,IFERROR($AP340,"0"))))+Table2[[#This Row],[WAITING TIMES]]</f>
        <v>0</v>
      </c>
      <c r="AW340" s="48">
        <v>0</v>
      </c>
      <c r="AY340" s="48"/>
      <c r="AZ340" s="94">
        <f t="shared" si="119"/>
        <v>0</v>
      </c>
      <c r="BA340" s="133">
        <v>70</v>
      </c>
      <c r="BB340" s="133">
        <v>2</v>
      </c>
      <c r="BC340" s="2"/>
    </row>
    <row r="341" spans="1:55">
      <c r="A341" s="38" t="s">
        <v>668</v>
      </c>
      <c r="B341" s="3" t="s">
        <v>77</v>
      </c>
      <c r="C341" s="11">
        <v>46074.517361111109</v>
      </c>
      <c r="D341" s="11">
        <v>46073.833333333336</v>
      </c>
      <c r="E341" s="11" t="s">
        <v>71</v>
      </c>
      <c r="F341" s="11" t="s">
        <v>669</v>
      </c>
      <c r="G341" s="89" t="s">
        <v>59</v>
      </c>
      <c r="H341" s="11" t="s">
        <v>287</v>
      </c>
      <c r="I341" s="86" t="s">
        <v>670</v>
      </c>
      <c r="J341" s="86" t="s">
        <v>100</v>
      </c>
      <c r="K341" s="11">
        <v>46075.875</v>
      </c>
      <c r="L341" s="12">
        <v>46075.525000000001</v>
      </c>
      <c r="M341" s="12">
        <v>46075.53125</v>
      </c>
      <c r="N341" s="12">
        <v>46075.534722222219</v>
      </c>
      <c r="O341" s="12" t="s">
        <v>63</v>
      </c>
      <c r="P341" s="85" t="s">
        <v>64</v>
      </c>
      <c r="Q341" s="3">
        <v>1</v>
      </c>
      <c r="R341" s="1">
        <f t="shared" si="102"/>
        <v>8</v>
      </c>
      <c r="S341" s="1">
        <f t="shared" si="103"/>
        <v>2</v>
      </c>
      <c r="T341" s="126">
        <f t="shared" si="104"/>
        <v>46075.525000000001</v>
      </c>
      <c r="U341" s="127">
        <f t="shared" si="105"/>
        <v>1.3576388888905058</v>
      </c>
      <c r="V341" s="128">
        <f>Table2[[#This Row],[ATA A OFRECIMIENTO]]*24</f>
        <v>32.583333333372138</v>
      </c>
      <c r="W341" s="1" t="str">
        <f t="shared" si="106"/>
        <v>YES</v>
      </c>
      <c r="X341" s="127">
        <f t="shared" si="107"/>
        <v>-0.34375</v>
      </c>
      <c r="Y341" s="128">
        <f>Table2[[#This Row],[DEL. AVAILABLE A SLOT]]*24</f>
        <v>-8.25</v>
      </c>
      <c r="Z341" s="1" t="str">
        <f t="shared" si="108"/>
        <v>SI</v>
      </c>
      <c r="AA341" s="127">
        <f t="shared" si="109"/>
        <v>1.0138888888905058</v>
      </c>
      <c r="AB341" s="128">
        <f>Table2[[#This Row],[ATA A TIMESLOT]]*24</f>
        <v>24.333333333372138</v>
      </c>
      <c r="AC341" s="127">
        <f t="shared" si="110"/>
        <v>0</v>
      </c>
      <c r="AD341" s="127" t="str">
        <f t="shared" si="111"/>
        <v>SI</v>
      </c>
      <c r="AE341" s="128">
        <f>Table2[[#This Row],[PUNTUALIDAD (H)]]*24</f>
        <v>0</v>
      </c>
      <c r="AF341" s="127">
        <f t="shared" si="112"/>
        <v>1.0173611111094942</v>
      </c>
      <c r="AG341" s="128">
        <f>Table2[[#This Row],[ATA TO UNLOADING]]*24</f>
        <v>24.416666666627862</v>
      </c>
      <c r="AH341" s="128" t="str">
        <f>IF(Table2[[#This Row],[ATA TO UNLOADING 2]]&lt;=48,"YES","NO")</f>
        <v>YES</v>
      </c>
      <c r="AJ341" s="129">
        <f t="shared" si="113"/>
        <v>0.53125</v>
      </c>
      <c r="AK341" s="2" t="s">
        <v>64</v>
      </c>
      <c r="AL341" s="2" t="str">
        <f t="shared" si="114"/>
        <v>8/26</v>
      </c>
      <c r="AM341" s="2" t="str">
        <f t="shared" si="115"/>
        <v>MRKU0012432</v>
      </c>
      <c r="AN341" s="130" t="str">
        <f t="shared" si="116"/>
        <v>LOGIX</v>
      </c>
      <c r="AO341" s="150">
        <f>IF($O341="TRUCK",
VLOOKUP($AU341,Invoicing!$A$16:$B$56,MATCH($AO$1,Invoicing!$A$16:$B$16,0),FALSE)+IF(OR($B341="DCD",$B341="HPD2"),23.5,0),
VLOOKUP($AU341,Invoicing!$N$15:$O$19,MATCH($AO$1,Invoicing!$N$15:$O$15,0),FALSE)+IF(OR($B341="DCD",$B341="HPD2"),23.5,0))</f>
        <v>573.5</v>
      </c>
      <c r="AP341" s="131" t="e">
        <f>VLOOKUP($E341,Invoicing!$A$1:$H$12,MATCH(TRACKER!$P341,Invoicing!$A$1:$H$1,0),FALSE)</f>
        <v>#N/A</v>
      </c>
      <c r="AQ341" s="131">
        <f>VLOOKUP($E341,Invoicing!$A$1:$H$12,MATCH(TRACKER!$Q$1,Invoicing!$A$1:$H$1,0),FALSE)</f>
        <v>50</v>
      </c>
      <c r="AR341" s="131">
        <f t="shared" ref="AR341:AR372" si="121">IF($Q341&lt;&gt;0,$Q341*$AQ341,0)</f>
        <v>50</v>
      </c>
      <c r="AS341" s="2">
        <f t="shared" si="117"/>
        <v>7</v>
      </c>
      <c r="AT341" s="2" t="str">
        <f t="shared" si="120"/>
        <v>SUNDAY</v>
      </c>
      <c r="AU341" s="2" t="str">
        <f t="shared" si="118"/>
        <v>LOGIXSUNDAY</v>
      </c>
      <c r="AV341" s="94">
        <f>(IF(ISNA(AP341),AO341+AR341,SUM($AO341,$AR341,IFERROR($AP341,"0"))))+Table2[[#This Row],[WAITING TIMES]]</f>
        <v>623.5</v>
      </c>
      <c r="AW341" s="48">
        <f>VLOOKUP(AN341,Invoicing!A:K,11,FALSE)</f>
        <v>20</v>
      </c>
      <c r="AY341" s="48"/>
      <c r="AZ341" s="94">
        <f t="shared" si="119"/>
        <v>643.5</v>
      </c>
      <c r="BA341" s="133">
        <f>VLOOKUP(AN341,Invoicing!A:J,10,FALSE)</f>
        <v>70</v>
      </c>
      <c r="BB341" s="133">
        <f>VLOOKUP(AN341,Invoicing!A:L,12,FALSE)</f>
        <v>1</v>
      </c>
      <c r="BC341" s="2"/>
    </row>
    <row r="342" spans="1:55">
      <c r="A342" s="38" t="s">
        <v>668</v>
      </c>
      <c r="B342" s="3" t="s">
        <v>77</v>
      </c>
      <c r="C342" s="11">
        <v>46074.517361111109</v>
      </c>
      <c r="D342" s="11">
        <v>46073.833333333336</v>
      </c>
      <c r="E342" s="11" t="s">
        <v>83</v>
      </c>
      <c r="F342" s="11" t="s">
        <v>671</v>
      </c>
      <c r="G342" s="89" t="s">
        <v>59</v>
      </c>
      <c r="H342" s="11" t="s">
        <v>80</v>
      </c>
      <c r="I342" s="86" t="s">
        <v>672</v>
      </c>
      <c r="J342" s="86" t="s">
        <v>82</v>
      </c>
      <c r="K342" s="11">
        <v>46075.875</v>
      </c>
      <c r="L342" s="12">
        <v>46075.625</v>
      </c>
      <c r="M342" s="12">
        <v>46075.625</v>
      </c>
      <c r="N342" s="12">
        <v>46075.628472222219</v>
      </c>
      <c r="O342" s="12" t="s">
        <v>63</v>
      </c>
      <c r="P342" s="85" t="s">
        <v>64</v>
      </c>
      <c r="Q342" s="3">
        <v>0</v>
      </c>
      <c r="R342" s="1">
        <f t="shared" si="102"/>
        <v>8</v>
      </c>
      <c r="S342" s="1">
        <f t="shared" si="103"/>
        <v>2</v>
      </c>
      <c r="T342" s="126">
        <f t="shared" si="104"/>
        <v>46075.625</v>
      </c>
      <c r="U342" s="127">
        <f t="shared" si="105"/>
        <v>1.3576388888905058</v>
      </c>
      <c r="V342" s="128">
        <f>Table2[[#This Row],[ATA A OFRECIMIENTO]]*24</f>
        <v>32.583333333372138</v>
      </c>
      <c r="W342" s="1" t="str">
        <f t="shared" si="106"/>
        <v>YES</v>
      </c>
      <c r="X342" s="127">
        <f t="shared" si="107"/>
        <v>-0.25</v>
      </c>
      <c r="Y342" s="128">
        <f>Table2[[#This Row],[DEL. AVAILABLE A SLOT]]*24</f>
        <v>-6</v>
      </c>
      <c r="Z342" s="1" t="str">
        <f t="shared" si="108"/>
        <v>SI</v>
      </c>
      <c r="AA342" s="127">
        <f t="shared" si="109"/>
        <v>1.1076388888905058</v>
      </c>
      <c r="AB342" s="128">
        <f>Table2[[#This Row],[ATA A TIMESLOT]]*24</f>
        <v>26.583333333372138</v>
      </c>
      <c r="AC342" s="127">
        <f t="shared" si="110"/>
        <v>0</v>
      </c>
      <c r="AD342" s="127" t="str">
        <f t="shared" si="111"/>
        <v>SI</v>
      </c>
      <c r="AE342" s="128">
        <f>Table2[[#This Row],[PUNTUALIDAD (H)]]*24</f>
        <v>0</v>
      </c>
      <c r="AF342" s="127">
        <f t="shared" si="112"/>
        <v>1.1111111111094942</v>
      </c>
      <c r="AG342" s="128">
        <f>Table2[[#This Row],[ATA TO UNLOADING]]*24</f>
        <v>26.666666666627862</v>
      </c>
      <c r="AH342" s="128" t="str">
        <f>IF(Table2[[#This Row],[ATA TO UNLOADING 2]]&lt;=48,"YES","NO")</f>
        <v>YES</v>
      </c>
      <c r="AJ342" s="129">
        <f t="shared" si="113"/>
        <v>0.625</v>
      </c>
      <c r="AK342" s="2" t="s">
        <v>64</v>
      </c>
      <c r="AL342" s="2" t="str">
        <f t="shared" si="114"/>
        <v>8/26</v>
      </c>
      <c r="AM342" s="2" t="str">
        <f t="shared" si="115"/>
        <v>MRSU7052790</v>
      </c>
      <c r="AN342" s="130" t="str">
        <f t="shared" si="116"/>
        <v>OM TRANSPORT</v>
      </c>
      <c r="AO342" s="150">
        <f>IF($O342="TRUCK",
VLOOKUP($AU342,Invoicing!$A$16:$B$56,MATCH($AO$1,Invoicing!$A$16:$B$16,0),FALSE)+IF(OR($B342="DCD",$B342="HPD2"),23.5,0),
VLOOKUP($AU342,Invoicing!$N$15:$O$19,MATCH($AO$1,Invoicing!$N$15:$O$15,0),FALSE)+IF(OR($B342="DCD",$B342="HPD2"),23.5,0))</f>
        <v>573.5</v>
      </c>
      <c r="AP342" s="131" t="e">
        <f>VLOOKUP($E342,Invoicing!$A$1:$H$12,MATCH(TRACKER!$P342,Invoicing!$A$1:$H$1,0),FALSE)</f>
        <v>#N/A</v>
      </c>
      <c r="AQ342" s="131">
        <f>VLOOKUP($E342,Invoicing!$A$1:$H$12,MATCH(TRACKER!$Q$1,Invoicing!$A$1:$H$1,0),FALSE)</f>
        <v>50</v>
      </c>
      <c r="AR342" s="131">
        <f t="shared" si="121"/>
        <v>0</v>
      </c>
      <c r="AS342" s="2">
        <f t="shared" si="117"/>
        <v>7</v>
      </c>
      <c r="AT342" s="2" t="str">
        <f t="shared" si="120"/>
        <v>SUNDAY</v>
      </c>
      <c r="AU342" s="2" t="str">
        <f t="shared" si="118"/>
        <v>OM TRANSPORTSUNDAY</v>
      </c>
      <c r="AV342" s="94">
        <f>(IF(ISNA(AP342),AO342+AR342,SUM($AO342,$AR342,IFERROR($AP342,"0"))))+Table2[[#This Row],[WAITING TIMES]]</f>
        <v>629.75</v>
      </c>
      <c r="AW342" s="48">
        <f>VLOOKUP(AN342,Invoicing!A:K,11,FALSE)</f>
        <v>20</v>
      </c>
      <c r="AX342" s="48">
        <v>56.25</v>
      </c>
      <c r="AY342" s="48" t="s">
        <v>673</v>
      </c>
      <c r="AZ342" s="94">
        <f t="shared" si="119"/>
        <v>649.75</v>
      </c>
      <c r="BA342" s="133">
        <f>VLOOKUP(AN342,Invoicing!A:J,10,FALSE)</f>
        <v>70</v>
      </c>
      <c r="BB342" s="133">
        <f>VLOOKUP(AN342,Invoicing!A:L,12,FALSE)</f>
        <v>1</v>
      </c>
      <c r="BC342" s="2"/>
    </row>
    <row r="343" spans="1:55">
      <c r="A343" s="38" t="s">
        <v>668</v>
      </c>
      <c r="B343" s="3" t="s">
        <v>77</v>
      </c>
      <c r="C343" s="11">
        <v>46074.517361111109</v>
      </c>
      <c r="D343" s="11">
        <v>46073.833333333336</v>
      </c>
      <c r="E343" s="11" t="s">
        <v>83</v>
      </c>
      <c r="F343" s="11" t="s">
        <v>671</v>
      </c>
      <c r="G343" s="89" t="s">
        <v>59</v>
      </c>
      <c r="H343" s="11" t="s">
        <v>80</v>
      </c>
      <c r="I343" s="86" t="s">
        <v>674</v>
      </c>
      <c r="J343" s="86" t="s">
        <v>100</v>
      </c>
      <c r="K343" s="11">
        <v>46075.875</v>
      </c>
      <c r="L343" s="12">
        <v>46075.665277777778</v>
      </c>
      <c r="M343" s="12">
        <v>46075.625</v>
      </c>
      <c r="N343" s="12">
        <v>46075.644444444442</v>
      </c>
      <c r="O343" s="12" t="s">
        <v>63</v>
      </c>
      <c r="P343" s="85" t="s">
        <v>64</v>
      </c>
      <c r="Q343" s="3">
        <v>1</v>
      </c>
      <c r="R343" s="1">
        <f t="shared" si="102"/>
        <v>8</v>
      </c>
      <c r="S343" s="1">
        <f t="shared" si="103"/>
        <v>2</v>
      </c>
      <c r="T343" s="126">
        <f t="shared" si="104"/>
        <v>46075.665277777778</v>
      </c>
      <c r="U343" s="127">
        <f t="shared" si="105"/>
        <v>1.3576388888905058</v>
      </c>
      <c r="V343" s="128">
        <f>Table2[[#This Row],[ATA A OFRECIMIENTO]]*24</f>
        <v>32.583333333372138</v>
      </c>
      <c r="W343" s="1" t="str">
        <f t="shared" si="106"/>
        <v>YES</v>
      </c>
      <c r="X343" s="127">
        <f t="shared" si="107"/>
        <v>-0.25</v>
      </c>
      <c r="Y343" s="128">
        <f>Table2[[#This Row],[DEL. AVAILABLE A SLOT]]*24</f>
        <v>-6</v>
      </c>
      <c r="Z343" s="1" t="str">
        <f t="shared" si="108"/>
        <v>SI</v>
      </c>
      <c r="AA343" s="127">
        <f t="shared" si="109"/>
        <v>1.1076388888905058</v>
      </c>
      <c r="AB343" s="128">
        <f>Table2[[#This Row],[ATA A TIMESLOT]]*24</f>
        <v>26.583333333372138</v>
      </c>
      <c r="AC343" s="127">
        <f t="shared" si="110"/>
        <v>4.0277777778101154E-2</v>
      </c>
      <c r="AD343" s="127" t="str">
        <f t="shared" si="111"/>
        <v>NO</v>
      </c>
      <c r="AE343" s="128">
        <f>Table2[[#This Row],[PUNTUALIDAD (H)]]*24</f>
        <v>0.96666666667442769</v>
      </c>
      <c r="AF343" s="127">
        <f t="shared" si="112"/>
        <v>1.1270833333328483</v>
      </c>
      <c r="AG343" s="128">
        <f>Table2[[#This Row],[ATA TO UNLOADING]]*24</f>
        <v>27.049999999988358</v>
      </c>
      <c r="AH343" s="128" t="str">
        <f>IF(Table2[[#This Row],[ATA TO UNLOADING 2]]&lt;=48,"YES","NO")</f>
        <v>YES</v>
      </c>
      <c r="AJ343" s="129">
        <f t="shared" si="113"/>
        <v>0.625</v>
      </c>
      <c r="AK343" s="2" t="s">
        <v>64</v>
      </c>
      <c r="AL343" s="2" t="str">
        <f t="shared" si="114"/>
        <v>8/26</v>
      </c>
      <c r="AM343" s="2" t="str">
        <f t="shared" si="115"/>
        <v>SUDU8519080</v>
      </c>
      <c r="AN343" s="130" t="str">
        <f t="shared" si="116"/>
        <v>OM TRANSPORT</v>
      </c>
      <c r="AO343" s="150">
        <f>IF($O343="TRUCK",
VLOOKUP($AU343,Invoicing!$A$16:$B$56,MATCH($AO$1,Invoicing!$A$16:$B$16,0),FALSE)+IF(OR($B343="DCD",$B343="HPD2"),23.5,0),
VLOOKUP($AU343,Invoicing!$N$15:$O$19,MATCH($AO$1,Invoicing!$N$15:$O$15,0),FALSE)+IF(OR($B343="DCD",$B343="HPD2"),23.5,0))</f>
        <v>573.5</v>
      </c>
      <c r="AP343" s="131" t="e">
        <f>VLOOKUP($E343,Invoicing!$A$1:$H$12,MATCH(TRACKER!$P343,Invoicing!$A$1:$H$1,0),FALSE)</f>
        <v>#N/A</v>
      </c>
      <c r="AQ343" s="131">
        <f>VLOOKUP($E343,Invoicing!$A$1:$H$12,MATCH(TRACKER!$Q$1,Invoicing!$A$1:$H$1,0),FALSE)</f>
        <v>50</v>
      </c>
      <c r="AR343" s="131">
        <f t="shared" si="121"/>
        <v>50</v>
      </c>
      <c r="AS343" s="2">
        <f t="shared" si="117"/>
        <v>7</v>
      </c>
      <c r="AT343" s="2" t="str">
        <f t="shared" si="120"/>
        <v>SUNDAY</v>
      </c>
      <c r="AU343" s="2" t="str">
        <f t="shared" si="118"/>
        <v>OM TRANSPORTSUNDAY</v>
      </c>
      <c r="AV343" s="94">
        <f>(IF(ISNA(AP343),AO343+AR343,SUM($AO343,$AR343,IFERROR($AP343,"0"))))+Table2[[#This Row],[WAITING TIMES]]</f>
        <v>623.5</v>
      </c>
      <c r="AW343" s="48">
        <f>VLOOKUP(AN343,Invoicing!A:K,11,FALSE)</f>
        <v>20</v>
      </c>
      <c r="AY343" s="48"/>
      <c r="AZ343" s="94">
        <f t="shared" si="119"/>
        <v>643.5</v>
      </c>
      <c r="BA343" s="133">
        <f>VLOOKUP(AN343,Invoicing!A:J,10,FALSE)</f>
        <v>70</v>
      </c>
      <c r="BB343" s="133">
        <f>VLOOKUP(AN343,Invoicing!A:L,12,FALSE)</f>
        <v>1</v>
      </c>
      <c r="BC343" s="2"/>
    </row>
    <row r="344" spans="1:55">
      <c r="A344" s="38" t="s">
        <v>668</v>
      </c>
      <c r="B344" s="3" t="s">
        <v>77</v>
      </c>
      <c r="C344" s="11">
        <v>46074.517361111109</v>
      </c>
      <c r="D344" s="11">
        <v>46073.833333333336</v>
      </c>
      <c r="E344" s="11" t="s">
        <v>98</v>
      </c>
      <c r="F344" s="11" t="s">
        <v>671</v>
      </c>
      <c r="G344" s="89" t="s">
        <v>59</v>
      </c>
      <c r="H344" s="11" t="s">
        <v>80</v>
      </c>
      <c r="I344" s="86" t="s">
        <v>675</v>
      </c>
      <c r="J344" s="86" t="s">
        <v>82</v>
      </c>
      <c r="K344" s="11">
        <v>46075.875</v>
      </c>
      <c r="L344" s="12">
        <v>46075.75277777778</v>
      </c>
      <c r="M344" s="12">
        <v>46075.75</v>
      </c>
      <c r="N344" s="12">
        <v>46075.777777777781</v>
      </c>
      <c r="O344" s="12" t="s">
        <v>63</v>
      </c>
      <c r="P344" s="85" t="s">
        <v>64</v>
      </c>
      <c r="Q344" s="3">
        <v>0</v>
      </c>
      <c r="R344" s="1">
        <f t="shared" si="102"/>
        <v>8</v>
      </c>
      <c r="S344" s="1">
        <f t="shared" si="103"/>
        <v>2</v>
      </c>
      <c r="T344" s="126">
        <f t="shared" si="104"/>
        <v>46075.75277777778</v>
      </c>
      <c r="U344" s="127">
        <f t="shared" si="105"/>
        <v>1.3576388888905058</v>
      </c>
      <c r="V344" s="128">
        <f>Table2[[#This Row],[ATA A OFRECIMIENTO]]*24</f>
        <v>32.583333333372138</v>
      </c>
      <c r="W344" s="1" t="str">
        <f t="shared" si="106"/>
        <v>YES</v>
      </c>
      <c r="X344" s="127">
        <f t="shared" si="107"/>
        <v>-0.125</v>
      </c>
      <c r="Y344" s="128">
        <f>Table2[[#This Row],[DEL. AVAILABLE A SLOT]]*24</f>
        <v>-3</v>
      </c>
      <c r="Z344" s="1" t="str">
        <f t="shared" si="108"/>
        <v>SI</v>
      </c>
      <c r="AA344" s="127">
        <f t="shared" si="109"/>
        <v>1.2326388888905058</v>
      </c>
      <c r="AB344" s="128">
        <f>Table2[[#This Row],[ATA A TIMESLOT]]*24</f>
        <v>29.583333333372138</v>
      </c>
      <c r="AC344" s="127">
        <f t="shared" si="110"/>
        <v>2.7777777795563452E-3</v>
      </c>
      <c r="AD344" s="127" t="str">
        <f t="shared" si="111"/>
        <v>SI</v>
      </c>
      <c r="AE344" s="128">
        <f>Table2[[#This Row],[PUNTUALIDAD (H)]]*24</f>
        <v>6.6666666709352285E-2</v>
      </c>
      <c r="AF344" s="127">
        <f t="shared" si="112"/>
        <v>1.2604166666715173</v>
      </c>
      <c r="AG344" s="128">
        <f>Table2[[#This Row],[ATA TO UNLOADING]]*24</f>
        <v>30.250000000116415</v>
      </c>
      <c r="AH344" s="128" t="str">
        <f>IF(Table2[[#This Row],[ATA TO UNLOADING 2]]&lt;=48,"YES","NO")</f>
        <v>YES</v>
      </c>
      <c r="AJ344" s="129">
        <f t="shared" si="113"/>
        <v>0.75</v>
      </c>
      <c r="AK344" s="2" t="s">
        <v>64</v>
      </c>
      <c r="AL344" s="2" t="str">
        <f t="shared" si="114"/>
        <v>8/26</v>
      </c>
      <c r="AM344" s="2" t="str">
        <f t="shared" si="115"/>
        <v>MRSU3867060</v>
      </c>
      <c r="AN344" s="130" t="str">
        <f t="shared" si="116"/>
        <v>MSI</v>
      </c>
      <c r="AO344" s="150">
        <f>IF($O344="TRUCK",
VLOOKUP($AU344,Invoicing!$A$16:$B$56,MATCH($AO$1,Invoicing!$A$16:$B$16,0),FALSE)+IF(OR($B344="DCD",$B344="HPD2"),23.5,0),
VLOOKUP($AU344,Invoicing!$N$15:$O$19,MATCH($AO$1,Invoicing!$N$15:$O$15,0),FALSE)+IF(OR($B344="DCD",$B344="HPD2"),23.5,0))</f>
        <v>523.5</v>
      </c>
      <c r="AP344" s="131" t="e">
        <f>VLOOKUP($E344,Invoicing!$A$1:$H$12,MATCH(TRACKER!$P344,Invoicing!$A$1:$H$1,0),FALSE)</f>
        <v>#N/A</v>
      </c>
      <c r="AQ344" s="131">
        <f>VLOOKUP($E344,Invoicing!$A$1:$H$12,MATCH(TRACKER!$Q$1,Invoicing!$A$1:$H$1,0),FALSE)</f>
        <v>50</v>
      </c>
      <c r="AR344" s="131">
        <f t="shared" si="121"/>
        <v>0</v>
      </c>
      <c r="AS344" s="2">
        <f t="shared" si="117"/>
        <v>7</v>
      </c>
      <c r="AT344" s="2" t="str">
        <f t="shared" si="120"/>
        <v>SUNDAY</v>
      </c>
      <c r="AU344" s="2" t="str">
        <f t="shared" si="118"/>
        <v>MSISUNDAY</v>
      </c>
      <c r="AV344" s="94">
        <f>(IF(ISNA(AP344),AO344+AR344,SUM($AO344,$AR344,IFERROR($AP344,"0"))))+Table2[[#This Row],[WAITING TIMES]]</f>
        <v>583.5</v>
      </c>
      <c r="AW344" s="48">
        <f>VLOOKUP(AN344,Invoicing!A:K,11,FALSE)</f>
        <v>20</v>
      </c>
      <c r="AX344" s="48">
        <v>60</v>
      </c>
      <c r="AY344" s="94" t="s">
        <v>676</v>
      </c>
      <c r="AZ344" s="94">
        <f t="shared" si="119"/>
        <v>603.5</v>
      </c>
      <c r="BA344" s="133">
        <f>VLOOKUP(AN344,Invoicing!A:J,10,FALSE)</f>
        <v>70</v>
      </c>
      <c r="BB344" s="133">
        <f>VLOOKUP(AN344,Invoicing!A:L,12,FALSE)</f>
        <v>1</v>
      </c>
      <c r="BC344" s="2"/>
    </row>
    <row r="345" spans="1:55">
      <c r="A345" s="38" t="s">
        <v>668</v>
      </c>
      <c r="B345" s="3" t="s">
        <v>77</v>
      </c>
      <c r="C345" s="11">
        <v>46074.517361111109</v>
      </c>
      <c r="D345" s="11">
        <v>46073.833333333336</v>
      </c>
      <c r="E345" s="11" t="s">
        <v>71</v>
      </c>
      <c r="F345" s="11" t="s">
        <v>671</v>
      </c>
      <c r="G345" s="89" t="s">
        <v>59</v>
      </c>
      <c r="H345" s="11" t="s">
        <v>80</v>
      </c>
      <c r="I345" s="86" t="s">
        <v>677</v>
      </c>
      <c r="J345" s="86" t="s">
        <v>82</v>
      </c>
      <c r="K345" s="11">
        <v>46075.875</v>
      </c>
      <c r="L345" s="12">
        <v>46075.71875</v>
      </c>
      <c r="M345" s="12">
        <v>46075.791666666664</v>
      </c>
      <c r="N345" s="12">
        <v>46075.739583333336</v>
      </c>
      <c r="O345" s="12" t="s">
        <v>63</v>
      </c>
      <c r="P345" s="85" t="s">
        <v>64</v>
      </c>
      <c r="Q345" s="3">
        <v>0</v>
      </c>
      <c r="R345" s="1">
        <f t="shared" si="102"/>
        <v>8</v>
      </c>
      <c r="S345" s="1">
        <f t="shared" si="103"/>
        <v>2</v>
      </c>
      <c r="T345" s="126">
        <f t="shared" si="104"/>
        <v>46075.71875</v>
      </c>
      <c r="U345" s="127">
        <f t="shared" si="105"/>
        <v>1.3576388888905058</v>
      </c>
      <c r="V345" s="128">
        <f>Table2[[#This Row],[ATA A OFRECIMIENTO]]*24</f>
        <v>32.583333333372138</v>
      </c>
      <c r="W345" s="1" t="str">
        <f t="shared" si="106"/>
        <v>YES</v>
      </c>
      <c r="X345" s="127">
        <f t="shared" si="107"/>
        <v>-8.3333333335758653E-2</v>
      </c>
      <c r="Y345" s="128">
        <f>Table2[[#This Row],[DEL. AVAILABLE A SLOT]]*24</f>
        <v>-2.0000000000582077</v>
      </c>
      <c r="Z345" s="1" t="str">
        <f t="shared" si="108"/>
        <v>SI</v>
      </c>
      <c r="AA345" s="127">
        <f t="shared" si="109"/>
        <v>1.2743055555547471</v>
      </c>
      <c r="AB345" s="128">
        <f>Table2[[#This Row],[ATA A TIMESLOT]]*24</f>
        <v>30.583333333313931</v>
      </c>
      <c r="AC345" s="127">
        <f t="shared" si="110"/>
        <v>0</v>
      </c>
      <c r="AD345" s="127" t="str">
        <f t="shared" si="111"/>
        <v>SI</v>
      </c>
      <c r="AE345" s="128">
        <f>Table2[[#This Row],[PUNTUALIDAD (H)]]*24</f>
        <v>0</v>
      </c>
      <c r="AF345" s="127">
        <f t="shared" si="112"/>
        <v>1.2222222222262644</v>
      </c>
      <c r="AG345" s="128">
        <f>Table2[[#This Row],[ATA TO UNLOADING]]*24</f>
        <v>29.333333333430346</v>
      </c>
      <c r="AH345" s="128" t="str">
        <f>IF(Table2[[#This Row],[ATA TO UNLOADING 2]]&lt;=48,"YES","NO")</f>
        <v>YES</v>
      </c>
      <c r="AJ345" s="129">
        <f t="shared" si="113"/>
        <v>0.79166666666424135</v>
      </c>
      <c r="AK345" s="2" t="s">
        <v>64</v>
      </c>
      <c r="AL345" s="2" t="str">
        <f t="shared" si="114"/>
        <v>8/26</v>
      </c>
      <c r="AM345" s="2" t="str">
        <f t="shared" si="115"/>
        <v>MSKU9470802</v>
      </c>
      <c r="AN345" s="130" t="str">
        <f t="shared" si="116"/>
        <v>LOGIX</v>
      </c>
      <c r="AO345" s="150">
        <f>IF($O345="TRUCK",
VLOOKUP($AU345,Invoicing!$A$16:$B$56,MATCH($AO$1,Invoicing!$A$16:$B$16,0),FALSE)+IF(OR($B345="DCD",$B345="HPD2"),23.5,0),
VLOOKUP($AU345,Invoicing!$N$15:$O$19,MATCH($AO$1,Invoicing!$N$15:$O$15,0),FALSE)+IF(OR($B345="DCD",$B345="HPD2"),23.5,0))</f>
        <v>573.5</v>
      </c>
      <c r="AP345" s="131" t="e">
        <f>VLOOKUP($E345,Invoicing!$A$1:$H$12,MATCH(TRACKER!$P345,Invoicing!$A$1:$H$1,0),FALSE)</f>
        <v>#N/A</v>
      </c>
      <c r="AQ345" s="131">
        <f>VLOOKUP($E345,Invoicing!$A$1:$H$12,MATCH(TRACKER!$Q$1,Invoicing!$A$1:$H$1,0),FALSE)</f>
        <v>50</v>
      </c>
      <c r="AR345" s="131">
        <f t="shared" si="121"/>
        <v>0</v>
      </c>
      <c r="AS345" s="2">
        <f t="shared" si="117"/>
        <v>7</v>
      </c>
      <c r="AT345" s="2" t="str">
        <f t="shared" si="120"/>
        <v>SUNDAY</v>
      </c>
      <c r="AU345" s="2" t="str">
        <f t="shared" si="118"/>
        <v>LOGIXSUNDAY</v>
      </c>
      <c r="AV345" s="94">
        <f>(IF(ISNA(AP345),AO345+AR345,SUM($AO345,$AR345,IFERROR($AP345,"0"))))+Table2[[#This Row],[WAITING TIMES]]</f>
        <v>573.5</v>
      </c>
      <c r="AW345" s="48">
        <f>VLOOKUP(AN345,Invoicing!A:K,11,FALSE)</f>
        <v>20</v>
      </c>
      <c r="AY345" s="48"/>
      <c r="AZ345" s="94">
        <f t="shared" si="119"/>
        <v>593.5</v>
      </c>
      <c r="BA345" s="133">
        <f>VLOOKUP(AN345,Invoicing!A:J,10,FALSE)</f>
        <v>70</v>
      </c>
      <c r="BB345" s="133">
        <f>VLOOKUP(AN345,Invoicing!A:L,12,FALSE)</f>
        <v>1</v>
      </c>
      <c r="BC345" s="2"/>
    </row>
    <row r="346" spans="1:55">
      <c r="A346" s="38" t="s">
        <v>668</v>
      </c>
      <c r="B346" s="3" t="s">
        <v>77</v>
      </c>
      <c r="C346" s="11">
        <v>46074.517361111109</v>
      </c>
      <c r="D346" s="11">
        <v>46073.833333333336</v>
      </c>
      <c r="E346" s="11" t="s">
        <v>83</v>
      </c>
      <c r="F346" s="11" t="s">
        <v>678</v>
      </c>
      <c r="G346" s="89" t="s">
        <v>59</v>
      </c>
      <c r="H346" s="11" t="s">
        <v>287</v>
      </c>
      <c r="I346" s="86" t="s">
        <v>679</v>
      </c>
      <c r="J346" s="86" t="s">
        <v>62</v>
      </c>
      <c r="K346" s="11">
        <v>46075.875</v>
      </c>
      <c r="L346" s="12">
        <v>46076.375</v>
      </c>
      <c r="M346" s="12">
        <v>46076.375</v>
      </c>
      <c r="N346" s="12">
        <v>46076.423611111109</v>
      </c>
      <c r="O346" s="12" t="s">
        <v>63</v>
      </c>
      <c r="P346" s="85" t="s">
        <v>64</v>
      </c>
      <c r="Q346" s="3">
        <v>0</v>
      </c>
      <c r="R346" s="1">
        <f t="shared" si="102"/>
        <v>9</v>
      </c>
      <c r="S346" s="1">
        <f t="shared" si="103"/>
        <v>2</v>
      </c>
      <c r="T346" s="126">
        <f t="shared" si="104"/>
        <v>46076.375</v>
      </c>
      <c r="U346" s="127">
        <f t="shared" si="105"/>
        <v>1.3576388888905058</v>
      </c>
      <c r="V346" s="128">
        <f>Table2[[#This Row],[ATA A OFRECIMIENTO]]*24</f>
        <v>32.583333333372138</v>
      </c>
      <c r="W346" s="1" t="str">
        <f t="shared" si="106"/>
        <v>YES</v>
      </c>
      <c r="X346" s="127">
        <f t="shared" si="107"/>
        <v>0.5</v>
      </c>
      <c r="Y346" s="128">
        <f>Table2[[#This Row],[DEL. AVAILABLE A SLOT]]*24</f>
        <v>12</v>
      </c>
      <c r="Z346" s="1" t="str">
        <f t="shared" si="108"/>
        <v>SI</v>
      </c>
      <c r="AA346" s="127">
        <f t="shared" si="109"/>
        <v>1.8576388888905058</v>
      </c>
      <c r="AB346" s="128">
        <f>Table2[[#This Row],[ATA A TIMESLOT]]*24</f>
        <v>44.583333333372138</v>
      </c>
      <c r="AC346" s="127">
        <f t="shared" si="110"/>
        <v>0</v>
      </c>
      <c r="AD346" s="127" t="str">
        <f t="shared" si="111"/>
        <v>SI</v>
      </c>
      <c r="AE346" s="128">
        <f>Table2[[#This Row],[PUNTUALIDAD (H)]]*24</f>
        <v>0</v>
      </c>
      <c r="AF346" s="127">
        <f t="shared" si="112"/>
        <v>1.90625</v>
      </c>
      <c r="AG346" s="128">
        <f>Table2[[#This Row],[ATA TO UNLOADING]]*24</f>
        <v>45.75</v>
      </c>
      <c r="AH346" s="128" t="str">
        <f>IF(Table2[[#This Row],[ATA TO UNLOADING 2]]&lt;=48,"YES","NO")</f>
        <v>YES</v>
      </c>
      <c r="AJ346" s="129">
        <f t="shared" si="113"/>
        <v>0.375</v>
      </c>
      <c r="AK346" s="2" t="s">
        <v>64</v>
      </c>
      <c r="AL346" s="2" t="str">
        <f t="shared" si="114"/>
        <v>9/26</v>
      </c>
      <c r="AM346" s="2" t="str">
        <f t="shared" si="115"/>
        <v>TRHU4867811</v>
      </c>
      <c r="AN346" s="130" t="str">
        <f t="shared" si="116"/>
        <v>OM TRANSPORT</v>
      </c>
      <c r="AO346" s="150">
        <f>IF($O346="TRUCK",
VLOOKUP($AU346,Invoicing!$A$16:$B$56,MATCH($AO$1,Invoicing!$A$16:$B$16,0),FALSE)+IF(OR($B346="DCD",$B346="HPD2"),23.5,0),
VLOOKUP($AU346,Invoicing!$N$15:$O$19,MATCH($AO$1,Invoicing!$N$15:$O$15,0),FALSE)+IF(OR($B346="DCD",$B346="HPD2"),23.5,0))</f>
        <v>498.5</v>
      </c>
      <c r="AP346" s="131" t="e">
        <f>VLOOKUP($E346,Invoicing!$A$1:$H$12,MATCH(TRACKER!$P346,Invoicing!$A$1:$H$1,0),FALSE)</f>
        <v>#N/A</v>
      </c>
      <c r="AQ346" s="131">
        <f>VLOOKUP($E346,Invoicing!$A$1:$H$12,MATCH(TRACKER!$Q$1,Invoicing!$A$1:$H$1,0),FALSE)</f>
        <v>50</v>
      </c>
      <c r="AR346" s="131">
        <f t="shared" si="121"/>
        <v>0</v>
      </c>
      <c r="AS346" s="2">
        <f t="shared" si="117"/>
        <v>1</v>
      </c>
      <c r="AT346" s="2" t="str">
        <f t="shared" si="120"/>
        <v>WEEK</v>
      </c>
      <c r="AU346" s="2" t="str">
        <f t="shared" si="118"/>
        <v>OM TRANSPORTWEEK</v>
      </c>
      <c r="AV346" s="94">
        <f>(IF(ISNA(AP346),AO346+AR346,SUM($AO346,$AR346,IFERROR($AP346,"0"))))+Table2[[#This Row],[WAITING TIMES]]</f>
        <v>498.5</v>
      </c>
      <c r="AW346" s="48">
        <f>VLOOKUP(AN346,Invoicing!A:K,11,FALSE)</f>
        <v>20</v>
      </c>
      <c r="AY346" s="48"/>
      <c r="AZ346" s="94">
        <f t="shared" si="119"/>
        <v>518.5</v>
      </c>
      <c r="BA346" s="133">
        <f>VLOOKUP(AN346,Invoicing!A:J,10,FALSE)</f>
        <v>70</v>
      </c>
      <c r="BB346" s="133">
        <f>VLOOKUP(AN346,Invoicing!A:L,12,FALSE)</f>
        <v>1</v>
      </c>
      <c r="BC346" s="2"/>
    </row>
    <row r="347" spans="1:55">
      <c r="A347" s="87" t="s">
        <v>668</v>
      </c>
      <c r="B347" s="91" t="s">
        <v>77</v>
      </c>
      <c r="C347" s="89">
        <v>46074.517361111109</v>
      </c>
      <c r="D347" s="89">
        <v>46073.833333333336</v>
      </c>
      <c r="E347" s="89" t="s">
        <v>98</v>
      </c>
      <c r="F347" s="89" t="s">
        <v>680</v>
      </c>
      <c r="G347" s="89" t="s">
        <v>59</v>
      </c>
      <c r="H347" s="89" t="s">
        <v>287</v>
      </c>
      <c r="I347" s="88" t="s">
        <v>681</v>
      </c>
      <c r="J347" s="88" t="s">
        <v>62</v>
      </c>
      <c r="K347" s="89">
        <v>46075.875</v>
      </c>
      <c r="L347" s="90">
        <v>46076.617361111108</v>
      </c>
      <c r="M347" s="90">
        <v>46076.583333333336</v>
      </c>
      <c r="N347" s="90">
        <v>46076.625</v>
      </c>
      <c r="O347" s="90" t="s">
        <v>63</v>
      </c>
      <c r="P347" s="93" t="s">
        <v>64</v>
      </c>
      <c r="Q347" s="91">
        <v>1</v>
      </c>
      <c r="R347" s="1">
        <f t="shared" si="102"/>
        <v>9</v>
      </c>
      <c r="S347" s="1">
        <f t="shared" si="103"/>
        <v>2</v>
      </c>
      <c r="T347" s="126">
        <f t="shared" si="104"/>
        <v>46076.617361111108</v>
      </c>
      <c r="U347" s="127">
        <f t="shared" si="105"/>
        <v>1.3576388888905058</v>
      </c>
      <c r="V347" s="128">
        <f>Table2[[#This Row],[ATA A OFRECIMIENTO]]*24</f>
        <v>32.583333333372138</v>
      </c>
      <c r="W347" s="1" t="str">
        <f t="shared" si="106"/>
        <v>YES</v>
      </c>
      <c r="X347" s="127">
        <f t="shared" si="107"/>
        <v>0.70833333333575865</v>
      </c>
      <c r="Y347" s="128">
        <f>Table2[[#This Row],[DEL. AVAILABLE A SLOT]]*24</f>
        <v>17.000000000058208</v>
      </c>
      <c r="Z347" s="1" t="str">
        <f t="shared" si="108"/>
        <v>SI</v>
      </c>
      <c r="AA347" s="127">
        <f t="shared" si="109"/>
        <v>2.0659722222262644</v>
      </c>
      <c r="AB347" s="128">
        <f>Table2[[#This Row],[ATA A TIMESLOT]]*24</f>
        <v>49.583333333430346</v>
      </c>
      <c r="AC347" s="127">
        <f t="shared" si="110"/>
        <v>3.4027777772280388E-2</v>
      </c>
      <c r="AD347" s="127" t="str">
        <f t="shared" si="111"/>
        <v>NO</v>
      </c>
      <c r="AE347" s="128">
        <f>Table2[[#This Row],[PUNTUALIDAD (H)]]*24</f>
        <v>0.8166666665347293</v>
      </c>
      <c r="AF347" s="127">
        <f t="shared" si="112"/>
        <v>2.1076388888905058</v>
      </c>
      <c r="AG347" s="128">
        <f>Table2[[#This Row],[ATA TO UNLOADING]]*24</f>
        <v>50.583333333372138</v>
      </c>
      <c r="AH347" s="128" t="str">
        <f>IF(Table2[[#This Row],[ATA TO UNLOADING 2]]&lt;=48,"YES","NO")</f>
        <v>NO</v>
      </c>
      <c r="AJ347" s="129">
        <f t="shared" si="113"/>
        <v>0.58333333333575865</v>
      </c>
      <c r="AK347" s="2" t="s">
        <v>64</v>
      </c>
      <c r="AL347" s="2" t="str">
        <f t="shared" si="114"/>
        <v>9/26</v>
      </c>
      <c r="AM347" s="2" t="str">
        <f t="shared" si="115"/>
        <v>MRKU0797428</v>
      </c>
      <c r="AN347" s="130" t="str">
        <f t="shared" si="116"/>
        <v>MSI</v>
      </c>
      <c r="AO347" s="150">
        <f>IF($O347="TRUCK",
VLOOKUP($AU347,Invoicing!$A$16:$B$56,MATCH($AO$1,Invoicing!$A$16:$B$16,0),FALSE)+IF(OR($B347="DCD",$B347="HPD2"),23.5,0),
VLOOKUP($AU347,Invoicing!$N$15:$O$19,MATCH($AO$1,Invoicing!$N$15:$O$15,0),FALSE)+IF(OR($B347="DCD",$B347="HPD2"),23.5,0))</f>
        <v>503.5</v>
      </c>
      <c r="AP347" s="131" t="e">
        <f>VLOOKUP($E347,Invoicing!$A$1:$H$12,MATCH(TRACKER!$P347,Invoicing!$A$1:$H$1,0),FALSE)</f>
        <v>#N/A</v>
      </c>
      <c r="AQ347" s="131">
        <f>VLOOKUP($E347,Invoicing!$A$1:$H$12,MATCH(TRACKER!$Q$1,Invoicing!$A$1:$H$1,0),FALSE)</f>
        <v>50</v>
      </c>
      <c r="AR347" s="131">
        <f t="shared" si="121"/>
        <v>50</v>
      </c>
      <c r="AS347" s="2">
        <f t="shared" si="117"/>
        <v>1</v>
      </c>
      <c r="AT347" s="2" t="str">
        <f t="shared" si="120"/>
        <v>WEEK</v>
      </c>
      <c r="AU347" s="2" t="str">
        <f t="shared" si="118"/>
        <v>MSIWEEK</v>
      </c>
      <c r="AV347" s="94">
        <f>(IF(ISNA(AP347),AO347+AR347,SUM($AO347,$AR347,IFERROR($AP347,"0"))))+Table2[[#This Row],[WAITING TIMES]]</f>
        <v>553.5</v>
      </c>
      <c r="AW347" s="94">
        <f>VLOOKUP(AN347,Invoicing!A:K,11,FALSE)</f>
        <v>20</v>
      </c>
      <c r="AY347" s="48"/>
      <c r="AZ347" s="94">
        <f t="shared" si="119"/>
        <v>573.5</v>
      </c>
      <c r="BA347" s="133">
        <f>VLOOKUP(AN347,Invoicing!A:J,10,FALSE)</f>
        <v>70</v>
      </c>
      <c r="BB347" s="133">
        <f>VLOOKUP(AN347,Invoicing!A:L,12,FALSE)</f>
        <v>1</v>
      </c>
      <c r="BC347" s="2"/>
    </row>
    <row r="348" spans="1:55">
      <c r="A348" s="38" t="s">
        <v>682</v>
      </c>
      <c r="B348" s="3" t="s">
        <v>56</v>
      </c>
      <c r="C348" s="11">
        <v>46078.541666666664</v>
      </c>
      <c r="D348" s="11">
        <v>46078.520833333336</v>
      </c>
      <c r="E348" s="11" t="s">
        <v>83</v>
      </c>
      <c r="F348" s="11" t="s">
        <v>683</v>
      </c>
      <c r="G348" s="11" t="s">
        <v>59</v>
      </c>
      <c r="H348" s="11" t="s">
        <v>643</v>
      </c>
      <c r="I348" s="3" t="s">
        <v>684</v>
      </c>
      <c r="J348" s="86" t="s">
        <v>82</v>
      </c>
      <c r="K348" s="11">
        <v>46079.083333333336</v>
      </c>
      <c r="L348" s="12">
        <v>46079.208333333336</v>
      </c>
      <c r="M348" s="12">
        <v>46079.208333333336</v>
      </c>
      <c r="N348" s="12">
        <v>46079.222222222219</v>
      </c>
      <c r="O348" s="12" t="s">
        <v>63</v>
      </c>
      <c r="P348" s="85" t="s">
        <v>64</v>
      </c>
      <c r="Q348" s="3">
        <v>0</v>
      </c>
      <c r="R348" s="1">
        <f t="shared" si="102"/>
        <v>9</v>
      </c>
      <c r="S348" s="1">
        <f t="shared" si="103"/>
        <v>2</v>
      </c>
      <c r="T348" s="126">
        <f t="shared" si="104"/>
        <v>46079.208333333336</v>
      </c>
      <c r="U348" s="127">
        <f t="shared" si="105"/>
        <v>0.54166666667151731</v>
      </c>
      <c r="V348" s="128">
        <f>Table2[[#This Row],[ATA A OFRECIMIENTO]]*24</f>
        <v>13.000000000116415</v>
      </c>
      <c r="W348" s="1" t="str">
        <f t="shared" si="106"/>
        <v>YES</v>
      </c>
      <c r="X348" s="127">
        <f t="shared" si="107"/>
        <v>0.125</v>
      </c>
      <c r="Y348" s="128">
        <f>Table2[[#This Row],[DEL. AVAILABLE A SLOT]]*24</f>
        <v>3</v>
      </c>
      <c r="Z348" s="1" t="str">
        <f t="shared" si="108"/>
        <v>SI</v>
      </c>
      <c r="AA348" s="127">
        <f t="shared" si="109"/>
        <v>0.66666666667151731</v>
      </c>
      <c r="AB348" s="128">
        <f>Table2[[#This Row],[ATA A TIMESLOT]]*24</f>
        <v>16.000000000116415</v>
      </c>
      <c r="AC348" s="127">
        <f t="shared" si="110"/>
        <v>0</v>
      </c>
      <c r="AD348" s="127" t="str">
        <f t="shared" si="111"/>
        <v>SI</v>
      </c>
      <c r="AE348" s="128">
        <f>Table2[[#This Row],[PUNTUALIDAD (H)]]*24</f>
        <v>0</v>
      </c>
      <c r="AF348" s="127">
        <f t="shared" si="112"/>
        <v>0.68055555555474712</v>
      </c>
      <c r="AG348" s="128">
        <f>Table2[[#This Row],[ATA TO UNLOADING]]*24</f>
        <v>16.333333333313931</v>
      </c>
      <c r="AH348" s="128" t="str">
        <f>IF(Table2[[#This Row],[ATA TO UNLOADING 2]]&lt;=48,"YES","NO")</f>
        <v>YES</v>
      </c>
      <c r="AJ348" s="129">
        <f t="shared" si="113"/>
        <v>0.20833333333575865</v>
      </c>
      <c r="AK348" s="2" t="s">
        <v>64</v>
      </c>
      <c r="AL348" s="2" t="str">
        <f t="shared" si="114"/>
        <v>9/26</v>
      </c>
      <c r="AM348" s="2" t="str">
        <f t="shared" si="115"/>
        <v>MRKU0845980</v>
      </c>
      <c r="AN348" s="130" t="str">
        <f t="shared" si="116"/>
        <v>OM TRANSPORT</v>
      </c>
      <c r="AO348" s="150">
        <f>IF($O348="TRUCK",
VLOOKUP($AU348,Invoicing!$A$16:$B$56,MATCH($AO$1,Invoicing!$A$16:$B$16,0),FALSE)+IF(OR($B348="DCD",$B348="HPD2"),23.5,0),
VLOOKUP($AU348,Invoicing!$N$15:$O$19,MATCH($AO$1,Invoicing!$N$15:$O$15,0),FALSE)+IF(OR($B348="DCD",$B348="HPD2"),23.5,0))</f>
        <v>475</v>
      </c>
      <c r="AP348" s="131" t="e">
        <f>VLOOKUP($E348,Invoicing!$A$1:$H$12,MATCH(TRACKER!$P348,Invoicing!$A$1:$H$1,0),FALSE)</f>
        <v>#N/A</v>
      </c>
      <c r="AQ348" s="131">
        <f>VLOOKUP($E348,Invoicing!$A$1:$H$12,MATCH(TRACKER!$Q$1,Invoicing!$A$1:$H$1,0),FALSE)</f>
        <v>50</v>
      </c>
      <c r="AR348" s="131">
        <f t="shared" si="121"/>
        <v>0</v>
      </c>
      <c r="AS348" s="2">
        <f t="shared" si="117"/>
        <v>4</v>
      </c>
      <c r="AT348" s="2" t="str">
        <f t="shared" si="120"/>
        <v>WEEK</v>
      </c>
      <c r="AU348" s="2" t="str">
        <f t="shared" si="118"/>
        <v>OM TRANSPORTWEEK</v>
      </c>
      <c r="AV348" s="94">
        <f>(IF(ISNA(AP348),AO348+AR348,SUM($AO348,$AR348,IFERROR($AP348,"0"))))+Table2[[#This Row],[WAITING TIMES]]</f>
        <v>475</v>
      </c>
      <c r="AW348" s="94">
        <f>VLOOKUP(AN348,Invoicing!A:K,11,FALSE)</f>
        <v>20</v>
      </c>
      <c r="AY348" s="48"/>
      <c r="AZ348" s="94">
        <f t="shared" si="119"/>
        <v>495</v>
      </c>
      <c r="BA348" s="133">
        <f>VLOOKUP(AN348,Invoicing!A:J,10,FALSE)</f>
        <v>70</v>
      </c>
      <c r="BB348" s="133">
        <f>VLOOKUP(AN348,Invoicing!A:L,12,FALSE)</f>
        <v>1</v>
      </c>
      <c r="BC348" s="2"/>
    </row>
    <row r="349" spans="1:55">
      <c r="A349" s="38" t="s">
        <v>682</v>
      </c>
      <c r="B349" s="3" t="s">
        <v>56</v>
      </c>
      <c r="C349" s="11">
        <v>46078.541666666664</v>
      </c>
      <c r="D349" s="11">
        <v>46078.520833333336</v>
      </c>
      <c r="E349" s="11" t="s">
        <v>83</v>
      </c>
      <c r="F349" s="11" t="s">
        <v>685</v>
      </c>
      <c r="G349" s="11" t="s">
        <v>59</v>
      </c>
      <c r="H349" s="11" t="s">
        <v>68</v>
      </c>
      <c r="I349" s="3" t="s">
        <v>686</v>
      </c>
      <c r="J349" s="86" t="s">
        <v>62</v>
      </c>
      <c r="K349" s="11">
        <v>46079.083333333336</v>
      </c>
      <c r="L349" s="12">
        <v>46079.416666666664</v>
      </c>
      <c r="M349" s="12">
        <v>46079.416666666664</v>
      </c>
      <c r="N349" s="12">
        <v>46079.434027777781</v>
      </c>
      <c r="O349" s="12" t="s">
        <v>63</v>
      </c>
      <c r="P349" s="85" t="s">
        <v>64</v>
      </c>
      <c r="Q349" s="3">
        <v>0</v>
      </c>
      <c r="R349" s="1">
        <f t="shared" si="102"/>
        <v>9</v>
      </c>
      <c r="S349" s="1">
        <f t="shared" si="103"/>
        <v>2</v>
      </c>
      <c r="T349" s="126">
        <f t="shared" si="104"/>
        <v>46079.416666666664</v>
      </c>
      <c r="U349" s="127">
        <f t="shared" si="105"/>
        <v>0.54166666667151731</v>
      </c>
      <c r="V349" s="128">
        <f>Table2[[#This Row],[ATA A OFRECIMIENTO]]*24</f>
        <v>13.000000000116415</v>
      </c>
      <c r="W349" s="1" t="str">
        <f t="shared" si="106"/>
        <v>YES</v>
      </c>
      <c r="X349" s="127">
        <f t="shared" si="107"/>
        <v>0.33333333332848269</v>
      </c>
      <c r="Y349" s="128">
        <f>Table2[[#This Row],[DEL. AVAILABLE A SLOT]]*24</f>
        <v>7.9999999998835847</v>
      </c>
      <c r="Z349" s="1" t="str">
        <f t="shared" si="108"/>
        <v>SI</v>
      </c>
      <c r="AA349" s="127">
        <f t="shared" si="109"/>
        <v>0.875</v>
      </c>
      <c r="AB349" s="128">
        <f>Table2[[#This Row],[ATA A TIMESLOT]]*24</f>
        <v>21</v>
      </c>
      <c r="AC349" s="127">
        <f t="shared" si="110"/>
        <v>0</v>
      </c>
      <c r="AD349" s="127" t="str">
        <f t="shared" si="111"/>
        <v>SI</v>
      </c>
      <c r="AE349" s="128">
        <f>Table2[[#This Row],[PUNTUALIDAD (H)]]*24</f>
        <v>0</v>
      </c>
      <c r="AF349" s="127">
        <f t="shared" si="112"/>
        <v>0.89236111111677019</v>
      </c>
      <c r="AG349" s="128">
        <f>Table2[[#This Row],[ATA TO UNLOADING]]*24</f>
        <v>21.416666666802485</v>
      </c>
      <c r="AH349" s="128" t="str">
        <f>IF(Table2[[#This Row],[ATA TO UNLOADING 2]]&lt;=48,"YES","NO")</f>
        <v>YES</v>
      </c>
      <c r="AJ349" s="129">
        <f t="shared" si="113"/>
        <v>0.41666666666424135</v>
      </c>
      <c r="AK349" s="2" t="s">
        <v>64</v>
      </c>
      <c r="AL349" s="2" t="str">
        <f t="shared" si="114"/>
        <v>9/26</v>
      </c>
      <c r="AM349" s="2" t="str">
        <f t="shared" si="115"/>
        <v>GAOU7484530</v>
      </c>
      <c r="AN349" s="130" t="str">
        <f t="shared" si="116"/>
        <v>OM TRANSPORT</v>
      </c>
      <c r="AO349" s="150">
        <f>IF($O349="TRUCK",
VLOOKUP($AU349,Invoicing!$A$16:$B$56,MATCH($AO$1,Invoicing!$A$16:$B$16,0),FALSE)+IF(OR($B349="DCD",$B349="HPD2"),23.5,0),
VLOOKUP($AU349,Invoicing!$N$15:$O$19,MATCH($AO$1,Invoicing!$N$15:$O$15,0),FALSE)+IF(OR($B349="DCD",$B349="HPD2"),23.5,0))</f>
        <v>475</v>
      </c>
      <c r="AP349" s="131" t="e">
        <f>VLOOKUP($E349,Invoicing!$A$1:$H$12,MATCH(TRACKER!$P349,Invoicing!$A$1:$H$1,0),FALSE)</f>
        <v>#N/A</v>
      </c>
      <c r="AQ349" s="131">
        <f>VLOOKUP($E349,Invoicing!$A$1:$H$12,MATCH(TRACKER!$Q$1,Invoicing!$A$1:$H$1,0),FALSE)</f>
        <v>50</v>
      </c>
      <c r="AR349" s="131">
        <f t="shared" si="121"/>
        <v>0</v>
      </c>
      <c r="AS349" s="2">
        <f t="shared" si="117"/>
        <v>4</v>
      </c>
      <c r="AT349" s="2" t="str">
        <f t="shared" si="120"/>
        <v>WEEK</v>
      </c>
      <c r="AU349" s="2" t="str">
        <f t="shared" si="118"/>
        <v>OM TRANSPORTWEEK</v>
      </c>
      <c r="AV349" s="94">
        <f>(IF(ISNA(AP349),AO349+AR349,SUM($AO349,$AR349,IFERROR($AP349,"0"))))+Table2[[#This Row],[WAITING TIMES]]</f>
        <v>475</v>
      </c>
      <c r="AW349" s="94">
        <f>VLOOKUP(AN349,Invoicing!A:K,11,FALSE)</f>
        <v>20</v>
      </c>
      <c r="AY349" s="48"/>
      <c r="AZ349" s="94">
        <f t="shared" si="119"/>
        <v>495</v>
      </c>
      <c r="BA349" s="133">
        <f>VLOOKUP(AN349,Invoicing!A:J,10,FALSE)</f>
        <v>70</v>
      </c>
      <c r="BB349" s="133">
        <f>VLOOKUP(AN349,Invoicing!A:L,12,FALSE)</f>
        <v>1</v>
      </c>
      <c r="BC349" s="2"/>
    </row>
    <row r="350" spans="1:55">
      <c r="A350" s="38" t="s">
        <v>682</v>
      </c>
      <c r="B350" s="3" t="s">
        <v>56</v>
      </c>
      <c r="C350" s="11">
        <v>46078.541666666664</v>
      </c>
      <c r="D350" s="11">
        <v>46078.520833333336</v>
      </c>
      <c r="E350" s="11" t="s">
        <v>98</v>
      </c>
      <c r="F350" s="11" t="s">
        <v>687</v>
      </c>
      <c r="G350" s="11" t="s">
        <v>59</v>
      </c>
      <c r="H350" s="11" t="s">
        <v>60</v>
      </c>
      <c r="I350" s="3" t="s">
        <v>688</v>
      </c>
      <c r="J350" s="86" t="s">
        <v>100</v>
      </c>
      <c r="K350" s="11">
        <v>46079.083333333336</v>
      </c>
      <c r="L350" s="12">
        <v>46079.359722222223</v>
      </c>
      <c r="M350" s="12">
        <v>46079.416666666664</v>
      </c>
      <c r="N350" s="12">
        <v>46079.368055555555</v>
      </c>
      <c r="O350" s="12" t="s">
        <v>63</v>
      </c>
      <c r="P350" s="85" t="s">
        <v>64</v>
      </c>
      <c r="Q350" s="3">
        <v>1</v>
      </c>
      <c r="R350" s="1">
        <f t="shared" si="102"/>
        <v>9</v>
      </c>
      <c r="S350" s="1">
        <f t="shared" si="103"/>
        <v>2</v>
      </c>
      <c r="T350" s="126">
        <f t="shared" si="104"/>
        <v>46079.359722222223</v>
      </c>
      <c r="U350" s="127">
        <f t="shared" si="105"/>
        <v>0.54166666667151731</v>
      </c>
      <c r="V350" s="128">
        <f>Table2[[#This Row],[ATA A OFRECIMIENTO]]*24</f>
        <v>13.000000000116415</v>
      </c>
      <c r="W350" s="1" t="str">
        <f t="shared" si="106"/>
        <v>YES</v>
      </c>
      <c r="X350" s="127">
        <f t="shared" si="107"/>
        <v>0.33333333332848269</v>
      </c>
      <c r="Y350" s="128">
        <f>Table2[[#This Row],[DEL. AVAILABLE A SLOT]]*24</f>
        <v>7.9999999998835847</v>
      </c>
      <c r="Z350" s="1" t="str">
        <f t="shared" si="108"/>
        <v>SI</v>
      </c>
      <c r="AA350" s="127">
        <f t="shared" si="109"/>
        <v>0.875</v>
      </c>
      <c r="AB350" s="128">
        <f>Table2[[#This Row],[ATA A TIMESLOT]]*24</f>
        <v>21</v>
      </c>
      <c r="AC350" s="127">
        <f t="shared" si="110"/>
        <v>0</v>
      </c>
      <c r="AD350" s="127" t="str">
        <f t="shared" si="111"/>
        <v>SI</v>
      </c>
      <c r="AE350" s="128">
        <f>Table2[[#This Row],[PUNTUALIDAD (H)]]*24</f>
        <v>0</v>
      </c>
      <c r="AF350" s="127">
        <f t="shared" si="112"/>
        <v>0.82638888889050577</v>
      </c>
      <c r="AG350" s="128">
        <f>Table2[[#This Row],[ATA TO UNLOADING]]*24</f>
        <v>19.833333333372138</v>
      </c>
      <c r="AH350" s="128" t="str">
        <f>IF(Table2[[#This Row],[ATA TO UNLOADING 2]]&lt;=48,"YES","NO")</f>
        <v>YES</v>
      </c>
      <c r="AJ350" s="129">
        <f t="shared" si="113"/>
        <v>0.41666666666424135</v>
      </c>
      <c r="AK350" s="2" t="s">
        <v>64</v>
      </c>
      <c r="AL350" s="2" t="str">
        <f t="shared" si="114"/>
        <v>9/26</v>
      </c>
      <c r="AM350" s="2" t="str">
        <f t="shared" si="115"/>
        <v>MSKU4713108</v>
      </c>
      <c r="AN350" s="130" t="str">
        <f t="shared" si="116"/>
        <v>MSI</v>
      </c>
      <c r="AO350" s="150">
        <f>IF($O350="TRUCK",
VLOOKUP($AU350,Invoicing!$A$16:$B$56,MATCH($AO$1,Invoicing!$A$16:$B$16,0),FALSE)+IF(OR($B350="DCD",$B350="HPD2"),23.5,0),
VLOOKUP($AU350,Invoicing!$N$15:$O$19,MATCH($AO$1,Invoicing!$N$15:$O$15,0),FALSE)+IF(OR($B350="DCD",$B350="HPD2"),23.5,0))</f>
        <v>480</v>
      </c>
      <c r="AP350" s="131" t="e">
        <f>VLOOKUP($E350,Invoicing!$A$1:$H$12,MATCH(TRACKER!$P350,Invoicing!$A$1:$H$1,0),FALSE)</f>
        <v>#N/A</v>
      </c>
      <c r="AQ350" s="131">
        <f>VLOOKUP($E350,Invoicing!$A$1:$H$12,MATCH(TRACKER!$Q$1,Invoicing!$A$1:$H$1,0),FALSE)</f>
        <v>50</v>
      </c>
      <c r="AR350" s="131">
        <f t="shared" si="121"/>
        <v>50</v>
      </c>
      <c r="AS350" s="2">
        <f t="shared" si="117"/>
        <v>4</v>
      </c>
      <c r="AT350" s="2" t="str">
        <f t="shared" si="120"/>
        <v>WEEK</v>
      </c>
      <c r="AU350" s="2" t="str">
        <f t="shared" si="118"/>
        <v>MSIWEEK</v>
      </c>
      <c r="AV350" s="94">
        <f>(IF(ISNA(AP350),AO350+AR350,SUM($AO350,$AR350,IFERROR($AP350,"0"))))+Table2[[#This Row],[WAITING TIMES]]</f>
        <v>530</v>
      </c>
      <c r="AW350" s="94">
        <f>VLOOKUP(AN350,Invoicing!A:K,11,FALSE)</f>
        <v>20</v>
      </c>
      <c r="AY350" s="48"/>
      <c r="AZ350" s="94">
        <f t="shared" si="119"/>
        <v>550</v>
      </c>
      <c r="BA350" s="133">
        <f>VLOOKUP(AN350,Invoicing!A:J,10,FALSE)</f>
        <v>70</v>
      </c>
      <c r="BB350" s="133">
        <f>VLOOKUP(AN350,Invoicing!A:L,12,FALSE)</f>
        <v>1</v>
      </c>
      <c r="BC350" s="2"/>
    </row>
    <row r="351" spans="1:55">
      <c r="A351" s="38" t="s">
        <v>682</v>
      </c>
      <c r="B351" s="3" t="s">
        <v>56</v>
      </c>
      <c r="C351" s="11">
        <v>46078.541666666664</v>
      </c>
      <c r="D351" s="11">
        <v>46078.520833333336</v>
      </c>
      <c r="E351" s="11" t="s">
        <v>71</v>
      </c>
      <c r="F351" s="11" t="s">
        <v>685</v>
      </c>
      <c r="G351" s="11" t="s">
        <v>59</v>
      </c>
      <c r="H351" s="11" t="s">
        <v>68</v>
      </c>
      <c r="I351" s="3" t="s">
        <v>689</v>
      </c>
      <c r="J351" s="86" t="s">
        <v>100</v>
      </c>
      <c r="K351" s="11">
        <v>46079.083333333336</v>
      </c>
      <c r="L351" s="12">
        <v>46079.463888888888</v>
      </c>
      <c r="M351" s="12">
        <v>46079.458333333336</v>
      </c>
      <c r="N351" s="12">
        <v>46079.482638888891</v>
      </c>
      <c r="O351" s="12" t="s">
        <v>63</v>
      </c>
      <c r="P351" s="85" t="s">
        <v>64</v>
      </c>
      <c r="Q351" s="3">
        <v>1</v>
      </c>
      <c r="R351" s="1">
        <f t="shared" si="102"/>
        <v>9</v>
      </c>
      <c r="S351" s="1">
        <f t="shared" si="103"/>
        <v>2</v>
      </c>
      <c r="T351" s="126">
        <f t="shared" si="104"/>
        <v>46079.463888888888</v>
      </c>
      <c r="U351" s="127">
        <f t="shared" si="105"/>
        <v>0.54166666667151731</v>
      </c>
      <c r="V351" s="128">
        <f>Table2[[#This Row],[ATA A OFRECIMIENTO]]*24</f>
        <v>13.000000000116415</v>
      </c>
      <c r="W351" s="1" t="str">
        <f t="shared" si="106"/>
        <v>YES</v>
      </c>
      <c r="X351" s="127">
        <f t="shared" si="107"/>
        <v>0.375</v>
      </c>
      <c r="Y351" s="128">
        <f>Table2[[#This Row],[DEL. AVAILABLE A SLOT]]*24</f>
        <v>9</v>
      </c>
      <c r="Z351" s="1" t="str">
        <f t="shared" si="108"/>
        <v>SI</v>
      </c>
      <c r="AA351" s="127">
        <f t="shared" si="109"/>
        <v>0.91666666667151731</v>
      </c>
      <c r="AB351" s="128">
        <f>Table2[[#This Row],[ATA A TIMESLOT]]*24</f>
        <v>22.000000000116415</v>
      </c>
      <c r="AC351" s="127">
        <f t="shared" si="110"/>
        <v>5.5555555518367328E-3</v>
      </c>
      <c r="AD351" s="127" t="str">
        <f t="shared" si="111"/>
        <v>SI</v>
      </c>
      <c r="AE351" s="128">
        <f>Table2[[#This Row],[PUNTUALIDAD (H)]]*24</f>
        <v>0.13333333324408159</v>
      </c>
      <c r="AF351" s="127">
        <f t="shared" si="112"/>
        <v>0.94097222222626442</v>
      </c>
      <c r="AG351" s="128">
        <f>Table2[[#This Row],[ATA TO UNLOADING]]*24</f>
        <v>22.583333333430346</v>
      </c>
      <c r="AH351" s="128" t="str">
        <f>IF(Table2[[#This Row],[ATA TO UNLOADING 2]]&lt;=48,"YES","NO")</f>
        <v>YES</v>
      </c>
      <c r="AJ351" s="129">
        <f t="shared" si="113"/>
        <v>0.45833333333575865</v>
      </c>
      <c r="AK351" s="2" t="s">
        <v>64</v>
      </c>
      <c r="AL351" s="2" t="str">
        <f t="shared" si="114"/>
        <v>9/26</v>
      </c>
      <c r="AM351" s="2" t="str">
        <f t="shared" si="115"/>
        <v>MRSU3835988</v>
      </c>
      <c r="AN351" s="130" t="str">
        <f t="shared" si="116"/>
        <v>LOGIX</v>
      </c>
      <c r="AO351" s="150">
        <f>IF($O351="TRUCK",
VLOOKUP($AU351,Invoicing!$A$16:$B$56,MATCH($AO$1,Invoicing!$A$16:$B$16,0),FALSE)+IF(OR($B351="DCD",$B351="HPD2"),23.5,0),
VLOOKUP($AU351,Invoicing!$N$15:$O$19,MATCH($AO$1,Invoicing!$N$15:$O$15,0),FALSE)+IF(OR($B351="DCD",$B351="HPD2"),23.5,0))</f>
        <v>550</v>
      </c>
      <c r="AP351" s="131" t="e">
        <f>VLOOKUP($E351,Invoicing!$A$1:$H$12,MATCH(TRACKER!$P351,Invoicing!$A$1:$H$1,0),FALSE)</f>
        <v>#N/A</v>
      </c>
      <c r="AQ351" s="131">
        <f>VLOOKUP($E351,Invoicing!$A$1:$H$12,MATCH(TRACKER!$Q$1,Invoicing!$A$1:$H$1,0),FALSE)</f>
        <v>50</v>
      </c>
      <c r="AR351" s="131">
        <f t="shared" si="121"/>
        <v>50</v>
      </c>
      <c r="AS351" s="2">
        <f t="shared" si="117"/>
        <v>4</v>
      </c>
      <c r="AT351" s="2" t="str">
        <f t="shared" si="120"/>
        <v>WEEK</v>
      </c>
      <c r="AU351" s="2" t="str">
        <f t="shared" si="118"/>
        <v>LOGIXWEEK</v>
      </c>
      <c r="AV351" s="94">
        <f>(IF(ISNA(AP351),AO351+AR351,SUM($AO351,$AR351,IFERROR($AP351,"0"))))+Table2[[#This Row],[WAITING TIMES]]</f>
        <v>600</v>
      </c>
      <c r="AW351" s="94">
        <f>VLOOKUP(AN351,Invoicing!A:K,11,FALSE)</f>
        <v>20</v>
      </c>
      <c r="AY351" s="48"/>
      <c r="AZ351" s="94">
        <f t="shared" si="119"/>
        <v>620</v>
      </c>
      <c r="BA351" s="133">
        <f>VLOOKUP(AN351,Invoicing!A:J,10,FALSE)</f>
        <v>70</v>
      </c>
      <c r="BB351" s="133">
        <f>VLOOKUP(AN351,Invoicing!A:L,12,FALSE)</f>
        <v>1</v>
      </c>
      <c r="BC351" s="2"/>
    </row>
    <row r="352" spans="1:55">
      <c r="A352" s="38" t="s">
        <v>682</v>
      </c>
      <c r="B352" s="3" t="s">
        <v>56</v>
      </c>
      <c r="C352" s="11">
        <v>46078.541666666664</v>
      </c>
      <c r="D352" s="11">
        <v>46078.520833333336</v>
      </c>
      <c r="E352" s="11" t="s">
        <v>98</v>
      </c>
      <c r="F352" s="11" t="s">
        <v>685</v>
      </c>
      <c r="G352" s="11" t="s">
        <v>59</v>
      </c>
      <c r="H352" s="11" t="s">
        <v>68</v>
      </c>
      <c r="I352" s="3" t="s">
        <v>690</v>
      </c>
      <c r="J352" s="86" t="s">
        <v>100</v>
      </c>
      <c r="K352" s="11">
        <v>46079.083333333336</v>
      </c>
      <c r="L352" s="12">
        <v>46079.431250000001</v>
      </c>
      <c r="M352" s="12">
        <v>46079.458333333336</v>
      </c>
      <c r="N352" s="12">
        <v>46079.444444444445</v>
      </c>
      <c r="O352" s="12" t="s">
        <v>63</v>
      </c>
      <c r="P352" s="85" t="s">
        <v>64</v>
      </c>
      <c r="Q352" s="3">
        <v>1</v>
      </c>
      <c r="R352" s="1">
        <f t="shared" si="102"/>
        <v>9</v>
      </c>
      <c r="S352" s="1">
        <f t="shared" si="103"/>
        <v>2</v>
      </c>
      <c r="T352" s="126">
        <f t="shared" si="104"/>
        <v>46079.431250000001</v>
      </c>
      <c r="U352" s="127">
        <f t="shared" si="105"/>
        <v>0.54166666667151731</v>
      </c>
      <c r="V352" s="128">
        <f>Table2[[#This Row],[ATA A OFRECIMIENTO]]*24</f>
        <v>13.000000000116415</v>
      </c>
      <c r="W352" s="1" t="str">
        <f t="shared" si="106"/>
        <v>YES</v>
      </c>
      <c r="X352" s="127">
        <f t="shared" si="107"/>
        <v>0.375</v>
      </c>
      <c r="Y352" s="128">
        <f>Table2[[#This Row],[DEL. AVAILABLE A SLOT]]*24</f>
        <v>9</v>
      </c>
      <c r="Z352" s="1" t="str">
        <f t="shared" si="108"/>
        <v>SI</v>
      </c>
      <c r="AA352" s="127">
        <f t="shared" si="109"/>
        <v>0.91666666667151731</v>
      </c>
      <c r="AB352" s="128">
        <f>Table2[[#This Row],[ATA A TIMESLOT]]*24</f>
        <v>22.000000000116415</v>
      </c>
      <c r="AC352" s="127">
        <f t="shared" si="110"/>
        <v>0</v>
      </c>
      <c r="AD352" s="127" t="str">
        <f t="shared" si="111"/>
        <v>SI</v>
      </c>
      <c r="AE352" s="128">
        <f>Table2[[#This Row],[PUNTUALIDAD (H)]]*24</f>
        <v>0</v>
      </c>
      <c r="AF352" s="127">
        <f t="shared" si="112"/>
        <v>0.90277777778101154</v>
      </c>
      <c r="AG352" s="128">
        <f>Table2[[#This Row],[ATA TO UNLOADING]]*24</f>
        <v>21.666666666744277</v>
      </c>
      <c r="AH352" s="128" t="str">
        <f>IF(Table2[[#This Row],[ATA TO UNLOADING 2]]&lt;=48,"YES","NO")</f>
        <v>YES</v>
      </c>
      <c r="AJ352" s="129">
        <f t="shared" si="113"/>
        <v>0.45833333333575865</v>
      </c>
      <c r="AK352" s="2" t="s">
        <v>64</v>
      </c>
      <c r="AL352" s="2" t="str">
        <f t="shared" si="114"/>
        <v>9/26</v>
      </c>
      <c r="AM352" s="2" t="str">
        <f t="shared" si="115"/>
        <v>MRSU7235317</v>
      </c>
      <c r="AN352" s="130" t="str">
        <f t="shared" si="116"/>
        <v>MSI</v>
      </c>
      <c r="AO352" s="150">
        <f>IF($O352="TRUCK",
VLOOKUP($AU352,Invoicing!$A$16:$B$56,MATCH($AO$1,Invoicing!$A$16:$B$16,0),FALSE)+IF(OR($B352="DCD",$B352="HPD2"),23.5,0),
VLOOKUP($AU352,Invoicing!$N$15:$O$19,MATCH($AO$1,Invoicing!$N$15:$O$15,0),FALSE)+IF(OR($B352="DCD",$B352="HPD2"),23.5,0))</f>
        <v>480</v>
      </c>
      <c r="AP352" s="131" t="e">
        <f>VLOOKUP($E352,Invoicing!$A$1:$H$12,MATCH(TRACKER!$P352,Invoicing!$A$1:$H$1,0),FALSE)</f>
        <v>#N/A</v>
      </c>
      <c r="AQ352" s="131">
        <f>VLOOKUP($E352,Invoicing!$A$1:$H$12,MATCH(TRACKER!$Q$1,Invoicing!$A$1:$H$1,0),FALSE)</f>
        <v>50</v>
      </c>
      <c r="AR352" s="131">
        <f t="shared" si="121"/>
        <v>50</v>
      </c>
      <c r="AS352" s="2">
        <f t="shared" si="117"/>
        <v>4</v>
      </c>
      <c r="AT352" s="2" t="str">
        <f t="shared" si="120"/>
        <v>WEEK</v>
      </c>
      <c r="AU352" s="2" t="str">
        <f t="shared" si="118"/>
        <v>MSIWEEK</v>
      </c>
      <c r="AV352" s="94">
        <f>(IF(ISNA(AP352),AO352+AR352,SUM($AO352,$AR352,IFERROR($AP352,"0"))))+Table2[[#This Row],[WAITING TIMES]]</f>
        <v>530</v>
      </c>
      <c r="AW352" s="94">
        <f>VLOOKUP(AN352,Invoicing!A:K,11,FALSE)</f>
        <v>20</v>
      </c>
      <c r="AY352" s="48"/>
      <c r="AZ352" s="94">
        <f t="shared" si="119"/>
        <v>550</v>
      </c>
      <c r="BA352" s="133">
        <f>VLOOKUP(AN352,Invoicing!A:J,10,FALSE)</f>
        <v>70</v>
      </c>
      <c r="BB352" s="133">
        <f>VLOOKUP(AN352,Invoicing!A:L,12,FALSE)</f>
        <v>1</v>
      </c>
      <c r="BC352" s="2"/>
    </row>
    <row r="353" spans="1:55">
      <c r="A353" s="38" t="s">
        <v>682</v>
      </c>
      <c r="B353" s="3" t="s">
        <v>56</v>
      </c>
      <c r="C353" s="11">
        <v>46078.541666666664</v>
      </c>
      <c r="D353" s="11">
        <v>46078.520833333336</v>
      </c>
      <c r="E353" s="11" t="s">
        <v>73</v>
      </c>
      <c r="F353" s="11" t="s">
        <v>685</v>
      </c>
      <c r="G353" s="11" t="s">
        <v>59</v>
      </c>
      <c r="H353" s="11" t="s">
        <v>68</v>
      </c>
      <c r="I353" s="3" t="s">
        <v>691</v>
      </c>
      <c r="J353" s="86" t="s">
        <v>100</v>
      </c>
      <c r="K353" s="11">
        <v>46079.083333333336</v>
      </c>
      <c r="L353" s="12">
        <v>46079.444444444445</v>
      </c>
      <c r="M353" s="12">
        <v>46079.458333333336</v>
      </c>
      <c r="N353" s="12">
        <v>46079.451388888891</v>
      </c>
      <c r="O353" s="12" t="s">
        <v>63</v>
      </c>
      <c r="P353" s="85" t="s">
        <v>64</v>
      </c>
      <c r="Q353" s="3">
        <v>0</v>
      </c>
      <c r="R353" s="1">
        <f t="shared" si="102"/>
        <v>9</v>
      </c>
      <c r="S353" s="1">
        <f t="shared" si="103"/>
        <v>2</v>
      </c>
      <c r="T353" s="126">
        <f t="shared" si="104"/>
        <v>46079.444444444445</v>
      </c>
      <c r="U353" s="127">
        <f t="shared" si="105"/>
        <v>0.54166666667151731</v>
      </c>
      <c r="V353" s="128">
        <f>Table2[[#This Row],[ATA A OFRECIMIENTO]]*24</f>
        <v>13.000000000116415</v>
      </c>
      <c r="W353" s="1" t="str">
        <f t="shared" si="106"/>
        <v>YES</v>
      </c>
      <c r="X353" s="127">
        <f t="shared" si="107"/>
        <v>0.375</v>
      </c>
      <c r="Y353" s="128">
        <f>Table2[[#This Row],[DEL. AVAILABLE A SLOT]]*24</f>
        <v>9</v>
      </c>
      <c r="Z353" s="1" t="str">
        <f t="shared" si="108"/>
        <v>SI</v>
      </c>
      <c r="AA353" s="127">
        <f t="shared" si="109"/>
        <v>0.91666666667151731</v>
      </c>
      <c r="AB353" s="128">
        <f>Table2[[#This Row],[ATA A TIMESLOT]]*24</f>
        <v>22.000000000116415</v>
      </c>
      <c r="AC353" s="127">
        <f t="shared" si="110"/>
        <v>0</v>
      </c>
      <c r="AD353" s="127" t="str">
        <f t="shared" si="111"/>
        <v>SI</v>
      </c>
      <c r="AE353" s="128">
        <f>Table2[[#This Row],[PUNTUALIDAD (H)]]*24</f>
        <v>0</v>
      </c>
      <c r="AF353" s="127">
        <f t="shared" si="112"/>
        <v>0.90972222222626442</v>
      </c>
      <c r="AG353" s="128">
        <f>Table2[[#This Row],[ATA TO UNLOADING]]*24</f>
        <v>21.833333333430346</v>
      </c>
      <c r="AH353" s="128" t="str">
        <f>IF(Table2[[#This Row],[ATA TO UNLOADING 2]]&lt;=48,"YES","NO")</f>
        <v>YES</v>
      </c>
      <c r="AJ353" s="129">
        <f t="shared" si="113"/>
        <v>0.45833333333575865</v>
      </c>
      <c r="AK353" s="2" t="s">
        <v>64</v>
      </c>
      <c r="AL353" s="2" t="str">
        <f t="shared" si="114"/>
        <v>9/26</v>
      </c>
      <c r="AM353" s="2" t="str">
        <f t="shared" si="115"/>
        <v>MRSU8115234</v>
      </c>
      <c r="AN353" s="130" t="str">
        <f t="shared" si="116"/>
        <v>OTL</v>
      </c>
      <c r="AO353" s="150">
        <f>IF($O353="TRUCK",
VLOOKUP($AU353,Invoicing!$A$16:$B$56,MATCH($AO$1,Invoicing!$A$16:$B$16,0),FALSE)+IF(OR($B353="DCD",$B353="HPD2"),23.5,0),
VLOOKUP($AU353,Invoicing!$N$15:$O$19,MATCH($AO$1,Invoicing!$N$15:$O$15,0),FALSE)+IF(OR($B353="DCD",$B353="HPD2"),23.5,0))</f>
        <v>530</v>
      </c>
      <c r="AP353" s="131" t="e">
        <f>VLOOKUP($E353,Invoicing!$A$1:$H$12,MATCH(TRACKER!$P353,Invoicing!$A$1:$H$1,0),FALSE)</f>
        <v>#N/A</v>
      </c>
      <c r="AQ353" s="131">
        <f>VLOOKUP($E353,Invoicing!$A$1:$H$12,MATCH(TRACKER!$Q$1,Invoicing!$A$1:$H$1,0),FALSE)</f>
        <v>60</v>
      </c>
      <c r="AR353" s="131">
        <f t="shared" si="121"/>
        <v>0</v>
      </c>
      <c r="AS353" s="2">
        <f t="shared" si="117"/>
        <v>4</v>
      </c>
      <c r="AT353" s="2" t="str">
        <f t="shared" si="120"/>
        <v>WEEK</v>
      </c>
      <c r="AU353" s="2" t="str">
        <f t="shared" si="118"/>
        <v>OTLWEEK</v>
      </c>
      <c r="AV353" s="94">
        <f>(IF(ISNA(AP353),AO353+AR353,SUM($AO353,$AR353,IFERROR($AP353,"0"))))+Table2[[#This Row],[WAITING TIMES]]</f>
        <v>530</v>
      </c>
      <c r="AW353" s="94">
        <f>VLOOKUP(AN353,Invoicing!A:K,11,FALSE)</f>
        <v>20</v>
      </c>
      <c r="AY353" s="48"/>
      <c r="AZ353" s="94">
        <f t="shared" si="119"/>
        <v>550</v>
      </c>
      <c r="BA353" s="133">
        <f>VLOOKUP(AN353,Invoicing!A:J,10,FALSE)</f>
        <v>70</v>
      </c>
      <c r="BB353" s="133">
        <f>VLOOKUP(AN353,Invoicing!A:L,12,FALSE)</f>
        <v>1</v>
      </c>
      <c r="BC353" s="2"/>
    </row>
    <row r="354" spans="1:55">
      <c r="A354" s="38" t="s">
        <v>682</v>
      </c>
      <c r="B354" s="3" t="s">
        <v>56</v>
      </c>
      <c r="C354" s="11">
        <v>46078.541666666664</v>
      </c>
      <c r="D354" s="11">
        <v>46078.520833333336</v>
      </c>
      <c r="E354" s="11" t="s">
        <v>73</v>
      </c>
      <c r="F354" s="11" t="s">
        <v>685</v>
      </c>
      <c r="G354" s="11" t="s">
        <v>59</v>
      </c>
      <c r="H354" s="11" t="s">
        <v>68</v>
      </c>
      <c r="I354" s="3" t="s">
        <v>692</v>
      </c>
      <c r="J354" s="86" t="s">
        <v>62</v>
      </c>
      <c r="K354" s="11">
        <v>46079.083333333336</v>
      </c>
      <c r="L354" s="12">
        <v>46079.663888888892</v>
      </c>
      <c r="M354" s="12">
        <v>46079.541666666664</v>
      </c>
      <c r="N354" s="12">
        <v>46079.597222222219</v>
      </c>
      <c r="O354" s="12" t="s">
        <v>63</v>
      </c>
      <c r="P354" s="85" t="s">
        <v>64</v>
      </c>
      <c r="Q354" s="3">
        <v>1</v>
      </c>
      <c r="R354" s="1">
        <f t="shared" si="102"/>
        <v>9</v>
      </c>
      <c r="S354" s="1">
        <f t="shared" si="103"/>
        <v>2</v>
      </c>
      <c r="T354" s="126">
        <f t="shared" si="104"/>
        <v>46079.663888888892</v>
      </c>
      <c r="U354" s="127">
        <f t="shared" si="105"/>
        <v>0.54166666667151731</v>
      </c>
      <c r="V354" s="128">
        <f>Table2[[#This Row],[ATA A OFRECIMIENTO]]*24</f>
        <v>13.000000000116415</v>
      </c>
      <c r="W354" s="1" t="str">
        <f t="shared" si="106"/>
        <v>YES</v>
      </c>
      <c r="X354" s="127">
        <f t="shared" si="107"/>
        <v>0.45833333332848269</v>
      </c>
      <c r="Y354" s="128">
        <f>Table2[[#This Row],[DEL. AVAILABLE A SLOT]]*24</f>
        <v>10.999999999883585</v>
      </c>
      <c r="Z354" s="1" t="str">
        <f t="shared" si="108"/>
        <v>SI</v>
      </c>
      <c r="AA354" s="127">
        <f t="shared" si="109"/>
        <v>1</v>
      </c>
      <c r="AB354" s="128">
        <f>Table2[[#This Row],[ATA A TIMESLOT]]*24</f>
        <v>24</v>
      </c>
      <c r="AC354" s="127">
        <f t="shared" si="110"/>
        <v>0.12222222222771961</v>
      </c>
      <c r="AD354" s="127" t="str">
        <f t="shared" si="111"/>
        <v>NO</v>
      </c>
      <c r="AE354" s="128">
        <f>Table2[[#This Row],[PUNTUALIDAD (H)]]*24</f>
        <v>2.9333333334652707</v>
      </c>
      <c r="AF354" s="127">
        <f t="shared" si="112"/>
        <v>1.0555555555547471</v>
      </c>
      <c r="AG354" s="128">
        <f>Table2[[#This Row],[ATA TO UNLOADING]]*24</f>
        <v>25.333333333313931</v>
      </c>
      <c r="AH354" s="128" t="str">
        <f>IF(Table2[[#This Row],[ATA TO UNLOADING 2]]&lt;=48,"YES","NO")</f>
        <v>YES</v>
      </c>
      <c r="AJ354" s="129">
        <f t="shared" si="113"/>
        <v>0.54166666666424135</v>
      </c>
      <c r="AK354" s="2" t="s">
        <v>64</v>
      </c>
      <c r="AL354" s="2" t="str">
        <f t="shared" si="114"/>
        <v>9/26</v>
      </c>
      <c r="AM354" s="2" t="str">
        <f t="shared" si="115"/>
        <v>CAIU3534953</v>
      </c>
      <c r="AN354" s="130" t="str">
        <f t="shared" si="116"/>
        <v>OTL</v>
      </c>
      <c r="AO354" s="150">
        <f>IF($O354="TRUCK",
VLOOKUP($AU354,Invoicing!$A$16:$B$56,MATCH($AO$1,Invoicing!$A$16:$B$16,0),FALSE)+IF(OR($B354="DCD",$B354="HPD2"),23.5,0),
VLOOKUP($AU354,Invoicing!$N$15:$O$19,MATCH($AO$1,Invoicing!$N$15:$O$15,0),FALSE)+IF(OR($B354="DCD",$B354="HPD2"),23.5,0))</f>
        <v>530</v>
      </c>
      <c r="AP354" s="131" t="e">
        <f>VLOOKUP($E354,Invoicing!$A$1:$H$12,MATCH(TRACKER!$P354,Invoicing!$A$1:$H$1,0),FALSE)</f>
        <v>#N/A</v>
      </c>
      <c r="AQ354" s="131">
        <f>VLOOKUP($E354,Invoicing!$A$1:$H$12,MATCH(TRACKER!$Q$1,Invoicing!$A$1:$H$1,0),FALSE)</f>
        <v>60</v>
      </c>
      <c r="AR354" s="131">
        <f t="shared" si="121"/>
        <v>60</v>
      </c>
      <c r="AS354" s="2">
        <f t="shared" si="117"/>
        <v>4</v>
      </c>
      <c r="AT354" s="2" t="str">
        <f t="shared" si="120"/>
        <v>WEEK</v>
      </c>
      <c r="AU354" s="2" t="str">
        <f t="shared" si="118"/>
        <v>OTLWEEK</v>
      </c>
      <c r="AV354" s="94">
        <f>(IF(ISNA(AP354),AO354+AR354,SUM($AO354,$AR354,IFERROR($AP354,"0"))))+Table2[[#This Row],[WAITING TIMES]]</f>
        <v>590</v>
      </c>
      <c r="AW354" s="94">
        <f>VLOOKUP(AN354,Invoicing!A:K,11,FALSE)</f>
        <v>20</v>
      </c>
      <c r="AY354" s="48"/>
      <c r="AZ354" s="94">
        <f t="shared" si="119"/>
        <v>610</v>
      </c>
      <c r="BA354" s="133">
        <f>VLOOKUP(AN354,Invoicing!A:J,10,FALSE)</f>
        <v>70</v>
      </c>
      <c r="BB354" s="133">
        <f>VLOOKUP(AN354,Invoicing!A:L,12,FALSE)</f>
        <v>1</v>
      </c>
      <c r="BC354" s="2"/>
    </row>
    <row r="355" spans="1:55">
      <c r="A355" s="38" t="s">
        <v>682</v>
      </c>
      <c r="B355" s="3" t="s">
        <v>56</v>
      </c>
      <c r="C355" s="11">
        <v>46078.541666666664</v>
      </c>
      <c r="D355" s="11">
        <v>46078.520833333336</v>
      </c>
      <c r="E355" s="11" t="s">
        <v>83</v>
      </c>
      <c r="F355" s="11" t="s">
        <v>685</v>
      </c>
      <c r="G355" s="11" t="s">
        <v>59</v>
      </c>
      <c r="H355" s="11" t="s">
        <v>68</v>
      </c>
      <c r="I355" s="3" t="s">
        <v>693</v>
      </c>
      <c r="J355" s="86" t="s">
        <v>100</v>
      </c>
      <c r="K355" s="11">
        <v>46079.083333333336</v>
      </c>
      <c r="L355" s="12">
        <v>46079.576388888891</v>
      </c>
      <c r="M355" s="12">
        <v>46079.583333333336</v>
      </c>
      <c r="N355" s="12">
        <v>46079.583333333336</v>
      </c>
      <c r="O355" s="12" t="s">
        <v>63</v>
      </c>
      <c r="P355" s="85" t="s">
        <v>64</v>
      </c>
      <c r="Q355" s="3">
        <v>0</v>
      </c>
      <c r="R355" s="1">
        <f t="shared" si="102"/>
        <v>9</v>
      </c>
      <c r="S355" s="1">
        <f t="shared" si="103"/>
        <v>2</v>
      </c>
      <c r="T355" s="126">
        <f t="shared" si="104"/>
        <v>46079.576388888891</v>
      </c>
      <c r="U355" s="127">
        <f t="shared" si="105"/>
        <v>0.54166666667151731</v>
      </c>
      <c r="V355" s="128">
        <f>Table2[[#This Row],[ATA A OFRECIMIENTO]]*24</f>
        <v>13.000000000116415</v>
      </c>
      <c r="W355" s="1" t="str">
        <f t="shared" si="106"/>
        <v>YES</v>
      </c>
      <c r="X355" s="127">
        <f t="shared" si="107"/>
        <v>0.5</v>
      </c>
      <c r="Y355" s="128">
        <f>Table2[[#This Row],[DEL. AVAILABLE A SLOT]]*24</f>
        <v>12</v>
      </c>
      <c r="Z355" s="1" t="str">
        <f t="shared" si="108"/>
        <v>SI</v>
      </c>
      <c r="AA355" s="127">
        <f t="shared" si="109"/>
        <v>1.0416666666715173</v>
      </c>
      <c r="AB355" s="128">
        <f>Table2[[#This Row],[ATA A TIMESLOT]]*24</f>
        <v>25.000000000116415</v>
      </c>
      <c r="AC355" s="127">
        <f t="shared" si="110"/>
        <v>0</v>
      </c>
      <c r="AD355" s="127" t="str">
        <f t="shared" si="111"/>
        <v>SI</v>
      </c>
      <c r="AE355" s="128">
        <f>Table2[[#This Row],[PUNTUALIDAD (H)]]*24</f>
        <v>0</v>
      </c>
      <c r="AF355" s="127">
        <f t="shared" si="112"/>
        <v>1.0416666666715173</v>
      </c>
      <c r="AG355" s="128">
        <f>Table2[[#This Row],[ATA TO UNLOADING]]*24</f>
        <v>25.000000000116415</v>
      </c>
      <c r="AH355" s="128" t="str">
        <f>IF(Table2[[#This Row],[ATA TO UNLOADING 2]]&lt;=48,"YES","NO")</f>
        <v>YES</v>
      </c>
      <c r="AJ355" s="129">
        <f t="shared" si="113"/>
        <v>0.58333333333575865</v>
      </c>
      <c r="AK355" s="2" t="s">
        <v>64</v>
      </c>
      <c r="AL355" s="2" t="str">
        <f t="shared" si="114"/>
        <v>9/26</v>
      </c>
      <c r="AM355" s="2" t="str">
        <f t="shared" si="115"/>
        <v>GCXU5780176</v>
      </c>
      <c r="AN355" s="130" t="str">
        <f t="shared" si="116"/>
        <v>OM TRANSPORT</v>
      </c>
      <c r="AO355" s="150">
        <f>IF($O355="TRUCK",
VLOOKUP($AU355,Invoicing!$A$16:$B$56,MATCH($AO$1,Invoicing!$A$16:$B$16,0),FALSE)+IF(OR($B355="DCD",$B355="HPD2"),23.5,0),
VLOOKUP($AU355,Invoicing!$N$15:$O$19,MATCH($AO$1,Invoicing!$N$15:$O$15,0),FALSE)+IF(OR($B355="DCD",$B355="HPD2"),23.5,0))</f>
        <v>475</v>
      </c>
      <c r="AP355" s="131" t="e">
        <f>VLOOKUP($E355,Invoicing!$A$1:$H$12,MATCH(TRACKER!$P355,Invoicing!$A$1:$H$1,0),FALSE)</f>
        <v>#N/A</v>
      </c>
      <c r="AQ355" s="131">
        <f>VLOOKUP($E355,Invoicing!$A$1:$H$12,MATCH(TRACKER!$Q$1,Invoicing!$A$1:$H$1,0),FALSE)</f>
        <v>50</v>
      </c>
      <c r="AR355" s="131">
        <f t="shared" si="121"/>
        <v>0</v>
      </c>
      <c r="AS355" s="2">
        <f t="shared" si="117"/>
        <v>4</v>
      </c>
      <c r="AT355" s="2" t="str">
        <f t="shared" si="120"/>
        <v>WEEK</v>
      </c>
      <c r="AU355" s="2" t="str">
        <f t="shared" si="118"/>
        <v>OM TRANSPORTWEEK</v>
      </c>
      <c r="AV355" s="94">
        <f>(IF(ISNA(AP355),AO355+AR355,SUM($AO355,$AR355,IFERROR($AP355,"0"))))+Table2[[#This Row],[WAITING TIMES]]</f>
        <v>475</v>
      </c>
      <c r="AW355" s="94">
        <f>VLOOKUP(AN355,Invoicing!A:K,11,FALSE)</f>
        <v>20</v>
      </c>
      <c r="AY355" s="48"/>
      <c r="AZ355" s="94">
        <f t="shared" si="119"/>
        <v>495</v>
      </c>
      <c r="BA355" s="133">
        <f>VLOOKUP(AN355,Invoicing!A:J,10,FALSE)</f>
        <v>70</v>
      </c>
      <c r="BB355" s="133">
        <f>VLOOKUP(AN355,Invoicing!A:L,12,FALSE)</f>
        <v>1</v>
      </c>
      <c r="BC355" s="2"/>
    </row>
    <row r="356" spans="1:55">
      <c r="A356" s="38" t="s">
        <v>682</v>
      </c>
      <c r="B356" s="3" t="s">
        <v>56</v>
      </c>
      <c r="C356" s="11">
        <v>46078.541666666664</v>
      </c>
      <c r="D356" s="11">
        <v>46078.520833333336</v>
      </c>
      <c r="E356" s="11" t="s">
        <v>98</v>
      </c>
      <c r="F356" s="11" t="s">
        <v>694</v>
      </c>
      <c r="G356" s="11" t="s">
        <v>59</v>
      </c>
      <c r="H356" s="11" t="s">
        <v>266</v>
      </c>
      <c r="I356" s="3" t="s">
        <v>695</v>
      </c>
      <c r="J356" s="86" t="s">
        <v>82</v>
      </c>
      <c r="K356" s="11">
        <v>46079.083333333336</v>
      </c>
      <c r="L356" s="12">
        <v>46079.569444444445</v>
      </c>
      <c r="M356" s="12">
        <v>46079.625</v>
      </c>
      <c r="N356" s="12">
        <v>46079.607638888891</v>
      </c>
      <c r="O356" s="12" t="s">
        <v>63</v>
      </c>
      <c r="P356" s="85" t="s">
        <v>64</v>
      </c>
      <c r="Q356" s="3">
        <v>0</v>
      </c>
      <c r="R356" s="1">
        <f t="shared" si="102"/>
        <v>9</v>
      </c>
      <c r="S356" s="1">
        <f t="shared" si="103"/>
        <v>2</v>
      </c>
      <c r="T356" s="126">
        <f t="shared" si="104"/>
        <v>46079.569444444445</v>
      </c>
      <c r="U356" s="127">
        <f t="shared" si="105"/>
        <v>0.54166666667151731</v>
      </c>
      <c r="V356" s="128">
        <f>Table2[[#This Row],[ATA A OFRECIMIENTO]]*24</f>
        <v>13.000000000116415</v>
      </c>
      <c r="W356" s="1" t="str">
        <f t="shared" si="106"/>
        <v>YES</v>
      </c>
      <c r="X356" s="127">
        <f t="shared" si="107"/>
        <v>0.54166666666424135</v>
      </c>
      <c r="Y356" s="128">
        <f>Table2[[#This Row],[DEL. AVAILABLE A SLOT]]*24</f>
        <v>12.999999999941792</v>
      </c>
      <c r="Z356" s="1" t="str">
        <f t="shared" si="108"/>
        <v>SI</v>
      </c>
      <c r="AA356" s="127">
        <f t="shared" si="109"/>
        <v>1.0833333333357587</v>
      </c>
      <c r="AB356" s="128">
        <f>Table2[[#This Row],[ATA A TIMESLOT]]*24</f>
        <v>26.000000000058208</v>
      </c>
      <c r="AC356" s="127">
        <f t="shared" si="110"/>
        <v>0</v>
      </c>
      <c r="AD356" s="127" t="str">
        <f t="shared" si="111"/>
        <v>SI</v>
      </c>
      <c r="AE356" s="128">
        <f>Table2[[#This Row],[PUNTUALIDAD (H)]]*24</f>
        <v>0</v>
      </c>
      <c r="AF356" s="127">
        <f t="shared" si="112"/>
        <v>1.0659722222262644</v>
      </c>
      <c r="AG356" s="128">
        <f>Table2[[#This Row],[ATA TO UNLOADING]]*24</f>
        <v>25.583333333430346</v>
      </c>
      <c r="AH356" s="128" t="str">
        <f>IF(Table2[[#This Row],[ATA TO UNLOADING 2]]&lt;=48,"YES","NO")</f>
        <v>YES</v>
      </c>
      <c r="AJ356" s="129">
        <f t="shared" si="113"/>
        <v>0.625</v>
      </c>
      <c r="AK356" s="2" t="s">
        <v>64</v>
      </c>
      <c r="AL356" s="2" t="str">
        <f t="shared" si="114"/>
        <v>9/26</v>
      </c>
      <c r="AM356" s="2" t="str">
        <f t="shared" si="115"/>
        <v>MRKU9452788</v>
      </c>
      <c r="AN356" s="130" t="str">
        <f t="shared" si="116"/>
        <v>MSI</v>
      </c>
      <c r="AO356" s="150">
        <f>IF($O356="TRUCK",
VLOOKUP($AU356,Invoicing!$A$16:$B$56,MATCH($AO$1,Invoicing!$A$16:$B$16,0),FALSE)+IF(OR($B356="DCD",$B356="HPD2"),23.5,0),
VLOOKUP($AU356,Invoicing!$N$15:$O$19,MATCH($AO$1,Invoicing!$N$15:$O$15,0),FALSE)+IF(OR($B356="DCD",$B356="HPD2"),23.5,0))</f>
        <v>480</v>
      </c>
      <c r="AP356" s="131" t="e">
        <f>VLOOKUP($E356,Invoicing!$A$1:$H$12,MATCH(TRACKER!$P356,Invoicing!$A$1:$H$1,0),FALSE)</f>
        <v>#N/A</v>
      </c>
      <c r="AQ356" s="131">
        <f>VLOOKUP($E356,Invoicing!$A$1:$H$12,MATCH(TRACKER!$Q$1,Invoicing!$A$1:$H$1,0),FALSE)</f>
        <v>50</v>
      </c>
      <c r="AR356" s="131">
        <f t="shared" si="121"/>
        <v>0</v>
      </c>
      <c r="AS356" s="2">
        <f t="shared" si="117"/>
        <v>4</v>
      </c>
      <c r="AT356" s="2" t="str">
        <f t="shared" si="120"/>
        <v>WEEK</v>
      </c>
      <c r="AU356" s="2" t="str">
        <f t="shared" si="118"/>
        <v>MSIWEEK</v>
      </c>
      <c r="AV356" s="94">
        <f>(IF(ISNA(AP356),AO356+AR356,SUM($AO356,$AR356,IFERROR($AP356,"0"))))+Table2[[#This Row],[WAITING TIMES]]</f>
        <v>480</v>
      </c>
      <c r="AW356" s="94">
        <f>VLOOKUP(AN356,Invoicing!A:K,11,FALSE)</f>
        <v>20</v>
      </c>
      <c r="AY356" s="48"/>
      <c r="AZ356" s="94">
        <f t="shared" si="119"/>
        <v>500</v>
      </c>
      <c r="BA356" s="133">
        <f>VLOOKUP(AN356,Invoicing!A:J,10,FALSE)</f>
        <v>70</v>
      </c>
      <c r="BB356" s="133">
        <f>VLOOKUP(AN356,Invoicing!A:L,12,FALSE)</f>
        <v>1</v>
      </c>
      <c r="BC356" s="2"/>
    </row>
    <row r="357" spans="1:55">
      <c r="A357" s="38" t="s">
        <v>682</v>
      </c>
      <c r="B357" s="3" t="s">
        <v>56</v>
      </c>
      <c r="C357" s="11">
        <v>46078.541666666664</v>
      </c>
      <c r="D357" s="11">
        <v>46078.520833333336</v>
      </c>
      <c r="E357" s="11" t="s">
        <v>71</v>
      </c>
      <c r="F357" s="11" t="s">
        <v>687</v>
      </c>
      <c r="G357" s="11" t="s">
        <v>59</v>
      </c>
      <c r="H357" s="11" t="s">
        <v>60</v>
      </c>
      <c r="I357" s="3" t="s">
        <v>696</v>
      </c>
      <c r="J357" s="86" t="s">
        <v>100</v>
      </c>
      <c r="K357" s="11">
        <v>46079.083333333336</v>
      </c>
      <c r="L357" s="12">
        <v>46079.661805555559</v>
      </c>
      <c r="M357" s="12">
        <v>46079.666666666664</v>
      </c>
      <c r="N357" s="12">
        <v>46079.673611111109</v>
      </c>
      <c r="O357" s="12" t="s">
        <v>63</v>
      </c>
      <c r="P357" s="85" t="s">
        <v>64</v>
      </c>
      <c r="Q357" s="3">
        <v>2</v>
      </c>
      <c r="R357" s="1">
        <f t="shared" si="102"/>
        <v>9</v>
      </c>
      <c r="S357" s="1">
        <f t="shared" si="103"/>
        <v>2</v>
      </c>
      <c r="T357" s="126">
        <f t="shared" si="104"/>
        <v>46079.661805555559</v>
      </c>
      <c r="U357" s="127">
        <f t="shared" si="105"/>
        <v>0.54166666667151731</v>
      </c>
      <c r="V357" s="128">
        <f>Table2[[#This Row],[ATA A OFRECIMIENTO]]*24</f>
        <v>13.000000000116415</v>
      </c>
      <c r="W357" s="1" t="str">
        <f t="shared" si="106"/>
        <v>YES</v>
      </c>
      <c r="X357" s="127">
        <f t="shared" si="107"/>
        <v>0.58333333332848269</v>
      </c>
      <c r="Y357" s="128">
        <f>Table2[[#This Row],[DEL. AVAILABLE A SLOT]]*24</f>
        <v>13.999999999883585</v>
      </c>
      <c r="Z357" s="1" t="str">
        <f t="shared" si="108"/>
        <v>SI</v>
      </c>
      <c r="AA357" s="127">
        <f t="shared" si="109"/>
        <v>1.125</v>
      </c>
      <c r="AB357" s="128">
        <f>Table2[[#This Row],[ATA A TIMESLOT]]*24</f>
        <v>27</v>
      </c>
      <c r="AC357" s="127">
        <f t="shared" si="110"/>
        <v>0</v>
      </c>
      <c r="AD357" s="127" t="str">
        <f t="shared" si="111"/>
        <v>SI</v>
      </c>
      <c r="AE357" s="128">
        <f>Table2[[#This Row],[PUNTUALIDAD (H)]]*24</f>
        <v>0</v>
      </c>
      <c r="AF357" s="127">
        <f t="shared" si="112"/>
        <v>1.1319444444452529</v>
      </c>
      <c r="AG357" s="128">
        <f>Table2[[#This Row],[ATA TO UNLOADING]]*24</f>
        <v>27.166666666686069</v>
      </c>
      <c r="AH357" s="128" t="str">
        <f>IF(Table2[[#This Row],[ATA TO UNLOADING 2]]&lt;=48,"YES","NO")</f>
        <v>YES</v>
      </c>
      <c r="AJ357" s="129">
        <f t="shared" si="113"/>
        <v>0.66666666666424135</v>
      </c>
      <c r="AK357" s="2" t="s">
        <v>64</v>
      </c>
      <c r="AL357" s="2" t="str">
        <f t="shared" si="114"/>
        <v>9/26</v>
      </c>
      <c r="AM357" s="2" t="str">
        <f t="shared" si="115"/>
        <v>MSKU4708821</v>
      </c>
      <c r="AN357" s="130" t="str">
        <f t="shared" si="116"/>
        <v>LOGIX</v>
      </c>
      <c r="AO357" s="150">
        <f>IF($O357="TRUCK",
VLOOKUP($AU357,Invoicing!$A$16:$B$56,MATCH($AO$1,Invoicing!$A$16:$B$16,0),FALSE)+IF(OR($B357="DCD",$B357="HPD2"),23.5,0),
VLOOKUP($AU357,Invoicing!$N$15:$O$19,MATCH($AO$1,Invoicing!$N$15:$O$15,0),FALSE)+IF(OR($B357="DCD",$B357="HPD2"),23.5,0))</f>
        <v>550</v>
      </c>
      <c r="AP357" s="131" t="e">
        <f>VLOOKUP($E357,Invoicing!$A$1:$H$12,MATCH(TRACKER!$P357,Invoicing!$A$1:$H$1,0),FALSE)</f>
        <v>#N/A</v>
      </c>
      <c r="AQ357" s="131">
        <f>VLOOKUP($E357,Invoicing!$A$1:$H$12,MATCH(TRACKER!$Q$1,Invoicing!$A$1:$H$1,0),FALSE)</f>
        <v>50</v>
      </c>
      <c r="AR357" s="131">
        <f t="shared" si="121"/>
        <v>100</v>
      </c>
      <c r="AS357" s="2">
        <f t="shared" si="117"/>
        <v>4</v>
      </c>
      <c r="AT357" s="2" t="str">
        <f t="shared" si="120"/>
        <v>WEEK</v>
      </c>
      <c r="AU357" s="2" t="str">
        <f t="shared" si="118"/>
        <v>LOGIXWEEK</v>
      </c>
      <c r="AV357" s="94">
        <f>(IF(ISNA(AP357),AO357+AR357,SUM($AO357,$AR357,IFERROR($AP357,"0"))))+Table2[[#This Row],[WAITING TIMES]]</f>
        <v>650</v>
      </c>
      <c r="AW357" s="94">
        <f>VLOOKUP(AN357,Invoicing!A:K,11,FALSE)</f>
        <v>20</v>
      </c>
      <c r="AY357" s="48"/>
      <c r="AZ357" s="94">
        <f t="shared" si="119"/>
        <v>670</v>
      </c>
      <c r="BA357" s="133">
        <f>VLOOKUP(AN357,Invoicing!A:J,10,FALSE)</f>
        <v>70</v>
      </c>
      <c r="BB357" s="133">
        <f>VLOOKUP(AN357,Invoicing!A:L,12,FALSE)</f>
        <v>1</v>
      </c>
      <c r="BC357" s="2"/>
    </row>
    <row r="358" spans="1:55">
      <c r="A358" s="38" t="s">
        <v>682</v>
      </c>
      <c r="B358" s="3" t="s">
        <v>56</v>
      </c>
      <c r="C358" s="11">
        <v>46078.541666666664</v>
      </c>
      <c r="D358" s="11">
        <v>46078.520833333336</v>
      </c>
      <c r="E358" s="11" t="s">
        <v>71</v>
      </c>
      <c r="F358" s="11" t="s">
        <v>685</v>
      </c>
      <c r="G358" s="11" t="s">
        <v>59</v>
      </c>
      <c r="H358" s="11" t="s">
        <v>68</v>
      </c>
      <c r="I358" s="3" t="s">
        <v>697</v>
      </c>
      <c r="J358" s="86" t="s">
        <v>100</v>
      </c>
      <c r="K358" s="11">
        <v>46079.083333333336</v>
      </c>
      <c r="L358" s="12">
        <v>46079.82916666667</v>
      </c>
      <c r="M358" s="12">
        <v>46079.791666666664</v>
      </c>
      <c r="N358" s="12">
        <v>46079.836805555555</v>
      </c>
      <c r="O358" s="12" t="s">
        <v>63</v>
      </c>
      <c r="P358" s="85" t="s">
        <v>64</v>
      </c>
      <c r="Q358" s="3">
        <v>1</v>
      </c>
      <c r="R358" s="1">
        <f t="shared" si="102"/>
        <v>9</v>
      </c>
      <c r="S358" s="1">
        <f t="shared" si="103"/>
        <v>2</v>
      </c>
      <c r="T358" s="126">
        <f t="shared" si="104"/>
        <v>46079.82916666667</v>
      </c>
      <c r="U358" s="127">
        <f t="shared" si="105"/>
        <v>0.54166666667151731</v>
      </c>
      <c r="V358" s="128">
        <f>Table2[[#This Row],[ATA A OFRECIMIENTO]]*24</f>
        <v>13.000000000116415</v>
      </c>
      <c r="W358" s="1" t="str">
        <f t="shared" si="106"/>
        <v>YES</v>
      </c>
      <c r="X358" s="127">
        <f t="shared" si="107"/>
        <v>0.70833333332848269</v>
      </c>
      <c r="Y358" s="128">
        <f>Table2[[#This Row],[DEL. AVAILABLE A SLOT]]*24</f>
        <v>16.999999999883585</v>
      </c>
      <c r="Z358" s="1" t="str">
        <f t="shared" si="108"/>
        <v>SI</v>
      </c>
      <c r="AA358" s="127">
        <f t="shared" si="109"/>
        <v>1.25</v>
      </c>
      <c r="AB358" s="128">
        <f>Table2[[#This Row],[ATA A TIMESLOT]]*24</f>
        <v>30</v>
      </c>
      <c r="AC358" s="127">
        <f t="shared" si="110"/>
        <v>3.7500000005820766E-2</v>
      </c>
      <c r="AD358" s="127" t="str">
        <f t="shared" si="111"/>
        <v>NO</v>
      </c>
      <c r="AE358" s="128">
        <f>Table2[[#This Row],[PUNTUALIDAD (H)]]*24</f>
        <v>0.90000000013969839</v>
      </c>
      <c r="AF358" s="127">
        <f t="shared" si="112"/>
        <v>1.2951388888905058</v>
      </c>
      <c r="AG358" s="128">
        <f>Table2[[#This Row],[ATA TO UNLOADING]]*24</f>
        <v>31.083333333372138</v>
      </c>
      <c r="AH358" s="128" t="str">
        <f>IF(Table2[[#This Row],[ATA TO UNLOADING 2]]&lt;=48,"YES","NO")</f>
        <v>YES</v>
      </c>
      <c r="AJ358" s="129">
        <f t="shared" si="113"/>
        <v>0.79166666666424135</v>
      </c>
      <c r="AK358" s="2" t="s">
        <v>64</v>
      </c>
      <c r="AL358" s="2" t="str">
        <f t="shared" si="114"/>
        <v>9/26</v>
      </c>
      <c r="AM358" s="2" t="str">
        <f t="shared" si="115"/>
        <v>TCKU7991263</v>
      </c>
      <c r="AN358" s="130" t="str">
        <f t="shared" si="116"/>
        <v>LOGIX</v>
      </c>
      <c r="AO358" s="150">
        <f>IF($O358="TRUCK",
VLOOKUP($AU358,Invoicing!$A$16:$B$56,MATCH($AO$1,Invoicing!$A$16:$B$16,0),FALSE)+IF(OR($B358="DCD",$B358="HPD2"),23.5,0),
VLOOKUP($AU358,Invoicing!$N$15:$O$19,MATCH($AO$1,Invoicing!$N$15:$O$15,0),FALSE)+IF(OR($B358="DCD",$B358="HPD2"),23.5,0))</f>
        <v>550</v>
      </c>
      <c r="AP358" s="131" t="e">
        <f>VLOOKUP($E358,Invoicing!$A$1:$H$12,MATCH(TRACKER!$P358,Invoicing!$A$1:$H$1,0),FALSE)</f>
        <v>#N/A</v>
      </c>
      <c r="AQ358" s="131">
        <f>VLOOKUP($E358,Invoicing!$A$1:$H$12,MATCH(TRACKER!$Q$1,Invoicing!$A$1:$H$1,0),FALSE)</f>
        <v>50</v>
      </c>
      <c r="AR358" s="131">
        <f t="shared" si="121"/>
        <v>50</v>
      </c>
      <c r="AS358" s="2">
        <f t="shared" si="117"/>
        <v>4</v>
      </c>
      <c r="AT358" s="2" t="str">
        <f t="shared" si="120"/>
        <v>WEEK</v>
      </c>
      <c r="AU358" s="2" t="str">
        <f t="shared" si="118"/>
        <v>LOGIXWEEK</v>
      </c>
      <c r="AV358" s="94">
        <f>(IF(ISNA(AP358),AO358+AR358,SUM($AO358,$AR358,IFERROR($AP358,"0"))))+Table2[[#This Row],[WAITING TIMES]]</f>
        <v>600</v>
      </c>
      <c r="AW358" s="94">
        <f>VLOOKUP(AN358,Invoicing!A:K,11,FALSE)</f>
        <v>20</v>
      </c>
      <c r="AY358" s="48"/>
      <c r="AZ358" s="94">
        <f t="shared" si="119"/>
        <v>620</v>
      </c>
      <c r="BA358" s="133">
        <f>VLOOKUP(AN358,Invoicing!A:J,10,FALSE)</f>
        <v>70</v>
      </c>
      <c r="BB358" s="133">
        <f>VLOOKUP(AN358,Invoicing!A:L,12,FALSE)</f>
        <v>1</v>
      </c>
      <c r="BC358" s="2"/>
    </row>
    <row r="359" spans="1:55">
      <c r="A359" s="38" t="s">
        <v>658</v>
      </c>
      <c r="B359" s="3" t="s">
        <v>77</v>
      </c>
      <c r="C359" s="11">
        <v>46079.576388888891</v>
      </c>
      <c r="D359" s="11">
        <v>46079.583333333336</v>
      </c>
      <c r="E359" s="11" t="s">
        <v>98</v>
      </c>
      <c r="F359" s="11" t="s">
        <v>663</v>
      </c>
      <c r="G359" s="11" t="s">
        <v>59</v>
      </c>
      <c r="H359" s="11" t="s">
        <v>91</v>
      </c>
      <c r="I359" s="3" t="s">
        <v>698</v>
      </c>
      <c r="J359" s="86" t="s">
        <v>82</v>
      </c>
      <c r="K359" s="11">
        <v>46080.291666666664</v>
      </c>
      <c r="L359" s="12">
        <v>46080.279166666667</v>
      </c>
      <c r="M359" s="12">
        <v>46080.291666666664</v>
      </c>
      <c r="N359" s="12">
        <v>46080.322916666664</v>
      </c>
      <c r="O359" s="12" t="s">
        <v>63</v>
      </c>
      <c r="P359" s="85" t="s">
        <v>15</v>
      </c>
      <c r="Q359" s="3">
        <v>0</v>
      </c>
      <c r="R359" s="1">
        <f t="shared" si="102"/>
        <v>9</v>
      </c>
      <c r="S359" s="1">
        <f t="shared" si="103"/>
        <v>2</v>
      </c>
      <c r="T359" s="126">
        <f t="shared" si="104"/>
        <v>46080.279166666667</v>
      </c>
      <c r="U359" s="127">
        <f t="shared" si="105"/>
        <v>0.71527777777373558</v>
      </c>
      <c r="V359" s="128">
        <f>Table2[[#This Row],[ATA A OFRECIMIENTO]]*24</f>
        <v>17.166666666569654</v>
      </c>
      <c r="W359" s="1" t="str">
        <f t="shared" si="106"/>
        <v>YES</v>
      </c>
      <c r="X359" s="127">
        <f t="shared" si="107"/>
        <v>0</v>
      </c>
      <c r="Y359" s="128">
        <f>Table2[[#This Row],[DEL. AVAILABLE A SLOT]]*24</f>
        <v>0</v>
      </c>
      <c r="Z359" s="1" t="str">
        <f t="shared" si="108"/>
        <v>SI</v>
      </c>
      <c r="AA359" s="127">
        <f t="shared" si="109"/>
        <v>0.71527777777373558</v>
      </c>
      <c r="AB359" s="128">
        <f>Table2[[#This Row],[ATA A TIMESLOT]]*24</f>
        <v>17.166666666569654</v>
      </c>
      <c r="AC359" s="127">
        <f t="shared" si="110"/>
        <v>0</v>
      </c>
      <c r="AD359" s="127" t="str">
        <f t="shared" si="111"/>
        <v>SI</v>
      </c>
      <c r="AE359" s="128">
        <f>Table2[[#This Row],[PUNTUALIDAD (H)]]*24</f>
        <v>0</v>
      </c>
      <c r="AF359" s="127">
        <f t="shared" si="112"/>
        <v>0.74652777777373558</v>
      </c>
      <c r="AG359" s="128">
        <f>Table2[[#This Row],[ATA TO UNLOADING]]*24</f>
        <v>17.916666666569654</v>
      </c>
      <c r="AH359" s="128" t="str">
        <f>IF(Table2[[#This Row],[ATA TO UNLOADING 2]]&lt;=48,"YES","NO")</f>
        <v>YES</v>
      </c>
      <c r="AJ359" s="129">
        <f t="shared" si="113"/>
        <v>0.29166666666424135</v>
      </c>
      <c r="AK359" s="2" t="s">
        <v>64</v>
      </c>
      <c r="AL359" s="2" t="str">
        <f t="shared" si="114"/>
        <v>9/26</v>
      </c>
      <c r="AM359" s="2" t="str">
        <f t="shared" si="115"/>
        <v>CAAU8351485</v>
      </c>
      <c r="AN359" s="130" t="str">
        <f t="shared" si="116"/>
        <v>MSI</v>
      </c>
      <c r="AO359" s="150">
        <f>IF($O359="TRUCK",
VLOOKUP($AU359,Invoicing!$A$16:$B$56,MATCH($AO$1,Invoicing!$A$16:$B$16,0),FALSE)+IF(OR($B359="DCD",$B359="HPD2"),23.5,0),
VLOOKUP($AU359,Invoicing!$N$15:$O$19,MATCH($AO$1,Invoicing!$N$15:$O$15,0),FALSE)+IF(OR($B359="DCD",$B359="HPD2"),23.5,0))</f>
        <v>503.5</v>
      </c>
      <c r="AP359" s="131">
        <f>VLOOKUP($E359,Invoicing!$A$1:$H$12,MATCH(TRACKER!$P359,Invoicing!$A$1:$H$1,0),FALSE)</f>
        <v>120</v>
      </c>
      <c r="AQ359" s="131">
        <f>VLOOKUP($E359,Invoicing!$A$1:$H$12,MATCH(TRACKER!$Q$1,Invoicing!$A$1:$H$1,0),FALSE)</f>
        <v>50</v>
      </c>
      <c r="AR359" s="131">
        <f t="shared" si="121"/>
        <v>0</v>
      </c>
      <c r="AS359" s="2">
        <f t="shared" si="117"/>
        <v>5</v>
      </c>
      <c r="AT359" s="2" t="str">
        <f t="shared" si="120"/>
        <v>WEEK</v>
      </c>
      <c r="AU359" s="2" t="str">
        <f t="shared" si="118"/>
        <v>MSIWEEK</v>
      </c>
      <c r="AV359" s="94">
        <f>(IF(ISNA(AP359),AO359+AR359,SUM($AO359,$AR359,IFERROR($AP359,"0"))))+Table2[[#This Row],[WAITING TIMES]]</f>
        <v>758.5</v>
      </c>
      <c r="AW359" s="94">
        <f>VLOOKUP(AN359,Invoicing!A:K,11,FALSE)</f>
        <v>20</v>
      </c>
      <c r="AX359" s="48">
        <v>135</v>
      </c>
      <c r="AY359" s="94" t="s">
        <v>699</v>
      </c>
      <c r="AZ359" s="94">
        <f t="shared" si="119"/>
        <v>778.5</v>
      </c>
      <c r="BA359" s="133">
        <f>VLOOKUP(AN359,Invoicing!A:J,10,FALSE)</f>
        <v>70</v>
      </c>
      <c r="BB359" s="133">
        <f>VLOOKUP(AN359,Invoicing!A:L,12,FALSE)</f>
        <v>1</v>
      </c>
      <c r="BC359" s="2"/>
    </row>
    <row r="360" spans="1:55">
      <c r="A360" s="38" t="s">
        <v>658</v>
      </c>
      <c r="B360" s="3" t="s">
        <v>77</v>
      </c>
      <c r="C360" s="11">
        <v>46079.576388888891</v>
      </c>
      <c r="D360" s="11">
        <v>46079.583333333336</v>
      </c>
      <c r="E360" s="11" t="s">
        <v>98</v>
      </c>
      <c r="F360" s="11" t="s">
        <v>661</v>
      </c>
      <c r="G360" s="11" t="s">
        <v>59</v>
      </c>
      <c r="H360" s="11" t="s">
        <v>91</v>
      </c>
      <c r="I360" s="3" t="s">
        <v>700</v>
      </c>
      <c r="J360" s="86" t="s">
        <v>82</v>
      </c>
      <c r="K360" s="11">
        <v>46080.291666666664</v>
      </c>
      <c r="L360" s="12">
        <v>46080.302083333336</v>
      </c>
      <c r="M360" s="12">
        <v>46080.291666666664</v>
      </c>
      <c r="N360" s="12">
        <v>46080.324999999997</v>
      </c>
      <c r="O360" s="12" t="s">
        <v>63</v>
      </c>
      <c r="P360" s="85" t="s">
        <v>64</v>
      </c>
      <c r="Q360" s="3">
        <v>0</v>
      </c>
      <c r="R360" s="1">
        <f t="shared" si="102"/>
        <v>9</v>
      </c>
      <c r="S360" s="1">
        <f t="shared" si="103"/>
        <v>2</v>
      </c>
      <c r="T360" s="126">
        <f t="shared" si="104"/>
        <v>46080.302083333336</v>
      </c>
      <c r="U360" s="127">
        <f t="shared" si="105"/>
        <v>0.71527777777373558</v>
      </c>
      <c r="V360" s="128">
        <f>Table2[[#This Row],[ATA A OFRECIMIENTO]]*24</f>
        <v>17.166666666569654</v>
      </c>
      <c r="W360" s="1" t="str">
        <f t="shared" si="106"/>
        <v>YES</v>
      </c>
      <c r="X360" s="127">
        <f t="shared" si="107"/>
        <v>0</v>
      </c>
      <c r="Y360" s="128">
        <f>Table2[[#This Row],[DEL. AVAILABLE A SLOT]]*24</f>
        <v>0</v>
      </c>
      <c r="Z360" s="1" t="str">
        <f t="shared" si="108"/>
        <v>SI</v>
      </c>
      <c r="AA360" s="127">
        <f t="shared" si="109"/>
        <v>0.71527777777373558</v>
      </c>
      <c r="AB360" s="128">
        <f>Table2[[#This Row],[ATA A TIMESLOT]]*24</f>
        <v>17.166666666569654</v>
      </c>
      <c r="AC360" s="127">
        <f t="shared" si="110"/>
        <v>1.0416666671517305E-2</v>
      </c>
      <c r="AD360" s="127" t="str">
        <f t="shared" si="111"/>
        <v>SI</v>
      </c>
      <c r="AE360" s="128">
        <f>Table2[[#This Row],[PUNTUALIDAD (H)]]*24</f>
        <v>0.25000000011641532</v>
      </c>
      <c r="AF360" s="127">
        <f t="shared" si="112"/>
        <v>0.74861111110658385</v>
      </c>
      <c r="AG360" s="128">
        <f>Table2[[#This Row],[ATA TO UNLOADING]]*24</f>
        <v>17.966666666558012</v>
      </c>
      <c r="AH360" s="128" t="str">
        <f>IF(Table2[[#This Row],[ATA TO UNLOADING 2]]&lt;=48,"YES","NO")</f>
        <v>YES</v>
      </c>
      <c r="AJ360" s="129">
        <f t="shared" si="113"/>
        <v>0.29166666666424135</v>
      </c>
      <c r="AK360" s="2" t="s">
        <v>64</v>
      </c>
      <c r="AL360" s="2" t="str">
        <f t="shared" si="114"/>
        <v>9/26</v>
      </c>
      <c r="AM360" s="2" t="str">
        <f t="shared" si="115"/>
        <v>FCIU8378487</v>
      </c>
      <c r="AN360" s="130" t="str">
        <f t="shared" si="116"/>
        <v>MSI</v>
      </c>
      <c r="AO360" s="150">
        <f>IF($O360="TRUCK",
VLOOKUP($AU360,Invoicing!$A$16:$B$56,MATCH($AO$1,Invoicing!$A$16:$B$16,0),FALSE)+IF(OR($B360="DCD",$B360="HPD2"),23.5,0),
VLOOKUP($AU360,Invoicing!$N$15:$O$19,MATCH($AO$1,Invoicing!$N$15:$O$15,0),FALSE)+IF(OR($B360="DCD",$B360="HPD2"),23.5,0))</f>
        <v>503.5</v>
      </c>
      <c r="AP360" s="131" t="e">
        <f>VLOOKUP($E360,Invoicing!$A$1:$H$12,MATCH(TRACKER!$P360,Invoicing!$A$1:$H$1,0),FALSE)</f>
        <v>#N/A</v>
      </c>
      <c r="AQ360" s="131">
        <f>VLOOKUP($E360,Invoicing!$A$1:$H$12,MATCH(TRACKER!$Q$1,Invoicing!$A$1:$H$1,0),FALSE)</f>
        <v>50</v>
      </c>
      <c r="AR360" s="131">
        <f t="shared" si="121"/>
        <v>0</v>
      </c>
      <c r="AS360" s="2">
        <f t="shared" si="117"/>
        <v>5</v>
      </c>
      <c r="AT360" s="2" t="str">
        <f t="shared" si="120"/>
        <v>WEEK</v>
      </c>
      <c r="AU360" s="2" t="str">
        <f t="shared" si="118"/>
        <v>MSIWEEK</v>
      </c>
      <c r="AV360" s="94">
        <f>(IF(ISNA(AP360),AO360+AR360,SUM($AO360,$AR360,IFERROR($AP360,"0"))))+Table2[[#This Row],[WAITING TIMES]]</f>
        <v>653.5</v>
      </c>
      <c r="AW360" s="94">
        <f>VLOOKUP(AN360,Invoicing!A:K,11,FALSE)</f>
        <v>20</v>
      </c>
      <c r="AX360" s="48">
        <v>150</v>
      </c>
      <c r="AY360" s="94" t="s">
        <v>701</v>
      </c>
      <c r="AZ360" s="94">
        <f t="shared" si="119"/>
        <v>673.5</v>
      </c>
      <c r="BA360" s="133">
        <f>VLOOKUP(AN360,Invoicing!A:J,10,FALSE)</f>
        <v>70</v>
      </c>
      <c r="BB360" s="133">
        <f>VLOOKUP(AN360,Invoicing!A:L,12,FALSE)</f>
        <v>1</v>
      </c>
      <c r="BC360" s="2"/>
    </row>
    <row r="361" spans="1:55">
      <c r="A361" s="38" t="s">
        <v>658</v>
      </c>
      <c r="B361" s="3" t="s">
        <v>77</v>
      </c>
      <c r="C361" s="11">
        <v>46079.576388888891</v>
      </c>
      <c r="D361" s="11">
        <v>46079.583333333336</v>
      </c>
      <c r="E361" s="11" t="s">
        <v>98</v>
      </c>
      <c r="F361" s="11" t="s">
        <v>702</v>
      </c>
      <c r="G361" s="11" t="s">
        <v>59</v>
      </c>
      <c r="H361" s="11" t="s">
        <v>91</v>
      </c>
      <c r="I361" s="3" t="s">
        <v>703</v>
      </c>
      <c r="J361" s="86" t="s">
        <v>100</v>
      </c>
      <c r="K361" s="11">
        <v>46080.291666666664</v>
      </c>
      <c r="L361" s="12">
        <v>46080.280555555553</v>
      </c>
      <c r="M361" s="12">
        <v>46080.291666666664</v>
      </c>
      <c r="N361" s="12">
        <v>46080.288194444445</v>
      </c>
      <c r="O361" s="12" t="s">
        <v>63</v>
      </c>
      <c r="P361" s="85" t="s">
        <v>64</v>
      </c>
      <c r="Q361" s="3">
        <v>2</v>
      </c>
      <c r="R361" s="1">
        <f t="shared" si="102"/>
        <v>9</v>
      </c>
      <c r="S361" s="1">
        <f t="shared" si="103"/>
        <v>2</v>
      </c>
      <c r="T361" s="126">
        <f t="shared" si="104"/>
        <v>46080.280555555553</v>
      </c>
      <c r="U361" s="127">
        <f t="shared" si="105"/>
        <v>0.71527777777373558</v>
      </c>
      <c r="V361" s="128">
        <f>Table2[[#This Row],[ATA A OFRECIMIENTO]]*24</f>
        <v>17.166666666569654</v>
      </c>
      <c r="W361" s="1" t="str">
        <f t="shared" si="106"/>
        <v>YES</v>
      </c>
      <c r="X361" s="127">
        <f t="shared" si="107"/>
        <v>0</v>
      </c>
      <c r="Y361" s="128">
        <f>Table2[[#This Row],[DEL. AVAILABLE A SLOT]]*24</f>
        <v>0</v>
      </c>
      <c r="Z361" s="1" t="str">
        <f t="shared" si="108"/>
        <v>SI</v>
      </c>
      <c r="AA361" s="127">
        <f t="shared" si="109"/>
        <v>0.71527777777373558</v>
      </c>
      <c r="AB361" s="128">
        <f>Table2[[#This Row],[ATA A TIMESLOT]]*24</f>
        <v>17.166666666569654</v>
      </c>
      <c r="AC361" s="127">
        <f t="shared" si="110"/>
        <v>0</v>
      </c>
      <c r="AD361" s="127" t="str">
        <f t="shared" si="111"/>
        <v>SI</v>
      </c>
      <c r="AE361" s="128">
        <f>Table2[[#This Row],[PUNTUALIDAD (H)]]*24</f>
        <v>0</v>
      </c>
      <c r="AF361" s="127">
        <f t="shared" si="112"/>
        <v>0.71180555555474712</v>
      </c>
      <c r="AG361" s="128">
        <f>Table2[[#This Row],[ATA TO UNLOADING]]*24</f>
        <v>17.083333333313931</v>
      </c>
      <c r="AH361" s="128" t="str">
        <f>IF(Table2[[#This Row],[ATA TO UNLOADING 2]]&lt;=48,"YES","NO")</f>
        <v>YES</v>
      </c>
      <c r="AJ361" s="129">
        <f t="shared" si="113"/>
        <v>0.29166666666424135</v>
      </c>
      <c r="AK361" s="2" t="s">
        <v>64</v>
      </c>
      <c r="AL361" s="2" t="str">
        <f t="shared" si="114"/>
        <v>9/26</v>
      </c>
      <c r="AM361" s="2" t="str">
        <f t="shared" si="115"/>
        <v>TCNU6281810</v>
      </c>
      <c r="AN361" s="130" t="str">
        <f t="shared" si="116"/>
        <v>MSI</v>
      </c>
      <c r="AO361" s="150">
        <f>IF($O361="TRUCK",
VLOOKUP($AU361,Invoicing!$A$16:$B$56,MATCH($AO$1,Invoicing!$A$16:$B$16,0),FALSE)+IF(OR($B361="DCD",$B361="HPD2"),23.5,0),
VLOOKUP($AU361,Invoicing!$N$15:$O$19,MATCH($AO$1,Invoicing!$N$15:$O$15,0),FALSE)+IF(OR($B361="DCD",$B361="HPD2"),23.5,0))</f>
        <v>503.5</v>
      </c>
      <c r="AP361" s="131" t="e">
        <f>VLOOKUP($E361,Invoicing!$A$1:$H$12,MATCH(TRACKER!$P361,Invoicing!$A$1:$H$1,0),FALSE)</f>
        <v>#N/A</v>
      </c>
      <c r="AQ361" s="131">
        <f>VLOOKUP($E361,Invoicing!$A$1:$H$12,MATCH(TRACKER!$Q$1,Invoicing!$A$1:$H$1,0),FALSE)</f>
        <v>50</v>
      </c>
      <c r="AR361" s="131">
        <f t="shared" si="121"/>
        <v>100</v>
      </c>
      <c r="AS361" s="2">
        <f t="shared" si="117"/>
        <v>5</v>
      </c>
      <c r="AT361" s="2" t="str">
        <f t="shared" si="120"/>
        <v>WEEK</v>
      </c>
      <c r="AU361" s="2" t="str">
        <f t="shared" si="118"/>
        <v>MSIWEEK</v>
      </c>
      <c r="AV361" s="94">
        <f>(IF(ISNA(AP361),AO361+AR361,SUM($AO361,$AR361,IFERROR($AP361,"0"))))+Table2[[#This Row],[WAITING TIMES]]</f>
        <v>708.5</v>
      </c>
      <c r="AW361" s="94">
        <f>VLOOKUP(AN361,Invoicing!A:K,11,FALSE)</f>
        <v>20</v>
      </c>
      <c r="AX361" s="48">
        <v>105</v>
      </c>
      <c r="AY361" s="94" t="s">
        <v>704</v>
      </c>
      <c r="AZ361" s="94">
        <f t="shared" si="119"/>
        <v>728.5</v>
      </c>
      <c r="BA361" s="133">
        <f>VLOOKUP(AN361,Invoicing!A:J,10,FALSE)</f>
        <v>70</v>
      </c>
      <c r="BB361" s="133">
        <f>VLOOKUP(AN361,Invoicing!A:L,12,FALSE)</f>
        <v>1</v>
      </c>
      <c r="BC361" s="2"/>
    </row>
    <row r="362" spans="1:55">
      <c r="A362" s="38" t="s">
        <v>658</v>
      </c>
      <c r="B362" s="3" t="s">
        <v>77</v>
      </c>
      <c r="C362" s="11">
        <v>46079.576388888891</v>
      </c>
      <c r="D362" s="11">
        <v>46079.583333333336</v>
      </c>
      <c r="E362" s="11" t="s">
        <v>73</v>
      </c>
      <c r="F362" s="11" t="s">
        <v>705</v>
      </c>
      <c r="G362" s="11" t="s">
        <v>133</v>
      </c>
      <c r="H362" s="11" t="s">
        <v>91</v>
      </c>
      <c r="I362" s="3" t="s">
        <v>706</v>
      </c>
      <c r="J362" s="86" t="s">
        <v>100</v>
      </c>
      <c r="K362" s="11">
        <v>46080.291666666664</v>
      </c>
      <c r="L362" s="12">
        <v>46080.333333333336</v>
      </c>
      <c r="M362" s="12">
        <v>46080.291666666664</v>
      </c>
      <c r="N362" s="12">
        <v>46080.340277777781</v>
      </c>
      <c r="O362" s="12" t="s">
        <v>63</v>
      </c>
      <c r="P362" s="85" t="s">
        <v>64</v>
      </c>
      <c r="Q362" s="3">
        <v>0</v>
      </c>
      <c r="R362" s="1">
        <f t="shared" si="102"/>
        <v>9</v>
      </c>
      <c r="S362" s="1">
        <f t="shared" si="103"/>
        <v>2</v>
      </c>
      <c r="T362" s="126">
        <f t="shared" si="104"/>
        <v>46080.333333333336</v>
      </c>
      <c r="U362" s="127">
        <f t="shared" si="105"/>
        <v>0.71527777777373558</v>
      </c>
      <c r="V362" s="128">
        <f>Table2[[#This Row],[ATA A OFRECIMIENTO]]*24</f>
        <v>17.166666666569654</v>
      </c>
      <c r="W362" s="1" t="str">
        <f t="shared" si="106"/>
        <v>YES</v>
      </c>
      <c r="X362" s="127">
        <f t="shared" si="107"/>
        <v>0</v>
      </c>
      <c r="Y362" s="128">
        <f>Table2[[#This Row],[DEL. AVAILABLE A SLOT]]*24</f>
        <v>0</v>
      </c>
      <c r="Z362" s="1" t="str">
        <f t="shared" si="108"/>
        <v>SI</v>
      </c>
      <c r="AA362" s="127">
        <f t="shared" si="109"/>
        <v>0.71527777777373558</v>
      </c>
      <c r="AB362" s="128">
        <f>Table2[[#This Row],[ATA A TIMESLOT]]*24</f>
        <v>17.166666666569654</v>
      </c>
      <c r="AC362" s="127">
        <f t="shared" si="110"/>
        <v>4.1666666671517305E-2</v>
      </c>
      <c r="AD362" s="127" t="str">
        <f t="shared" si="111"/>
        <v>NO</v>
      </c>
      <c r="AE362" s="128">
        <f>Table2[[#This Row],[PUNTUALIDAD (H)]]*24</f>
        <v>1.0000000001164153</v>
      </c>
      <c r="AF362" s="127">
        <f t="shared" si="112"/>
        <v>0.76388888889050577</v>
      </c>
      <c r="AG362" s="128">
        <f>Table2[[#This Row],[ATA TO UNLOADING]]*24</f>
        <v>18.333333333372138</v>
      </c>
      <c r="AH362" s="128" t="str">
        <f>IF(Table2[[#This Row],[ATA TO UNLOADING 2]]&lt;=48,"YES","NO")</f>
        <v>YES</v>
      </c>
      <c r="AJ362" s="129">
        <f t="shared" si="113"/>
        <v>0.29166666666424135</v>
      </c>
      <c r="AK362" s="2" t="s">
        <v>64</v>
      </c>
      <c r="AL362" s="2" t="str">
        <f t="shared" si="114"/>
        <v>9/26</v>
      </c>
      <c r="AM362" s="2" t="str">
        <f t="shared" si="115"/>
        <v>UACU5785953</v>
      </c>
      <c r="AN362" s="130" t="str">
        <f t="shared" si="116"/>
        <v>OTL</v>
      </c>
      <c r="AO362" s="150">
        <f>IF($O362="TRUCK",
VLOOKUP($AU362,Invoicing!$A$16:$B$56,MATCH($AO$1,Invoicing!$A$16:$B$16,0),FALSE)+IF(OR($B362="DCD",$B362="HPD2"),23.5,0),
VLOOKUP($AU362,Invoicing!$N$15:$O$19,MATCH($AO$1,Invoicing!$N$15:$O$15,0),FALSE)+IF(OR($B362="DCD",$B362="HPD2"),23.5,0))</f>
        <v>553.5</v>
      </c>
      <c r="AP362" s="131" t="e">
        <f>VLOOKUP($E362,Invoicing!$A$1:$H$12,MATCH(TRACKER!$P362,Invoicing!$A$1:$H$1,0),FALSE)</f>
        <v>#N/A</v>
      </c>
      <c r="AQ362" s="131">
        <f>VLOOKUP($E362,Invoicing!$A$1:$H$12,MATCH(TRACKER!$Q$1,Invoicing!$A$1:$H$1,0),FALSE)</f>
        <v>60</v>
      </c>
      <c r="AR362" s="131">
        <f t="shared" si="121"/>
        <v>0</v>
      </c>
      <c r="AS362" s="2">
        <f t="shared" si="117"/>
        <v>5</v>
      </c>
      <c r="AT362" s="2" t="str">
        <f t="shared" si="120"/>
        <v>WEEK</v>
      </c>
      <c r="AU362" s="2" t="str">
        <f t="shared" si="118"/>
        <v>OTLWEEK</v>
      </c>
      <c r="AV362" s="94">
        <f>(IF(ISNA(AP362),AO362+AR362,SUM($AO362,$AR362,IFERROR($AP362,"0"))))+Table2[[#This Row],[WAITING TIMES]]</f>
        <v>553.5</v>
      </c>
      <c r="AW362" s="94">
        <f>VLOOKUP(AN362,Invoicing!A:K,11,FALSE)</f>
        <v>20</v>
      </c>
      <c r="AY362" s="48"/>
      <c r="AZ362" s="94">
        <f t="shared" si="119"/>
        <v>573.5</v>
      </c>
      <c r="BA362" s="133">
        <f>VLOOKUP(AN362,Invoicing!A:J,10,FALSE)</f>
        <v>70</v>
      </c>
      <c r="BB362" s="133">
        <f>VLOOKUP(AN362,Invoicing!A:L,12,FALSE)</f>
        <v>1</v>
      </c>
      <c r="BC362" s="2"/>
    </row>
    <row r="363" spans="1:55">
      <c r="A363" s="38" t="s">
        <v>658</v>
      </c>
      <c r="B363" s="3" t="s">
        <v>77</v>
      </c>
      <c r="C363" s="11">
        <v>46079.576388888891</v>
      </c>
      <c r="D363" s="11">
        <v>46079.583333333336</v>
      </c>
      <c r="E363" s="11" t="s">
        <v>98</v>
      </c>
      <c r="F363" s="11" t="s">
        <v>707</v>
      </c>
      <c r="G363" s="11" t="s">
        <v>59</v>
      </c>
      <c r="H363" s="11" t="s">
        <v>91</v>
      </c>
      <c r="I363" s="3" t="s">
        <v>708</v>
      </c>
      <c r="J363" s="86" t="s">
        <v>82</v>
      </c>
      <c r="K363" s="11">
        <v>46080.291666666664</v>
      </c>
      <c r="L363" s="12">
        <v>46080.29583333333</v>
      </c>
      <c r="M363" s="12">
        <v>46080.333333333336</v>
      </c>
      <c r="N363" s="12">
        <v>46080.322916666664</v>
      </c>
      <c r="O363" s="12" t="s">
        <v>63</v>
      </c>
      <c r="P363" s="85" t="s">
        <v>15</v>
      </c>
      <c r="Q363" s="3">
        <v>0</v>
      </c>
      <c r="R363" s="1">
        <f t="shared" si="102"/>
        <v>9</v>
      </c>
      <c r="S363" s="1">
        <f t="shared" si="103"/>
        <v>2</v>
      </c>
      <c r="T363" s="126">
        <f t="shared" si="104"/>
        <v>46080.29583333333</v>
      </c>
      <c r="U363" s="127">
        <f t="shared" si="105"/>
        <v>0.71527777777373558</v>
      </c>
      <c r="V363" s="128">
        <f>Table2[[#This Row],[ATA A OFRECIMIENTO]]*24</f>
        <v>17.166666666569654</v>
      </c>
      <c r="W363" s="1" t="str">
        <f t="shared" si="106"/>
        <v>YES</v>
      </c>
      <c r="X363" s="127">
        <f t="shared" si="107"/>
        <v>4.1666666671517305E-2</v>
      </c>
      <c r="Y363" s="128">
        <f>Table2[[#This Row],[DEL. AVAILABLE A SLOT]]*24</f>
        <v>1.0000000001164153</v>
      </c>
      <c r="Z363" s="1" t="str">
        <f t="shared" si="108"/>
        <v>SI</v>
      </c>
      <c r="AA363" s="127">
        <f t="shared" si="109"/>
        <v>0.75694444444525288</v>
      </c>
      <c r="AB363" s="128">
        <f>Table2[[#This Row],[ATA A TIMESLOT]]*24</f>
        <v>18.166666666686069</v>
      </c>
      <c r="AC363" s="127">
        <f t="shared" si="110"/>
        <v>0</v>
      </c>
      <c r="AD363" s="127" t="str">
        <f t="shared" si="111"/>
        <v>SI</v>
      </c>
      <c r="AE363" s="128">
        <f>Table2[[#This Row],[PUNTUALIDAD (H)]]*24</f>
        <v>0</v>
      </c>
      <c r="AF363" s="127">
        <f t="shared" si="112"/>
        <v>0.74652777777373558</v>
      </c>
      <c r="AG363" s="128">
        <f>Table2[[#This Row],[ATA TO UNLOADING]]*24</f>
        <v>17.916666666569654</v>
      </c>
      <c r="AH363" s="128" t="str">
        <f>IF(Table2[[#This Row],[ATA TO UNLOADING 2]]&lt;=48,"YES","NO")</f>
        <v>YES</v>
      </c>
      <c r="AJ363" s="129">
        <f t="shared" si="113"/>
        <v>0.33333333333575865</v>
      </c>
      <c r="AK363" s="2" t="s">
        <v>64</v>
      </c>
      <c r="AL363" s="2" t="str">
        <f t="shared" si="114"/>
        <v>9/26</v>
      </c>
      <c r="AM363" s="2" t="str">
        <f t="shared" si="115"/>
        <v>GAOU7270879</v>
      </c>
      <c r="AN363" s="130" t="str">
        <f t="shared" si="116"/>
        <v>MSI</v>
      </c>
      <c r="AO363" s="150">
        <f>IF($O363="TRUCK",
VLOOKUP($AU363,Invoicing!$A$16:$B$56,MATCH($AO$1,Invoicing!$A$16:$B$16,0),FALSE)+IF(OR($B363="DCD",$B363="HPD2"),23.5,0),
VLOOKUP($AU363,Invoicing!$N$15:$O$19,MATCH($AO$1,Invoicing!$N$15:$O$15,0),FALSE)+IF(OR($B363="DCD",$B363="HPD2"),23.5,0))</f>
        <v>503.5</v>
      </c>
      <c r="AP363" s="131">
        <f>VLOOKUP($E363,Invoicing!$A$1:$H$12,MATCH(TRACKER!$P363,Invoicing!$A$1:$H$1,0),FALSE)</f>
        <v>120</v>
      </c>
      <c r="AQ363" s="131">
        <f>VLOOKUP($E363,Invoicing!$A$1:$H$12,MATCH(TRACKER!$Q$1,Invoicing!$A$1:$H$1,0),FALSE)</f>
        <v>50</v>
      </c>
      <c r="AR363" s="131">
        <f t="shared" si="121"/>
        <v>0</v>
      </c>
      <c r="AS363" s="2">
        <f t="shared" si="117"/>
        <v>5</v>
      </c>
      <c r="AT363" s="2" t="str">
        <f t="shared" si="120"/>
        <v>WEEK</v>
      </c>
      <c r="AU363" s="2" t="str">
        <f t="shared" si="118"/>
        <v>MSIWEEK</v>
      </c>
      <c r="AV363" s="94">
        <f>(IF(ISNA(AP363),AO363+AR363,SUM($AO363,$AR363,IFERROR($AP363,"0"))))+Table2[[#This Row],[WAITING TIMES]]</f>
        <v>698.5</v>
      </c>
      <c r="AW363" s="94">
        <f>VLOOKUP(AN363,Invoicing!A:K,11,FALSE)</f>
        <v>20</v>
      </c>
      <c r="AX363" s="48">
        <v>75</v>
      </c>
      <c r="AY363" s="94" t="s">
        <v>408</v>
      </c>
      <c r="AZ363" s="94">
        <f t="shared" si="119"/>
        <v>718.5</v>
      </c>
      <c r="BA363" s="133">
        <f>VLOOKUP(AN363,Invoicing!A:J,10,FALSE)</f>
        <v>70</v>
      </c>
      <c r="BB363" s="133">
        <f>VLOOKUP(AN363,Invoicing!A:L,12,FALSE)</f>
        <v>1</v>
      </c>
      <c r="BC363" s="2"/>
    </row>
    <row r="364" spans="1:55">
      <c r="A364" s="38" t="s">
        <v>658</v>
      </c>
      <c r="B364" s="3" t="s">
        <v>77</v>
      </c>
      <c r="C364" s="11">
        <v>46079.576388888891</v>
      </c>
      <c r="D364" s="11">
        <v>46079.583333333336</v>
      </c>
      <c r="E364" s="11" t="s">
        <v>71</v>
      </c>
      <c r="F364" s="11" t="s">
        <v>661</v>
      </c>
      <c r="G364" s="11" t="s">
        <v>59</v>
      </c>
      <c r="H364" s="11" t="s">
        <v>91</v>
      </c>
      <c r="I364" s="3" t="s">
        <v>709</v>
      </c>
      <c r="J364" s="86" t="s">
        <v>62</v>
      </c>
      <c r="K364" s="11">
        <v>46080.291666666664</v>
      </c>
      <c r="L364" s="12">
        <v>46080.375</v>
      </c>
      <c r="M364" s="12">
        <v>46080.375</v>
      </c>
      <c r="N364" s="12">
        <v>46080.378472222219</v>
      </c>
      <c r="O364" s="12" t="s">
        <v>63</v>
      </c>
      <c r="P364" s="85" t="s">
        <v>64</v>
      </c>
      <c r="Q364" s="3">
        <v>0</v>
      </c>
      <c r="R364" s="1">
        <f t="shared" si="102"/>
        <v>9</v>
      </c>
      <c r="S364" s="1">
        <f t="shared" si="103"/>
        <v>2</v>
      </c>
      <c r="T364" s="126">
        <f t="shared" si="104"/>
        <v>46080.375</v>
      </c>
      <c r="U364" s="127">
        <f t="shared" si="105"/>
        <v>0.71527777777373558</v>
      </c>
      <c r="V364" s="128">
        <f>Table2[[#This Row],[ATA A OFRECIMIENTO]]*24</f>
        <v>17.166666666569654</v>
      </c>
      <c r="W364" s="1" t="str">
        <f t="shared" si="106"/>
        <v>YES</v>
      </c>
      <c r="X364" s="127">
        <f t="shared" si="107"/>
        <v>8.3333333335758653E-2</v>
      </c>
      <c r="Y364" s="128">
        <f>Table2[[#This Row],[DEL. AVAILABLE A SLOT]]*24</f>
        <v>2.0000000000582077</v>
      </c>
      <c r="Z364" s="1" t="str">
        <f t="shared" si="108"/>
        <v>SI</v>
      </c>
      <c r="AA364" s="127">
        <f t="shared" si="109"/>
        <v>0.79861111110949423</v>
      </c>
      <c r="AB364" s="128">
        <f>Table2[[#This Row],[ATA A TIMESLOT]]*24</f>
        <v>19.166666666627862</v>
      </c>
      <c r="AC364" s="127">
        <f t="shared" si="110"/>
        <v>0</v>
      </c>
      <c r="AD364" s="127" t="str">
        <f t="shared" si="111"/>
        <v>SI</v>
      </c>
      <c r="AE364" s="128">
        <f>Table2[[#This Row],[PUNTUALIDAD (H)]]*24</f>
        <v>0</v>
      </c>
      <c r="AF364" s="127">
        <f t="shared" si="112"/>
        <v>0.80208333332848269</v>
      </c>
      <c r="AG364" s="128">
        <f>Table2[[#This Row],[ATA TO UNLOADING]]*24</f>
        <v>19.249999999883585</v>
      </c>
      <c r="AH364" s="128" t="str">
        <f>IF(Table2[[#This Row],[ATA TO UNLOADING 2]]&lt;=48,"YES","NO")</f>
        <v>YES</v>
      </c>
      <c r="AJ364" s="129">
        <f t="shared" si="113"/>
        <v>0.375</v>
      </c>
      <c r="AK364" s="2" t="s">
        <v>64</v>
      </c>
      <c r="AL364" s="2" t="str">
        <f t="shared" si="114"/>
        <v>9/26</v>
      </c>
      <c r="AM364" s="2" t="str">
        <f t="shared" si="115"/>
        <v>MRKU2866195</v>
      </c>
      <c r="AN364" s="130" t="str">
        <f t="shared" si="116"/>
        <v>LOGIX</v>
      </c>
      <c r="AO364" s="150">
        <f>IF($O364="TRUCK",
VLOOKUP($AU364,Invoicing!$A$16:$B$56,MATCH($AO$1,Invoicing!$A$16:$B$16,0),FALSE)+IF(OR($B364="DCD",$B364="HPD2"),23.5,0),
VLOOKUP($AU364,Invoicing!$N$15:$O$19,MATCH($AO$1,Invoicing!$N$15:$O$15,0),FALSE)+IF(OR($B364="DCD",$B364="HPD2"),23.5,0))</f>
        <v>573.5</v>
      </c>
      <c r="AP364" s="131" t="e">
        <f>VLOOKUP($E364,Invoicing!$A$1:$H$12,MATCH(TRACKER!$P364,Invoicing!$A$1:$H$1,0),FALSE)</f>
        <v>#N/A</v>
      </c>
      <c r="AQ364" s="131">
        <f>VLOOKUP($E364,Invoicing!$A$1:$H$12,MATCH(TRACKER!$Q$1,Invoicing!$A$1:$H$1,0),FALSE)</f>
        <v>50</v>
      </c>
      <c r="AR364" s="131">
        <f t="shared" si="121"/>
        <v>0</v>
      </c>
      <c r="AS364" s="2">
        <f t="shared" si="117"/>
        <v>5</v>
      </c>
      <c r="AT364" s="2" t="str">
        <f t="shared" si="120"/>
        <v>WEEK</v>
      </c>
      <c r="AU364" s="2" t="str">
        <f t="shared" si="118"/>
        <v>LOGIXWEEK</v>
      </c>
      <c r="AV364" s="94">
        <f>(IF(ISNA(AP364),AO364+AR364,SUM($AO364,$AR364,IFERROR($AP364,"0"))))+Table2[[#This Row],[WAITING TIMES]]</f>
        <v>573.5</v>
      </c>
      <c r="AW364" s="94">
        <f>VLOOKUP(AN364,Invoicing!A:K,11,FALSE)</f>
        <v>20</v>
      </c>
      <c r="AY364" s="48"/>
      <c r="AZ364" s="94">
        <f t="shared" si="119"/>
        <v>593.5</v>
      </c>
      <c r="BA364" s="133">
        <f>VLOOKUP(AN364,Invoicing!A:J,10,FALSE)</f>
        <v>70</v>
      </c>
      <c r="BB364" s="133">
        <f>VLOOKUP(AN364,Invoicing!A:L,12,FALSE)</f>
        <v>1</v>
      </c>
      <c r="BC364" s="2"/>
    </row>
    <row r="365" spans="1:55">
      <c r="A365" s="38" t="s">
        <v>658</v>
      </c>
      <c r="B365" s="3" t="s">
        <v>77</v>
      </c>
      <c r="C365" s="11">
        <v>46079.576388888891</v>
      </c>
      <c r="D365" s="11">
        <v>46079.583333333336</v>
      </c>
      <c r="E365" s="11" t="s">
        <v>83</v>
      </c>
      <c r="F365" s="11" t="s">
        <v>663</v>
      </c>
      <c r="G365" s="11" t="s">
        <v>59</v>
      </c>
      <c r="H365" s="11" t="s">
        <v>91</v>
      </c>
      <c r="I365" s="3" t="s">
        <v>710</v>
      </c>
      <c r="J365" s="86" t="s">
        <v>82</v>
      </c>
      <c r="K365" s="11">
        <v>46080.291666666664</v>
      </c>
      <c r="L365" s="12">
        <v>46080.368750000001</v>
      </c>
      <c r="M365" s="12">
        <v>46080.375</v>
      </c>
      <c r="N365" s="12">
        <v>46080.388888888891</v>
      </c>
      <c r="O365" s="12" t="s">
        <v>63</v>
      </c>
      <c r="P365" s="85" t="s">
        <v>15</v>
      </c>
      <c r="Q365" s="3">
        <v>0</v>
      </c>
      <c r="R365" s="1">
        <f t="shared" si="102"/>
        <v>9</v>
      </c>
      <c r="S365" s="1">
        <f t="shared" si="103"/>
        <v>2</v>
      </c>
      <c r="T365" s="126">
        <f t="shared" si="104"/>
        <v>46080.368750000001</v>
      </c>
      <c r="U365" s="127">
        <f t="shared" si="105"/>
        <v>0.71527777777373558</v>
      </c>
      <c r="V365" s="128">
        <f>Table2[[#This Row],[ATA A OFRECIMIENTO]]*24</f>
        <v>17.166666666569654</v>
      </c>
      <c r="W365" s="1" t="str">
        <f t="shared" si="106"/>
        <v>YES</v>
      </c>
      <c r="X365" s="127">
        <f t="shared" si="107"/>
        <v>8.3333333335758653E-2</v>
      </c>
      <c r="Y365" s="128">
        <f>Table2[[#This Row],[DEL. AVAILABLE A SLOT]]*24</f>
        <v>2.0000000000582077</v>
      </c>
      <c r="Z365" s="1" t="str">
        <f t="shared" si="108"/>
        <v>SI</v>
      </c>
      <c r="AA365" s="127">
        <f t="shared" si="109"/>
        <v>0.79861111110949423</v>
      </c>
      <c r="AB365" s="128">
        <f>Table2[[#This Row],[ATA A TIMESLOT]]*24</f>
        <v>19.166666666627862</v>
      </c>
      <c r="AC365" s="127">
        <f t="shared" si="110"/>
        <v>0</v>
      </c>
      <c r="AD365" s="127" t="str">
        <f t="shared" si="111"/>
        <v>SI</v>
      </c>
      <c r="AE365" s="128">
        <f>Table2[[#This Row],[PUNTUALIDAD (H)]]*24</f>
        <v>0</v>
      </c>
      <c r="AF365" s="127">
        <f t="shared" si="112"/>
        <v>0.8125</v>
      </c>
      <c r="AG365" s="128">
        <f>Table2[[#This Row],[ATA TO UNLOADING]]*24</f>
        <v>19.5</v>
      </c>
      <c r="AH365" s="128" t="str">
        <f>IF(Table2[[#This Row],[ATA TO UNLOADING 2]]&lt;=48,"YES","NO")</f>
        <v>YES</v>
      </c>
      <c r="AJ365" s="129">
        <f t="shared" si="113"/>
        <v>0.375</v>
      </c>
      <c r="AK365" s="2" t="s">
        <v>64</v>
      </c>
      <c r="AL365" s="2" t="str">
        <f t="shared" si="114"/>
        <v>9/26</v>
      </c>
      <c r="AM365" s="2" t="str">
        <f t="shared" si="115"/>
        <v>MRSU5439100</v>
      </c>
      <c r="AN365" s="130" t="str">
        <f t="shared" si="116"/>
        <v>OM TRANSPORT</v>
      </c>
      <c r="AO365" s="150">
        <f>IF($O365="TRUCK",
VLOOKUP($AU365,Invoicing!$A$16:$B$56,MATCH($AO$1,Invoicing!$A$16:$B$16,0),FALSE)+IF(OR($B365="DCD",$B365="HPD2"),23.5,0),
VLOOKUP($AU365,Invoicing!$N$15:$O$19,MATCH($AO$1,Invoicing!$N$15:$O$15,0),FALSE)+IF(OR($B365="DCD",$B365="HPD2"),23.5,0))</f>
        <v>498.5</v>
      </c>
      <c r="AP365" s="131">
        <f>VLOOKUP($E365,Invoicing!$A$1:$H$12,MATCH(TRACKER!$P365,Invoicing!$A$1:$H$1,0),FALSE)</f>
        <v>110</v>
      </c>
      <c r="AQ365" s="131">
        <f>VLOOKUP($E365,Invoicing!$A$1:$H$12,MATCH(TRACKER!$Q$1,Invoicing!$A$1:$H$1,0),FALSE)</f>
        <v>50</v>
      </c>
      <c r="AR365" s="131">
        <f t="shared" si="121"/>
        <v>0</v>
      </c>
      <c r="AS365" s="2">
        <f t="shared" si="117"/>
        <v>5</v>
      </c>
      <c r="AT365" s="2" t="str">
        <f t="shared" si="120"/>
        <v>WEEK</v>
      </c>
      <c r="AU365" s="2" t="str">
        <f t="shared" si="118"/>
        <v>OM TRANSPORTWEEK</v>
      </c>
      <c r="AV365" s="94">
        <f>(IF(ISNA(AP365),AO365+AR365,SUM($AO365,$AR365,IFERROR($AP365,"0"))))+Table2[[#This Row],[WAITING TIMES]]</f>
        <v>721</v>
      </c>
      <c r="AW365" s="94">
        <f>VLOOKUP(AN365,Invoicing!A:K,11,FALSE)</f>
        <v>20</v>
      </c>
      <c r="AX365" s="48">
        <v>112.5</v>
      </c>
      <c r="AY365" s="48" t="s">
        <v>711</v>
      </c>
      <c r="AZ365" s="94">
        <f t="shared" si="119"/>
        <v>741</v>
      </c>
      <c r="BA365" s="133">
        <f>VLOOKUP(AN365,Invoicing!A:J,10,FALSE)</f>
        <v>70</v>
      </c>
      <c r="BB365" s="133">
        <f>VLOOKUP(AN365,Invoicing!A:L,12,FALSE)</f>
        <v>1</v>
      </c>
      <c r="BC365" s="2"/>
    </row>
    <row r="366" spans="1:55">
      <c r="A366" s="38" t="s">
        <v>658</v>
      </c>
      <c r="B366" s="3" t="s">
        <v>77</v>
      </c>
      <c r="C366" s="11">
        <v>46079.576388888891</v>
      </c>
      <c r="D366" s="11">
        <v>46079.583333333336</v>
      </c>
      <c r="E366" s="11" t="s">
        <v>71</v>
      </c>
      <c r="F366" s="11" t="s">
        <v>661</v>
      </c>
      <c r="G366" s="11" t="s">
        <v>59</v>
      </c>
      <c r="H366" s="11" t="s">
        <v>91</v>
      </c>
      <c r="I366" s="3" t="s">
        <v>712</v>
      </c>
      <c r="J366" s="86" t="s">
        <v>100</v>
      </c>
      <c r="K366" s="11">
        <v>46080.291666666664</v>
      </c>
      <c r="L366" s="12">
        <v>46080.475694444445</v>
      </c>
      <c r="M366" s="12">
        <v>46080.375</v>
      </c>
      <c r="N366" s="12">
        <v>46080.489583333336</v>
      </c>
      <c r="O366" s="12" t="s">
        <v>63</v>
      </c>
      <c r="P366" s="85" t="s">
        <v>64</v>
      </c>
      <c r="Q366" s="3">
        <v>0</v>
      </c>
      <c r="R366" s="1">
        <f t="shared" si="102"/>
        <v>9</v>
      </c>
      <c r="S366" s="1">
        <f t="shared" si="103"/>
        <v>2</v>
      </c>
      <c r="T366" s="126">
        <f t="shared" si="104"/>
        <v>46080.475694444445</v>
      </c>
      <c r="U366" s="127">
        <f t="shared" si="105"/>
        <v>0.71527777777373558</v>
      </c>
      <c r="V366" s="128">
        <f>Table2[[#This Row],[ATA A OFRECIMIENTO]]*24</f>
        <v>17.166666666569654</v>
      </c>
      <c r="W366" s="1" t="str">
        <f t="shared" si="106"/>
        <v>YES</v>
      </c>
      <c r="X366" s="127">
        <f t="shared" si="107"/>
        <v>8.3333333335758653E-2</v>
      </c>
      <c r="Y366" s="128">
        <f>Table2[[#This Row],[DEL. AVAILABLE A SLOT]]*24</f>
        <v>2.0000000000582077</v>
      </c>
      <c r="Z366" s="1" t="str">
        <f t="shared" si="108"/>
        <v>SI</v>
      </c>
      <c r="AA366" s="127">
        <f t="shared" si="109"/>
        <v>0.79861111110949423</v>
      </c>
      <c r="AB366" s="128">
        <f>Table2[[#This Row],[ATA A TIMESLOT]]*24</f>
        <v>19.166666666627862</v>
      </c>
      <c r="AC366" s="127">
        <f t="shared" si="110"/>
        <v>0.10069444444525288</v>
      </c>
      <c r="AD366" s="127" t="str">
        <f t="shared" si="111"/>
        <v>NO</v>
      </c>
      <c r="AE366" s="128">
        <f>Table2[[#This Row],[PUNTUALIDAD (H)]]*24</f>
        <v>2.4166666666860692</v>
      </c>
      <c r="AF366" s="127">
        <f t="shared" si="112"/>
        <v>0.91319444444525288</v>
      </c>
      <c r="AG366" s="128">
        <f>Table2[[#This Row],[ATA TO UNLOADING]]*24</f>
        <v>21.916666666686069</v>
      </c>
      <c r="AH366" s="128" t="str">
        <f>IF(Table2[[#This Row],[ATA TO UNLOADING 2]]&lt;=48,"YES","NO")</f>
        <v>YES</v>
      </c>
      <c r="AJ366" s="129">
        <f t="shared" si="113"/>
        <v>0.375</v>
      </c>
      <c r="AK366" s="2" t="s">
        <v>64</v>
      </c>
      <c r="AL366" s="2" t="str">
        <f t="shared" si="114"/>
        <v>9/26</v>
      </c>
      <c r="AM366" s="2" t="str">
        <f t="shared" si="115"/>
        <v>UETU6640049</v>
      </c>
      <c r="AN366" s="130" t="str">
        <f t="shared" si="116"/>
        <v>LOGIX</v>
      </c>
      <c r="AO366" s="150">
        <f>IF($O366="TRUCK",
VLOOKUP($AU366,Invoicing!$A$16:$B$56,MATCH($AO$1,Invoicing!$A$16:$B$16,0),FALSE)+IF(OR($B366="DCD",$B366="HPD2"),23.5,0),
VLOOKUP($AU366,Invoicing!$N$15:$O$19,MATCH($AO$1,Invoicing!$N$15:$O$15,0),FALSE)+IF(OR($B366="DCD",$B366="HPD2"),23.5,0))</f>
        <v>573.5</v>
      </c>
      <c r="AP366" s="131" t="e">
        <f>VLOOKUP($E366,Invoicing!$A$1:$H$12,MATCH(TRACKER!$P366,Invoicing!$A$1:$H$1,0),FALSE)</f>
        <v>#N/A</v>
      </c>
      <c r="AQ366" s="131">
        <f>VLOOKUP($E366,Invoicing!$A$1:$H$12,MATCH(TRACKER!$Q$1,Invoicing!$A$1:$H$1,0),FALSE)</f>
        <v>50</v>
      </c>
      <c r="AR366" s="131">
        <f t="shared" si="121"/>
        <v>0</v>
      </c>
      <c r="AS366" s="2">
        <f t="shared" si="117"/>
        <v>5</v>
      </c>
      <c r="AT366" s="2" t="str">
        <f t="shared" si="120"/>
        <v>WEEK</v>
      </c>
      <c r="AU366" s="2" t="str">
        <f t="shared" si="118"/>
        <v>LOGIXWEEK</v>
      </c>
      <c r="AV366" s="94">
        <f>(IF(ISNA(AP366),AO366+AR366,SUM($AO366,$AR366,IFERROR($AP366,"0"))))+Table2[[#This Row],[WAITING TIMES]]</f>
        <v>573.5</v>
      </c>
      <c r="AW366" s="94">
        <f>VLOOKUP(AN366,Invoicing!A:K,11,FALSE)</f>
        <v>20</v>
      </c>
      <c r="AY366" s="48"/>
      <c r="AZ366" s="94">
        <f t="shared" si="119"/>
        <v>593.5</v>
      </c>
      <c r="BA366" s="133">
        <f>VLOOKUP(AN366,Invoicing!A:J,10,FALSE)</f>
        <v>70</v>
      </c>
      <c r="BB366" s="133">
        <f>VLOOKUP(AN366,Invoicing!A:L,12,FALSE)</f>
        <v>1</v>
      </c>
      <c r="BC366" s="2"/>
    </row>
    <row r="367" spans="1:55">
      <c r="A367" s="38" t="s">
        <v>658</v>
      </c>
      <c r="B367" s="3" t="s">
        <v>77</v>
      </c>
      <c r="C367" s="11">
        <v>46079.576388888891</v>
      </c>
      <c r="D367" s="11">
        <v>46079.583333333336</v>
      </c>
      <c r="E367" s="11" t="s">
        <v>83</v>
      </c>
      <c r="F367" s="11" t="s">
        <v>663</v>
      </c>
      <c r="G367" s="11" t="s">
        <v>59</v>
      </c>
      <c r="H367" s="11" t="s">
        <v>91</v>
      </c>
      <c r="I367" s="3" t="s">
        <v>713</v>
      </c>
      <c r="J367" s="86" t="s">
        <v>82</v>
      </c>
      <c r="K367" s="11">
        <v>46080.291666666664</v>
      </c>
      <c r="L367" s="12">
        <v>46079.458333333336</v>
      </c>
      <c r="M367" s="12">
        <v>46080.458333333336</v>
      </c>
      <c r="N367" s="12">
        <v>46080.506944444445</v>
      </c>
      <c r="O367" s="12" t="s">
        <v>63</v>
      </c>
      <c r="P367" s="85" t="s">
        <v>15</v>
      </c>
      <c r="Q367" s="3">
        <v>0</v>
      </c>
      <c r="R367" s="1">
        <f t="shared" si="102"/>
        <v>9</v>
      </c>
      <c r="S367" s="1">
        <f t="shared" si="103"/>
        <v>2</v>
      </c>
      <c r="T367" s="126">
        <f t="shared" si="104"/>
        <v>46079.458333333336</v>
      </c>
      <c r="U367" s="127">
        <f t="shared" si="105"/>
        <v>0.71527777777373558</v>
      </c>
      <c r="V367" s="128">
        <f>Table2[[#This Row],[ATA A OFRECIMIENTO]]*24</f>
        <v>17.166666666569654</v>
      </c>
      <c r="W367" s="1" t="str">
        <f t="shared" si="106"/>
        <v>YES</v>
      </c>
      <c r="X367" s="127">
        <f t="shared" si="107"/>
        <v>0.16666666667151731</v>
      </c>
      <c r="Y367" s="128">
        <f>Table2[[#This Row],[DEL. AVAILABLE A SLOT]]*24</f>
        <v>4.0000000001164153</v>
      </c>
      <c r="Z367" s="1" t="str">
        <f t="shared" si="108"/>
        <v>SI</v>
      </c>
      <c r="AA367" s="127">
        <f t="shared" si="109"/>
        <v>0.88194444444525288</v>
      </c>
      <c r="AB367" s="128">
        <f>Table2[[#This Row],[ATA A TIMESLOT]]*24</f>
        <v>21.166666666686069</v>
      </c>
      <c r="AC367" s="127">
        <f t="shared" si="110"/>
        <v>0</v>
      </c>
      <c r="AD367" s="127" t="str">
        <f t="shared" si="111"/>
        <v>SI</v>
      </c>
      <c r="AE367" s="128">
        <f>Table2[[#This Row],[PUNTUALIDAD (H)]]*24</f>
        <v>0</v>
      </c>
      <c r="AF367" s="127">
        <f t="shared" si="112"/>
        <v>0.93055555555474712</v>
      </c>
      <c r="AG367" s="128">
        <f>Table2[[#This Row],[ATA TO UNLOADING]]*24</f>
        <v>22.333333333313931</v>
      </c>
      <c r="AH367" s="128" t="str">
        <f>IF(Table2[[#This Row],[ATA TO UNLOADING 2]]&lt;=48,"YES","NO")</f>
        <v>YES</v>
      </c>
      <c r="AJ367" s="129">
        <f t="shared" si="113"/>
        <v>0.45833333333575865</v>
      </c>
      <c r="AK367" s="2" t="s">
        <v>64</v>
      </c>
      <c r="AL367" s="2" t="str">
        <f t="shared" si="114"/>
        <v>9/26</v>
      </c>
      <c r="AM367" s="2" t="str">
        <f t="shared" si="115"/>
        <v>MRSU4326558</v>
      </c>
      <c r="AN367" s="130" t="str">
        <f t="shared" si="116"/>
        <v>OM TRANSPORT</v>
      </c>
      <c r="AO367" s="150">
        <f>IF($O367="TRUCK",
VLOOKUP($AU367,Invoicing!$A$16:$B$56,MATCH($AO$1,Invoicing!$A$16:$B$16,0),FALSE)+IF(OR($B367="DCD",$B367="HPD2"),23.5,0),
VLOOKUP($AU367,Invoicing!$N$15:$O$19,MATCH($AO$1,Invoicing!$N$15:$O$15,0),FALSE)+IF(OR($B367="DCD",$B367="HPD2"),23.5,0))</f>
        <v>498.5</v>
      </c>
      <c r="AP367" s="131">
        <f>VLOOKUP($E367,Invoicing!$A$1:$H$12,MATCH(TRACKER!$P367,Invoicing!$A$1:$H$1,0),FALSE)</f>
        <v>110</v>
      </c>
      <c r="AQ367" s="131">
        <f>VLOOKUP($E367,Invoicing!$A$1:$H$12,MATCH(TRACKER!$Q$1,Invoicing!$A$1:$H$1,0),FALSE)</f>
        <v>50</v>
      </c>
      <c r="AR367" s="131">
        <f t="shared" si="121"/>
        <v>0</v>
      </c>
      <c r="AS367" s="2">
        <f t="shared" si="117"/>
        <v>5</v>
      </c>
      <c r="AT367" s="2" t="str">
        <f t="shared" si="120"/>
        <v>WEEK</v>
      </c>
      <c r="AU367" s="2" t="str">
        <f t="shared" si="118"/>
        <v>OM TRANSPORTWEEK</v>
      </c>
      <c r="AV367" s="94">
        <f>(IF(ISNA(AP367),AO367+AR367,SUM($AO367,$AR367,IFERROR($AP367,"0"))))+Table2[[#This Row],[WAITING TIMES]]</f>
        <v>721</v>
      </c>
      <c r="AW367" s="94">
        <f>VLOOKUP(AN367,Invoicing!A:K,11,FALSE)</f>
        <v>20</v>
      </c>
      <c r="AX367" s="48">
        <v>112.5</v>
      </c>
      <c r="AY367" s="48" t="s">
        <v>714</v>
      </c>
      <c r="AZ367" s="94">
        <f t="shared" si="119"/>
        <v>741</v>
      </c>
      <c r="BA367" s="133">
        <f>VLOOKUP(AN367,Invoicing!A:J,10,FALSE)</f>
        <v>70</v>
      </c>
      <c r="BB367" s="133">
        <f>VLOOKUP(AN367,Invoicing!A:L,12,FALSE)</f>
        <v>1</v>
      </c>
      <c r="BC367" s="2"/>
    </row>
    <row r="368" spans="1:55">
      <c r="A368" s="38" t="s">
        <v>658</v>
      </c>
      <c r="B368" s="3" t="s">
        <v>77</v>
      </c>
      <c r="C368" s="11">
        <v>46079.576388888891</v>
      </c>
      <c r="D368" s="11">
        <v>46079.583333333336</v>
      </c>
      <c r="E368" s="11" t="s">
        <v>98</v>
      </c>
      <c r="F368" s="11" t="s">
        <v>661</v>
      </c>
      <c r="G368" s="11" t="s">
        <v>59</v>
      </c>
      <c r="H368" s="11" t="s">
        <v>91</v>
      </c>
      <c r="I368" s="3" t="s">
        <v>715</v>
      </c>
      <c r="J368" s="86" t="s">
        <v>100</v>
      </c>
      <c r="K368" s="11">
        <v>46080.291666666664</v>
      </c>
      <c r="L368" s="12">
        <v>46080.446527777778</v>
      </c>
      <c r="M368" s="12">
        <v>46080.458333333336</v>
      </c>
      <c r="N368" s="12">
        <v>46080.458333333336</v>
      </c>
      <c r="O368" s="12" t="s">
        <v>63</v>
      </c>
      <c r="P368" s="85" t="s">
        <v>64</v>
      </c>
      <c r="Q368" s="3">
        <v>0</v>
      </c>
      <c r="R368" s="1">
        <f t="shared" si="102"/>
        <v>9</v>
      </c>
      <c r="S368" s="1">
        <f t="shared" si="103"/>
        <v>2</v>
      </c>
      <c r="T368" s="126">
        <f t="shared" si="104"/>
        <v>46080.446527777778</v>
      </c>
      <c r="U368" s="127">
        <f t="shared" si="105"/>
        <v>0.71527777777373558</v>
      </c>
      <c r="V368" s="128">
        <f>Table2[[#This Row],[ATA A OFRECIMIENTO]]*24</f>
        <v>17.166666666569654</v>
      </c>
      <c r="W368" s="1" t="str">
        <f t="shared" si="106"/>
        <v>YES</v>
      </c>
      <c r="X368" s="127">
        <f t="shared" si="107"/>
        <v>0.16666666667151731</v>
      </c>
      <c r="Y368" s="128">
        <f>Table2[[#This Row],[DEL. AVAILABLE A SLOT]]*24</f>
        <v>4.0000000001164153</v>
      </c>
      <c r="Z368" s="1" t="str">
        <f t="shared" si="108"/>
        <v>SI</v>
      </c>
      <c r="AA368" s="127">
        <f t="shared" si="109"/>
        <v>0.88194444444525288</v>
      </c>
      <c r="AB368" s="128">
        <f>Table2[[#This Row],[ATA A TIMESLOT]]*24</f>
        <v>21.166666666686069</v>
      </c>
      <c r="AC368" s="127">
        <f t="shared" si="110"/>
        <v>0</v>
      </c>
      <c r="AD368" s="127" t="str">
        <f t="shared" si="111"/>
        <v>SI</v>
      </c>
      <c r="AE368" s="128">
        <f>Table2[[#This Row],[PUNTUALIDAD (H)]]*24</f>
        <v>0</v>
      </c>
      <c r="AF368" s="127">
        <f t="shared" si="112"/>
        <v>0.88194444444525288</v>
      </c>
      <c r="AG368" s="128">
        <f>Table2[[#This Row],[ATA TO UNLOADING]]*24</f>
        <v>21.166666666686069</v>
      </c>
      <c r="AH368" s="128" t="str">
        <f>IF(Table2[[#This Row],[ATA TO UNLOADING 2]]&lt;=48,"YES","NO")</f>
        <v>YES</v>
      </c>
      <c r="AJ368" s="129">
        <f t="shared" si="113"/>
        <v>0.45833333333575865</v>
      </c>
      <c r="AK368" s="2" t="s">
        <v>64</v>
      </c>
      <c r="AL368" s="2" t="str">
        <f t="shared" si="114"/>
        <v>9/26</v>
      </c>
      <c r="AM368" s="2" t="str">
        <f t="shared" si="115"/>
        <v>MSKU5554593</v>
      </c>
      <c r="AN368" s="130" t="str">
        <f t="shared" si="116"/>
        <v>MSI</v>
      </c>
      <c r="AO368" s="150">
        <f>IF($O368="TRUCK",
VLOOKUP($AU368,Invoicing!$A$16:$B$56,MATCH($AO$1,Invoicing!$A$16:$B$16,0),FALSE)+IF(OR($B368="DCD",$B368="HPD2"),23.5,0),
VLOOKUP($AU368,Invoicing!$N$15:$O$19,MATCH($AO$1,Invoicing!$N$15:$O$15,0),FALSE)+IF(OR($B368="DCD",$B368="HPD2"),23.5,0))</f>
        <v>503.5</v>
      </c>
      <c r="AP368" s="131" t="e">
        <f>VLOOKUP($E368,Invoicing!$A$1:$H$12,MATCH(TRACKER!$P368,Invoicing!$A$1:$H$1,0),FALSE)</f>
        <v>#N/A</v>
      </c>
      <c r="AQ368" s="131">
        <f>VLOOKUP($E368,Invoicing!$A$1:$H$12,MATCH(TRACKER!$Q$1,Invoicing!$A$1:$H$1,0),FALSE)</f>
        <v>50</v>
      </c>
      <c r="AR368" s="131">
        <f t="shared" si="121"/>
        <v>0</v>
      </c>
      <c r="AS368" s="2">
        <f t="shared" si="117"/>
        <v>5</v>
      </c>
      <c r="AT368" s="2" t="str">
        <f t="shared" si="120"/>
        <v>WEEK</v>
      </c>
      <c r="AU368" s="2" t="str">
        <f t="shared" si="118"/>
        <v>MSIWEEK</v>
      </c>
      <c r="AV368" s="94">
        <f>(IF(ISNA(AP368),AO368+AR368,SUM($AO368,$AR368,IFERROR($AP368,"0"))))+Table2[[#This Row],[WAITING TIMES]]</f>
        <v>503.5</v>
      </c>
      <c r="AW368" s="94">
        <f>VLOOKUP(AN368,Invoicing!A:K,11,FALSE)</f>
        <v>20</v>
      </c>
      <c r="AY368" s="48"/>
      <c r="AZ368" s="94">
        <f t="shared" si="119"/>
        <v>523.5</v>
      </c>
      <c r="BA368" s="133">
        <f>VLOOKUP(AN368,Invoicing!A:J,10,FALSE)</f>
        <v>70</v>
      </c>
      <c r="BB368" s="133">
        <f>VLOOKUP(AN368,Invoicing!A:L,12,FALSE)</f>
        <v>1</v>
      </c>
      <c r="BC368" s="2"/>
    </row>
    <row r="369" spans="1:55">
      <c r="A369" s="38" t="s">
        <v>658</v>
      </c>
      <c r="B369" s="3" t="s">
        <v>77</v>
      </c>
      <c r="C369" s="11">
        <v>46079.576388888891</v>
      </c>
      <c r="D369" s="11">
        <v>46079.583333333336</v>
      </c>
      <c r="E369" s="11" t="s">
        <v>83</v>
      </c>
      <c r="F369" s="11" t="s">
        <v>705</v>
      </c>
      <c r="G369" s="11" t="s">
        <v>133</v>
      </c>
      <c r="H369" s="11" t="s">
        <v>91</v>
      </c>
      <c r="I369" s="3" t="s">
        <v>716</v>
      </c>
      <c r="J369" s="86" t="s">
        <v>100</v>
      </c>
      <c r="K369" s="11">
        <v>46080.291666666664</v>
      </c>
      <c r="L369" s="12">
        <v>46080.465277777781</v>
      </c>
      <c r="M369" s="12">
        <v>46080.458333333336</v>
      </c>
      <c r="N369" s="12">
        <v>46080.475694444445</v>
      </c>
      <c r="O369" s="12" t="s">
        <v>63</v>
      </c>
      <c r="P369" s="85" t="s">
        <v>64</v>
      </c>
      <c r="Q369" s="3">
        <v>2</v>
      </c>
      <c r="R369" s="1">
        <f t="shared" si="102"/>
        <v>9</v>
      </c>
      <c r="S369" s="1">
        <f t="shared" si="103"/>
        <v>2</v>
      </c>
      <c r="T369" s="126">
        <f t="shared" si="104"/>
        <v>46080.465277777781</v>
      </c>
      <c r="U369" s="127">
        <f t="shared" si="105"/>
        <v>0.71527777777373558</v>
      </c>
      <c r="V369" s="128">
        <f>Table2[[#This Row],[ATA A OFRECIMIENTO]]*24</f>
        <v>17.166666666569654</v>
      </c>
      <c r="W369" s="1" t="str">
        <f t="shared" si="106"/>
        <v>YES</v>
      </c>
      <c r="X369" s="127">
        <f t="shared" si="107"/>
        <v>0.16666666667151731</v>
      </c>
      <c r="Y369" s="128">
        <f>Table2[[#This Row],[DEL. AVAILABLE A SLOT]]*24</f>
        <v>4.0000000001164153</v>
      </c>
      <c r="Z369" s="1" t="str">
        <f t="shared" si="108"/>
        <v>SI</v>
      </c>
      <c r="AA369" s="127">
        <f t="shared" si="109"/>
        <v>0.88194444444525288</v>
      </c>
      <c r="AB369" s="128">
        <f>Table2[[#This Row],[ATA A TIMESLOT]]*24</f>
        <v>21.166666666686069</v>
      </c>
      <c r="AC369" s="127">
        <f t="shared" si="110"/>
        <v>6.9444444452528842E-3</v>
      </c>
      <c r="AD369" s="127" t="str">
        <f t="shared" si="111"/>
        <v>SI</v>
      </c>
      <c r="AE369" s="128">
        <f>Table2[[#This Row],[PUNTUALIDAD (H)]]*24</f>
        <v>0.16666666668606922</v>
      </c>
      <c r="AF369" s="127">
        <f t="shared" si="112"/>
        <v>0.89930555555474712</v>
      </c>
      <c r="AG369" s="128">
        <f>Table2[[#This Row],[ATA TO UNLOADING]]*24</f>
        <v>21.583333333313931</v>
      </c>
      <c r="AH369" s="128" t="str">
        <f>IF(Table2[[#This Row],[ATA TO UNLOADING 2]]&lt;=48,"YES","NO")</f>
        <v>YES</v>
      </c>
      <c r="AJ369" s="129">
        <f t="shared" si="113"/>
        <v>0.45833333333575865</v>
      </c>
      <c r="AK369" s="2" t="s">
        <v>64</v>
      </c>
      <c r="AL369" s="2" t="str">
        <f t="shared" si="114"/>
        <v>9/26</v>
      </c>
      <c r="AM369" s="2" t="str">
        <f t="shared" si="115"/>
        <v>UACU5825953</v>
      </c>
      <c r="AN369" s="130" t="str">
        <f t="shared" si="116"/>
        <v>OM TRANSPORT</v>
      </c>
      <c r="AO369" s="150">
        <f>IF($O369="TRUCK",
VLOOKUP($AU369,Invoicing!$A$16:$B$56,MATCH($AO$1,Invoicing!$A$16:$B$16,0),FALSE)+IF(OR($B369="DCD",$B369="HPD2"),23.5,0),
VLOOKUP($AU369,Invoicing!$N$15:$O$19,MATCH($AO$1,Invoicing!$N$15:$O$15,0),FALSE)+IF(OR($B369="DCD",$B369="HPD2"),23.5,0))</f>
        <v>498.5</v>
      </c>
      <c r="AP369" s="131" t="e">
        <f>VLOOKUP($E369,Invoicing!$A$1:$H$12,MATCH(TRACKER!$P369,Invoicing!$A$1:$H$1,0),FALSE)</f>
        <v>#N/A</v>
      </c>
      <c r="AQ369" s="131">
        <f>VLOOKUP($E369,Invoicing!$A$1:$H$12,MATCH(TRACKER!$Q$1,Invoicing!$A$1:$H$1,0),FALSE)</f>
        <v>50</v>
      </c>
      <c r="AR369" s="131">
        <f t="shared" si="121"/>
        <v>100</v>
      </c>
      <c r="AS369" s="2">
        <f t="shared" si="117"/>
        <v>5</v>
      </c>
      <c r="AT369" s="2" t="str">
        <f t="shared" si="120"/>
        <v>WEEK</v>
      </c>
      <c r="AU369" s="2" t="str">
        <f t="shared" si="118"/>
        <v>OM TRANSPORTWEEK</v>
      </c>
      <c r="AV369" s="94">
        <f>(IF(ISNA(AP369),AO369+AR369,SUM($AO369,$AR369,IFERROR($AP369,"0"))))+Table2[[#This Row],[WAITING TIMES]]</f>
        <v>598.5</v>
      </c>
      <c r="AW369" s="94">
        <f>VLOOKUP(AN369,Invoicing!A:K,11,FALSE)</f>
        <v>20</v>
      </c>
      <c r="AY369" s="48"/>
      <c r="AZ369" s="94">
        <f t="shared" si="119"/>
        <v>618.5</v>
      </c>
      <c r="BA369" s="133">
        <f>VLOOKUP(AN369,Invoicing!A:J,10,FALSE)</f>
        <v>70</v>
      </c>
      <c r="BB369" s="133">
        <f>VLOOKUP(AN369,Invoicing!A:L,12,FALSE)</f>
        <v>1</v>
      </c>
      <c r="BC369" s="2"/>
    </row>
    <row r="370" spans="1:55">
      <c r="A370" s="38" t="s">
        <v>658</v>
      </c>
      <c r="B370" s="3" t="s">
        <v>77</v>
      </c>
      <c r="C370" s="11">
        <v>46079.576388888891</v>
      </c>
      <c r="D370" s="11">
        <v>46079.583333333336</v>
      </c>
      <c r="E370" s="11" t="s">
        <v>73</v>
      </c>
      <c r="F370" s="11" t="s">
        <v>702</v>
      </c>
      <c r="G370" s="11" t="s">
        <v>59</v>
      </c>
      <c r="H370" s="11" t="s">
        <v>91</v>
      </c>
      <c r="I370" s="3" t="s">
        <v>717</v>
      </c>
      <c r="J370" s="86" t="s">
        <v>100</v>
      </c>
      <c r="K370" s="11">
        <v>46080.291666666664</v>
      </c>
      <c r="L370" s="12">
        <v>46080.621527777781</v>
      </c>
      <c r="M370" s="12">
        <v>46080.541666666664</v>
      </c>
      <c r="N370" s="12">
        <v>46080.628472222219</v>
      </c>
      <c r="O370" s="12" t="s">
        <v>63</v>
      </c>
      <c r="P370" s="85" t="s">
        <v>64</v>
      </c>
      <c r="Q370" s="3">
        <v>0</v>
      </c>
      <c r="R370" s="1">
        <f t="shared" si="102"/>
        <v>9</v>
      </c>
      <c r="S370" s="1">
        <f t="shared" si="103"/>
        <v>2</v>
      </c>
      <c r="T370" s="126">
        <f t="shared" si="104"/>
        <v>46080.621527777781</v>
      </c>
      <c r="U370" s="127">
        <f t="shared" si="105"/>
        <v>0.71527777777373558</v>
      </c>
      <c r="V370" s="128">
        <f>Table2[[#This Row],[ATA A OFRECIMIENTO]]*24</f>
        <v>17.166666666569654</v>
      </c>
      <c r="W370" s="1" t="str">
        <f t="shared" si="106"/>
        <v>YES</v>
      </c>
      <c r="X370" s="127">
        <f t="shared" si="107"/>
        <v>0.25</v>
      </c>
      <c r="Y370" s="128">
        <f>Table2[[#This Row],[DEL. AVAILABLE A SLOT]]*24</f>
        <v>6</v>
      </c>
      <c r="Z370" s="1" t="str">
        <f t="shared" si="108"/>
        <v>SI</v>
      </c>
      <c r="AA370" s="127">
        <f t="shared" si="109"/>
        <v>0.96527777777373558</v>
      </c>
      <c r="AB370" s="128">
        <f>Table2[[#This Row],[ATA A TIMESLOT]]*24</f>
        <v>23.166666666569654</v>
      </c>
      <c r="AC370" s="127">
        <f t="shared" si="110"/>
        <v>7.9861111116770189E-2</v>
      </c>
      <c r="AD370" s="127" t="str">
        <f t="shared" si="111"/>
        <v>NO</v>
      </c>
      <c r="AE370" s="128">
        <f>Table2[[#This Row],[PUNTUALIDAD (H)]]*24</f>
        <v>1.9166666668024845</v>
      </c>
      <c r="AF370" s="127">
        <f t="shared" si="112"/>
        <v>1.0520833333284827</v>
      </c>
      <c r="AG370" s="128">
        <f>Table2[[#This Row],[ATA TO UNLOADING]]*24</f>
        <v>25.249999999883585</v>
      </c>
      <c r="AH370" s="128" t="str">
        <f>IF(Table2[[#This Row],[ATA TO UNLOADING 2]]&lt;=48,"YES","NO")</f>
        <v>YES</v>
      </c>
      <c r="AJ370" s="129">
        <f t="shared" si="113"/>
        <v>0.54166666666424135</v>
      </c>
      <c r="AK370" s="2" t="s">
        <v>64</v>
      </c>
      <c r="AL370" s="2" t="str">
        <f t="shared" si="114"/>
        <v>9/26</v>
      </c>
      <c r="AM370" s="2" t="str">
        <f t="shared" si="115"/>
        <v>TCNU2576407</v>
      </c>
      <c r="AN370" s="130" t="str">
        <f t="shared" si="116"/>
        <v>OTL</v>
      </c>
      <c r="AO370" s="150">
        <f>IF($O370="TRUCK",
VLOOKUP($AU370,Invoicing!$A$16:$B$56,MATCH($AO$1,Invoicing!$A$16:$B$16,0),FALSE)+IF(OR($B370="DCD",$B370="HPD2"),23.5,0),
VLOOKUP($AU370,Invoicing!$N$15:$O$19,MATCH($AO$1,Invoicing!$N$15:$O$15,0),FALSE)+IF(OR($B370="DCD",$B370="HPD2"),23.5,0))</f>
        <v>553.5</v>
      </c>
      <c r="AP370" s="131" t="e">
        <f>VLOOKUP($E370,Invoicing!$A$1:$H$12,MATCH(TRACKER!$P370,Invoicing!$A$1:$H$1,0),FALSE)</f>
        <v>#N/A</v>
      </c>
      <c r="AQ370" s="131">
        <f>VLOOKUP($E370,Invoicing!$A$1:$H$12,MATCH(TRACKER!$Q$1,Invoicing!$A$1:$H$1,0),FALSE)</f>
        <v>60</v>
      </c>
      <c r="AR370" s="131">
        <f t="shared" si="121"/>
        <v>0</v>
      </c>
      <c r="AS370" s="2">
        <f t="shared" si="117"/>
        <v>5</v>
      </c>
      <c r="AT370" s="2" t="str">
        <f t="shared" si="120"/>
        <v>WEEK</v>
      </c>
      <c r="AU370" s="2" t="str">
        <f t="shared" si="118"/>
        <v>OTLWEEK</v>
      </c>
      <c r="AV370" s="94">
        <f>(IF(ISNA(AP370),AO370+AR370,SUM($AO370,$AR370,IFERROR($AP370,"0"))))+Table2[[#This Row],[WAITING TIMES]]</f>
        <v>553.5</v>
      </c>
      <c r="AW370" s="94">
        <f>VLOOKUP(AN370,Invoicing!A:K,11,FALSE)</f>
        <v>20</v>
      </c>
      <c r="AY370" s="48"/>
      <c r="AZ370" s="94">
        <f t="shared" si="119"/>
        <v>573.5</v>
      </c>
      <c r="BA370" s="133">
        <f>VLOOKUP(AN370,Invoicing!A:J,10,FALSE)</f>
        <v>70</v>
      </c>
      <c r="BB370" s="133">
        <f>VLOOKUP(AN370,Invoicing!A:L,12,FALSE)</f>
        <v>1</v>
      </c>
      <c r="BC370" s="2"/>
    </row>
    <row r="371" spans="1:55">
      <c r="A371" s="38" t="s">
        <v>658</v>
      </c>
      <c r="B371" s="3" t="s">
        <v>77</v>
      </c>
      <c r="C371" s="11">
        <v>46079.576388888891</v>
      </c>
      <c r="D371" s="11">
        <v>46079.583333333336</v>
      </c>
      <c r="E371" s="11" t="s">
        <v>98</v>
      </c>
      <c r="F371" s="11" t="s">
        <v>663</v>
      </c>
      <c r="G371" s="11" t="s">
        <v>59</v>
      </c>
      <c r="H371" s="11" t="s">
        <v>91</v>
      </c>
      <c r="I371" s="3" t="s">
        <v>718</v>
      </c>
      <c r="J371" s="86" t="s">
        <v>82</v>
      </c>
      <c r="K371" s="11">
        <v>46080.291666666664</v>
      </c>
      <c r="L371" s="12">
        <v>46080.480555555558</v>
      </c>
      <c r="M371" s="12">
        <v>46080.541666666664</v>
      </c>
      <c r="N371" s="12">
        <v>46080.541666666664</v>
      </c>
      <c r="O371" s="12" t="s">
        <v>63</v>
      </c>
      <c r="P371" s="85" t="s">
        <v>15</v>
      </c>
      <c r="Q371" s="3">
        <v>0</v>
      </c>
      <c r="R371" s="1">
        <f t="shared" si="102"/>
        <v>9</v>
      </c>
      <c r="S371" s="1">
        <f t="shared" si="103"/>
        <v>2</v>
      </c>
      <c r="T371" s="126">
        <f t="shared" si="104"/>
        <v>46080.480555555558</v>
      </c>
      <c r="U371" s="127">
        <f t="shared" si="105"/>
        <v>0.71527777777373558</v>
      </c>
      <c r="V371" s="128">
        <f>Table2[[#This Row],[ATA A OFRECIMIENTO]]*24</f>
        <v>17.166666666569654</v>
      </c>
      <c r="W371" s="1" t="str">
        <f t="shared" si="106"/>
        <v>YES</v>
      </c>
      <c r="X371" s="127">
        <f t="shared" si="107"/>
        <v>0.25</v>
      </c>
      <c r="Y371" s="128">
        <f>Table2[[#This Row],[DEL. AVAILABLE A SLOT]]*24</f>
        <v>6</v>
      </c>
      <c r="Z371" s="1" t="str">
        <f t="shared" si="108"/>
        <v>SI</v>
      </c>
      <c r="AA371" s="127">
        <f t="shared" si="109"/>
        <v>0.96527777777373558</v>
      </c>
      <c r="AB371" s="128">
        <f>Table2[[#This Row],[ATA A TIMESLOT]]*24</f>
        <v>23.166666666569654</v>
      </c>
      <c r="AC371" s="127">
        <f t="shared" si="110"/>
        <v>0</v>
      </c>
      <c r="AD371" s="127" t="str">
        <f t="shared" si="111"/>
        <v>SI</v>
      </c>
      <c r="AE371" s="128">
        <f>Table2[[#This Row],[PUNTUALIDAD (H)]]*24</f>
        <v>0</v>
      </c>
      <c r="AF371" s="127">
        <f t="shared" si="112"/>
        <v>0.96527777777373558</v>
      </c>
      <c r="AG371" s="128">
        <f>Table2[[#This Row],[ATA TO UNLOADING]]*24</f>
        <v>23.166666666569654</v>
      </c>
      <c r="AH371" s="128" t="str">
        <f>IF(Table2[[#This Row],[ATA TO UNLOADING 2]]&lt;=48,"YES","NO")</f>
        <v>YES</v>
      </c>
      <c r="AJ371" s="129">
        <f t="shared" si="113"/>
        <v>0.54166666666424135</v>
      </c>
      <c r="AK371" s="2" t="s">
        <v>64</v>
      </c>
      <c r="AL371" s="2" t="str">
        <f t="shared" si="114"/>
        <v>9/26</v>
      </c>
      <c r="AM371" s="2" t="str">
        <f t="shared" si="115"/>
        <v>UETU6676798</v>
      </c>
      <c r="AN371" s="130" t="str">
        <f t="shared" si="116"/>
        <v>MSI</v>
      </c>
      <c r="AO371" s="150">
        <f>IF($O371="TRUCK",
VLOOKUP($AU371,Invoicing!$A$16:$B$56,MATCH($AO$1,Invoicing!$A$16:$B$16,0),FALSE)+IF(OR($B371="DCD",$B371="HPD2"),23.5,0),
VLOOKUP($AU371,Invoicing!$N$15:$O$19,MATCH($AO$1,Invoicing!$N$15:$O$15,0),FALSE)+IF(OR($B371="DCD",$B371="HPD2"),23.5,0))</f>
        <v>503.5</v>
      </c>
      <c r="AP371" s="131">
        <f>VLOOKUP($E371,Invoicing!$A$1:$H$12,MATCH(TRACKER!$P371,Invoicing!$A$1:$H$1,0),FALSE)</f>
        <v>120</v>
      </c>
      <c r="AQ371" s="131">
        <f>VLOOKUP($E371,Invoicing!$A$1:$H$12,MATCH(TRACKER!$Q$1,Invoicing!$A$1:$H$1,0),FALSE)</f>
        <v>50</v>
      </c>
      <c r="AR371" s="131">
        <f t="shared" si="121"/>
        <v>0</v>
      </c>
      <c r="AS371" s="2">
        <f t="shared" si="117"/>
        <v>5</v>
      </c>
      <c r="AT371" s="2" t="str">
        <f t="shared" si="120"/>
        <v>WEEK</v>
      </c>
      <c r="AU371" s="2" t="str">
        <f t="shared" si="118"/>
        <v>MSIWEEK</v>
      </c>
      <c r="AV371" s="94">
        <f>(IF(ISNA(AP371),AO371+AR371,SUM($AO371,$AR371,IFERROR($AP371,"0"))))+Table2[[#This Row],[WAITING TIMES]]</f>
        <v>818.5</v>
      </c>
      <c r="AW371" s="94">
        <f>VLOOKUP(AN371,Invoicing!A:K,11,FALSE)</f>
        <v>20</v>
      </c>
      <c r="AX371" s="48">
        <v>195</v>
      </c>
      <c r="AY371" s="94" t="s">
        <v>719</v>
      </c>
      <c r="AZ371" s="94">
        <f t="shared" si="119"/>
        <v>838.5</v>
      </c>
      <c r="BA371" s="133">
        <f>VLOOKUP(AN371,Invoicing!A:J,10,FALSE)</f>
        <v>70</v>
      </c>
      <c r="BB371" s="133">
        <f>VLOOKUP(AN371,Invoicing!A:L,12,FALSE)</f>
        <v>1</v>
      </c>
      <c r="BC371" s="2"/>
    </row>
    <row r="372" spans="1:55">
      <c r="A372" s="38" t="s">
        <v>658</v>
      </c>
      <c r="B372" s="3" t="s">
        <v>77</v>
      </c>
      <c r="C372" s="11">
        <v>46079.576388888891</v>
      </c>
      <c r="D372" s="11">
        <v>46079.583333333336</v>
      </c>
      <c r="E372" s="11" t="s">
        <v>73</v>
      </c>
      <c r="F372" s="11" t="s">
        <v>661</v>
      </c>
      <c r="G372" s="11" t="s">
        <v>59</v>
      </c>
      <c r="H372" s="11" t="s">
        <v>91</v>
      </c>
      <c r="I372" s="3" t="s">
        <v>720</v>
      </c>
      <c r="J372" s="86" t="s">
        <v>82</v>
      </c>
      <c r="K372" s="11">
        <v>46080.291666666664</v>
      </c>
      <c r="L372" s="12">
        <v>46080.583333333336</v>
      </c>
      <c r="M372" s="12">
        <v>46080.583333333336</v>
      </c>
      <c r="N372" s="12">
        <v>46080.630555555559</v>
      </c>
      <c r="O372" s="12" t="s">
        <v>63</v>
      </c>
      <c r="P372" s="85" t="s">
        <v>64</v>
      </c>
      <c r="Q372" s="3">
        <v>0</v>
      </c>
      <c r="R372" s="1">
        <f t="shared" si="102"/>
        <v>9</v>
      </c>
      <c r="S372" s="1">
        <f t="shared" si="103"/>
        <v>2</v>
      </c>
      <c r="T372" s="126">
        <f t="shared" si="104"/>
        <v>46080.583333333336</v>
      </c>
      <c r="U372" s="127">
        <f t="shared" si="105"/>
        <v>0.71527777777373558</v>
      </c>
      <c r="V372" s="128">
        <f>Table2[[#This Row],[ATA A OFRECIMIENTO]]*24</f>
        <v>17.166666666569654</v>
      </c>
      <c r="W372" s="1" t="str">
        <f t="shared" si="106"/>
        <v>YES</v>
      </c>
      <c r="X372" s="127">
        <f t="shared" si="107"/>
        <v>0.29166666667151731</v>
      </c>
      <c r="Y372" s="128">
        <f>Table2[[#This Row],[DEL. AVAILABLE A SLOT]]*24</f>
        <v>7.0000000001164153</v>
      </c>
      <c r="Z372" s="1" t="str">
        <f t="shared" si="108"/>
        <v>SI</v>
      </c>
      <c r="AA372" s="127">
        <f t="shared" si="109"/>
        <v>1.0069444444452529</v>
      </c>
      <c r="AB372" s="128">
        <f>Table2[[#This Row],[ATA A TIMESLOT]]*24</f>
        <v>24.166666666686069</v>
      </c>
      <c r="AC372" s="127">
        <f t="shared" si="110"/>
        <v>0</v>
      </c>
      <c r="AD372" s="127" t="str">
        <f t="shared" si="111"/>
        <v>SI</v>
      </c>
      <c r="AE372" s="128">
        <f>Table2[[#This Row],[PUNTUALIDAD (H)]]*24</f>
        <v>0</v>
      </c>
      <c r="AF372" s="127">
        <f t="shared" si="112"/>
        <v>1.0541666666686069</v>
      </c>
      <c r="AG372" s="128">
        <f>Table2[[#This Row],[ATA TO UNLOADING]]*24</f>
        <v>25.300000000046566</v>
      </c>
      <c r="AH372" s="128" t="str">
        <f>IF(Table2[[#This Row],[ATA TO UNLOADING 2]]&lt;=48,"YES","NO")</f>
        <v>YES</v>
      </c>
      <c r="AJ372" s="129">
        <f t="shared" si="113"/>
        <v>0.58333333333575865</v>
      </c>
      <c r="AK372" s="2" t="s">
        <v>64</v>
      </c>
      <c r="AL372" s="2" t="str">
        <f t="shared" si="114"/>
        <v>9/26</v>
      </c>
      <c r="AM372" s="2" t="str">
        <f t="shared" si="115"/>
        <v>TRHU4519246</v>
      </c>
      <c r="AN372" s="130" t="str">
        <f t="shared" si="116"/>
        <v>OTL</v>
      </c>
      <c r="AO372" s="150">
        <f>IF($O372="TRUCK",
VLOOKUP($AU372,Invoicing!$A$16:$B$56,MATCH($AO$1,Invoicing!$A$16:$B$16,0),FALSE)+IF(OR($B372="DCD",$B372="HPD2"),23.5,0),
VLOOKUP($AU372,Invoicing!$N$15:$O$19,MATCH($AO$1,Invoicing!$N$15:$O$15,0),FALSE)+IF(OR($B372="DCD",$B372="HPD2"),23.5,0))</f>
        <v>553.5</v>
      </c>
      <c r="AP372" s="131" t="e">
        <f>VLOOKUP($E372,Invoicing!$A$1:$H$12,MATCH(TRACKER!$P372,Invoicing!$A$1:$H$1,0),FALSE)</f>
        <v>#N/A</v>
      </c>
      <c r="AQ372" s="131">
        <f>VLOOKUP($E372,Invoicing!$A$1:$H$12,MATCH(TRACKER!$Q$1,Invoicing!$A$1:$H$1,0),FALSE)</f>
        <v>60</v>
      </c>
      <c r="AR372" s="131">
        <f t="shared" si="121"/>
        <v>0</v>
      </c>
      <c r="AS372" s="2">
        <f t="shared" si="117"/>
        <v>5</v>
      </c>
      <c r="AT372" s="2" t="str">
        <f t="shared" si="120"/>
        <v>WEEK</v>
      </c>
      <c r="AU372" s="2" t="str">
        <f t="shared" si="118"/>
        <v>OTLWEEK</v>
      </c>
      <c r="AV372" s="94">
        <f>(IF(ISNA(AP372),AO372+AR372,SUM($AO372,$AR372,IFERROR($AP372,"0"))))+Table2[[#This Row],[WAITING TIMES]]</f>
        <v>553.5</v>
      </c>
      <c r="AW372" s="94">
        <f>VLOOKUP(AN372,Invoicing!A:K,11,FALSE)</f>
        <v>20</v>
      </c>
      <c r="AY372" s="48"/>
      <c r="AZ372" s="94">
        <f t="shared" si="119"/>
        <v>573.5</v>
      </c>
      <c r="BA372" s="133">
        <f>VLOOKUP(AN372,Invoicing!A:J,10,FALSE)</f>
        <v>70</v>
      </c>
      <c r="BB372" s="133">
        <f>VLOOKUP(AN372,Invoicing!A:L,12,FALSE)</f>
        <v>1</v>
      </c>
      <c r="BC372" s="2"/>
    </row>
    <row r="373" spans="1:55">
      <c r="A373" s="38" t="s">
        <v>658</v>
      </c>
      <c r="B373" s="3" t="s">
        <v>77</v>
      </c>
      <c r="C373" s="11">
        <v>46079.576388888891</v>
      </c>
      <c r="D373" s="11">
        <v>46079.583333333336</v>
      </c>
      <c r="E373" s="11" t="s">
        <v>83</v>
      </c>
      <c r="F373" s="11" t="s">
        <v>663</v>
      </c>
      <c r="G373" s="11" t="s">
        <v>59</v>
      </c>
      <c r="H373" s="11" t="s">
        <v>91</v>
      </c>
      <c r="I373" s="3" t="s">
        <v>721</v>
      </c>
      <c r="J373" s="86" t="s">
        <v>82</v>
      </c>
      <c r="K373" s="11">
        <v>46080.291666666664</v>
      </c>
      <c r="L373" s="12">
        <v>46080.65625</v>
      </c>
      <c r="M373" s="12">
        <v>46080.65625</v>
      </c>
      <c r="N373" s="12">
        <v>46080.708333333336</v>
      </c>
      <c r="O373" s="12" t="s">
        <v>63</v>
      </c>
      <c r="P373" s="85" t="s">
        <v>15</v>
      </c>
      <c r="Q373" s="3">
        <v>0</v>
      </c>
      <c r="R373" s="1">
        <f t="shared" si="102"/>
        <v>9</v>
      </c>
      <c r="S373" s="1">
        <f t="shared" si="103"/>
        <v>2</v>
      </c>
      <c r="T373" s="126">
        <f t="shared" si="104"/>
        <v>46080.65625</v>
      </c>
      <c r="U373" s="127">
        <f t="shared" si="105"/>
        <v>0.71527777777373558</v>
      </c>
      <c r="V373" s="128">
        <f>Table2[[#This Row],[ATA A OFRECIMIENTO]]*24</f>
        <v>17.166666666569654</v>
      </c>
      <c r="W373" s="1" t="str">
        <f t="shared" si="106"/>
        <v>YES</v>
      </c>
      <c r="X373" s="127">
        <f t="shared" si="107"/>
        <v>0.36458333333575865</v>
      </c>
      <c r="Y373" s="128">
        <f>Table2[[#This Row],[DEL. AVAILABLE A SLOT]]*24</f>
        <v>8.7500000000582077</v>
      </c>
      <c r="Z373" s="1" t="str">
        <f t="shared" si="108"/>
        <v>SI</v>
      </c>
      <c r="AA373" s="127">
        <f t="shared" si="109"/>
        <v>1.0798611111094942</v>
      </c>
      <c r="AB373" s="128">
        <f>Table2[[#This Row],[ATA A TIMESLOT]]*24</f>
        <v>25.916666666627862</v>
      </c>
      <c r="AC373" s="127">
        <f t="shared" si="110"/>
        <v>0</v>
      </c>
      <c r="AD373" s="127" t="str">
        <f t="shared" si="111"/>
        <v>SI</v>
      </c>
      <c r="AE373" s="128">
        <f>Table2[[#This Row],[PUNTUALIDAD (H)]]*24</f>
        <v>0</v>
      </c>
      <c r="AF373" s="127">
        <f t="shared" si="112"/>
        <v>1.1319444444452529</v>
      </c>
      <c r="AG373" s="128">
        <f>Table2[[#This Row],[ATA TO UNLOADING]]*24</f>
        <v>27.166666666686069</v>
      </c>
      <c r="AH373" s="128" t="str">
        <f>IF(Table2[[#This Row],[ATA TO UNLOADING 2]]&lt;=48,"YES","NO")</f>
        <v>YES</v>
      </c>
      <c r="AJ373" s="129">
        <f t="shared" si="113"/>
        <v>0.65625</v>
      </c>
      <c r="AK373" s="2" t="s">
        <v>64</v>
      </c>
      <c r="AL373" s="2" t="str">
        <f t="shared" si="114"/>
        <v>9/26</v>
      </c>
      <c r="AM373" s="2" t="str">
        <f t="shared" si="115"/>
        <v>TCKU7090199</v>
      </c>
      <c r="AN373" s="130" t="str">
        <f t="shared" si="116"/>
        <v>OM TRANSPORT</v>
      </c>
      <c r="AO373" s="150">
        <f>IF($O373="TRUCK",
VLOOKUP($AU373,Invoicing!$A$16:$B$56,MATCH($AO$1,Invoicing!$A$16:$B$16,0),FALSE)+IF(OR($B373="DCD",$B373="HPD2"),23.5,0),
VLOOKUP($AU373,Invoicing!$N$15:$O$19,MATCH($AO$1,Invoicing!$N$15:$O$15,0),FALSE)+IF(OR($B373="DCD",$B373="HPD2"),23.5,0))</f>
        <v>498.5</v>
      </c>
      <c r="AP373" s="131">
        <f>VLOOKUP($E373,Invoicing!$A$1:$H$12,MATCH(TRACKER!$P373,Invoicing!$A$1:$H$1,0),FALSE)</f>
        <v>110</v>
      </c>
      <c r="AQ373" s="131">
        <f>VLOOKUP($E373,Invoicing!$A$1:$H$12,MATCH(TRACKER!$Q$1,Invoicing!$A$1:$H$1,0),FALSE)</f>
        <v>50</v>
      </c>
      <c r="AR373" s="131">
        <f t="shared" ref="AR373:AR404" si="122">IF($Q373&lt;&gt;0,$Q373*$AQ373,0)</f>
        <v>0</v>
      </c>
      <c r="AS373" s="2">
        <f t="shared" si="117"/>
        <v>5</v>
      </c>
      <c r="AT373" s="2" t="str">
        <f t="shared" si="120"/>
        <v>WEEK</v>
      </c>
      <c r="AU373" s="2" t="str">
        <f t="shared" si="118"/>
        <v>OM TRANSPORTWEEK</v>
      </c>
      <c r="AV373" s="94">
        <f>(IF(ISNA(AP373),AO373+AR373,SUM($AO373,$AR373,IFERROR($AP373,"0"))))+Table2[[#This Row],[WAITING TIMES]]</f>
        <v>856</v>
      </c>
      <c r="AW373" s="94">
        <f>VLOOKUP(AN373,Invoicing!A:K,11,FALSE)</f>
        <v>20</v>
      </c>
      <c r="AX373" s="48">
        <v>247.5</v>
      </c>
      <c r="AY373" s="48" t="s">
        <v>722</v>
      </c>
      <c r="AZ373" s="94">
        <f t="shared" si="119"/>
        <v>876</v>
      </c>
      <c r="BA373" s="133">
        <f>VLOOKUP(AN373,Invoicing!A:J,10,FALSE)</f>
        <v>70</v>
      </c>
      <c r="BB373" s="133">
        <f>VLOOKUP(AN373,Invoicing!A:L,12,FALSE)</f>
        <v>1</v>
      </c>
      <c r="BC373" s="2"/>
    </row>
    <row r="374" spans="1:55">
      <c r="A374" s="38" t="s">
        <v>658</v>
      </c>
      <c r="B374" s="3" t="s">
        <v>77</v>
      </c>
      <c r="C374" s="11">
        <v>46079.576388888891</v>
      </c>
      <c r="D374" s="11">
        <v>46079.583333333336</v>
      </c>
      <c r="E374" s="11" t="s">
        <v>83</v>
      </c>
      <c r="F374" s="11" t="s">
        <v>705</v>
      </c>
      <c r="G374" s="11" t="s">
        <v>133</v>
      </c>
      <c r="H374" s="11" t="s">
        <v>91</v>
      </c>
      <c r="I374" s="3" t="s">
        <v>723</v>
      </c>
      <c r="J374" s="86" t="s">
        <v>100</v>
      </c>
      <c r="K374" s="11">
        <v>46080.291666666664</v>
      </c>
      <c r="L374" s="12">
        <v>46080.737500000003</v>
      </c>
      <c r="M374" s="12">
        <v>46080.666666666664</v>
      </c>
      <c r="N374" s="12">
        <v>46080.809027777781</v>
      </c>
      <c r="O374" s="12" t="s">
        <v>63</v>
      </c>
      <c r="P374" s="85" t="s">
        <v>64</v>
      </c>
      <c r="Q374" s="3">
        <v>2</v>
      </c>
      <c r="R374" s="1">
        <f t="shared" si="102"/>
        <v>9</v>
      </c>
      <c r="S374" s="1">
        <f t="shared" si="103"/>
        <v>2</v>
      </c>
      <c r="T374" s="126">
        <f t="shared" si="104"/>
        <v>46080.737500000003</v>
      </c>
      <c r="U374" s="127">
        <f t="shared" si="105"/>
        <v>0.71527777777373558</v>
      </c>
      <c r="V374" s="128">
        <f>Table2[[#This Row],[ATA A OFRECIMIENTO]]*24</f>
        <v>17.166666666569654</v>
      </c>
      <c r="W374" s="1" t="str">
        <f t="shared" si="106"/>
        <v>YES</v>
      </c>
      <c r="X374" s="127">
        <f t="shared" si="107"/>
        <v>0.375</v>
      </c>
      <c r="Y374" s="128">
        <f>Table2[[#This Row],[DEL. AVAILABLE A SLOT]]*24</f>
        <v>9</v>
      </c>
      <c r="Z374" s="1" t="str">
        <f t="shared" si="108"/>
        <v>SI</v>
      </c>
      <c r="AA374" s="127">
        <f t="shared" si="109"/>
        <v>1.0902777777737356</v>
      </c>
      <c r="AB374" s="128">
        <f>Table2[[#This Row],[ATA A TIMESLOT]]*24</f>
        <v>26.166666666569654</v>
      </c>
      <c r="AC374" s="127">
        <f t="shared" si="110"/>
        <v>7.0833333338669036E-2</v>
      </c>
      <c r="AD374" s="127" t="str">
        <f t="shared" si="111"/>
        <v>NO</v>
      </c>
      <c r="AE374" s="128">
        <f>Table2[[#This Row],[PUNTUALIDAD (H)]]*24</f>
        <v>1.7000000001280569</v>
      </c>
      <c r="AF374" s="127">
        <f t="shared" si="112"/>
        <v>1.2326388888905058</v>
      </c>
      <c r="AG374" s="128">
        <f>Table2[[#This Row],[ATA TO UNLOADING]]*24</f>
        <v>29.583333333372138</v>
      </c>
      <c r="AH374" s="128" t="str">
        <f>IF(Table2[[#This Row],[ATA TO UNLOADING 2]]&lt;=48,"YES","NO")</f>
        <v>YES</v>
      </c>
      <c r="AJ374" s="129">
        <f t="shared" si="113"/>
        <v>0.66666666666424135</v>
      </c>
      <c r="AK374" s="2" t="s">
        <v>64</v>
      </c>
      <c r="AL374" s="2" t="str">
        <f t="shared" si="114"/>
        <v>9/26</v>
      </c>
      <c r="AM374" s="2" t="str">
        <f t="shared" si="115"/>
        <v>HLBU1776550</v>
      </c>
      <c r="AN374" s="130" t="str">
        <f t="shared" si="116"/>
        <v>OM TRANSPORT</v>
      </c>
      <c r="AO374" s="150">
        <f>IF($O374="TRUCK",
VLOOKUP($AU374,Invoicing!$A$16:$B$56,MATCH($AO$1,Invoicing!$A$16:$B$16,0),FALSE)+IF(OR($B374="DCD",$B374="HPD2"),23.5,0),
VLOOKUP($AU374,Invoicing!$N$15:$O$19,MATCH($AO$1,Invoicing!$N$15:$O$15,0),FALSE)+IF(OR($B374="DCD",$B374="HPD2"),23.5,0))</f>
        <v>498.5</v>
      </c>
      <c r="AP374" s="131" t="e">
        <f>VLOOKUP($E374,Invoicing!$A$1:$H$12,MATCH(TRACKER!$P374,Invoicing!$A$1:$H$1,0),FALSE)</f>
        <v>#N/A</v>
      </c>
      <c r="AQ374" s="131">
        <f>VLOOKUP($E374,Invoicing!$A$1:$H$12,MATCH(TRACKER!$Q$1,Invoicing!$A$1:$H$1,0),FALSE)</f>
        <v>50</v>
      </c>
      <c r="AR374" s="131">
        <f t="shared" si="122"/>
        <v>100</v>
      </c>
      <c r="AS374" s="2">
        <f t="shared" si="117"/>
        <v>5</v>
      </c>
      <c r="AT374" s="2" t="str">
        <f t="shared" si="120"/>
        <v>WEEK</v>
      </c>
      <c r="AU374" s="2" t="str">
        <f t="shared" si="118"/>
        <v>OM TRANSPORTWEEK</v>
      </c>
      <c r="AV374" s="94">
        <f>(IF(ISNA(AP374),AO374+AR374,SUM($AO374,$AR374,IFERROR($AP374,"0"))))+Table2[[#This Row],[WAITING TIMES]]</f>
        <v>688.5</v>
      </c>
      <c r="AW374" s="94">
        <f>VLOOKUP(AN374,Invoicing!A:K,11,FALSE)</f>
        <v>20</v>
      </c>
      <c r="AX374" s="48">
        <v>90</v>
      </c>
      <c r="AY374" s="48" t="s">
        <v>724</v>
      </c>
      <c r="AZ374" s="94">
        <f t="shared" si="119"/>
        <v>708.5</v>
      </c>
      <c r="BA374" s="133">
        <f>VLOOKUP(AN374,Invoicing!A:J,10,FALSE)</f>
        <v>70</v>
      </c>
      <c r="BB374" s="133">
        <f>VLOOKUP(AN374,Invoicing!A:L,12,FALSE)</f>
        <v>1</v>
      </c>
      <c r="BC374" s="2"/>
    </row>
    <row r="375" spans="1:55">
      <c r="A375" s="38" t="s">
        <v>658</v>
      </c>
      <c r="B375" s="3" t="s">
        <v>77</v>
      </c>
      <c r="C375" s="11">
        <v>46079.576388888891</v>
      </c>
      <c r="D375" s="11">
        <v>46079.583333333336</v>
      </c>
      <c r="E375" s="11" t="s">
        <v>71</v>
      </c>
      <c r="F375" s="11" t="s">
        <v>661</v>
      </c>
      <c r="G375" s="11" t="s">
        <v>59</v>
      </c>
      <c r="H375" s="11" t="s">
        <v>91</v>
      </c>
      <c r="I375" s="3" t="s">
        <v>725</v>
      </c>
      <c r="J375" s="86" t="s">
        <v>82</v>
      </c>
      <c r="K375" s="11">
        <v>46080.291666666664</v>
      </c>
      <c r="L375" s="12">
        <v>46080.537499999999</v>
      </c>
      <c r="M375" s="12">
        <v>46080.666666666664</v>
      </c>
      <c r="N375" s="12">
        <v>46080.559027777781</v>
      </c>
      <c r="O375" s="12" t="s">
        <v>63</v>
      </c>
      <c r="P375" s="85" t="s">
        <v>64</v>
      </c>
      <c r="Q375" s="3">
        <v>0</v>
      </c>
      <c r="R375" s="1">
        <f t="shared" si="102"/>
        <v>9</v>
      </c>
      <c r="S375" s="1">
        <f t="shared" si="103"/>
        <v>2</v>
      </c>
      <c r="T375" s="126">
        <f t="shared" si="104"/>
        <v>46080.537499999999</v>
      </c>
      <c r="U375" s="127">
        <f t="shared" si="105"/>
        <v>0.71527777777373558</v>
      </c>
      <c r="V375" s="128">
        <f>Table2[[#This Row],[ATA A OFRECIMIENTO]]*24</f>
        <v>17.166666666569654</v>
      </c>
      <c r="W375" s="1" t="str">
        <f t="shared" si="106"/>
        <v>YES</v>
      </c>
      <c r="X375" s="127">
        <f t="shared" si="107"/>
        <v>0.375</v>
      </c>
      <c r="Y375" s="128">
        <f>Table2[[#This Row],[DEL. AVAILABLE A SLOT]]*24</f>
        <v>9</v>
      </c>
      <c r="Z375" s="1" t="str">
        <f t="shared" si="108"/>
        <v>SI</v>
      </c>
      <c r="AA375" s="127">
        <f t="shared" si="109"/>
        <v>1.0902777777737356</v>
      </c>
      <c r="AB375" s="128">
        <f>Table2[[#This Row],[ATA A TIMESLOT]]*24</f>
        <v>26.166666666569654</v>
      </c>
      <c r="AC375" s="127">
        <f t="shared" si="110"/>
        <v>0</v>
      </c>
      <c r="AD375" s="127" t="str">
        <f t="shared" si="111"/>
        <v>SI</v>
      </c>
      <c r="AE375" s="128">
        <f>Table2[[#This Row],[PUNTUALIDAD (H)]]*24</f>
        <v>0</v>
      </c>
      <c r="AF375" s="127">
        <f t="shared" si="112"/>
        <v>0.98263888889050577</v>
      </c>
      <c r="AG375" s="128">
        <f>Table2[[#This Row],[ATA TO UNLOADING]]*24</f>
        <v>23.583333333372138</v>
      </c>
      <c r="AH375" s="128" t="str">
        <f>IF(Table2[[#This Row],[ATA TO UNLOADING 2]]&lt;=48,"YES","NO")</f>
        <v>YES</v>
      </c>
      <c r="AJ375" s="129">
        <f t="shared" si="113"/>
        <v>0.66666666666424135</v>
      </c>
      <c r="AK375" s="2" t="s">
        <v>64</v>
      </c>
      <c r="AL375" s="2" t="str">
        <f t="shared" si="114"/>
        <v>9/26</v>
      </c>
      <c r="AM375" s="2" t="str">
        <f t="shared" si="115"/>
        <v>TCNU5280682</v>
      </c>
      <c r="AN375" s="130" t="str">
        <f t="shared" si="116"/>
        <v>LOGIX</v>
      </c>
      <c r="AO375" s="150">
        <f>IF($O375="TRUCK",
VLOOKUP($AU375,Invoicing!$A$16:$B$56,MATCH($AO$1,Invoicing!$A$16:$B$16,0),FALSE)+IF(OR($B375="DCD",$B375="HPD2"),23.5,0),
VLOOKUP($AU375,Invoicing!$N$15:$O$19,MATCH($AO$1,Invoicing!$N$15:$O$15,0),FALSE)+IF(OR($B375="DCD",$B375="HPD2"),23.5,0))</f>
        <v>573.5</v>
      </c>
      <c r="AP375" s="131" t="e">
        <f>VLOOKUP($E375,Invoicing!$A$1:$H$12,MATCH(TRACKER!$P375,Invoicing!$A$1:$H$1,0),FALSE)</f>
        <v>#N/A</v>
      </c>
      <c r="AQ375" s="131">
        <f>VLOOKUP($E375,Invoicing!$A$1:$H$12,MATCH(TRACKER!$Q$1,Invoicing!$A$1:$H$1,0),FALSE)</f>
        <v>50</v>
      </c>
      <c r="AR375" s="131">
        <f t="shared" si="122"/>
        <v>0</v>
      </c>
      <c r="AS375" s="2">
        <f t="shared" si="117"/>
        <v>5</v>
      </c>
      <c r="AT375" s="2" t="str">
        <f t="shared" si="120"/>
        <v>WEEK</v>
      </c>
      <c r="AU375" s="2" t="str">
        <f t="shared" si="118"/>
        <v>LOGIXWEEK</v>
      </c>
      <c r="AV375" s="94">
        <f>(IF(ISNA(AP375),AO375+AR375,SUM($AO375,$AR375,IFERROR($AP375,"0"))))+Table2[[#This Row],[WAITING TIMES]]</f>
        <v>573.5</v>
      </c>
      <c r="AW375" s="94">
        <f>VLOOKUP(AN375,Invoicing!A:K,11,FALSE)</f>
        <v>20</v>
      </c>
      <c r="AY375" s="48"/>
      <c r="AZ375" s="94">
        <f t="shared" si="119"/>
        <v>593.5</v>
      </c>
      <c r="BA375" s="133">
        <f>VLOOKUP(AN375,Invoicing!A:J,10,FALSE)</f>
        <v>70</v>
      </c>
      <c r="BB375" s="133">
        <f>VLOOKUP(AN375,Invoicing!A:L,12,FALSE)</f>
        <v>1</v>
      </c>
      <c r="BC375" s="2"/>
    </row>
    <row r="376" spans="1:55">
      <c r="A376" s="38" t="s">
        <v>658</v>
      </c>
      <c r="B376" s="3" t="s">
        <v>77</v>
      </c>
      <c r="C376" s="11">
        <v>46079.576388888891</v>
      </c>
      <c r="D376" s="11">
        <v>46079.583333333336</v>
      </c>
      <c r="E376" s="11" t="s">
        <v>71</v>
      </c>
      <c r="F376" s="11" t="s">
        <v>705</v>
      </c>
      <c r="G376" s="11" t="s">
        <v>133</v>
      </c>
      <c r="H376" s="11" t="s">
        <v>91</v>
      </c>
      <c r="I376" s="3" t="s">
        <v>726</v>
      </c>
      <c r="J376" s="86" t="s">
        <v>100</v>
      </c>
      <c r="K376" s="11">
        <v>46080.291666666664</v>
      </c>
      <c r="L376" s="12">
        <v>46080.822916666664</v>
      </c>
      <c r="M376" s="12">
        <v>46080.666666666664</v>
      </c>
      <c r="N376" s="12">
        <v>46080.836805555555</v>
      </c>
      <c r="O376" s="12" t="s">
        <v>63</v>
      </c>
      <c r="P376" s="85" t="s">
        <v>64</v>
      </c>
      <c r="Q376" s="3">
        <v>0</v>
      </c>
      <c r="R376" s="1">
        <f t="shared" si="102"/>
        <v>9</v>
      </c>
      <c r="S376" s="1">
        <f t="shared" si="103"/>
        <v>2</v>
      </c>
      <c r="T376" s="126">
        <f t="shared" si="104"/>
        <v>46080.822916666664</v>
      </c>
      <c r="U376" s="127">
        <f t="shared" si="105"/>
        <v>0.71527777777373558</v>
      </c>
      <c r="V376" s="128">
        <f>Table2[[#This Row],[ATA A OFRECIMIENTO]]*24</f>
        <v>17.166666666569654</v>
      </c>
      <c r="W376" s="1" t="str">
        <f t="shared" si="106"/>
        <v>YES</v>
      </c>
      <c r="X376" s="127">
        <f t="shared" si="107"/>
        <v>0.375</v>
      </c>
      <c r="Y376" s="128">
        <f>Table2[[#This Row],[DEL. AVAILABLE A SLOT]]*24</f>
        <v>9</v>
      </c>
      <c r="Z376" s="1" t="str">
        <f t="shared" si="108"/>
        <v>SI</v>
      </c>
      <c r="AA376" s="127">
        <f t="shared" si="109"/>
        <v>1.0902777777737356</v>
      </c>
      <c r="AB376" s="128">
        <f>Table2[[#This Row],[ATA A TIMESLOT]]*24</f>
        <v>26.166666666569654</v>
      </c>
      <c r="AC376" s="127">
        <f t="shared" si="110"/>
        <v>0.15625</v>
      </c>
      <c r="AD376" s="127" t="str">
        <f t="shared" si="111"/>
        <v>NO</v>
      </c>
      <c r="AE376" s="128">
        <f>Table2[[#This Row],[PUNTUALIDAD (H)]]*24</f>
        <v>3.75</v>
      </c>
      <c r="AF376" s="127">
        <f t="shared" si="112"/>
        <v>1.2604166666642413</v>
      </c>
      <c r="AG376" s="128">
        <f>Table2[[#This Row],[ATA TO UNLOADING]]*24</f>
        <v>30.249999999941792</v>
      </c>
      <c r="AH376" s="128" t="str">
        <f>IF(Table2[[#This Row],[ATA TO UNLOADING 2]]&lt;=48,"YES","NO")</f>
        <v>YES</v>
      </c>
      <c r="AJ376" s="129">
        <f t="shared" si="113"/>
        <v>0.66666666666424135</v>
      </c>
      <c r="AK376" s="2" t="s">
        <v>64</v>
      </c>
      <c r="AL376" s="2" t="str">
        <f t="shared" si="114"/>
        <v>9/26</v>
      </c>
      <c r="AM376" s="2" t="str">
        <f t="shared" si="115"/>
        <v>UACU8482375</v>
      </c>
      <c r="AN376" s="130" t="str">
        <f t="shared" si="116"/>
        <v>LOGIX</v>
      </c>
      <c r="AO376" s="150">
        <f>IF($O376="TRUCK",
VLOOKUP($AU376,Invoicing!$A$16:$B$56,MATCH($AO$1,Invoicing!$A$16:$B$16,0),FALSE)+IF(OR($B376="DCD",$B376="HPD2"),23.5,0),
VLOOKUP($AU376,Invoicing!$N$15:$O$19,MATCH($AO$1,Invoicing!$N$15:$O$15,0),FALSE)+IF(OR($B376="DCD",$B376="HPD2"),23.5,0))</f>
        <v>573.5</v>
      </c>
      <c r="AP376" s="131" t="e">
        <f>VLOOKUP($E376,Invoicing!$A$1:$H$12,MATCH(TRACKER!$P376,Invoicing!$A$1:$H$1,0),FALSE)</f>
        <v>#N/A</v>
      </c>
      <c r="AQ376" s="131">
        <f>VLOOKUP($E376,Invoicing!$A$1:$H$12,MATCH(TRACKER!$Q$1,Invoicing!$A$1:$H$1,0),FALSE)</f>
        <v>50</v>
      </c>
      <c r="AR376" s="131">
        <f t="shared" si="122"/>
        <v>0</v>
      </c>
      <c r="AS376" s="2">
        <f t="shared" si="117"/>
        <v>5</v>
      </c>
      <c r="AT376" s="2" t="str">
        <f t="shared" si="120"/>
        <v>WEEK</v>
      </c>
      <c r="AU376" s="2" t="str">
        <f t="shared" si="118"/>
        <v>LOGIXWEEK</v>
      </c>
      <c r="AV376" s="94">
        <f>(IF(ISNA(AP376),AO376+AR376,SUM($AO376,$AR376,IFERROR($AP376,"0"))))+Table2[[#This Row],[WAITING TIMES]]</f>
        <v>573.5</v>
      </c>
      <c r="AW376" s="94">
        <f>VLOOKUP(AN376,Invoicing!A:K,11,FALSE)</f>
        <v>20</v>
      </c>
      <c r="AY376" s="48"/>
      <c r="AZ376" s="94">
        <f t="shared" si="119"/>
        <v>593.5</v>
      </c>
      <c r="BA376" s="133">
        <f>VLOOKUP(AN376,Invoicing!A:J,10,FALSE)</f>
        <v>70</v>
      </c>
      <c r="BB376" s="133">
        <f>VLOOKUP(AN376,Invoicing!A:L,12,FALSE)</f>
        <v>1</v>
      </c>
      <c r="BC376" s="2"/>
    </row>
    <row r="377" spans="1:55">
      <c r="A377" s="38" t="s">
        <v>658</v>
      </c>
      <c r="B377" s="3" t="s">
        <v>77</v>
      </c>
      <c r="C377" s="11">
        <v>46079.576388888891</v>
      </c>
      <c r="D377" s="11">
        <v>46079.583333333336</v>
      </c>
      <c r="E377" s="11" t="s">
        <v>98</v>
      </c>
      <c r="F377" s="11" t="s">
        <v>663</v>
      </c>
      <c r="G377" s="11" t="s">
        <v>59</v>
      </c>
      <c r="H377" s="11" t="s">
        <v>91</v>
      </c>
      <c r="I377" s="3" t="s">
        <v>727</v>
      </c>
      <c r="J377" s="86" t="s">
        <v>82</v>
      </c>
      <c r="K377" s="11">
        <v>46080.291666666664</v>
      </c>
      <c r="L377" s="12">
        <v>46080.679166666669</v>
      </c>
      <c r="M377" s="12">
        <v>46080.708333333336</v>
      </c>
      <c r="N377" s="12">
        <v>46080.770833333336</v>
      </c>
      <c r="O377" s="12" t="s">
        <v>63</v>
      </c>
      <c r="P377" s="85" t="s">
        <v>15</v>
      </c>
      <c r="Q377" s="3">
        <v>0</v>
      </c>
      <c r="R377" s="1">
        <f t="shared" si="102"/>
        <v>9</v>
      </c>
      <c r="S377" s="1">
        <f t="shared" si="103"/>
        <v>2</v>
      </c>
      <c r="T377" s="126">
        <f t="shared" si="104"/>
        <v>46080.679166666669</v>
      </c>
      <c r="U377" s="127">
        <f t="shared" si="105"/>
        <v>0.71527777777373558</v>
      </c>
      <c r="V377" s="128">
        <f>Table2[[#This Row],[ATA A OFRECIMIENTO]]*24</f>
        <v>17.166666666569654</v>
      </c>
      <c r="W377" s="1" t="str">
        <f t="shared" si="106"/>
        <v>YES</v>
      </c>
      <c r="X377" s="127">
        <f t="shared" si="107"/>
        <v>0.41666666667151731</v>
      </c>
      <c r="Y377" s="128">
        <f>Table2[[#This Row],[DEL. AVAILABLE A SLOT]]*24</f>
        <v>10.000000000116415</v>
      </c>
      <c r="Z377" s="1" t="str">
        <f t="shared" si="108"/>
        <v>SI</v>
      </c>
      <c r="AA377" s="127">
        <f t="shared" si="109"/>
        <v>1.1319444444452529</v>
      </c>
      <c r="AB377" s="128">
        <f>Table2[[#This Row],[ATA A TIMESLOT]]*24</f>
        <v>27.166666666686069</v>
      </c>
      <c r="AC377" s="127">
        <f t="shared" si="110"/>
        <v>0</v>
      </c>
      <c r="AD377" s="127" t="str">
        <f t="shared" si="111"/>
        <v>SI</v>
      </c>
      <c r="AE377" s="128">
        <f>Table2[[#This Row],[PUNTUALIDAD (H)]]*24</f>
        <v>0</v>
      </c>
      <c r="AF377" s="127">
        <f t="shared" si="112"/>
        <v>1.1944444444452529</v>
      </c>
      <c r="AG377" s="128">
        <f>Table2[[#This Row],[ATA TO UNLOADING]]*24</f>
        <v>28.666666666686069</v>
      </c>
      <c r="AH377" s="128" t="str">
        <f>IF(Table2[[#This Row],[ATA TO UNLOADING 2]]&lt;=48,"YES","NO")</f>
        <v>YES</v>
      </c>
      <c r="AJ377" s="129">
        <f t="shared" si="113"/>
        <v>0.70833333333575865</v>
      </c>
      <c r="AK377" s="2" t="s">
        <v>64</v>
      </c>
      <c r="AL377" s="2" t="str">
        <f t="shared" si="114"/>
        <v>9/26</v>
      </c>
      <c r="AM377" s="2" t="str">
        <f t="shared" si="115"/>
        <v>MRSU6072730</v>
      </c>
      <c r="AN377" s="130" t="str">
        <f t="shared" si="116"/>
        <v>MSI</v>
      </c>
      <c r="AO377" s="150">
        <f>IF($O377="TRUCK",
VLOOKUP($AU377,Invoicing!$A$16:$B$56,MATCH($AO$1,Invoicing!$A$16:$B$16,0),FALSE)+IF(OR($B377="DCD",$B377="HPD2"),23.5,0),
VLOOKUP($AU377,Invoicing!$N$15:$O$19,MATCH($AO$1,Invoicing!$N$15:$O$15,0),FALSE)+IF(OR($B377="DCD",$B377="HPD2"),23.5,0))</f>
        <v>503.5</v>
      </c>
      <c r="AP377" s="131">
        <f>VLOOKUP($E377,Invoicing!$A$1:$H$12,MATCH(TRACKER!$P377,Invoicing!$A$1:$H$1,0),FALSE)</f>
        <v>120</v>
      </c>
      <c r="AQ377" s="131">
        <f>VLOOKUP($E377,Invoicing!$A$1:$H$12,MATCH(TRACKER!$Q$1,Invoicing!$A$1:$H$1,0),FALSE)</f>
        <v>50</v>
      </c>
      <c r="AR377" s="131">
        <f t="shared" si="122"/>
        <v>0</v>
      </c>
      <c r="AS377" s="2">
        <f t="shared" si="117"/>
        <v>5</v>
      </c>
      <c r="AT377" s="2" t="str">
        <f t="shared" si="120"/>
        <v>WEEK</v>
      </c>
      <c r="AU377" s="2" t="str">
        <f t="shared" si="118"/>
        <v>MSIWEEK</v>
      </c>
      <c r="AV377" s="94">
        <f>(IF(ISNA(AP377),AO377+AR377,SUM($AO377,$AR377,IFERROR($AP377,"0"))))+Table2[[#This Row],[WAITING TIMES]]</f>
        <v>773.5</v>
      </c>
      <c r="AW377" s="94">
        <f>VLOOKUP(AN377,Invoicing!A:K,11,FALSE)</f>
        <v>20</v>
      </c>
      <c r="AX377" s="48">
        <v>150</v>
      </c>
      <c r="AY377" s="94" t="s">
        <v>728</v>
      </c>
      <c r="AZ377" s="94">
        <f t="shared" si="119"/>
        <v>793.5</v>
      </c>
      <c r="BA377" s="133">
        <f>VLOOKUP(AN377,Invoicing!A:J,10,FALSE)</f>
        <v>70</v>
      </c>
      <c r="BB377" s="133">
        <f>VLOOKUP(AN377,Invoicing!A:L,12,FALSE)</f>
        <v>1</v>
      </c>
      <c r="BC377" s="2"/>
    </row>
    <row r="378" spans="1:55">
      <c r="A378" s="38" t="s">
        <v>658</v>
      </c>
      <c r="B378" s="3" t="s">
        <v>77</v>
      </c>
      <c r="C378" s="11">
        <v>46079.576388888891</v>
      </c>
      <c r="D378" s="11">
        <v>46079.583333333336</v>
      </c>
      <c r="E378" s="11" t="s">
        <v>71</v>
      </c>
      <c r="F378" s="11" t="s">
        <v>661</v>
      </c>
      <c r="G378" s="11" t="s">
        <v>59</v>
      </c>
      <c r="H378" s="11" t="s">
        <v>91</v>
      </c>
      <c r="I378" s="3" t="s">
        <v>729</v>
      </c>
      <c r="J378" s="86" t="s">
        <v>82</v>
      </c>
      <c r="K378" s="11">
        <v>46080.291666666664</v>
      </c>
      <c r="L378" s="12">
        <v>46080.870138888888</v>
      </c>
      <c r="M378" s="12">
        <v>46080.75</v>
      </c>
      <c r="N378" s="12">
        <v>46080.875</v>
      </c>
      <c r="O378" s="12" t="s">
        <v>63</v>
      </c>
      <c r="P378" s="85" t="s">
        <v>64</v>
      </c>
      <c r="Q378" s="3">
        <v>0</v>
      </c>
      <c r="R378" s="1">
        <f t="shared" si="102"/>
        <v>9</v>
      </c>
      <c r="S378" s="1">
        <f t="shared" si="103"/>
        <v>2</v>
      </c>
      <c r="T378" s="126">
        <f t="shared" si="104"/>
        <v>46080.870138888888</v>
      </c>
      <c r="U378" s="127">
        <f t="shared" si="105"/>
        <v>0.71527777777373558</v>
      </c>
      <c r="V378" s="128">
        <f>Table2[[#This Row],[ATA A OFRECIMIENTO]]*24</f>
        <v>17.166666666569654</v>
      </c>
      <c r="W378" s="1" t="str">
        <f t="shared" si="106"/>
        <v>YES</v>
      </c>
      <c r="X378" s="127">
        <f t="shared" si="107"/>
        <v>0.45833333333575865</v>
      </c>
      <c r="Y378" s="128">
        <f>Table2[[#This Row],[DEL. AVAILABLE A SLOT]]*24</f>
        <v>11.000000000058208</v>
      </c>
      <c r="Z378" s="1" t="str">
        <f t="shared" si="108"/>
        <v>SI</v>
      </c>
      <c r="AA378" s="127">
        <f t="shared" si="109"/>
        <v>1.1736111111094942</v>
      </c>
      <c r="AB378" s="128">
        <f>Table2[[#This Row],[ATA A TIMESLOT]]*24</f>
        <v>28.166666666627862</v>
      </c>
      <c r="AC378" s="127">
        <f t="shared" si="110"/>
        <v>0.12013888888759539</v>
      </c>
      <c r="AD378" s="127" t="str">
        <f t="shared" si="111"/>
        <v>NO</v>
      </c>
      <c r="AE378" s="128">
        <f>Table2[[#This Row],[PUNTUALIDAD (H)]]*24</f>
        <v>2.8833333333022892</v>
      </c>
      <c r="AF378" s="127">
        <f t="shared" si="112"/>
        <v>1.2986111111094942</v>
      </c>
      <c r="AG378" s="128">
        <f>Table2[[#This Row],[ATA TO UNLOADING]]*24</f>
        <v>31.166666666627862</v>
      </c>
      <c r="AH378" s="128" t="str">
        <f>IF(Table2[[#This Row],[ATA TO UNLOADING 2]]&lt;=48,"YES","NO")</f>
        <v>YES</v>
      </c>
      <c r="AJ378" s="129">
        <f t="shared" si="113"/>
        <v>0.75</v>
      </c>
      <c r="AK378" s="2" t="s">
        <v>64</v>
      </c>
      <c r="AL378" s="2" t="str">
        <f t="shared" si="114"/>
        <v>9/26</v>
      </c>
      <c r="AM378" s="2" t="str">
        <f t="shared" si="115"/>
        <v>HASU4953413</v>
      </c>
      <c r="AN378" s="130" t="str">
        <f t="shared" si="116"/>
        <v>LOGIX</v>
      </c>
      <c r="AO378" s="150">
        <f>IF($O378="TRUCK",
VLOOKUP($AU378,Invoicing!$A$16:$B$56,MATCH($AO$1,Invoicing!$A$16:$B$16,0),FALSE)+IF(OR($B378="DCD",$B378="HPD2"),23.5,0),
VLOOKUP($AU378,Invoicing!$N$15:$O$19,MATCH($AO$1,Invoicing!$N$15:$O$15,0),FALSE)+IF(OR($B378="DCD",$B378="HPD2"),23.5,0))</f>
        <v>573.5</v>
      </c>
      <c r="AP378" s="131" t="e">
        <f>VLOOKUP($E378,Invoicing!$A$1:$H$12,MATCH(TRACKER!$P378,Invoicing!$A$1:$H$1,0),FALSE)</f>
        <v>#N/A</v>
      </c>
      <c r="AQ378" s="131">
        <f>VLOOKUP($E378,Invoicing!$A$1:$H$12,MATCH(TRACKER!$Q$1,Invoicing!$A$1:$H$1,0),FALSE)</f>
        <v>50</v>
      </c>
      <c r="AR378" s="131">
        <f t="shared" si="122"/>
        <v>0</v>
      </c>
      <c r="AS378" s="2">
        <f t="shared" si="117"/>
        <v>5</v>
      </c>
      <c r="AT378" s="2" t="str">
        <f t="shared" si="120"/>
        <v>WEEK</v>
      </c>
      <c r="AU378" s="2" t="str">
        <f t="shared" si="118"/>
        <v>LOGIXWEEK</v>
      </c>
      <c r="AV378" s="94">
        <f>(IF(ISNA(AP378),AO378+AR378,SUM($AO378,$AR378,IFERROR($AP378,"0"))))+Table2[[#This Row],[WAITING TIMES]]</f>
        <v>573.5</v>
      </c>
      <c r="AW378" s="94">
        <f>VLOOKUP(AN378,Invoicing!A:K,11,FALSE)</f>
        <v>20</v>
      </c>
      <c r="AY378" s="48"/>
      <c r="AZ378" s="94">
        <f t="shared" si="119"/>
        <v>593.5</v>
      </c>
      <c r="BA378" s="133">
        <f>VLOOKUP(AN378,Invoicing!A:J,10,FALSE)</f>
        <v>70</v>
      </c>
      <c r="BB378" s="133">
        <f>VLOOKUP(AN378,Invoicing!A:L,12,FALSE)</f>
        <v>1</v>
      </c>
      <c r="BC378" s="2"/>
    </row>
    <row r="379" spans="1:55">
      <c r="A379" s="38" t="s">
        <v>658</v>
      </c>
      <c r="B379" s="3" t="s">
        <v>77</v>
      </c>
      <c r="C379" s="11">
        <v>46079.576388888891</v>
      </c>
      <c r="D379" s="11">
        <v>46079.583333333336</v>
      </c>
      <c r="E379" s="11" t="s">
        <v>83</v>
      </c>
      <c r="F379" s="11" t="s">
        <v>707</v>
      </c>
      <c r="G379" s="11" t="s">
        <v>59</v>
      </c>
      <c r="H379" s="11" t="s">
        <v>91</v>
      </c>
      <c r="I379" s="3" t="s">
        <v>730</v>
      </c>
      <c r="J379" s="86" t="s">
        <v>82</v>
      </c>
      <c r="K379" s="11">
        <v>46080.291666666664</v>
      </c>
      <c r="L379" s="12">
        <v>46080.737500000003</v>
      </c>
      <c r="M379" s="12">
        <v>46080.791666666664</v>
      </c>
      <c r="N379" s="12">
        <v>46080.737500000003</v>
      </c>
      <c r="O379" s="12" t="s">
        <v>63</v>
      </c>
      <c r="P379" s="85" t="s">
        <v>15</v>
      </c>
      <c r="Q379" s="3">
        <v>0</v>
      </c>
      <c r="R379" s="1">
        <f t="shared" si="102"/>
        <v>9</v>
      </c>
      <c r="S379" s="1">
        <f t="shared" si="103"/>
        <v>2</v>
      </c>
      <c r="T379" s="126">
        <f t="shared" si="104"/>
        <v>46080.737500000003</v>
      </c>
      <c r="U379" s="127">
        <f t="shared" si="105"/>
        <v>0.71527777777373558</v>
      </c>
      <c r="V379" s="128">
        <f>Table2[[#This Row],[ATA A OFRECIMIENTO]]*24</f>
        <v>17.166666666569654</v>
      </c>
      <c r="W379" s="1" t="str">
        <f t="shared" si="106"/>
        <v>YES</v>
      </c>
      <c r="X379" s="127">
        <f t="shared" si="107"/>
        <v>0.5</v>
      </c>
      <c r="Y379" s="128">
        <f>Table2[[#This Row],[DEL. AVAILABLE A SLOT]]*24</f>
        <v>12</v>
      </c>
      <c r="Z379" s="1" t="str">
        <f t="shared" si="108"/>
        <v>SI</v>
      </c>
      <c r="AA379" s="127">
        <f t="shared" si="109"/>
        <v>1.2152777777737356</v>
      </c>
      <c r="AB379" s="128">
        <f>Table2[[#This Row],[ATA A TIMESLOT]]*24</f>
        <v>29.166666666569654</v>
      </c>
      <c r="AC379" s="127">
        <f t="shared" si="110"/>
        <v>0</v>
      </c>
      <c r="AD379" s="127" t="str">
        <f t="shared" si="111"/>
        <v>SI</v>
      </c>
      <c r="AE379" s="128">
        <f>Table2[[#This Row],[PUNTUALIDAD (H)]]*24</f>
        <v>0</v>
      </c>
      <c r="AF379" s="127">
        <f t="shared" si="112"/>
        <v>1.1611111111124046</v>
      </c>
      <c r="AG379" s="128">
        <f>Table2[[#This Row],[ATA TO UNLOADING]]*24</f>
        <v>27.866666666697711</v>
      </c>
      <c r="AH379" s="128" t="str">
        <f>IF(Table2[[#This Row],[ATA TO UNLOADING 2]]&lt;=48,"YES","NO")</f>
        <v>YES</v>
      </c>
      <c r="AJ379" s="129">
        <f t="shared" si="113"/>
        <v>0.79166666666424135</v>
      </c>
      <c r="AK379" s="2" t="s">
        <v>64</v>
      </c>
      <c r="AL379" s="2" t="str">
        <f t="shared" si="114"/>
        <v>9/26</v>
      </c>
      <c r="AM379" s="2" t="str">
        <f t="shared" si="115"/>
        <v>GCXU5783200</v>
      </c>
      <c r="AN379" s="130" t="str">
        <f t="shared" si="116"/>
        <v>OM TRANSPORT</v>
      </c>
      <c r="AO379" s="150">
        <f>IF($O379="TRUCK",
VLOOKUP($AU379,Invoicing!$A$16:$B$56,MATCH($AO$1,Invoicing!$A$16:$B$16,0),FALSE)+IF(OR($B379="DCD",$B379="HPD2"),23.5,0),
VLOOKUP($AU379,Invoicing!$N$15:$O$19,MATCH($AO$1,Invoicing!$N$15:$O$15,0),FALSE)+IF(OR($B379="DCD",$B379="HPD2"),23.5,0))</f>
        <v>498.5</v>
      </c>
      <c r="AP379" s="131">
        <f>VLOOKUP($E379,Invoicing!$A$1:$H$12,MATCH(TRACKER!$P379,Invoicing!$A$1:$H$1,0),FALSE)</f>
        <v>110</v>
      </c>
      <c r="AQ379" s="131">
        <f>VLOOKUP($E379,Invoicing!$A$1:$H$12,MATCH(TRACKER!$Q$1,Invoicing!$A$1:$H$1,0),FALSE)</f>
        <v>50</v>
      </c>
      <c r="AR379" s="131">
        <f t="shared" si="122"/>
        <v>0</v>
      </c>
      <c r="AS379" s="2">
        <f t="shared" si="117"/>
        <v>5</v>
      </c>
      <c r="AT379" s="2" t="str">
        <f t="shared" si="120"/>
        <v>WEEK</v>
      </c>
      <c r="AU379" s="2" t="str">
        <f t="shared" si="118"/>
        <v>OM TRANSPORTWEEK</v>
      </c>
      <c r="AV379" s="94">
        <f>(IF(ISNA(AP379),AO379+AR379,SUM($AO379,$AR379,IFERROR($AP379,"0"))))+Table2[[#This Row],[WAITING TIMES]]</f>
        <v>676</v>
      </c>
      <c r="AW379" s="94">
        <f>VLOOKUP(AN379,Invoicing!A:K,11,FALSE)</f>
        <v>20</v>
      </c>
      <c r="AX379" s="48">
        <v>67.5</v>
      </c>
      <c r="AY379" s="48" t="s">
        <v>731</v>
      </c>
      <c r="AZ379" s="94">
        <f t="shared" si="119"/>
        <v>696</v>
      </c>
      <c r="BA379" s="133">
        <f>VLOOKUP(AN379,Invoicing!A:J,10,FALSE)</f>
        <v>70</v>
      </c>
      <c r="BB379" s="133">
        <f>VLOOKUP(AN379,Invoicing!A:L,12,FALSE)</f>
        <v>1</v>
      </c>
      <c r="BC379" s="2"/>
    </row>
    <row r="380" spans="1:55">
      <c r="A380" s="38" t="s">
        <v>658</v>
      </c>
      <c r="B380" s="3" t="s">
        <v>77</v>
      </c>
      <c r="C380" s="11">
        <v>46079.576388888891</v>
      </c>
      <c r="D380" s="11">
        <v>46079.583333333336</v>
      </c>
      <c r="E380" s="11" t="s">
        <v>73</v>
      </c>
      <c r="F380" s="11" t="s">
        <v>705</v>
      </c>
      <c r="G380" s="11" t="s">
        <v>133</v>
      </c>
      <c r="H380" s="11" t="s">
        <v>91</v>
      </c>
      <c r="I380" s="3" t="s">
        <v>732</v>
      </c>
      <c r="J380" s="86" t="s">
        <v>82</v>
      </c>
      <c r="K380" s="11">
        <v>46080.291666666664</v>
      </c>
      <c r="L380" s="12">
        <v>46080.777777777781</v>
      </c>
      <c r="M380" s="12">
        <v>46080.833333333336</v>
      </c>
      <c r="N380" s="12">
        <v>46080.777777777781</v>
      </c>
      <c r="O380" s="12" t="s">
        <v>63</v>
      </c>
      <c r="P380" s="85" t="s">
        <v>64</v>
      </c>
      <c r="Q380" s="3">
        <v>0</v>
      </c>
      <c r="R380" s="1">
        <f t="shared" si="102"/>
        <v>9</v>
      </c>
      <c r="S380" s="1">
        <f t="shared" si="103"/>
        <v>2</v>
      </c>
      <c r="T380" s="126">
        <f t="shared" si="104"/>
        <v>46080.777777777781</v>
      </c>
      <c r="U380" s="127">
        <f t="shared" si="105"/>
        <v>0.71527777777373558</v>
      </c>
      <c r="V380" s="128">
        <f>Table2[[#This Row],[ATA A OFRECIMIENTO]]*24</f>
        <v>17.166666666569654</v>
      </c>
      <c r="W380" s="1" t="str">
        <f t="shared" si="106"/>
        <v>YES</v>
      </c>
      <c r="X380" s="127">
        <f t="shared" si="107"/>
        <v>0.54166666667151731</v>
      </c>
      <c r="Y380" s="128">
        <f>Table2[[#This Row],[DEL. AVAILABLE A SLOT]]*24</f>
        <v>13.000000000116415</v>
      </c>
      <c r="Z380" s="1" t="str">
        <f t="shared" si="108"/>
        <v>SI</v>
      </c>
      <c r="AA380" s="127">
        <f t="shared" si="109"/>
        <v>1.2569444444452529</v>
      </c>
      <c r="AB380" s="128">
        <f>Table2[[#This Row],[ATA A TIMESLOT]]*24</f>
        <v>30.166666666686069</v>
      </c>
      <c r="AC380" s="127">
        <f t="shared" si="110"/>
        <v>0</v>
      </c>
      <c r="AD380" s="127" t="str">
        <f t="shared" si="111"/>
        <v>SI</v>
      </c>
      <c r="AE380" s="128">
        <f>Table2[[#This Row],[PUNTUALIDAD (H)]]*24</f>
        <v>0</v>
      </c>
      <c r="AF380" s="127">
        <f t="shared" si="112"/>
        <v>1.2013888888905058</v>
      </c>
      <c r="AG380" s="128">
        <f>Table2[[#This Row],[ATA TO UNLOADING]]*24</f>
        <v>28.833333333372138</v>
      </c>
      <c r="AH380" s="128" t="str">
        <f>IF(Table2[[#This Row],[ATA TO UNLOADING 2]]&lt;=48,"YES","NO")</f>
        <v>YES</v>
      </c>
      <c r="AJ380" s="129">
        <f t="shared" si="113"/>
        <v>0.83333333333575865</v>
      </c>
      <c r="AK380" s="49" t="s">
        <v>36</v>
      </c>
      <c r="AL380" s="2" t="str">
        <f t="shared" si="114"/>
        <v>9/26</v>
      </c>
      <c r="AM380" s="2" t="str">
        <f t="shared" si="115"/>
        <v>CAAU5545764</v>
      </c>
      <c r="AN380" s="130" t="str">
        <f t="shared" si="116"/>
        <v>OTL</v>
      </c>
      <c r="AO380" s="150">
        <f>IF($O380="TRUCK",
VLOOKUP($AU380,Invoicing!$A$16:$B$56,MATCH($AO$1,Invoicing!$A$16:$B$16,0),FALSE)+IF(OR($B380="DCD",$B380="HPD2"),23.5,0),
VLOOKUP($AU380,Invoicing!$N$15:$O$19,MATCH($AO$1,Invoicing!$N$15:$O$15,0),FALSE)+IF(OR($B380="DCD",$B380="HPD2"),23.5,0))</f>
        <v>553.5</v>
      </c>
      <c r="AP380" s="131" t="e">
        <f>VLOOKUP($E380,Invoicing!$A$1:$H$12,MATCH(TRACKER!$P380,Invoicing!$A$1:$H$1,0),FALSE)</f>
        <v>#N/A</v>
      </c>
      <c r="AQ380" s="131">
        <f>VLOOKUP($E380,Invoicing!$A$1:$H$12,MATCH(TRACKER!$Q$1,Invoicing!$A$1:$H$1,0),FALSE)</f>
        <v>60</v>
      </c>
      <c r="AR380" s="131">
        <f t="shared" si="122"/>
        <v>0</v>
      </c>
      <c r="AS380" s="2">
        <f t="shared" si="117"/>
        <v>5</v>
      </c>
      <c r="AT380" s="2" t="str">
        <f t="shared" si="120"/>
        <v>NIGHT</v>
      </c>
      <c r="AU380" s="2" t="str">
        <f t="shared" si="118"/>
        <v>OTLNIGHT</v>
      </c>
      <c r="AV380" s="94">
        <f>(IF(ISNA(AP380),AO380+AR380,SUM($AO380,$AR380,IFERROR($AP380,"0"))))+Table2[[#This Row],[WAITING TIMES]]</f>
        <v>553.5</v>
      </c>
      <c r="AW380" s="94">
        <f>VLOOKUP(AN380,Invoicing!A:K,11,FALSE)</f>
        <v>20</v>
      </c>
      <c r="AY380" s="48"/>
      <c r="AZ380" s="94">
        <f t="shared" si="119"/>
        <v>573.5</v>
      </c>
      <c r="BA380" s="133">
        <f>VLOOKUP(AN380,Invoicing!A:J,10,FALSE)</f>
        <v>70</v>
      </c>
      <c r="BB380" s="133">
        <f>VLOOKUP(AN380,Invoicing!A:L,12,FALSE)</f>
        <v>1</v>
      </c>
      <c r="BC380" s="2"/>
    </row>
    <row r="381" spans="1:55">
      <c r="A381" s="38" t="s">
        <v>658</v>
      </c>
      <c r="B381" s="3" t="s">
        <v>77</v>
      </c>
      <c r="C381" s="11">
        <v>46079.576388888891</v>
      </c>
      <c r="D381" s="11">
        <v>46079.583333333336</v>
      </c>
      <c r="E381" s="11" t="s">
        <v>98</v>
      </c>
      <c r="F381" s="11" t="s">
        <v>707</v>
      </c>
      <c r="G381" s="11" t="s">
        <v>59</v>
      </c>
      <c r="H381" s="11" t="s">
        <v>91</v>
      </c>
      <c r="I381" s="3" t="s">
        <v>733</v>
      </c>
      <c r="J381" s="86" t="s">
        <v>82</v>
      </c>
      <c r="K381" s="11">
        <v>46080.291666666664</v>
      </c>
      <c r="L381" s="12">
        <v>46080.844444444447</v>
      </c>
      <c r="M381" s="12">
        <v>46080.875</v>
      </c>
      <c r="N381" s="12">
        <v>46080.920138888891</v>
      </c>
      <c r="O381" s="12" t="s">
        <v>63</v>
      </c>
      <c r="P381" s="85" t="s">
        <v>15</v>
      </c>
      <c r="Q381" s="3">
        <v>0</v>
      </c>
      <c r="R381" s="1">
        <f t="shared" si="102"/>
        <v>9</v>
      </c>
      <c r="S381" s="1">
        <f t="shared" si="103"/>
        <v>2</v>
      </c>
      <c r="T381" s="126">
        <f t="shared" si="104"/>
        <v>46080.844444444447</v>
      </c>
      <c r="U381" s="127">
        <f t="shared" si="105"/>
        <v>0.71527777777373558</v>
      </c>
      <c r="V381" s="128">
        <f>Table2[[#This Row],[ATA A OFRECIMIENTO]]*24</f>
        <v>17.166666666569654</v>
      </c>
      <c r="W381" s="1" t="str">
        <f t="shared" si="106"/>
        <v>YES</v>
      </c>
      <c r="X381" s="127">
        <f t="shared" si="107"/>
        <v>0.58333333333575865</v>
      </c>
      <c r="Y381" s="128">
        <f>Table2[[#This Row],[DEL. AVAILABLE A SLOT]]*24</f>
        <v>14.000000000058208</v>
      </c>
      <c r="Z381" s="1" t="str">
        <f t="shared" si="108"/>
        <v>SI</v>
      </c>
      <c r="AA381" s="127">
        <f t="shared" si="109"/>
        <v>1.2986111111094942</v>
      </c>
      <c r="AB381" s="128">
        <f>Table2[[#This Row],[ATA A TIMESLOT]]*24</f>
        <v>31.166666666627862</v>
      </c>
      <c r="AC381" s="127">
        <f t="shared" si="110"/>
        <v>0</v>
      </c>
      <c r="AD381" s="127" t="str">
        <f t="shared" si="111"/>
        <v>SI</v>
      </c>
      <c r="AE381" s="128">
        <f>Table2[[#This Row],[PUNTUALIDAD (H)]]*24</f>
        <v>0</v>
      </c>
      <c r="AF381" s="127">
        <f t="shared" si="112"/>
        <v>1.34375</v>
      </c>
      <c r="AG381" s="128">
        <f>Table2[[#This Row],[ATA TO UNLOADING]]*24</f>
        <v>32.25</v>
      </c>
      <c r="AH381" s="128" t="str">
        <f>IF(Table2[[#This Row],[ATA TO UNLOADING 2]]&lt;=48,"YES","NO")</f>
        <v>YES</v>
      </c>
      <c r="AJ381" s="129">
        <f t="shared" si="113"/>
        <v>0.875</v>
      </c>
      <c r="AK381" s="49" t="s">
        <v>36</v>
      </c>
      <c r="AL381" s="2" t="str">
        <f t="shared" si="114"/>
        <v>9/26</v>
      </c>
      <c r="AM381" s="2" t="str">
        <f t="shared" si="115"/>
        <v>MRSU7450984</v>
      </c>
      <c r="AN381" s="130" t="str">
        <f t="shared" si="116"/>
        <v>MSI</v>
      </c>
      <c r="AO381" s="150">
        <f>IF($O381="TRUCK",
VLOOKUP($AU381,Invoicing!$A$16:$B$56,MATCH($AO$1,Invoicing!$A$16:$B$16,0),FALSE)+IF(OR($B381="DCD",$B381="HPD2"),23.5,0),
VLOOKUP($AU381,Invoicing!$N$15:$O$19,MATCH($AO$1,Invoicing!$N$15:$O$15,0),FALSE)+IF(OR($B381="DCD",$B381="HPD2"),23.5,0))</f>
        <v>553.5</v>
      </c>
      <c r="AP381" s="131">
        <f>VLOOKUP($E381,Invoicing!$A$1:$H$12,MATCH(TRACKER!$P381,Invoicing!$A$1:$H$1,0),FALSE)</f>
        <v>120</v>
      </c>
      <c r="AQ381" s="131">
        <f>VLOOKUP($E381,Invoicing!$A$1:$H$12,MATCH(TRACKER!$Q$1,Invoicing!$A$1:$H$1,0),FALSE)</f>
        <v>50</v>
      </c>
      <c r="AR381" s="131">
        <f t="shared" si="122"/>
        <v>0</v>
      </c>
      <c r="AS381" s="2">
        <f t="shared" si="117"/>
        <v>5</v>
      </c>
      <c r="AT381" s="2" t="str">
        <f t="shared" si="120"/>
        <v>NIGHT</v>
      </c>
      <c r="AU381" s="2" t="str">
        <f t="shared" si="118"/>
        <v>MSINIGHT</v>
      </c>
      <c r="AV381" s="94">
        <f>(IF(ISNA(AP381),AO381+AR381,SUM($AO381,$AR381,IFERROR($AP381,"0"))))+Table2[[#This Row],[WAITING TIMES]]</f>
        <v>868.5</v>
      </c>
      <c r="AW381" s="94">
        <f>VLOOKUP(AN381,Invoicing!A:K,11,FALSE)</f>
        <v>20</v>
      </c>
      <c r="AX381" s="48">
        <v>195</v>
      </c>
      <c r="AY381" s="94" t="s">
        <v>734</v>
      </c>
      <c r="AZ381" s="94">
        <f t="shared" si="119"/>
        <v>888.5</v>
      </c>
      <c r="BA381" s="133">
        <f>VLOOKUP(AN381,Invoicing!A:J,10,FALSE)</f>
        <v>70</v>
      </c>
      <c r="BB381" s="133">
        <f>VLOOKUP(AN381,Invoicing!A:L,12,FALSE)</f>
        <v>1</v>
      </c>
      <c r="BC381" s="2"/>
    </row>
    <row r="382" spans="1:55">
      <c r="A382" s="38" t="s">
        <v>658</v>
      </c>
      <c r="B382" s="3" t="s">
        <v>77</v>
      </c>
      <c r="C382" s="11">
        <v>46079.576388888891</v>
      </c>
      <c r="D382" s="11">
        <v>46079.583333333336</v>
      </c>
      <c r="E382" s="11" t="s">
        <v>73</v>
      </c>
      <c r="F382" s="11" t="s">
        <v>705</v>
      </c>
      <c r="G382" s="11" t="s">
        <v>133</v>
      </c>
      <c r="H382" s="11" t="s">
        <v>91</v>
      </c>
      <c r="I382" s="3" t="s">
        <v>735</v>
      </c>
      <c r="J382" s="86" t="s">
        <v>82</v>
      </c>
      <c r="K382" s="11">
        <v>46080.291666666664</v>
      </c>
      <c r="L382" s="12">
        <v>46080.715277777781</v>
      </c>
      <c r="M382" s="12">
        <v>46080.916666666664</v>
      </c>
      <c r="N382" s="12">
        <v>46080.715277777781</v>
      </c>
      <c r="O382" s="12" t="s">
        <v>63</v>
      </c>
      <c r="P382" s="85" t="s">
        <v>64</v>
      </c>
      <c r="Q382" s="3">
        <v>0</v>
      </c>
      <c r="R382" s="1">
        <f t="shared" si="102"/>
        <v>9</v>
      </c>
      <c r="S382" s="1">
        <f t="shared" si="103"/>
        <v>2</v>
      </c>
      <c r="T382" s="126">
        <f t="shared" si="104"/>
        <v>46080.715277777781</v>
      </c>
      <c r="U382" s="127">
        <f t="shared" si="105"/>
        <v>0.71527777777373558</v>
      </c>
      <c r="V382" s="128">
        <f>Table2[[#This Row],[ATA A OFRECIMIENTO]]*24</f>
        <v>17.166666666569654</v>
      </c>
      <c r="W382" s="1" t="str">
        <f t="shared" si="106"/>
        <v>YES</v>
      </c>
      <c r="X382" s="127">
        <f t="shared" si="107"/>
        <v>0.625</v>
      </c>
      <c r="Y382" s="128">
        <f>Table2[[#This Row],[DEL. AVAILABLE A SLOT]]*24</f>
        <v>15</v>
      </c>
      <c r="Z382" s="1" t="str">
        <f t="shared" si="108"/>
        <v>SI</v>
      </c>
      <c r="AA382" s="127">
        <f t="shared" si="109"/>
        <v>1.3402777777737356</v>
      </c>
      <c r="AB382" s="128">
        <f>Table2[[#This Row],[ATA A TIMESLOT]]*24</f>
        <v>32.166666666569654</v>
      </c>
      <c r="AC382" s="127">
        <f t="shared" si="110"/>
        <v>0</v>
      </c>
      <c r="AD382" s="127" t="str">
        <f t="shared" si="111"/>
        <v>SI</v>
      </c>
      <c r="AE382" s="128">
        <f>Table2[[#This Row],[PUNTUALIDAD (H)]]*24</f>
        <v>0</v>
      </c>
      <c r="AF382" s="127">
        <f t="shared" si="112"/>
        <v>1.1388888888905058</v>
      </c>
      <c r="AG382" s="128">
        <f>Table2[[#This Row],[ATA TO UNLOADING]]*24</f>
        <v>27.333333333372138</v>
      </c>
      <c r="AH382" s="128" t="str">
        <f>IF(Table2[[#This Row],[ATA TO UNLOADING 2]]&lt;=48,"YES","NO")</f>
        <v>YES</v>
      </c>
      <c r="AJ382" s="129">
        <f t="shared" si="113"/>
        <v>0.91666666666424135</v>
      </c>
      <c r="AK382" s="49" t="s">
        <v>36</v>
      </c>
      <c r="AL382" s="2" t="str">
        <f t="shared" si="114"/>
        <v>9/26</v>
      </c>
      <c r="AM382" s="2" t="str">
        <f t="shared" si="115"/>
        <v>HLBU2871612</v>
      </c>
      <c r="AN382" s="130" t="str">
        <f t="shared" si="116"/>
        <v>OTL</v>
      </c>
      <c r="AO382" s="150">
        <f>IF($O382="TRUCK",
VLOOKUP($AU382,Invoicing!$A$16:$B$56,MATCH($AO$1,Invoicing!$A$16:$B$16,0),FALSE)+IF(OR($B382="DCD",$B382="HPD2"),23.5,0),
VLOOKUP($AU382,Invoicing!$N$15:$O$19,MATCH($AO$1,Invoicing!$N$15:$O$15,0),FALSE)+IF(OR($B382="DCD",$B382="HPD2"),23.5,0))</f>
        <v>553.5</v>
      </c>
      <c r="AP382" s="131" t="e">
        <f>VLOOKUP($E382,Invoicing!$A$1:$H$12,MATCH(TRACKER!$P382,Invoicing!$A$1:$H$1,0),FALSE)</f>
        <v>#N/A</v>
      </c>
      <c r="AQ382" s="131">
        <f>VLOOKUP($E382,Invoicing!$A$1:$H$12,MATCH(TRACKER!$Q$1,Invoicing!$A$1:$H$1,0),FALSE)</f>
        <v>60</v>
      </c>
      <c r="AR382" s="131">
        <f t="shared" si="122"/>
        <v>0</v>
      </c>
      <c r="AS382" s="2">
        <f t="shared" si="117"/>
        <v>5</v>
      </c>
      <c r="AT382" s="2" t="str">
        <f t="shared" si="120"/>
        <v>NIGHT</v>
      </c>
      <c r="AU382" s="2" t="str">
        <f t="shared" si="118"/>
        <v>OTLNIGHT</v>
      </c>
      <c r="AV382" s="94">
        <f>(IF(ISNA(AP382),AO382+AR382,SUM($AO382,$AR382,IFERROR($AP382,"0"))))+Table2[[#This Row],[WAITING TIMES]]</f>
        <v>553.5</v>
      </c>
      <c r="AW382" s="94">
        <f>VLOOKUP(AN382,Invoicing!A:K,11,FALSE)</f>
        <v>20</v>
      </c>
      <c r="AY382" s="48"/>
      <c r="AZ382" s="94">
        <f t="shared" si="119"/>
        <v>573.5</v>
      </c>
      <c r="BA382" s="133">
        <f>VLOOKUP(AN382,Invoicing!A:J,10,FALSE)</f>
        <v>70</v>
      </c>
      <c r="BB382" s="133">
        <f>VLOOKUP(AN382,Invoicing!A:L,12,FALSE)</f>
        <v>1</v>
      </c>
      <c r="BC382" s="2"/>
    </row>
    <row r="383" spans="1:55">
      <c r="A383" s="38" t="s">
        <v>658</v>
      </c>
      <c r="B383" s="3" t="s">
        <v>77</v>
      </c>
      <c r="C383" s="11">
        <v>46079.576388888891</v>
      </c>
      <c r="D383" s="11">
        <v>46079.583333333336</v>
      </c>
      <c r="E383" s="11" t="s">
        <v>83</v>
      </c>
      <c r="F383" s="11" t="s">
        <v>707</v>
      </c>
      <c r="G383" s="11" t="s">
        <v>59</v>
      </c>
      <c r="H383" s="11" t="s">
        <v>91</v>
      </c>
      <c r="I383" s="3" t="s">
        <v>736</v>
      </c>
      <c r="J383" s="86" t="s">
        <v>82</v>
      </c>
      <c r="K383" s="11">
        <v>46080.291666666664</v>
      </c>
      <c r="L383" s="12">
        <v>46080.958333333336</v>
      </c>
      <c r="M383" s="12">
        <v>46080.958333333336</v>
      </c>
      <c r="N383" s="12">
        <v>46080.965277777781</v>
      </c>
      <c r="O383" s="12" t="s">
        <v>63</v>
      </c>
      <c r="P383" s="85" t="s">
        <v>15</v>
      </c>
      <c r="Q383" s="3">
        <v>0</v>
      </c>
      <c r="R383" s="1">
        <f t="shared" si="102"/>
        <v>9</v>
      </c>
      <c r="S383" s="1">
        <f t="shared" si="103"/>
        <v>2</v>
      </c>
      <c r="T383" s="126">
        <f t="shared" si="104"/>
        <v>46080.958333333336</v>
      </c>
      <c r="U383" s="127">
        <f t="shared" si="105"/>
        <v>0.71527777777373558</v>
      </c>
      <c r="V383" s="128">
        <f>Table2[[#This Row],[ATA A OFRECIMIENTO]]*24</f>
        <v>17.166666666569654</v>
      </c>
      <c r="W383" s="1" t="str">
        <f t="shared" si="106"/>
        <v>YES</v>
      </c>
      <c r="X383" s="127">
        <f t="shared" si="107"/>
        <v>0.66666666667151731</v>
      </c>
      <c r="Y383" s="128">
        <f>Table2[[#This Row],[DEL. AVAILABLE A SLOT]]*24</f>
        <v>16.000000000116415</v>
      </c>
      <c r="Z383" s="1" t="str">
        <f t="shared" si="108"/>
        <v>SI</v>
      </c>
      <c r="AA383" s="127">
        <f t="shared" si="109"/>
        <v>1.3819444444452529</v>
      </c>
      <c r="AB383" s="128">
        <f>Table2[[#This Row],[ATA A TIMESLOT]]*24</f>
        <v>33.166666666686069</v>
      </c>
      <c r="AC383" s="127">
        <f t="shared" si="110"/>
        <v>0</v>
      </c>
      <c r="AD383" s="127" t="str">
        <f t="shared" si="111"/>
        <v>SI</v>
      </c>
      <c r="AE383" s="128">
        <f>Table2[[#This Row],[PUNTUALIDAD (H)]]*24</f>
        <v>0</v>
      </c>
      <c r="AF383" s="127">
        <f t="shared" si="112"/>
        <v>1.3888888888905058</v>
      </c>
      <c r="AG383" s="128">
        <f>Table2[[#This Row],[ATA TO UNLOADING]]*24</f>
        <v>33.333333333372138</v>
      </c>
      <c r="AH383" s="128" t="str">
        <f>IF(Table2[[#This Row],[ATA TO UNLOADING 2]]&lt;=48,"YES","NO")</f>
        <v>YES</v>
      </c>
      <c r="AJ383" s="129">
        <f t="shared" si="113"/>
        <v>0.95833333333575865</v>
      </c>
      <c r="AK383" s="49" t="s">
        <v>36</v>
      </c>
      <c r="AL383" s="2" t="str">
        <f t="shared" si="114"/>
        <v>9/26</v>
      </c>
      <c r="AM383" s="2" t="str">
        <f t="shared" si="115"/>
        <v>MRSU5641301</v>
      </c>
      <c r="AN383" s="130" t="str">
        <f t="shared" si="116"/>
        <v>OM TRANSPORT</v>
      </c>
      <c r="AO383" s="150">
        <f>IF($O383="TRUCK",
VLOOKUP($AU383,Invoicing!$A$16:$B$56,MATCH($AO$1,Invoicing!$A$16:$B$16,0),FALSE)+IF(OR($B383="DCD",$B383="HPD2"),23.5,0),
VLOOKUP($AU383,Invoicing!$N$15:$O$19,MATCH($AO$1,Invoicing!$N$15:$O$15,0),FALSE)+IF(OR($B383="DCD",$B383="HPD2"),23.5,0))</f>
        <v>498.5</v>
      </c>
      <c r="AP383" s="131">
        <f>VLOOKUP($E383,Invoicing!$A$1:$H$12,MATCH(TRACKER!$P383,Invoicing!$A$1:$H$1,0),FALSE)</f>
        <v>110</v>
      </c>
      <c r="AQ383" s="131">
        <f>VLOOKUP($E383,Invoicing!$A$1:$H$12,MATCH(TRACKER!$Q$1,Invoicing!$A$1:$H$1,0),FALSE)</f>
        <v>50</v>
      </c>
      <c r="AR383" s="131">
        <f t="shared" si="122"/>
        <v>0</v>
      </c>
      <c r="AS383" s="2">
        <f t="shared" si="117"/>
        <v>5</v>
      </c>
      <c r="AT383" s="2" t="str">
        <f t="shared" si="120"/>
        <v>NIGHT</v>
      </c>
      <c r="AU383" s="2" t="str">
        <f t="shared" si="118"/>
        <v>OM TRANSPORTNIGHT</v>
      </c>
      <c r="AV383" s="94">
        <f>(IF(ISNA(AP383),AO383+AR383,SUM($AO383,$AR383,IFERROR($AP383,"0"))))+Table2[[#This Row],[WAITING TIMES]]</f>
        <v>811</v>
      </c>
      <c r="AW383" s="94">
        <f>VLOOKUP(AN383,Invoicing!A:K,11,FALSE)</f>
        <v>20</v>
      </c>
      <c r="AX383" s="48">
        <v>202.5</v>
      </c>
      <c r="AY383" s="48" t="s">
        <v>737</v>
      </c>
      <c r="AZ383" s="94">
        <f t="shared" si="119"/>
        <v>831</v>
      </c>
      <c r="BA383" s="133">
        <f>VLOOKUP(AN383,Invoicing!A:J,10,FALSE)</f>
        <v>70</v>
      </c>
      <c r="BB383" s="133">
        <f>VLOOKUP(AN383,Invoicing!A:L,12,FALSE)</f>
        <v>1</v>
      </c>
      <c r="BC383" s="2"/>
    </row>
    <row r="384" spans="1:55">
      <c r="A384" s="38" t="s">
        <v>658</v>
      </c>
      <c r="B384" s="3" t="s">
        <v>77</v>
      </c>
      <c r="C384" s="11">
        <v>46079.576388888891</v>
      </c>
      <c r="D384" s="11">
        <v>46079.583333333336</v>
      </c>
      <c r="E384" s="11" t="s">
        <v>71</v>
      </c>
      <c r="F384" s="11" t="s">
        <v>705</v>
      </c>
      <c r="G384" s="11" t="s">
        <v>133</v>
      </c>
      <c r="H384" s="11" t="s">
        <v>91</v>
      </c>
      <c r="I384" s="3" t="s">
        <v>738</v>
      </c>
      <c r="J384" s="86" t="s">
        <v>82</v>
      </c>
      <c r="K384" s="11">
        <v>46080.291666666664</v>
      </c>
      <c r="L384" s="12">
        <v>46080.981944444444</v>
      </c>
      <c r="M384" s="12">
        <v>46081</v>
      </c>
      <c r="N384" s="12">
        <v>46080.996527777781</v>
      </c>
      <c r="O384" s="12" t="s">
        <v>63</v>
      </c>
      <c r="P384" s="85" t="s">
        <v>64</v>
      </c>
      <c r="Q384" s="3">
        <v>0</v>
      </c>
      <c r="R384" s="1">
        <f t="shared" si="102"/>
        <v>9</v>
      </c>
      <c r="S384" s="1">
        <f t="shared" si="103"/>
        <v>2</v>
      </c>
      <c r="T384" s="126">
        <f t="shared" si="104"/>
        <v>46080.981944444444</v>
      </c>
      <c r="U384" s="127">
        <f t="shared" si="105"/>
        <v>0.71527777777373558</v>
      </c>
      <c r="V384" s="128">
        <f>Table2[[#This Row],[ATA A OFRECIMIENTO]]*24</f>
        <v>17.166666666569654</v>
      </c>
      <c r="W384" s="1" t="str">
        <f t="shared" si="106"/>
        <v>YES</v>
      </c>
      <c r="X384" s="127">
        <f t="shared" si="107"/>
        <v>0.70833333333575865</v>
      </c>
      <c r="Y384" s="128">
        <f>Table2[[#This Row],[DEL. AVAILABLE A SLOT]]*24</f>
        <v>17.000000000058208</v>
      </c>
      <c r="Z384" s="1" t="str">
        <f t="shared" si="108"/>
        <v>SI</v>
      </c>
      <c r="AA384" s="127">
        <f t="shared" si="109"/>
        <v>1.4236111111094942</v>
      </c>
      <c r="AB384" s="128">
        <f>Table2[[#This Row],[ATA A TIMESLOT]]*24</f>
        <v>34.166666666627862</v>
      </c>
      <c r="AC384" s="127">
        <f t="shared" si="110"/>
        <v>0</v>
      </c>
      <c r="AD384" s="127" t="str">
        <f t="shared" si="111"/>
        <v>SI</v>
      </c>
      <c r="AE384" s="128">
        <f>Table2[[#This Row],[PUNTUALIDAD (H)]]*24</f>
        <v>0</v>
      </c>
      <c r="AF384" s="127">
        <f t="shared" si="112"/>
        <v>1.4201388888905058</v>
      </c>
      <c r="AG384" s="128">
        <f>Table2[[#This Row],[ATA TO UNLOADING]]*24</f>
        <v>34.083333333372138</v>
      </c>
      <c r="AH384" s="128" t="str">
        <f>IF(Table2[[#This Row],[ATA TO UNLOADING 2]]&lt;=48,"YES","NO")</f>
        <v>YES</v>
      </c>
      <c r="AJ384" s="129">
        <f t="shared" si="113"/>
        <v>0</v>
      </c>
      <c r="AK384" s="49" t="s">
        <v>36</v>
      </c>
      <c r="AL384" s="2" t="str">
        <f t="shared" si="114"/>
        <v>9/26</v>
      </c>
      <c r="AM384" s="2" t="str">
        <f t="shared" si="115"/>
        <v>FANU1959444</v>
      </c>
      <c r="AN384" s="130" t="str">
        <f t="shared" si="116"/>
        <v>LOGIX</v>
      </c>
      <c r="AO384" s="150">
        <f>IF($O384="TRUCK",
VLOOKUP($AU384,Invoicing!$A$16:$B$56,MATCH($AO$1,Invoicing!$A$16:$B$16,0),FALSE)+IF(OR($B384="DCD",$B384="HPD2"),23.5,0),
VLOOKUP($AU384,Invoicing!$N$15:$O$19,MATCH($AO$1,Invoicing!$N$15:$O$15,0),FALSE)+IF(OR($B384="DCD",$B384="HPD2"),23.5,0))</f>
        <v>573.5</v>
      </c>
      <c r="AP384" s="131" t="e">
        <f>VLOOKUP($E384,Invoicing!$A$1:$H$12,MATCH(TRACKER!$P384,Invoicing!$A$1:$H$1,0),FALSE)</f>
        <v>#N/A</v>
      </c>
      <c r="AQ384" s="131">
        <f>VLOOKUP($E384,Invoicing!$A$1:$H$12,MATCH(TRACKER!$Q$1,Invoicing!$A$1:$H$1,0),FALSE)</f>
        <v>50</v>
      </c>
      <c r="AR384" s="131">
        <f t="shared" si="122"/>
        <v>0</v>
      </c>
      <c r="AS384" s="2">
        <f t="shared" si="117"/>
        <v>6</v>
      </c>
      <c r="AT384" s="2" t="str">
        <f t="shared" si="120"/>
        <v>SATURDAY</v>
      </c>
      <c r="AU384" s="2" t="str">
        <f t="shared" si="118"/>
        <v>LOGIXSATURDAY</v>
      </c>
      <c r="AV384" s="94">
        <f>(IF(ISNA(AP384),AO384+AR384,SUM($AO384,$AR384,IFERROR($AP384,"0"))))+Table2[[#This Row],[WAITING TIMES]]</f>
        <v>573.5</v>
      </c>
      <c r="AW384" s="94">
        <f>VLOOKUP(AN384,Invoicing!A:K,11,FALSE)</f>
        <v>20</v>
      </c>
      <c r="AY384" s="48"/>
      <c r="AZ384" s="94">
        <f t="shared" si="119"/>
        <v>593.5</v>
      </c>
      <c r="BA384" s="133">
        <f>VLOOKUP(AN384,Invoicing!A:J,10,FALSE)</f>
        <v>70</v>
      </c>
      <c r="BB384" s="133">
        <f>VLOOKUP(AN384,Invoicing!A:L,12,FALSE)</f>
        <v>1</v>
      </c>
      <c r="BC384" s="2"/>
    </row>
    <row r="385" spans="1:55">
      <c r="A385" s="38" t="s">
        <v>658</v>
      </c>
      <c r="B385" s="3" t="s">
        <v>77</v>
      </c>
      <c r="C385" s="11">
        <v>46079.576388888891</v>
      </c>
      <c r="D385" s="11">
        <v>46079.583333333336</v>
      </c>
      <c r="E385" s="11" t="s">
        <v>71</v>
      </c>
      <c r="F385" s="11" t="s">
        <v>739</v>
      </c>
      <c r="G385" s="11" t="s">
        <v>59</v>
      </c>
      <c r="H385" s="11" t="s">
        <v>91</v>
      </c>
      <c r="I385" s="3" t="s">
        <v>740</v>
      </c>
      <c r="J385" s="86" t="s">
        <v>82</v>
      </c>
      <c r="K385" s="11">
        <v>46080.291666666664</v>
      </c>
      <c r="L385" s="12">
        <v>46081.072916666664</v>
      </c>
      <c r="M385" s="12">
        <v>46081.083333333336</v>
      </c>
      <c r="N385" s="12">
        <v>46081.090277777781</v>
      </c>
      <c r="O385" s="12" t="s">
        <v>63</v>
      </c>
      <c r="P385" s="85" t="s">
        <v>64</v>
      </c>
      <c r="Q385" s="3">
        <v>0</v>
      </c>
      <c r="R385" s="1">
        <f t="shared" si="102"/>
        <v>9</v>
      </c>
      <c r="S385" s="1">
        <f t="shared" si="103"/>
        <v>2</v>
      </c>
      <c r="T385" s="126">
        <f t="shared" si="104"/>
        <v>46081.072916666664</v>
      </c>
      <c r="U385" s="127">
        <f t="shared" si="105"/>
        <v>0.71527777777373558</v>
      </c>
      <c r="V385" s="128">
        <f>Table2[[#This Row],[ATA A OFRECIMIENTO]]*24</f>
        <v>17.166666666569654</v>
      </c>
      <c r="W385" s="1" t="str">
        <f t="shared" si="106"/>
        <v>YES</v>
      </c>
      <c r="X385" s="127">
        <f t="shared" si="107"/>
        <v>0.79166666667151731</v>
      </c>
      <c r="Y385" s="128">
        <f>Table2[[#This Row],[DEL. AVAILABLE A SLOT]]*24</f>
        <v>19.000000000116415</v>
      </c>
      <c r="Z385" s="1" t="str">
        <f t="shared" si="108"/>
        <v>SI</v>
      </c>
      <c r="AA385" s="127">
        <f t="shared" si="109"/>
        <v>1.5069444444452529</v>
      </c>
      <c r="AB385" s="128">
        <f>Table2[[#This Row],[ATA A TIMESLOT]]*24</f>
        <v>36.166666666686069</v>
      </c>
      <c r="AC385" s="127">
        <f t="shared" si="110"/>
        <v>0</v>
      </c>
      <c r="AD385" s="127" t="str">
        <f t="shared" si="111"/>
        <v>SI</v>
      </c>
      <c r="AE385" s="128">
        <f>Table2[[#This Row],[PUNTUALIDAD (H)]]*24</f>
        <v>0</v>
      </c>
      <c r="AF385" s="127">
        <f t="shared" si="112"/>
        <v>1.5138888888905058</v>
      </c>
      <c r="AG385" s="128">
        <f>Table2[[#This Row],[ATA TO UNLOADING]]*24</f>
        <v>36.333333333372138</v>
      </c>
      <c r="AH385" s="128" t="str">
        <f>IF(Table2[[#This Row],[ATA TO UNLOADING 2]]&lt;=48,"YES","NO")</f>
        <v>YES</v>
      </c>
      <c r="AJ385" s="129">
        <f t="shared" si="113"/>
        <v>8.3333333335758653E-2</v>
      </c>
      <c r="AK385" s="49" t="s">
        <v>36</v>
      </c>
      <c r="AL385" s="2" t="str">
        <f t="shared" si="114"/>
        <v>9/26</v>
      </c>
      <c r="AM385" s="2" t="str">
        <f t="shared" si="115"/>
        <v>MSKU7487473</v>
      </c>
      <c r="AN385" s="130" t="str">
        <f t="shared" si="116"/>
        <v>LOGIX</v>
      </c>
      <c r="AO385" s="150">
        <f>IF($O385="TRUCK",
VLOOKUP($AU385,Invoicing!$A$16:$B$56,MATCH($AO$1,Invoicing!$A$16:$B$16,0),FALSE)+IF(OR($B385="DCD",$B385="HPD2"),23.5,0),
VLOOKUP($AU385,Invoicing!$N$15:$O$19,MATCH($AO$1,Invoicing!$N$15:$O$15,0),FALSE)+IF(OR($B385="DCD",$B385="HPD2"),23.5,0))</f>
        <v>573.5</v>
      </c>
      <c r="AP385" s="131" t="e">
        <f>VLOOKUP($E385,Invoicing!$A$1:$H$12,MATCH(TRACKER!$P385,Invoicing!$A$1:$H$1,0),FALSE)</f>
        <v>#N/A</v>
      </c>
      <c r="AQ385" s="131">
        <f>VLOOKUP($E385,Invoicing!$A$1:$H$12,MATCH(TRACKER!$Q$1,Invoicing!$A$1:$H$1,0),FALSE)</f>
        <v>50</v>
      </c>
      <c r="AR385" s="131">
        <f t="shared" si="122"/>
        <v>0</v>
      </c>
      <c r="AS385" s="2">
        <f t="shared" si="117"/>
        <v>6</v>
      </c>
      <c r="AT385" s="2" t="str">
        <f t="shared" si="120"/>
        <v>SATURDAY</v>
      </c>
      <c r="AU385" s="2" t="str">
        <f t="shared" si="118"/>
        <v>LOGIXSATURDAY</v>
      </c>
      <c r="AV385" s="94">
        <f>(IF(ISNA(AP385),AO385+AR385,SUM($AO385,$AR385,IFERROR($AP385,"0"))))+Table2[[#This Row],[WAITING TIMES]]</f>
        <v>573.5</v>
      </c>
      <c r="AW385" s="94">
        <f>VLOOKUP(AN385,Invoicing!A:K,11,FALSE)</f>
        <v>20</v>
      </c>
      <c r="AY385" s="48"/>
      <c r="AZ385" s="94">
        <f t="shared" si="119"/>
        <v>593.5</v>
      </c>
      <c r="BA385" s="133">
        <f>VLOOKUP(AN385,Invoicing!A:J,10,FALSE)</f>
        <v>70</v>
      </c>
      <c r="BB385" s="133">
        <f>VLOOKUP(AN385,Invoicing!A:L,12,FALSE)</f>
        <v>1</v>
      </c>
      <c r="BC385" s="2"/>
    </row>
    <row r="386" spans="1:55">
      <c r="A386" s="38" t="s">
        <v>658</v>
      </c>
      <c r="B386" s="3" t="s">
        <v>77</v>
      </c>
      <c r="C386" s="11">
        <v>46079.576388888891</v>
      </c>
      <c r="D386" s="11">
        <v>46079.583333333336</v>
      </c>
      <c r="E386" s="11" t="s">
        <v>83</v>
      </c>
      <c r="F386" s="11" t="s">
        <v>741</v>
      </c>
      <c r="G386" s="11" t="s">
        <v>59</v>
      </c>
      <c r="H386" s="11" t="s">
        <v>91</v>
      </c>
      <c r="I386" s="3" t="s">
        <v>742</v>
      </c>
      <c r="J386" s="86" t="s">
        <v>82</v>
      </c>
      <c r="K386" s="11">
        <v>46080.291666666664</v>
      </c>
      <c r="L386" s="12">
        <v>46081.074305555558</v>
      </c>
      <c r="M386" s="12">
        <v>46081.125</v>
      </c>
      <c r="N386" s="12">
        <v>46081.090277777781</v>
      </c>
      <c r="O386" s="12" t="s">
        <v>63</v>
      </c>
      <c r="P386" s="85" t="s">
        <v>15</v>
      </c>
      <c r="Q386" s="3">
        <v>0</v>
      </c>
      <c r="R386" s="1">
        <f t="shared" ref="R386:R404" si="123">IF(M386="","",WEEKNUM(T386,2))</f>
        <v>9</v>
      </c>
      <c r="S386" s="1">
        <f t="shared" ref="S386:S404" si="124">IF(M386="","",MONTH(T386))</f>
        <v>2</v>
      </c>
      <c r="T386" s="126">
        <f t="shared" ref="T386:T404" si="125">IF(ISBLANK(L386),IF(ISBLANK(N386),"00:00",N386),L386)</f>
        <v>46081.074305555558</v>
      </c>
      <c r="U386" s="127">
        <f t="shared" ref="U386:U404" si="126">(K386-C386)</f>
        <v>0.71527777777373558</v>
      </c>
      <c r="V386" s="128">
        <f>Table2[[#This Row],[ATA A OFRECIMIENTO]]*24</f>
        <v>17.166666666569654</v>
      </c>
      <c r="W386" s="1" t="str">
        <f t="shared" ref="W386:W404" si="127">IF(U386="","",IF(U386&lt;=2,"YES","NO"))</f>
        <v>YES</v>
      </c>
      <c r="X386" s="127">
        <f t="shared" ref="X386:X404" si="128">(M386-K386)</f>
        <v>0.83333333333575865</v>
      </c>
      <c r="Y386" s="128">
        <f>Table2[[#This Row],[DEL. AVAILABLE A SLOT]]*24</f>
        <v>20.000000000058208</v>
      </c>
      <c r="Z386" s="1" t="str">
        <f t="shared" ref="Z386:Z404" si="129">IF(X386="","",IF(X386&lt;=1,"SI","NO"))</f>
        <v>SI</v>
      </c>
      <c r="AA386" s="127">
        <f t="shared" ref="AA386:AA404" si="130">(M386-C386)</f>
        <v>1.5486111111094942</v>
      </c>
      <c r="AB386" s="128">
        <f>Table2[[#This Row],[ATA A TIMESLOT]]*24</f>
        <v>37.166666666627862</v>
      </c>
      <c r="AC386" s="127">
        <f t="shared" ref="AC386:AC404" si="131">IF(T386&lt; M386, TIME(0,0,0), T386-M386)</f>
        <v>0</v>
      </c>
      <c r="AD386" s="127" t="str">
        <f t="shared" ref="AD386:AD404" si="132">IF(AC386&gt;TIME(0,40,0),"NO","SI")</f>
        <v>SI</v>
      </c>
      <c r="AE386" s="128">
        <f>Table2[[#This Row],[PUNTUALIDAD (H)]]*24</f>
        <v>0</v>
      </c>
      <c r="AF386" s="127">
        <f t="shared" ref="AF386:AF404" si="133">(N386-C386)</f>
        <v>1.5138888888905058</v>
      </c>
      <c r="AG386" s="128">
        <f>Table2[[#This Row],[ATA TO UNLOADING]]*24</f>
        <v>36.333333333372138</v>
      </c>
      <c r="AH386" s="128" t="str">
        <f>IF(Table2[[#This Row],[ATA TO UNLOADING 2]]&lt;=48,"YES","NO")</f>
        <v>YES</v>
      </c>
      <c r="AJ386" s="129">
        <f t="shared" ref="AJ386:AJ404" si="134">MOD(M386,1)</f>
        <v>0.125</v>
      </c>
      <c r="AK386" s="49" t="s">
        <v>36</v>
      </c>
      <c r="AL386" s="2" t="str">
        <f t="shared" ref="AL386:AL404" si="135">IF(M386="","",_xlfn.ISOWEEKNUM(M386)&amp;"/"&amp;RIGHT(YEAR(M386),2))</f>
        <v>9/26</v>
      </c>
      <c r="AM386" s="2" t="str">
        <f t="shared" ref="AM386:AM404" si="136">I386</f>
        <v>MRSU5047666</v>
      </c>
      <c r="AN386" s="130" t="str">
        <f t="shared" ref="AN386:AN404" si="137">E386</f>
        <v>OM TRANSPORT</v>
      </c>
      <c r="AO386" s="150">
        <f>IF($O386="TRUCK",
VLOOKUP($AU386,Invoicing!$A$16:$B$56,MATCH($AO$1,Invoicing!$A$16:$B$16,0),FALSE)+IF(OR($B386="DCD",$B386="HPD2"),23.5,0),
VLOOKUP($AU386,Invoicing!$N$15:$O$19,MATCH($AO$1,Invoicing!$N$15:$O$15,0),FALSE)+IF(OR($B386="DCD",$B386="HPD2"),23.5,0))</f>
        <v>573.5</v>
      </c>
      <c r="AP386" s="131">
        <f>VLOOKUP($E386,Invoicing!$A$1:$H$12,MATCH(TRACKER!$P386,Invoicing!$A$1:$H$1,0),FALSE)</f>
        <v>110</v>
      </c>
      <c r="AQ386" s="131">
        <f>VLOOKUP($E386,Invoicing!$A$1:$H$12,MATCH(TRACKER!$Q$1,Invoicing!$A$1:$H$1,0),FALSE)</f>
        <v>50</v>
      </c>
      <c r="AR386" s="131">
        <f t="shared" si="122"/>
        <v>0</v>
      </c>
      <c r="AS386" s="2">
        <f t="shared" ref="AS386:AS404" si="138">WEEKDAY(M386,2)</f>
        <v>6</v>
      </c>
      <c r="AT386" s="2" t="str">
        <f t="shared" si="120"/>
        <v>SATURDAY</v>
      </c>
      <c r="AU386" s="2" t="str">
        <f t="shared" ref="AU386:AU404" si="139">AN386&amp;AT386</f>
        <v>OM TRANSPORTSATURDAY</v>
      </c>
      <c r="AV386" s="94">
        <f>(IF(ISNA(AP386),AO386+AR386,SUM($AO386,$AR386,IFERROR($AP386,"0"))))+Table2[[#This Row],[WAITING TIMES]]</f>
        <v>762.25</v>
      </c>
      <c r="AW386" s="94">
        <f>VLOOKUP(AN386,Invoicing!A:K,11,FALSE)</f>
        <v>20</v>
      </c>
      <c r="AX386" s="48">
        <v>78.75</v>
      </c>
      <c r="AY386" s="48" t="s">
        <v>743</v>
      </c>
      <c r="AZ386" s="94">
        <f t="shared" ref="AZ386:AZ404" si="140">AV386+AW386</f>
        <v>782.25</v>
      </c>
      <c r="BA386" s="133">
        <f>VLOOKUP(AN386,Invoicing!A:J,10,FALSE)</f>
        <v>70</v>
      </c>
      <c r="BB386" s="133">
        <f>VLOOKUP(AN386,Invoicing!A:L,12,FALSE)</f>
        <v>1</v>
      </c>
      <c r="BC386" s="2"/>
    </row>
    <row r="387" spans="1:55">
      <c r="A387" s="38" t="s">
        <v>658</v>
      </c>
      <c r="B387" s="3" t="s">
        <v>77</v>
      </c>
      <c r="C387" s="11">
        <v>46079.576388888891</v>
      </c>
      <c r="D387" s="11">
        <v>46079.583333333336</v>
      </c>
      <c r="E387" s="11" t="s">
        <v>98</v>
      </c>
      <c r="F387" s="11" t="s">
        <v>741</v>
      </c>
      <c r="G387" s="11" t="s">
        <v>59</v>
      </c>
      <c r="H387" s="11" t="s">
        <v>91</v>
      </c>
      <c r="I387" s="3" t="s">
        <v>744</v>
      </c>
      <c r="J387" s="86" t="s">
        <v>82</v>
      </c>
      <c r="K387" s="11">
        <v>46080.291666666664</v>
      </c>
      <c r="L387" s="12">
        <v>46081.202777777777</v>
      </c>
      <c r="M387" s="12">
        <v>46081.208333333336</v>
      </c>
      <c r="N387" s="12">
        <v>46081.229166666664</v>
      </c>
      <c r="O387" s="12" t="s">
        <v>63</v>
      </c>
      <c r="P387" s="85" t="s">
        <v>15</v>
      </c>
      <c r="Q387" s="3">
        <v>0</v>
      </c>
      <c r="R387" s="1">
        <f t="shared" si="123"/>
        <v>9</v>
      </c>
      <c r="S387" s="1">
        <f t="shared" si="124"/>
        <v>2</v>
      </c>
      <c r="T387" s="126">
        <f t="shared" si="125"/>
        <v>46081.202777777777</v>
      </c>
      <c r="U387" s="127">
        <f t="shared" si="126"/>
        <v>0.71527777777373558</v>
      </c>
      <c r="V387" s="128">
        <f>Table2[[#This Row],[ATA A OFRECIMIENTO]]*24</f>
        <v>17.166666666569654</v>
      </c>
      <c r="W387" s="1" t="str">
        <f t="shared" si="127"/>
        <v>YES</v>
      </c>
      <c r="X387" s="127">
        <f t="shared" si="128"/>
        <v>0.91666666667151731</v>
      </c>
      <c r="Y387" s="128">
        <f>Table2[[#This Row],[DEL. AVAILABLE A SLOT]]*24</f>
        <v>22.000000000116415</v>
      </c>
      <c r="Z387" s="1" t="str">
        <f t="shared" si="129"/>
        <v>SI</v>
      </c>
      <c r="AA387" s="127">
        <f t="shared" si="130"/>
        <v>1.6319444444452529</v>
      </c>
      <c r="AB387" s="128">
        <f>Table2[[#This Row],[ATA A TIMESLOT]]*24</f>
        <v>39.166666666686069</v>
      </c>
      <c r="AC387" s="127">
        <f t="shared" si="131"/>
        <v>0</v>
      </c>
      <c r="AD387" s="127" t="str">
        <f t="shared" si="132"/>
        <v>SI</v>
      </c>
      <c r="AE387" s="128">
        <f>Table2[[#This Row],[PUNTUALIDAD (H)]]*24</f>
        <v>0</v>
      </c>
      <c r="AF387" s="127">
        <f t="shared" si="133"/>
        <v>1.6527777777737356</v>
      </c>
      <c r="AG387" s="128">
        <f>Table2[[#This Row],[ATA TO UNLOADING]]*24</f>
        <v>39.666666666569654</v>
      </c>
      <c r="AH387" s="128" t="str">
        <f>IF(Table2[[#This Row],[ATA TO UNLOADING 2]]&lt;=48,"YES","NO")</f>
        <v>YES</v>
      </c>
      <c r="AJ387" s="129">
        <f t="shared" si="134"/>
        <v>0.20833333333575865</v>
      </c>
      <c r="AK387" s="2" t="s">
        <v>64</v>
      </c>
      <c r="AL387" s="2" t="str">
        <f t="shared" si="135"/>
        <v>9/26</v>
      </c>
      <c r="AM387" s="2" t="str">
        <f t="shared" si="136"/>
        <v>MRSU6484697</v>
      </c>
      <c r="AN387" s="130" t="str">
        <f t="shared" si="137"/>
        <v>MSI</v>
      </c>
      <c r="AO387" s="150">
        <f>IF($O387="TRUCK",
VLOOKUP($AU387,Invoicing!$A$16:$B$56,MATCH($AO$1,Invoicing!$A$16:$B$16,0),FALSE)+IF(OR($B387="DCD",$B387="HPD2"),23.5,0),
VLOOKUP($AU387,Invoicing!$N$15:$O$19,MATCH($AO$1,Invoicing!$N$15:$O$15,0),FALSE)+IF(OR($B387="DCD",$B387="HPD2"),23.5,0))</f>
        <v>523.5</v>
      </c>
      <c r="AP387" s="131">
        <f>VLOOKUP($E387,Invoicing!$A$1:$H$12,MATCH(TRACKER!$P387,Invoicing!$A$1:$H$1,0),FALSE)</f>
        <v>120</v>
      </c>
      <c r="AQ387" s="131">
        <f>VLOOKUP($E387,Invoicing!$A$1:$H$12,MATCH(TRACKER!$Q$1,Invoicing!$A$1:$H$1,0),FALSE)</f>
        <v>50</v>
      </c>
      <c r="AR387" s="131">
        <f t="shared" si="122"/>
        <v>0</v>
      </c>
      <c r="AS387" s="2">
        <f t="shared" si="138"/>
        <v>6</v>
      </c>
      <c r="AT387" s="2" t="str">
        <f t="shared" ref="AT387:AT450" si="141">IF(AS387=7,"SUNDAY",IF(AS387=6,"SATURDAY",IF(AK387="NIGHT","NIGHT",IF(AS387&lt;=5,"WEEK","SUNDAY"))))</f>
        <v>SATURDAY</v>
      </c>
      <c r="AU387" s="2" t="str">
        <f t="shared" si="139"/>
        <v>MSISATURDAY</v>
      </c>
      <c r="AV387" s="94">
        <f>(IF(ISNA(AP387),AO387+AR387,SUM($AO387,$AR387,IFERROR($AP387,"0"))))+Table2[[#This Row],[WAITING TIMES]]</f>
        <v>673.5</v>
      </c>
      <c r="AW387" s="94">
        <f>VLOOKUP(AN387,Invoicing!A:K,11,FALSE)</f>
        <v>20</v>
      </c>
      <c r="AX387" s="48">
        <v>30</v>
      </c>
      <c r="AY387" s="94" t="s">
        <v>745</v>
      </c>
      <c r="AZ387" s="94">
        <f t="shared" si="140"/>
        <v>693.5</v>
      </c>
      <c r="BA387" s="133">
        <f>VLOOKUP(AN387,Invoicing!A:J,10,FALSE)</f>
        <v>70</v>
      </c>
      <c r="BB387" s="133">
        <f>VLOOKUP(AN387,Invoicing!A:L,12,FALSE)</f>
        <v>1</v>
      </c>
      <c r="BC387" s="2"/>
    </row>
    <row r="388" spans="1:55">
      <c r="A388" s="38" t="s">
        <v>658</v>
      </c>
      <c r="B388" s="3" t="s">
        <v>77</v>
      </c>
      <c r="C388" s="11">
        <v>46079.576388888891</v>
      </c>
      <c r="D388" s="11">
        <v>46079.583333333336</v>
      </c>
      <c r="E388" s="11" t="s">
        <v>71</v>
      </c>
      <c r="F388" s="11" t="s">
        <v>661</v>
      </c>
      <c r="G388" s="11" t="s">
        <v>59</v>
      </c>
      <c r="H388" s="11" t="s">
        <v>91</v>
      </c>
      <c r="I388" s="3" t="s">
        <v>746</v>
      </c>
      <c r="J388" s="86" t="s">
        <v>82</v>
      </c>
      <c r="K388" s="11">
        <v>46080.291666666664</v>
      </c>
      <c r="L388" s="12">
        <v>46081.355555555558</v>
      </c>
      <c r="M388" s="12">
        <v>46081.291666666664</v>
      </c>
      <c r="N388" s="12">
        <v>46081.381944444445</v>
      </c>
      <c r="O388" s="12" t="s">
        <v>63</v>
      </c>
      <c r="P388" s="85" t="s">
        <v>64</v>
      </c>
      <c r="Q388" s="3">
        <v>0</v>
      </c>
      <c r="R388" s="1">
        <f t="shared" si="123"/>
        <v>9</v>
      </c>
      <c r="S388" s="1">
        <f t="shared" si="124"/>
        <v>2</v>
      </c>
      <c r="T388" s="126">
        <f t="shared" si="125"/>
        <v>46081.355555555558</v>
      </c>
      <c r="U388" s="127">
        <f t="shared" si="126"/>
        <v>0.71527777777373558</v>
      </c>
      <c r="V388" s="128">
        <f>Table2[[#This Row],[ATA A OFRECIMIENTO]]*24</f>
        <v>17.166666666569654</v>
      </c>
      <c r="W388" s="1" t="str">
        <f t="shared" si="127"/>
        <v>YES</v>
      </c>
      <c r="X388" s="127">
        <f t="shared" si="128"/>
        <v>1</v>
      </c>
      <c r="Y388" s="128">
        <f>Table2[[#This Row],[DEL. AVAILABLE A SLOT]]*24</f>
        <v>24</v>
      </c>
      <c r="Z388" s="1" t="str">
        <f t="shared" si="129"/>
        <v>SI</v>
      </c>
      <c r="AA388" s="127">
        <f t="shared" si="130"/>
        <v>1.7152777777737356</v>
      </c>
      <c r="AB388" s="128">
        <f>Table2[[#This Row],[ATA A TIMESLOT]]*24</f>
        <v>41.166666666569654</v>
      </c>
      <c r="AC388" s="127">
        <f t="shared" si="131"/>
        <v>6.3888888893416151E-2</v>
      </c>
      <c r="AD388" s="127" t="str">
        <f t="shared" si="132"/>
        <v>NO</v>
      </c>
      <c r="AE388" s="128">
        <f>Table2[[#This Row],[PUNTUALIDAD (H)]]*24</f>
        <v>1.5333333334419876</v>
      </c>
      <c r="AF388" s="127">
        <f t="shared" si="133"/>
        <v>1.8055555555547471</v>
      </c>
      <c r="AG388" s="128">
        <f>Table2[[#This Row],[ATA TO UNLOADING]]*24</f>
        <v>43.333333333313931</v>
      </c>
      <c r="AH388" s="128" t="str">
        <f>IF(Table2[[#This Row],[ATA TO UNLOADING 2]]&lt;=48,"YES","NO")</f>
        <v>YES</v>
      </c>
      <c r="AJ388" s="129">
        <f t="shared" si="134"/>
        <v>0.29166666666424135</v>
      </c>
      <c r="AK388" s="2" t="s">
        <v>64</v>
      </c>
      <c r="AL388" s="2" t="str">
        <f t="shared" si="135"/>
        <v>9/26</v>
      </c>
      <c r="AM388" s="2" t="str">
        <f t="shared" si="136"/>
        <v>TCNU4205180</v>
      </c>
      <c r="AN388" s="130" t="str">
        <f t="shared" si="137"/>
        <v>LOGIX</v>
      </c>
      <c r="AO388" s="150">
        <f>IF($O388="TRUCK",
VLOOKUP($AU388,Invoicing!$A$16:$B$56,MATCH($AO$1,Invoicing!$A$16:$B$16,0),FALSE)+IF(OR($B388="DCD",$B388="HPD2"),23.5,0),
VLOOKUP($AU388,Invoicing!$N$15:$O$19,MATCH($AO$1,Invoicing!$N$15:$O$15,0),FALSE)+IF(OR($B388="DCD",$B388="HPD2"),23.5,0))</f>
        <v>573.5</v>
      </c>
      <c r="AP388" s="131" t="e">
        <f>VLOOKUP($E388,Invoicing!$A$1:$H$12,MATCH(TRACKER!$P388,Invoicing!$A$1:$H$1,0),FALSE)</f>
        <v>#N/A</v>
      </c>
      <c r="AQ388" s="131">
        <f>VLOOKUP($E388,Invoicing!$A$1:$H$12,MATCH(TRACKER!$Q$1,Invoicing!$A$1:$H$1,0),FALSE)</f>
        <v>50</v>
      </c>
      <c r="AR388" s="131">
        <f t="shared" si="122"/>
        <v>0</v>
      </c>
      <c r="AS388" s="2">
        <f t="shared" si="138"/>
        <v>6</v>
      </c>
      <c r="AT388" s="2" t="str">
        <f t="shared" si="141"/>
        <v>SATURDAY</v>
      </c>
      <c r="AU388" s="2" t="str">
        <f t="shared" si="139"/>
        <v>LOGIXSATURDAY</v>
      </c>
      <c r="AV388" s="94">
        <f>(IF(ISNA(AP388),AO388+AR388,SUM($AO388,$AR388,IFERROR($AP388,"0"))))+Table2[[#This Row],[WAITING TIMES]]</f>
        <v>573.5</v>
      </c>
      <c r="AW388" s="94">
        <f>VLOOKUP(AN388,Invoicing!A:K,11,FALSE)</f>
        <v>20</v>
      </c>
      <c r="AY388" s="48"/>
      <c r="AZ388" s="94">
        <f t="shared" si="140"/>
        <v>593.5</v>
      </c>
      <c r="BA388" s="133">
        <f>VLOOKUP(AN388,Invoicing!A:J,10,FALSE)</f>
        <v>70</v>
      </c>
      <c r="BB388" s="133">
        <f>VLOOKUP(AN388,Invoicing!A:L,12,FALSE)</f>
        <v>1</v>
      </c>
      <c r="BC388" s="2"/>
    </row>
    <row r="389" spans="1:55">
      <c r="A389" s="38" t="s">
        <v>658</v>
      </c>
      <c r="B389" s="3" t="s">
        <v>77</v>
      </c>
      <c r="C389" s="11">
        <v>46079.576388888891</v>
      </c>
      <c r="D389" s="11">
        <v>46079.583333333336</v>
      </c>
      <c r="E389" s="11" t="s">
        <v>83</v>
      </c>
      <c r="F389" s="11" t="s">
        <v>707</v>
      </c>
      <c r="G389" s="11" t="s">
        <v>59</v>
      </c>
      <c r="H389" s="11" t="s">
        <v>91</v>
      </c>
      <c r="I389" s="3" t="s">
        <v>747</v>
      </c>
      <c r="J389" s="86" t="s">
        <v>82</v>
      </c>
      <c r="K389" s="11">
        <v>46080.291666666664</v>
      </c>
      <c r="L389" s="12">
        <v>46081.314583333333</v>
      </c>
      <c r="M389" s="12">
        <v>46081.333333333336</v>
      </c>
      <c r="N389" s="12">
        <v>46081.34375</v>
      </c>
      <c r="O389" s="12" t="s">
        <v>63</v>
      </c>
      <c r="P389" s="85" t="s">
        <v>15</v>
      </c>
      <c r="Q389" s="3">
        <v>0</v>
      </c>
      <c r="R389" s="1">
        <f t="shared" si="123"/>
        <v>9</v>
      </c>
      <c r="S389" s="1">
        <f t="shared" si="124"/>
        <v>2</v>
      </c>
      <c r="T389" s="126">
        <f t="shared" si="125"/>
        <v>46081.314583333333</v>
      </c>
      <c r="U389" s="127">
        <f t="shared" si="126"/>
        <v>0.71527777777373558</v>
      </c>
      <c r="V389" s="128">
        <f>Table2[[#This Row],[ATA A OFRECIMIENTO]]*24</f>
        <v>17.166666666569654</v>
      </c>
      <c r="W389" s="1" t="str">
        <f t="shared" si="127"/>
        <v>YES</v>
      </c>
      <c r="X389" s="127">
        <f t="shared" si="128"/>
        <v>1.0416666666715173</v>
      </c>
      <c r="Y389" s="128">
        <f>Table2[[#This Row],[DEL. AVAILABLE A SLOT]]*24</f>
        <v>25.000000000116415</v>
      </c>
      <c r="Z389" s="1" t="str">
        <f t="shared" si="129"/>
        <v>NO</v>
      </c>
      <c r="AA389" s="127">
        <f t="shared" si="130"/>
        <v>1.7569444444452529</v>
      </c>
      <c r="AB389" s="128">
        <f>Table2[[#This Row],[ATA A TIMESLOT]]*24</f>
        <v>42.166666666686069</v>
      </c>
      <c r="AC389" s="127">
        <f t="shared" si="131"/>
        <v>0</v>
      </c>
      <c r="AD389" s="127" t="str">
        <f t="shared" si="132"/>
        <v>SI</v>
      </c>
      <c r="AE389" s="128">
        <f>Table2[[#This Row],[PUNTUALIDAD (H)]]*24</f>
        <v>0</v>
      </c>
      <c r="AF389" s="127">
        <f t="shared" si="133"/>
        <v>1.7673611111094942</v>
      </c>
      <c r="AG389" s="128">
        <f>Table2[[#This Row],[ATA TO UNLOADING]]*24</f>
        <v>42.416666666627862</v>
      </c>
      <c r="AH389" s="128" t="str">
        <f>IF(Table2[[#This Row],[ATA TO UNLOADING 2]]&lt;=48,"YES","NO")</f>
        <v>YES</v>
      </c>
      <c r="AJ389" s="129">
        <f t="shared" si="134"/>
        <v>0.33333333333575865</v>
      </c>
      <c r="AK389" s="2" t="s">
        <v>64</v>
      </c>
      <c r="AL389" s="2" t="str">
        <f t="shared" si="135"/>
        <v>9/26</v>
      </c>
      <c r="AM389" s="2" t="str">
        <f t="shared" si="136"/>
        <v>MRSU6977590</v>
      </c>
      <c r="AN389" s="130" t="str">
        <f t="shared" si="137"/>
        <v>OM TRANSPORT</v>
      </c>
      <c r="AO389" s="150">
        <f>IF($O389="TRUCK",
VLOOKUP($AU389,Invoicing!$A$16:$B$56,MATCH($AO$1,Invoicing!$A$16:$B$16,0),FALSE)+IF(OR($B389="DCD",$B389="HPD2"),23.5,0),
VLOOKUP($AU389,Invoicing!$N$15:$O$19,MATCH($AO$1,Invoicing!$N$15:$O$15,0),FALSE)+IF(OR($B389="DCD",$B389="HPD2"),23.5,0))</f>
        <v>573.5</v>
      </c>
      <c r="AP389" s="131">
        <f>VLOOKUP($E389,Invoicing!$A$1:$H$12,MATCH(TRACKER!$P389,Invoicing!$A$1:$H$1,0),FALSE)</f>
        <v>110</v>
      </c>
      <c r="AQ389" s="131">
        <f>VLOOKUP($E389,Invoicing!$A$1:$H$12,MATCH(TRACKER!$Q$1,Invoicing!$A$1:$H$1,0),FALSE)</f>
        <v>50</v>
      </c>
      <c r="AR389" s="131">
        <f t="shared" si="122"/>
        <v>0</v>
      </c>
      <c r="AS389" s="2">
        <f t="shared" si="138"/>
        <v>6</v>
      </c>
      <c r="AT389" s="2" t="str">
        <f t="shared" si="141"/>
        <v>SATURDAY</v>
      </c>
      <c r="AU389" s="2" t="str">
        <f t="shared" si="139"/>
        <v>OM TRANSPORTSATURDAY</v>
      </c>
      <c r="AV389" s="94">
        <f>(IF(ISNA(AP389),AO389+AR389,SUM($AO389,$AR389,IFERROR($AP389,"0"))))+Table2[[#This Row],[WAITING TIMES]]</f>
        <v>773.5</v>
      </c>
      <c r="AW389" s="94">
        <f>VLOOKUP(AN389,Invoicing!A:K,11,FALSE)</f>
        <v>20</v>
      </c>
      <c r="AX389" s="48">
        <v>90</v>
      </c>
      <c r="AY389" s="48" t="s">
        <v>748</v>
      </c>
      <c r="AZ389" s="94">
        <f t="shared" si="140"/>
        <v>793.5</v>
      </c>
      <c r="BA389" s="133">
        <f>VLOOKUP(AN389,Invoicing!A:J,10,FALSE)</f>
        <v>70</v>
      </c>
      <c r="BB389" s="133">
        <f>VLOOKUP(AN389,Invoicing!A:L,12,FALSE)</f>
        <v>1</v>
      </c>
      <c r="BC389" s="2"/>
    </row>
    <row r="390" spans="1:55">
      <c r="A390" s="38" t="s">
        <v>658</v>
      </c>
      <c r="B390" s="3" t="s">
        <v>77</v>
      </c>
      <c r="C390" s="11">
        <v>46079.576388888891</v>
      </c>
      <c r="D390" s="11">
        <v>46079.583333333336</v>
      </c>
      <c r="E390" s="11" t="s">
        <v>98</v>
      </c>
      <c r="F390" s="11" t="s">
        <v>702</v>
      </c>
      <c r="G390" s="11" t="s">
        <v>59</v>
      </c>
      <c r="H390" s="11" t="s">
        <v>91</v>
      </c>
      <c r="I390" s="3" t="s">
        <v>749</v>
      </c>
      <c r="J390" s="86" t="s">
        <v>82</v>
      </c>
      <c r="K390" s="11">
        <v>46080.291666666664</v>
      </c>
      <c r="L390" s="12">
        <v>46081.37222222222</v>
      </c>
      <c r="M390" s="12">
        <v>46081.375</v>
      </c>
      <c r="N390" s="12">
        <v>46081.384722222225</v>
      </c>
      <c r="O390" s="12" t="s">
        <v>63</v>
      </c>
      <c r="P390" s="85" t="s">
        <v>64</v>
      </c>
      <c r="Q390" s="3">
        <v>0</v>
      </c>
      <c r="R390" s="1">
        <f t="shared" si="123"/>
        <v>9</v>
      </c>
      <c r="S390" s="1">
        <f t="shared" si="124"/>
        <v>2</v>
      </c>
      <c r="T390" s="126">
        <f t="shared" si="125"/>
        <v>46081.37222222222</v>
      </c>
      <c r="U390" s="127">
        <f t="shared" si="126"/>
        <v>0.71527777777373558</v>
      </c>
      <c r="V390" s="128">
        <f>Table2[[#This Row],[ATA A OFRECIMIENTO]]*24</f>
        <v>17.166666666569654</v>
      </c>
      <c r="W390" s="1" t="str">
        <f t="shared" si="127"/>
        <v>YES</v>
      </c>
      <c r="X390" s="127">
        <f t="shared" si="128"/>
        <v>1.0833333333357587</v>
      </c>
      <c r="Y390" s="128">
        <f>Table2[[#This Row],[DEL. AVAILABLE A SLOT]]*24</f>
        <v>26.000000000058208</v>
      </c>
      <c r="Z390" s="1" t="str">
        <f t="shared" si="129"/>
        <v>NO</v>
      </c>
      <c r="AA390" s="127">
        <f t="shared" si="130"/>
        <v>1.7986111111094942</v>
      </c>
      <c r="AB390" s="128">
        <f>Table2[[#This Row],[ATA A TIMESLOT]]*24</f>
        <v>43.166666666627862</v>
      </c>
      <c r="AC390" s="127">
        <f t="shared" si="131"/>
        <v>0</v>
      </c>
      <c r="AD390" s="127" t="str">
        <f t="shared" si="132"/>
        <v>SI</v>
      </c>
      <c r="AE390" s="128">
        <f>Table2[[#This Row],[PUNTUALIDAD (H)]]*24</f>
        <v>0</v>
      </c>
      <c r="AF390" s="127">
        <f t="shared" si="133"/>
        <v>1.8083333333343035</v>
      </c>
      <c r="AG390" s="128">
        <f>Table2[[#This Row],[ATA TO UNLOADING]]*24</f>
        <v>43.400000000023283</v>
      </c>
      <c r="AH390" s="128" t="str">
        <f>IF(Table2[[#This Row],[ATA TO UNLOADING 2]]&lt;=48,"YES","NO")</f>
        <v>YES</v>
      </c>
      <c r="AJ390" s="129">
        <f t="shared" si="134"/>
        <v>0.375</v>
      </c>
      <c r="AK390" s="2" t="s">
        <v>64</v>
      </c>
      <c r="AL390" s="2" t="str">
        <f t="shared" si="135"/>
        <v>9/26</v>
      </c>
      <c r="AM390" s="2" t="str">
        <f t="shared" si="136"/>
        <v>HASU5146273</v>
      </c>
      <c r="AN390" s="130" t="str">
        <f t="shared" si="137"/>
        <v>MSI</v>
      </c>
      <c r="AO390" s="150">
        <f>IF($O390="TRUCK",
VLOOKUP($AU390,Invoicing!$A$16:$B$56,MATCH($AO$1,Invoicing!$A$16:$B$16,0),FALSE)+IF(OR($B390="DCD",$B390="HPD2"),23.5,0),
VLOOKUP($AU390,Invoicing!$N$15:$O$19,MATCH($AO$1,Invoicing!$N$15:$O$15,0),FALSE)+IF(OR($B390="DCD",$B390="HPD2"),23.5,0))</f>
        <v>523.5</v>
      </c>
      <c r="AP390" s="131" t="e">
        <f>VLOOKUP($E390,Invoicing!$A$1:$H$12,MATCH(TRACKER!$P390,Invoicing!$A$1:$H$1,0),FALSE)</f>
        <v>#N/A</v>
      </c>
      <c r="AQ390" s="131">
        <f>VLOOKUP($E390,Invoicing!$A$1:$H$12,MATCH(TRACKER!$Q$1,Invoicing!$A$1:$H$1,0),FALSE)</f>
        <v>50</v>
      </c>
      <c r="AR390" s="131">
        <f t="shared" si="122"/>
        <v>0</v>
      </c>
      <c r="AS390" s="2">
        <f t="shared" si="138"/>
        <v>6</v>
      </c>
      <c r="AT390" s="2" t="str">
        <f t="shared" si="141"/>
        <v>SATURDAY</v>
      </c>
      <c r="AU390" s="2" t="str">
        <f t="shared" si="139"/>
        <v>MSISATURDAY</v>
      </c>
      <c r="AV390" s="94">
        <f>(IF(ISNA(AP390),AO390+AR390,SUM($AO390,$AR390,IFERROR($AP390,"0"))))+Table2[[#This Row],[WAITING TIMES]]</f>
        <v>538.5</v>
      </c>
      <c r="AW390" s="94">
        <f>VLOOKUP(AN390,Invoicing!A:K,11,FALSE)</f>
        <v>20</v>
      </c>
      <c r="AX390" s="48">
        <v>15</v>
      </c>
      <c r="AY390" s="94" t="s">
        <v>750</v>
      </c>
      <c r="AZ390" s="94">
        <f t="shared" si="140"/>
        <v>558.5</v>
      </c>
      <c r="BA390" s="133">
        <f>VLOOKUP(AN390,Invoicing!A:J,10,FALSE)</f>
        <v>70</v>
      </c>
      <c r="BB390" s="133">
        <f>VLOOKUP(AN390,Invoicing!A:L,12,FALSE)</f>
        <v>1</v>
      </c>
      <c r="BC390" s="2"/>
    </row>
    <row r="391" spans="1:55">
      <c r="A391" s="38" t="s">
        <v>658</v>
      </c>
      <c r="B391" s="3" t="s">
        <v>77</v>
      </c>
      <c r="C391" s="11">
        <v>46079.576388888891</v>
      </c>
      <c r="D391" s="11">
        <v>46079.583333333336</v>
      </c>
      <c r="E391" s="11" t="s">
        <v>98</v>
      </c>
      <c r="F391" s="11" t="s">
        <v>741</v>
      </c>
      <c r="G391" s="11" t="s">
        <v>59</v>
      </c>
      <c r="H391" s="11" t="s">
        <v>91</v>
      </c>
      <c r="I391" s="3" t="s">
        <v>751</v>
      </c>
      <c r="J391" s="86" t="s">
        <v>82</v>
      </c>
      <c r="K391" s="11">
        <v>46080.291666666664</v>
      </c>
      <c r="L391" s="12">
        <v>46081.378472222219</v>
      </c>
      <c r="M391" s="12">
        <v>46081.416666666664</v>
      </c>
      <c r="N391" s="12">
        <v>46081.409722222219</v>
      </c>
      <c r="O391" s="12" t="s">
        <v>63</v>
      </c>
      <c r="P391" s="85" t="s">
        <v>15</v>
      </c>
      <c r="Q391" s="3">
        <v>0</v>
      </c>
      <c r="R391" s="1">
        <f t="shared" si="123"/>
        <v>9</v>
      </c>
      <c r="S391" s="1">
        <f t="shared" si="124"/>
        <v>2</v>
      </c>
      <c r="T391" s="126">
        <f t="shared" si="125"/>
        <v>46081.378472222219</v>
      </c>
      <c r="U391" s="127">
        <f t="shared" si="126"/>
        <v>0.71527777777373558</v>
      </c>
      <c r="V391" s="128">
        <f>Table2[[#This Row],[ATA A OFRECIMIENTO]]*24</f>
        <v>17.166666666569654</v>
      </c>
      <c r="W391" s="1" t="str">
        <f t="shared" si="127"/>
        <v>YES</v>
      </c>
      <c r="X391" s="127">
        <f t="shared" si="128"/>
        <v>1.125</v>
      </c>
      <c r="Y391" s="128">
        <f>Table2[[#This Row],[DEL. AVAILABLE A SLOT]]*24</f>
        <v>27</v>
      </c>
      <c r="Z391" s="1" t="str">
        <f t="shared" si="129"/>
        <v>NO</v>
      </c>
      <c r="AA391" s="127">
        <f t="shared" si="130"/>
        <v>1.8402777777737356</v>
      </c>
      <c r="AB391" s="128">
        <f>Table2[[#This Row],[ATA A TIMESLOT]]*24</f>
        <v>44.166666666569654</v>
      </c>
      <c r="AC391" s="127">
        <f t="shared" si="131"/>
        <v>0</v>
      </c>
      <c r="AD391" s="127" t="str">
        <f t="shared" si="132"/>
        <v>SI</v>
      </c>
      <c r="AE391" s="128">
        <f>Table2[[#This Row],[PUNTUALIDAD (H)]]*24</f>
        <v>0</v>
      </c>
      <c r="AF391" s="127">
        <f t="shared" si="133"/>
        <v>1.8333333333284827</v>
      </c>
      <c r="AG391" s="128">
        <f>Table2[[#This Row],[ATA TO UNLOADING]]*24</f>
        <v>43.999999999883585</v>
      </c>
      <c r="AH391" s="128" t="str">
        <f>IF(Table2[[#This Row],[ATA TO UNLOADING 2]]&lt;=48,"YES","NO")</f>
        <v>YES</v>
      </c>
      <c r="AJ391" s="129">
        <f t="shared" si="134"/>
        <v>0.41666666666424135</v>
      </c>
      <c r="AK391" s="2" t="s">
        <v>64</v>
      </c>
      <c r="AL391" s="2" t="str">
        <f t="shared" si="135"/>
        <v>9/26</v>
      </c>
      <c r="AM391" s="2" t="str">
        <f t="shared" si="136"/>
        <v>TRHU5018640</v>
      </c>
      <c r="AN391" s="130" t="str">
        <f t="shared" si="137"/>
        <v>MSI</v>
      </c>
      <c r="AO391" s="150">
        <f>IF($O391="TRUCK",
VLOOKUP($AU391,Invoicing!$A$16:$B$56,MATCH($AO$1,Invoicing!$A$16:$B$16,0),FALSE)+IF(OR($B391="DCD",$B391="HPD2"),23.5,0),
VLOOKUP($AU391,Invoicing!$N$15:$O$19,MATCH($AO$1,Invoicing!$N$15:$O$15,0),FALSE)+IF(OR($B391="DCD",$B391="HPD2"),23.5,0))</f>
        <v>523.5</v>
      </c>
      <c r="AP391" s="131">
        <f>VLOOKUP($E391,Invoicing!$A$1:$H$12,MATCH(TRACKER!$P391,Invoicing!$A$1:$H$1,0),FALSE)</f>
        <v>120</v>
      </c>
      <c r="AQ391" s="131">
        <f>VLOOKUP($E391,Invoicing!$A$1:$H$12,MATCH(TRACKER!$Q$1,Invoicing!$A$1:$H$1,0),FALSE)</f>
        <v>50</v>
      </c>
      <c r="AR391" s="131">
        <f t="shared" si="122"/>
        <v>0</v>
      </c>
      <c r="AS391" s="2">
        <f t="shared" si="138"/>
        <v>6</v>
      </c>
      <c r="AT391" s="2" t="str">
        <f t="shared" si="141"/>
        <v>SATURDAY</v>
      </c>
      <c r="AU391" s="2" t="str">
        <f t="shared" si="139"/>
        <v>MSISATURDAY</v>
      </c>
      <c r="AV391" s="94">
        <f>(IF(ISNA(AP391),AO391+AR391,SUM($AO391,$AR391,IFERROR($AP391,"0"))))+Table2[[#This Row],[WAITING TIMES]]</f>
        <v>823.5</v>
      </c>
      <c r="AW391" s="94">
        <f>VLOOKUP(AN391,Invoicing!A:K,11,FALSE)</f>
        <v>20</v>
      </c>
      <c r="AX391" s="48">
        <v>180</v>
      </c>
      <c r="AY391" s="94" t="s">
        <v>752</v>
      </c>
      <c r="AZ391" s="94">
        <f t="shared" si="140"/>
        <v>843.5</v>
      </c>
      <c r="BA391" s="133">
        <f>VLOOKUP(AN391,Invoicing!A:J,10,FALSE)</f>
        <v>70</v>
      </c>
      <c r="BB391" s="133">
        <f>VLOOKUP(AN391,Invoicing!A:L,12,FALSE)</f>
        <v>1</v>
      </c>
      <c r="BC391" s="2"/>
    </row>
    <row r="392" spans="1:55">
      <c r="A392" s="38" t="s">
        <v>658</v>
      </c>
      <c r="B392" s="3" t="s">
        <v>77</v>
      </c>
      <c r="C392" s="11">
        <v>46079.576388888891</v>
      </c>
      <c r="D392" s="11">
        <v>46079.583333333336</v>
      </c>
      <c r="E392" s="11" t="s">
        <v>71</v>
      </c>
      <c r="F392" s="11" t="s">
        <v>661</v>
      </c>
      <c r="G392" s="11" t="s">
        <v>59</v>
      </c>
      <c r="H392" s="11" t="s">
        <v>91</v>
      </c>
      <c r="I392" s="3" t="s">
        <v>753</v>
      </c>
      <c r="J392" s="86" t="s">
        <v>82</v>
      </c>
      <c r="K392" s="11">
        <v>46080.291666666664</v>
      </c>
      <c r="L392" s="12">
        <v>46081.461805555555</v>
      </c>
      <c r="M392" s="12">
        <v>46081.458333333336</v>
      </c>
      <c r="N392" s="12">
        <v>46081.479166666664</v>
      </c>
      <c r="O392" s="12" t="s">
        <v>63</v>
      </c>
      <c r="P392" s="85" t="s">
        <v>64</v>
      </c>
      <c r="Q392" s="3">
        <v>0</v>
      </c>
      <c r="R392" s="1">
        <f t="shared" si="123"/>
        <v>9</v>
      </c>
      <c r="S392" s="1">
        <f t="shared" si="124"/>
        <v>2</v>
      </c>
      <c r="T392" s="126">
        <f t="shared" si="125"/>
        <v>46081.461805555555</v>
      </c>
      <c r="U392" s="127">
        <f t="shared" si="126"/>
        <v>0.71527777777373558</v>
      </c>
      <c r="V392" s="128">
        <f>Table2[[#This Row],[ATA A OFRECIMIENTO]]*24</f>
        <v>17.166666666569654</v>
      </c>
      <c r="W392" s="1" t="str">
        <f t="shared" si="127"/>
        <v>YES</v>
      </c>
      <c r="X392" s="127">
        <f t="shared" si="128"/>
        <v>1.1666666666715173</v>
      </c>
      <c r="Y392" s="128">
        <f>Table2[[#This Row],[DEL. AVAILABLE A SLOT]]*24</f>
        <v>28.000000000116415</v>
      </c>
      <c r="Z392" s="1" t="str">
        <f t="shared" si="129"/>
        <v>NO</v>
      </c>
      <c r="AA392" s="127">
        <f t="shared" si="130"/>
        <v>1.8819444444452529</v>
      </c>
      <c r="AB392" s="128">
        <f>Table2[[#This Row],[ATA A TIMESLOT]]*24</f>
        <v>45.166666666686069</v>
      </c>
      <c r="AC392" s="127">
        <f t="shared" si="131"/>
        <v>3.4722222189884633E-3</v>
      </c>
      <c r="AD392" s="127" t="str">
        <f t="shared" si="132"/>
        <v>SI</v>
      </c>
      <c r="AE392" s="128">
        <f>Table2[[#This Row],[PUNTUALIDAD (H)]]*24</f>
        <v>8.3333333255723119E-2</v>
      </c>
      <c r="AF392" s="127">
        <f t="shared" si="133"/>
        <v>1.9027777777737356</v>
      </c>
      <c r="AG392" s="128">
        <f>Table2[[#This Row],[ATA TO UNLOADING]]*24</f>
        <v>45.666666666569654</v>
      </c>
      <c r="AH392" s="128" t="str">
        <f>IF(Table2[[#This Row],[ATA TO UNLOADING 2]]&lt;=48,"YES","NO")</f>
        <v>YES</v>
      </c>
      <c r="AJ392" s="129">
        <f t="shared" si="134"/>
        <v>0.45833333333575865</v>
      </c>
      <c r="AK392" s="2" t="s">
        <v>64</v>
      </c>
      <c r="AL392" s="2" t="str">
        <f t="shared" si="135"/>
        <v>9/26</v>
      </c>
      <c r="AM392" s="2" t="str">
        <f t="shared" si="136"/>
        <v>TCNU7711048</v>
      </c>
      <c r="AN392" s="130" t="str">
        <f t="shared" si="137"/>
        <v>LOGIX</v>
      </c>
      <c r="AO392" s="150">
        <f>IF($O392="TRUCK",
VLOOKUP($AU392,Invoicing!$A$16:$B$56,MATCH($AO$1,Invoicing!$A$16:$B$16,0),FALSE)+IF(OR($B392="DCD",$B392="HPD2"),23.5,0),
VLOOKUP($AU392,Invoicing!$N$15:$O$19,MATCH($AO$1,Invoicing!$N$15:$O$15,0),FALSE)+IF(OR($B392="DCD",$B392="HPD2"),23.5,0))</f>
        <v>573.5</v>
      </c>
      <c r="AP392" s="131" t="e">
        <f>VLOOKUP($E392,Invoicing!$A$1:$H$12,MATCH(TRACKER!$P392,Invoicing!$A$1:$H$1,0),FALSE)</f>
        <v>#N/A</v>
      </c>
      <c r="AQ392" s="131">
        <f>VLOOKUP($E392,Invoicing!$A$1:$H$12,MATCH(TRACKER!$Q$1,Invoicing!$A$1:$H$1,0),FALSE)</f>
        <v>50</v>
      </c>
      <c r="AR392" s="131">
        <f t="shared" si="122"/>
        <v>0</v>
      </c>
      <c r="AS392" s="2">
        <f t="shared" si="138"/>
        <v>6</v>
      </c>
      <c r="AT392" s="2" t="str">
        <f t="shared" si="141"/>
        <v>SATURDAY</v>
      </c>
      <c r="AU392" s="2" t="str">
        <f t="shared" si="139"/>
        <v>LOGIXSATURDAY</v>
      </c>
      <c r="AV392" s="94">
        <f>(IF(ISNA(AP392),AO392+AR392,SUM($AO392,$AR392,IFERROR($AP392,"0"))))+Table2[[#This Row],[WAITING TIMES]]</f>
        <v>573.5</v>
      </c>
      <c r="AW392" s="94">
        <f>VLOOKUP(AN392,Invoicing!A:K,11,FALSE)</f>
        <v>20</v>
      </c>
      <c r="AY392" s="48"/>
      <c r="AZ392" s="94">
        <f t="shared" si="140"/>
        <v>593.5</v>
      </c>
      <c r="BA392" s="133">
        <f>VLOOKUP(AN392,Invoicing!A:J,10,FALSE)</f>
        <v>70</v>
      </c>
      <c r="BB392" s="133">
        <f>VLOOKUP(AN392,Invoicing!A:L,12,FALSE)</f>
        <v>1</v>
      </c>
      <c r="BC392" s="2"/>
    </row>
    <row r="393" spans="1:55">
      <c r="A393" s="38" t="s">
        <v>658</v>
      </c>
      <c r="B393" s="3" t="s">
        <v>77</v>
      </c>
      <c r="C393" s="11">
        <v>46079.576388888891</v>
      </c>
      <c r="D393" s="11">
        <v>46079.583333333336</v>
      </c>
      <c r="E393" s="11" t="s">
        <v>83</v>
      </c>
      <c r="F393" s="11" t="s">
        <v>741</v>
      </c>
      <c r="G393" s="11" t="s">
        <v>59</v>
      </c>
      <c r="H393" s="11" t="s">
        <v>91</v>
      </c>
      <c r="I393" s="3" t="s">
        <v>754</v>
      </c>
      <c r="J393" s="86" t="s">
        <v>82</v>
      </c>
      <c r="K393" s="11">
        <v>46080.291666666664</v>
      </c>
      <c r="L393" s="12">
        <v>46081.458333333336</v>
      </c>
      <c r="M393" s="12">
        <v>46081.5</v>
      </c>
      <c r="N393" s="12">
        <v>46081.458333333336</v>
      </c>
      <c r="O393" s="12" t="s">
        <v>63</v>
      </c>
      <c r="P393" s="85" t="s">
        <v>15</v>
      </c>
      <c r="Q393" s="3">
        <v>0</v>
      </c>
      <c r="R393" s="1">
        <f t="shared" si="123"/>
        <v>9</v>
      </c>
      <c r="S393" s="1">
        <f t="shared" si="124"/>
        <v>2</v>
      </c>
      <c r="T393" s="126">
        <f t="shared" si="125"/>
        <v>46081.458333333336</v>
      </c>
      <c r="U393" s="127">
        <f t="shared" si="126"/>
        <v>0.71527777777373558</v>
      </c>
      <c r="V393" s="128">
        <f>Table2[[#This Row],[ATA A OFRECIMIENTO]]*24</f>
        <v>17.166666666569654</v>
      </c>
      <c r="W393" s="1" t="str">
        <f t="shared" si="127"/>
        <v>YES</v>
      </c>
      <c r="X393" s="127">
        <f t="shared" si="128"/>
        <v>1.2083333333357587</v>
      </c>
      <c r="Y393" s="128">
        <f>Table2[[#This Row],[DEL. AVAILABLE A SLOT]]*24</f>
        <v>29.000000000058208</v>
      </c>
      <c r="Z393" s="1" t="str">
        <f t="shared" si="129"/>
        <v>NO</v>
      </c>
      <c r="AA393" s="127">
        <f t="shared" si="130"/>
        <v>1.9236111111094942</v>
      </c>
      <c r="AB393" s="128">
        <f>Table2[[#This Row],[ATA A TIMESLOT]]*24</f>
        <v>46.166666666627862</v>
      </c>
      <c r="AC393" s="127">
        <f t="shared" si="131"/>
        <v>0</v>
      </c>
      <c r="AD393" s="127" t="str">
        <f t="shared" si="132"/>
        <v>SI</v>
      </c>
      <c r="AE393" s="128">
        <f>Table2[[#This Row],[PUNTUALIDAD (H)]]*24</f>
        <v>0</v>
      </c>
      <c r="AF393" s="127">
        <f t="shared" si="133"/>
        <v>1.8819444444452529</v>
      </c>
      <c r="AG393" s="128">
        <f>Table2[[#This Row],[ATA TO UNLOADING]]*24</f>
        <v>45.166666666686069</v>
      </c>
      <c r="AH393" s="128" t="str">
        <f>IF(Table2[[#This Row],[ATA TO UNLOADING 2]]&lt;=48,"YES","NO")</f>
        <v>YES</v>
      </c>
      <c r="AJ393" s="129">
        <f t="shared" si="134"/>
        <v>0.5</v>
      </c>
      <c r="AK393" s="2" t="s">
        <v>64</v>
      </c>
      <c r="AL393" s="2" t="str">
        <f t="shared" si="135"/>
        <v>9/26</v>
      </c>
      <c r="AM393" s="2" t="str">
        <f t="shared" si="136"/>
        <v>MRSU4443750</v>
      </c>
      <c r="AN393" s="130" t="str">
        <f t="shared" si="137"/>
        <v>OM TRANSPORT</v>
      </c>
      <c r="AO393" s="150">
        <f>IF($O393="TRUCK",
VLOOKUP($AU393,Invoicing!$A$16:$B$56,MATCH($AO$1,Invoicing!$A$16:$B$16,0),FALSE)+IF(OR($B393="DCD",$B393="HPD2"),23.5,0),
VLOOKUP($AU393,Invoicing!$N$15:$O$19,MATCH($AO$1,Invoicing!$N$15:$O$15,0),FALSE)+IF(OR($B393="DCD",$B393="HPD2"),23.5,0))</f>
        <v>573.5</v>
      </c>
      <c r="AP393" s="131">
        <f>VLOOKUP($E393,Invoicing!$A$1:$H$12,MATCH(TRACKER!$P393,Invoicing!$A$1:$H$1,0),FALSE)</f>
        <v>110</v>
      </c>
      <c r="AQ393" s="131">
        <f>VLOOKUP($E393,Invoicing!$A$1:$H$12,MATCH(TRACKER!$Q$1,Invoicing!$A$1:$H$1,0),FALSE)</f>
        <v>50</v>
      </c>
      <c r="AR393" s="131">
        <f t="shared" si="122"/>
        <v>0</v>
      </c>
      <c r="AS393" s="2">
        <f t="shared" si="138"/>
        <v>6</v>
      </c>
      <c r="AT393" s="2" t="str">
        <f t="shared" si="141"/>
        <v>SATURDAY</v>
      </c>
      <c r="AU393" s="2" t="str">
        <f t="shared" si="139"/>
        <v>OM TRANSPORTSATURDAY</v>
      </c>
      <c r="AV393" s="94">
        <f>(IF(ISNA(AP393),AO393+AR393,SUM($AO393,$AR393,IFERROR($AP393,"0"))))+Table2[[#This Row],[WAITING TIMES]]</f>
        <v>818.5</v>
      </c>
      <c r="AW393" s="94">
        <f>VLOOKUP(AN393,Invoicing!A:K,11,FALSE)</f>
        <v>20</v>
      </c>
      <c r="AX393" s="48">
        <v>135</v>
      </c>
      <c r="AY393" s="48" t="s">
        <v>755</v>
      </c>
      <c r="AZ393" s="94">
        <f t="shared" si="140"/>
        <v>838.5</v>
      </c>
      <c r="BA393" s="133">
        <f>VLOOKUP(AN393,Invoicing!A:J,10,FALSE)</f>
        <v>70</v>
      </c>
      <c r="BB393" s="133">
        <f>VLOOKUP(AN393,Invoicing!A:L,12,FALSE)</f>
        <v>1</v>
      </c>
      <c r="BC393" s="2"/>
    </row>
    <row r="394" spans="1:55">
      <c r="A394" s="38" t="s">
        <v>658</v>
      </c>
      <c r="B394" s="3" t="s">
        <v>77</v>
      </c>
      <c r="C394" s="11">
        <v>46079.576388888891</v>
      </c>
      <c r="D394" s="11">
        <v>46079.583333333336</v>
      </c>
      <c r="E394" s="11" t="s">
        <v>71</v>
      </c>
      <c r="F394" s="11" t="s">
        <v>739</v>
      </c>
      <c r="G394" s="11" t="s">
        <v>59</v>
      </c>
      <c r="H394" s="11" t="s">
        <v>91</v>
      </c>
      <c r="I394" s="3" t="s">
        <v>756</v>
      </c>
      <c r="J394" s="86" t="s">
        <v>82</v>
      </c>
      <c r="K394" s="11">
        <v>46080.291666666664</v>
      </c>
      <c r="L394" s="12">
        <v>46081.636805555558</v>
      </c>
      <c r="M394" s="12">
        <v>46081.541666666664</v>
      </c>
      <c r="N394" s="12">
        <v>46081.667361111111</v>
      </c>
      <c r="O394" s="12" t="s">
        <v>63</v>
      </c>
      <c r="P394" s="85" t="s">
        <v>64</v>
      </c>
      <c r="Q394" s="3">
        <v>0</v>
      </c>
      <c r="R394" s="1">
        <f t="shared" si="123"/>
        <v>9</v>
      </c>
      <c r="S394" s="1">
        <f t="shared" si="124"/>
        <v>2</v>
      </c>
      <c r="T394" s="126">
        <f t="shared" si="125"/>
        <v>46081.636805555558</v>
      </c>
      <c r="U394" s="127">
        <f t="shared" si="126"/>
        <v>0.71527777777373558</v>
      </c>
      <c r="V394" s="128">
        <f>Table2[[#This Row],[ATA A OFRECIMIENTO]]*24</f>
        <v>17.166666666569654</v>
      </c>
      <c r="W394" s="1" t="str">
        <f t="shared" si="127"/>
        <v>YES</v>
      </c>
      <c r="X394" s="127">
        <f t="shared" si="128"/>
        <v>1.25</v>
      </c>
      <c r="Y394" s="128">
        <f>Table2[[#This Row],[DEL. AVAILABLE A SLOT]]*24</f>
        <v>30</v>
      </c>
      <c r="Z394" s="1" t="str">
        <f t="shared" si="129"/>
        <v>NO</v>
      </c>
      <c r="AA394" s="127">
        <f t="shared" si="130"/>
        <v>1.9652777777737356</v>
      </c>
      <c r="AB394" s="128">
        <f>Table2[[#This Row],[ATA A TIMESLOT]]*24</f>
        <v>47.166666666569654</v>
      </c>
      <c r="AC394" s="127">
        <f t="shared" si="131"/>
        <v>9.5138888893416151E-2</v>
      </c>
      <c r="AD394" s="127" t="str">
        <f t="shared" si="132"/>
        <v>NO</v>
      </c>
      <c r="AE394" s="128">
        <f>Table2[[#This Row],[PUNTUALIDAD (H)]]*24</f>
        <v>2.2833333334419876</v>
      </c>
      <c r="AF394" s="127">
        <f t="shared" si="133"/>
        <v>2.0909722222204437</v>
      </c>
      <c r="AG394" s="128">
        <f>Table2[[#This Row],[ATA TO UNLOADING]]*24</f>
        <v>50.183333333290648</v>
      </c>
      <c r="AH394" s="128" t="str">
        <f>IF(Table2[[#This Row],[ATA TO UNLOADING 2]]&lt;=48,"YES","NO")</f>
        <v>NO</v>
      </c>
      <c r="AJ394" s="129">
        <f t="shared" si="134"/>
        <v>0.54166666666424135</v>
      </c>
      <c r="AK394" s="2" t="s">
        <v>64</v>
      </c>
      <c r="AL394" s="2" t="str">
        <f t="shared" si="135"/>
        <v>9/26</v>
      </c>
      <c r="AM394" s="2" t="str">
        <f t="shared" si="136"/>
        <v>CAAU8413993</v>
      </c>
      <c r="AN394" s="130" t="str">
        <f t="shared" si="137"/>
        <v>LOGIX</v>
      </c>
      <c r="AO394" s="150">
        <f>IF($O394="TRUCK",
VLOOKUP($AU394,Invoicing!$A$16:$B$56,MATCH($AO$1,Invoicing!$A$16:$B$16,0),FALSE)+IF(OR($B394="DCD",$B394="HPD2"),23.5,0),
VLOOKUP($AU394,Invoicing!$N$15:$O$19,MATCH($AO$1,Invoicing!$N$15:$O$15,0),FALSE)+IF(OR($B394="DCD",$B394="HPD2"),23.5,0))</f>
        <v>573.5</v>
      </c>
      <c r="AP394" s="131" t="e">
        <f>VLOOKUP($E394,Invoicing!$A$1:$H$12,MATCH(TRACKER!$P394,Invoicing!$A$1:$H$1,0),FALSE)</f>
        <v>#N/A</v>
      </c>
      <c r="AQ394" s="131">
        <f>VLOOKUP($E394,Invoicing!$A$1:$H$12,MATCH(TRACKER!$Q$1,Invoicing!$A$1:$H$1,0),FALSE)</f>
        <v>50</v>
      </c>
      <c r="AR394" s="131">
        <f t="shared" si="122"/>
        <v>0</v>
      </c>
      <c r="AS394" s="2">
        <f t="shared" si="138"/>
        <v>6</v>
      </c>
      <c r="AT394" s="2" t="str">
        <f t="shared" si="141"/>
        <v>SATURDAY</v>
      </c>
      <c r="AU394" s="2" t="str">
        <f t="shared" si="139"/>
        <v>LOGIXSATURDAY</v>
      </c>
      <c r="AV394" s="94">
        <f>(IF(ISNA(AP394),AO394+AR394,SUM($AO394,$AR394,IFERROR($AP394,"0"))))+Table2[[#This Row],[WAITING TIMES]]</f>
        <v>573.5</v>
      </c>
      <c r="AW394" s="94">
        <f>VLOOKUP(AN394,Invoicing!A:K,11,FALSE)</f>
        <v>20</v>
      </c>
      <c r="AY394" s="48"/>
      <c r="AZ394" s="94">
        <f t="shared" si="140"/>
        <v>593.5</v>
      </c>
      <c r="BA394" s="133">
        <f>VLOOKUP(AN394,Invoicing!A:J,10,FALSE)</f>
        <v>70</v>
      </c>
      <c r="BB394" s="133">
        <f>VLOOKUP(AN394,Invoicing!A:L,12,FALSE)</f>
        <v>1</v>
      </c>
      <c r="BC394" s="2"/>
    </row>
    <row r="395" spans="1:55">
      <c r="A395" s="38" t="s">
        <v>658</v>
      </c>
      <c r="B395" s="3" t="s">
        <v>77</v>
      </c>
      <c r="C395" s="11">
        <v>46079.576388888891</v>
      </c>
      <c r="D395" s="11">
        <v>46079.583333333336</v>
      </c>
      <c r="E395" s="11" t="s">
        <v>98</v>
      </c>
      <c r="F395" s="11" t="s">
        <v>663</v>
      </c>
      <c r="G395" s="11" t="s">
        <v>59</v>
      </c>
      <c r="H395" s="11" t="s">
        <v>91</v>
      </c>
      <c r="I395" s="3" t="s">
        <v>757</v>
      </c>
      <c r="J395" s="86" t="s">
        <v>82</v>
      </c>
      <c r="K395" s="11">
        <v>46080.291666666664</v>
      </c>
      <c r="L395" s="12">
        <v>46081.597222222219</v>
      </c>
      <c r="M395" s="12">
        <v>46081.583333333336</v>
      </c>
      <c r="N395" s="12">
        <v>46081.611111111109</v>
      </c>
      <c r="O395" s="12" t="s">
        <v>63</v>
      </c>
      <c r="P395" s="85" t="s">
        <v>15</v>
      </c>
      <c r="Q395" s="3">
        <v>0</v>
      </c>
      <c r="R395" s="1">
        <f t="shared" si="123"/>
        <v>9</v>
      </c>
      <c r="S395" s="1">
        <f t="shared" si="124"/>
        <v>2</v>
      </c>
      <c r="T395" s="126">
        <f t="shared" si="125"/>
        <v>46081.597222222219</v>
      </c>
      <c r="U395" s="127">
        <f t="shared" si="126"/>
        <v>0.71527777777373558</v>
      </c>
      <c r="V395" s="128">
        <f>Table2[[#This Row],[ATA A OFRECIMIENTO]]*24</f>
        <v>17.166666666569654</v>
      </c>
      <c r="W395" s="1" t="str">
        <f t="shared" si="127"/>
        <v>YES</v>
      </c>
      <c r="X395" s="127">
        <f t="shared" si="128"/>
        <v>1.2916666666715173</v>
      </c>
      <c r="Y395" s="128">
        <f>Table2[[#This Row],[DEL. AVAILABLE A SLOT]]*24</f>
        <v>31.000000000116415</v>
      </c>
      <c r="Z395" s="1" t="str">
        <f t="shared" si="129"/>
        <v>NO</v>
      </c>
      <c r="AA395" s="127">
        <f t="shared" si="130"/>
        <v>2.0069444444452529</v>
      </c>
      <c r="AB395" s="128">
        <f>Table2[[#This Row],[ATA A TIMESLOT]]*24</f>
        <v>48.166666666686069</v>
      </c>
      <c r="AC395" s="127">
        <f t="shared" si="131"/>
        <v>1.3888888883229811E-2</v>
      </c>
      <c r="AD395" s="127" t="str">
        <f t="shared" si="132"/>
        <v>SI</v>
      </c>
      <c r="AE395" s="128">
        <f>Table2[[#This Row],[PUNTUALIDAD (H)]]*24</f>
        <v>0.33333333319751546</v>
      </c>
      <c r="AF395" s="127">
        <f t="shared" si="133"/>
        <v>2.0347222222189885</v>
      </c>
      <c r="AG395" s="128">
        <f>Table2[[#This Row],[ATA TO UNLOADING]]*24</f>
        <v>48.833333333255723</v>
      </c>
      <c r="AH395" s="128" t="str">
        <f>IF(Table2[[#This Row],[ATA TO UNLOADING 2]]&lt;=48,"YES","NO")</f>
        <v>NO</v>
      </c>
      <c r="AJ395" s="129">
        <f t="shared" si="134"/>
        <v>0.58333333333575865</v>
      </c>
      <c r="AK395" s="2" t="s">
        <v>64</v>
      </c>
      <c r="AL395" s="2" t="str">
        <f t="shared" si="135"/>
        <v>9/26</v>
      </c>
      <c r="AM395" s="2" t="str">
        <f t="shared" si="136"/>
        <v>MRSU6411920</v>
      </c>
      <c r="AN395" s="130" t="str">
        <f t="shared" si="137"/>
        <v>MSI</v>
      </c>
      <c r="AO395" s="150">
        <f>IF($O395="TRUCK",
VLOOKUP($AU395,Invoicing!$A$16:$B$56,MATCH($AO$1,Invoicing!$A$16:$B$16,0),FALSE)+IF(OR($B395="DCD",$B395="HPD2"),23.5,0),
VLOOKUP($AU395,Invoicing!$N$15:$O$19,MATCH($AO$1,Invoicing!$N$15:$O$15,0),FALSE)+IF(OR($B395="DCD",$B395="HPD2"),23.5,0))</f>
        <v>523.5</v>
      </c>
      <c r="AP395" s="131">
        <f>VLOOKUP($E395,Invoicing!$A$1:$H$12,MATCH(TRACKER!$P395,Invoicing!$A$1:$H$1,0),FALSE)</f>
        <v>120</v>
      </c>
      <c r="AQ395" s="131">
        <f>VLOOKUP($E395,Invoicing!$A$1:$H$12,MATCH(TRACKER!$Q$1,Invoicing!$A$1:$H$1,0),FALSE)</f>
        <v>50</v>
      </c>
      <c r="AR395" s="131">
        <f t="shared" si="122"/>
        <v>0</v>
      </c>
      <c r="AS395" s="2">
        <f t="shared" si="138"/>
        <v>6</v>
      </c>
      <c r="AT395" s="2" t="str">
        <f t="shared" si="141"/>
        <v>SATURDAY</v>
      </c>
      <c r="AU395" s="2" t="str">
        <f t="shared" si="139"/>
        <v>MSISATURDAY</v>
      </c>
      <c r="AV395" s="94">
        <f>(IF(ISNA(AP395),AO395+AR395,SUM($AO395,$AR395,IFERROR($AP395,"0"))))+Table2[[#This Row],[WAITING TIMES]]</f>
        <v>853.5</v>
      </c>
      <c r="AW395" s="94">
        <f>VLOOKUP(AN395,Invoicing!A:K,11,FALSE)</f>
        <v>20</v>
      </c>
      <c r="AX395" s="48">
        <v>210</v>
      </c>
      <c r="AY395" s="94" t="s">
        <v>758</v>
      </c>
      <c r="AZ395" s="94">
        <f t="shared" si="140"/>
        <v>873.5</v>
      </c>
      <c r="BA395" s="133">
        <f>VLOOKUP(AN395,Invoicing!A:J,10,FALSE)</f>
        <v>70</v>
      </c>
      <c r="BB395" s="133">
        <f>VLOOKUP(AN395,Invoicing!A:L,12,FALSE)</f>
        <v>1</v>
      </c>
      <c r="BC395" s="2"/>
    </row>
    <row r="396" spans="1:55">
      <c r="A396" s="87" t="s">
        <v>658</v>
      </c>
      <c r="B396" s="91" t="s">
        <v>77</v>
      </c>
      <c r="C396" s="89">
        <v>46079.576388888891</v>
      </c>
      <c r="D396" s="89">
        <v>46079.583333333336</v>
      </c>
      <c r="E396" s="11" t="s">
        <v>83</v>
      </c>
      <c r="F396" s="89" t="s">
        <v>741</v>
      </c>
      <c r="G396" s="89" t="s">
        <v>59</v>
      </c>
      <c r="H396" s="89" t="s">
        <v>91</v>
      </c>
      <c r="I396" s="91" t="s">
        <v>759</v>
      </c>
      <c r="J396" s="88" t="s">
        <v>82</v>
      </c>
      <c r="K396" s="89">
        <v>46080.291666666664</v>
      </c>
      <c r="L396" s="90">
        <v>46081.658333333333</v>
      </c>
      <c r="M396" s="90">
        <v>46081.666666666664</v>
      </c>
      <c r="N396" s="90">
        <v>46081.75</v>
      </c>
      <c r="O396" s="90" t="s">
        <v>63</v>
      </c>
      <c r="P396" s="93" t="s">
        <v>15</v>
      </c>
      <c r="Q396" s="91">
        <v>0</v>
      </c>
      <c r="R396" s="1">
        <f t="shared" si="123"/>
        <v>9</v>
      </c>
      <c r="S396" s="1">
        <f t="shared" si="124"/>
        <v>2</v>
      </c>
      <c r="T396" s="126">
        <f t="shared" si="125"/>
        <v>46081.658333333333</v>
      </c>
      <c r="U396" s="127">
        <f t="shared" si="126"/>
        <v>0.71527777777373558</v>
      </c>
      <c r="V396" s="128">
        <f>Table2[[#This Row],[ATA A OFRECIMIENTO]]*24</f>
        <v>17.166666666569654</v>
      </c>
      <c r="W396" s="1" t="str">
        <f t="shared" si="127"/>
        <v>YES</v>
      </c>
      <c r="X396" s="127">
        <f t="shared" si="128"/>
        <v>1.375</v>
      </c>
      <c r="Y396" s="128">
        <f>Table2[[#This Row],[DEL. AVAILABLE A SLOT]]*24</f>
        <v>33</v>
      </c>
      <c r="Z396" s="1" t="str">
        <f t="shared" si="129"/>
        <v>NO</v>
      </c>
      <c r="AA396" s="127">
        <f t="shared" si="130"/>
        <v>2.0902777777737356</v>
      </c>
      <c r="AB396" s="128">
        <f>Table2[[#This Row],[ATA A TIMESLOT]]*24</f>
        <v>50.166666666569654</v>
      </c>
      <c r="AC396" s="127">
        <f t="shared" si="131"/>
        <v>0</v>
      </c>
      <c r="AD396" s="127" t="str">
        <f t="shared" si="132"/>
        <v>SI</v>
      </c>
      <c r="AE396" s="128">
        <f>Table2[[#This Row],[PUNTUALIDAD (H)]]*24</f>
        <v>0</v>
      </c>
      <c r="AF396" s="127">
        <f t="shared" si="133"/>
        <v>2.1736111111094942</v>
      </c>
      <c r="AG396" s="128">
        <f>Table2[[#This Row],[ATA TO UNLOADING]]*24</f>
        <v>52.166666666627862</v>
      </c>
      <c r="AH396" s="128" t="str">
        <f>IF(Table2[[#This Row],[ATA TO UNLOADING 2]]&lt;=48,"YES","NO")</f>
        <v>NO</v>
      </c>
      <c r="AJ396" s="129">
        <f t="shared" si="134"/>
        <v>0.66666666666424135</v>
      </c>
      <c r="AK396" s="2" t="s">
        <v>64</v>
      </c>
      <c r="AL396" s="2" t="str">
        <f t="shared" si="135"/>
        <v>9/26</v>
      </c>
      <c r="AM396" s="2" t="str">
        <f t="shared" si="136"/>
        <v>TCKU7076673</v>
      </c>
      <c r="AN396" s="130" t="str">
        <f t="shared" si="137"/>
        <v>OM TRANSPORT</v>
      </c>
      <c r="AO396" s="150">
        <f>IF($O396="TRUCK",
VLOOKUP($AU396,Invoicing!$A$16:$B$56,MATCH($AO$1,Invoicing!$A$16:$B$16,0),FALSE)+IF(OR($B396="DCD",$B396="HPD2"),23.5,0),
VLOOKUP($AU396,Invoicing!$N$15:$O$19,MATCH($AO$1,Invoicing!$N$15:$O$15,0),FALSE)+IF(OR($B396="DCD",$B396="HPD2"),23.5,0))</f>
        <v>573.5</v>
      </c>
      <c r="AP396" s="131">
        <f>VLOOKUP($E396,Invoicing!$A$1:$H$12,MATCH(TRACKER!$P396,Invoicing!$A$1:$H$1,0),FALSE)</f>
        <v>110</v>
      </c>
      <c r="AQ396" s="131">
        <f>VLOOKUP($E396,Invoicing!$A$1:$H$12,MATCH(TRACKER!$Q$1,Invoicing!$A$1:$H$1,0),FALSE)</f>
        <v>50</v>
      </c>
      <c r="AR396" s="131">
        <f t="shared" si="122"/>
        <v>0</v>
      </c>
      <c r="AS396" s="2">
        <f t="shared" si="138"/>
        <v>6</v>
      </c>
      <c r="AT396" s="2" t="str">
        <f t="shared" si="141"/>
        <v>SATURDAY</v>
      </c>
      <c r="AU396" s="2" t="str">
        <f t="shared" si="139"/>
        <v>OM TRANSPORTSATURDAY</v>
      </c>
      <c r="AV396" s="94">
        <f>(IF(ISNA(AP396),AO396+AR396,SUM($AO396,$AR396,IFERROR($AP396,"0"))))+Table2[[#This Row],[WAITING TIMES]]</f>
        <v>863.5</v>
      </c>
      <c r="AW396" s="94">
        <f>VLOOKUP(AN396,Invoicing!A:K,11,FALSE)</f>
        <v>20</v>
      </c>
      <c r="AX396" s="48">
        <v>180</v>
      </c>
      <c r="AY396" s="48" t="s">
        <v>760</v>
      </c>
      <c r="AZ396" s="94">
        <f t="shared" si="140"/>
        <v>883.5</v>
      </c>
      <c r="BA396" s="133">
        <f>VLOOKUP(AN396,Invoicing!A:J,10,FALSE)</f>
        <v>70</v>
      </c>
      <c r="BB396" s="133">
        <f>VLOOKUP(AN396,Invoicing!A:L,12,FALSE)</f>
        <v>1</v>
      </c>
      <c r="BC396" s="2"/>
    </row>
    <row r="397" spans="1:55">
      <c r="A397" s="38" t="s">
        <v>761</v>
      </c>
      <c r="B397" s="3" t="s">
        <v>77</v>
      </c>
      <c r="C397" s="11">
        <v>46080.71597222222</v>
      </c>
      <c r="D397" s="11">
        <v>46080.708333333336</v>
      </c>
      <c r="E397" s="11" t="s">
        <v>83</v>
      </c>
      <c r="F397" s="11" t="s">
        <v>762</v>
      </c>
      <c r="G397" s="11" t="s">
        <v>59</v>
      </c>
      <c r="H397" s="11" t="s">
        <v>80</v>
      </c>
      <c r="I397" s="3" t="s">
        <v>763</v>
      </c>
      <c r="J397" s="3" t="s">
        <v>82</v>
      </c>
      <c r="K397" s="11">
        <v>46082.333333333336</v>
      </c>
      <c r="L397" s="12">
        <v>46082.313888888886</v>
      </c>
      <c r="M397" s="12">
        <v>46082.333333333336</v>
      </c>
      <c r="N397" s="12">
        <v>46082.333333333336</v>
      </c>
      <c r="O397" s="12" t="s">
        <v>63</v>
      </c>
      <c r="P397" s="85" t="s">
        <v>64</v>
      </c>
      <c r="Q397" s="3">
        <v>0</v>
      </c>
      <c r="R397" s="1">
        <f t="shared" si="123"/>
        <v>9</v>
      </c>
      <c r="S397" s="1">
        <f t="shared" si="124"/>
        <v>3</v>
      </c>
      <c r="T397" s="126">
        <f t="shared" si="125"/>
        <v>46082.313888888886</v>
      </c>
      <c r="U397" s="127">
        <f t="shared" si="126"/>
        <v>1.617361111115315</v>
      </c>
      <c r="V397" s="128">
        <f>Table2[[#This Row],[ATA A OFRECIMIENTO]]*24</f>
        <v>38.81666666676756</v>
      </c>
      <c r="W397" s="1" t="str">
        <f t="shared" si="127"/>
        <v>YES</v>
      </c>
      <c r="X397" s="127">
        <f t="shared" si="128"/>
        <v>0</v>
      </c>
      <c r="Y397" s="128">
        <f>Table2[[#This Row],[DEL. AVAILABLE A SLOT]]*24</f>
        <v>0</v>
      </c>
      <c r="Z397" s="1" t="str">
        <f t="shared" si="129"/>
        <v>SI</v>
      </c>
      <c r="AA397" s="127">
        <f t="shared" si="130"/>
        <v>1.617361111115315</v>
      </c>
      <c r="AB397" s="128">
        <f>Table2[[#This Row],[ATA A TIMESLOT]]*24</f>
        <v>38.81666666676756</v>
      </c>
      <c r="AC397" s="127">
        <f t="shared" si="131"/>
        <v>0</v>
      </c>
      <c r="AD397" s="127" t="str">
        <f t="shared" si="132"/>
        <v>SI</v>
      </c>
      <c r="AE397" s="128">
        <f>Table2[[#This Row],[PUNTUALIDAD (H)]]*24</f>
        <v>0</v>
      </c>
      <c r="AF397" s="127">
        <f t="shared" si="133"/>
        <v>1.617361111115315</v>
      </c>
      <c r="AG397" s="128">
        <f>Table2[[#This Row],[ATA TO UNLOADING]]*24</f>
        <v>38.81666666676756</v>
      </c>
      <c r="AH397" s="128" t="str">
        <f>IF(Table2[[#This Row],[ATA TO UNLOADING 2]]&lt;=48,"YES","NO")</f>
        <v>YES</v>
      </c>
      <c r="AJ397" s="129">
        <f t="shared" si="134"/>
        <v>0.33333333333575865</v>
      </c>
      <c r="AK397" s="2" t="s">
        <v>64</v>
      </c>
      <c r="AL397" s="2" t="str">
        <f t="shared" si="135"/>
        <v>9/26</v>
      </c>
      <c r="AM397" s="2" t="str">
        <f t="shared" si="136"/>
        <v>UETU7571955</v>
      </c>
      <c r="AN397" s="130" t="str">
        <f t="shared" si="137"/>
        <v>OM TRANSPORT</v>
      </c>
      <c r="AO397" s="150">
        <f>IF($O397="TRUCK",
VLOOKUP($AU397,Invoicing!$A$16:$B$56,MATCH($AO$1,Invoicing!$A$16:$B$16,0),FALSE)+IF(OR($B397="DCD",$B397="HPD2"),23.5,0),
VLOOKUP($AU397,Invoicing!$N$15:$O$19,MATCH($AO$1,Invoicing!$N$15:$O$15,0),FALSE)+IF(OR($B397="DCD",$B397="HPD2"),23.5,0))</f>
        <v>573.5</v>
      </c>
      <c r="AP397" s="131" t="e">
        <f>VLOOKUP($E397,Invoicing!$A$1:$H$12,MATCH(TRACKER!$P397,Invoicing!$A$1:$H$1,0),FALSE)</f>
        <v>#N/A</v>
      </c>
      <c r="AQ397" s="131">
        <f>VLOOKUP($E397,Invoicing!$A$1:$H$12,MATCH(TRACKER!$Q$1,Invoicing!$A$1:$H$1,0),FALSE)</f>
        <v>50</v>
      </c>
      <c r="AR397" s="131">
        <f t="shared" si="122"/>
        <v>0</v>
      </c>
      <c r="AS397" s="2">
        <f t="shared" si="138"/>
        <v>7</v>
      </c>
      <c r="AT397" s="2" t="str">
        <f t="shared" si="141"/>
        <v>SUNDAY</v>
      </c>
      <c r="AU397" s="2" t="str">
        <f t="shared" si="139"/>
        <v>OM TRANSPORTSUNDAY</v>
      </c>
      <c r="AV397" s="94">
        <f>(IF(ISNA(AP397),AO397+AR397,SUM($AO397,$AR397,IFERROR($AP397,"0"))))+Table2[[#This Row],[WAITING TIMES]]</f>
        <v>573.5</v>
      </c>
      <c r="AW397" s="94">
        <f>VLOOKUP(AN397,Invoicing!A:K,11,FALSE)</f>
        <v>20</v>
      </c>
      <c r="AY397" s="48"/>
      <c r="AZ397" s="94">
        <f t="shared" si="140"/>
        <v>593.5</v>
      </c>
      <c r="BA397" s="133">
        <f>VLOOKUP(AN397,Invoicing!A:J,10,FALSE)</f>
        <v>70</v>
      </c>
      <c r="BB397" s="133">
        <f>VLOOKUP(AN397,Invoicing!A:L,12,FALSE)</f>
        <v>1</v>
      </c>
      <c r="BC397" s="2"/>
    </row>
    <row r="398" spans="1:55">
      <c r="A398" s="38" t="s">
        <v>761</v>
      </c>
      <c r="B398" s="3" t="s">
        <v>77</v>
      </c>
      <c r="C398" s="11">
        <v>46080.71597222222</v>
      </c>
      <c r="D398" s="11">
        <v>46080.708333333336</v>
      </c>
      <c r="E398" s="11" t="s">
        <v>98</v>
      </c>
      <c r="F398" s="11" t="s">
        <v>762</v>
      </c>
      <c r="G398" s="11" t="s">
        <v>59</v>
      </c>
      <c r="H398" s="11" t="s">
        <v>80</v>
      </c>
      <c r="I398" s="3" t="s">
        <v>764</v>
      </c>
      <c r="J398" s="3" t="s">
        <v>100</v>
      </c>
      <c r="K398" s="11">
        <v>46082.333333333336</v>
      </c>
      <c r="L398" s="12">
        <v>46082.305555555555</v>
      </c>
      <c r="M398" s="12">
        <v>46082.375</v>
      </c>
      <c r="N398" s="12">
        <v>46082.381944444445</v>
      </c>
      <c r="O398" s="12" t="s">
        <v>63</v>
      </c>
      <c r="P398" s="85" t="s">
        <v>64</v>
      </c>
      <c r="Q398" s="3">
        <v>1</v>
      </c>
      <c r="R398" s="1">
        <f t="shared" si="123"/>
        <v>9</v>
      </c>
      <c r="S398" s="1">
        <f t="shared" si="124"/>
        <v>3</v>
      </c>
      <c r="T398" s="126">
        <f t="shared" si="125"/>
        <v>46082.305555555555</v>
      </c>
      <c r="U398" s="127">
        <f t="shared" si="126"/>
        <v>1.617361111115315</v>
      </c>
      <c r="V398" s="128">
        <f>Table2[[#This Row],[ATA A OFRECIMIENTO]]*24</f>
        <v>38.81666666676756</v>
      </c>
      <c r="W398" s="1" t="str">
        <f t="shared" si="127"/>
        <v>YES</v>
      </c>
      <c r="X398" s="127">
        <f t="shared" si="128"/>
        <v>4.1666666664241347E-2</v>
      </c>
      <c r="Y398" s="128">
        <f>Table2[[#This Row],[DEL. AVAILABLE A SLOT]]*24</f>
        <v>0.99999999994179234</v>
      </c>
      <c r="Z398" s="1" t="str">
        <f t="shared" si="129"/>
        <v>SI</v>
      </c>
      <c r="AA398" s="127">
        <f t="shared" si="130"/>
        <v>1.6590277777795563</v>
      </c>
      <c r="AB398" s="128">
        <f>Table2[[#This Row],[ATA A TIMESLOT]]*24</f>
        <v>39.816666666709352</v>
      </c>
      <c r="AC398" s="127">
        <f t="shared" si="131"/>
        <v>0</v>
      </c>
      <c r="AD398" s="127" t="str">
        <f t="shared" si="132"/>
        <v>SI</v>
      </c>
      <c r="AE398" s="128">
        <f>Table2[[#This Row],[PUNTUALIDAD (H)]]*24</f>
        <v>0</v>
      </c>
      <c r="AF398" s="127">
        <f t="shared" si="133"/>
        <v>1.6659722222248092</v>
      </c>
      <c r="AG398" s="128">
        <f>Table2[[#This Row],[ATA TO UNLOADING]]*24</f>
        <v>39.983333333395422</v>
      </c>
      <c r="AH398" s="128" t="str">
        <f>IF(Table2[[#This Row],[ATA TO UNLOADING 2]]&lt;=48,"YES","NO")</f>
        <v>YES</v>
      </c>
      <c r="AJ398" s="129">
        <f t="shared" si="134"/>
        <v>0.375</v>
      </c>
      <c r="AK398" s="2" t="s">
        <v>64</v>
      </c>
      <c r="AL398" s="2" t="str">
        <f t="shared" si="135"/>
        <v>9/26</v>
      </c>
      <c r="AM398" s="2" t="str">
        <f t="shared" si="136"/>
        <v>MSKU0913828</v>
      </c>
      <c r="AN398" s="130" t="str">
        <f t="shared" si="137"/>
        <v>MSI</v>
      </c>
      <c r="AO398" s="150">
        <f>IF($O398="TRUCK",
VLOOKUP($AU398,Invoicing!$A$16:$B$56,MATCH($AO$1,Invoicing!$A$16:$B$16,0),FALSE)+IF(OR($B398="DCD",$B398="HPD2"),23.5,0),
VLOOKUP($AU398,Invoicing!$N$15:$O$19,MATCH($AO$1,Invoicing!$N$15:$O$15,0),FALSE)+IF(OR($B398="DCD",$B398="HPD2"),23.5,0))</f>
        <v>523.5</v>
      </c>
      <c r="AP398" s="131" t="e">
        <f>VLOOKUP($E398,Invoicing!$A$1:$H$12,MATCH(TRACKER!$P398,Invoicing!$A$1:$H$1,0),FALSE)</f>
        <v>#N/A</v>
      </c>
      <c r="AQ398" s="131">
        <f>VLOOKUP($E398,Invoicing!$A$1:$H$12,MATCH(TRACKER!$Q$1,Invoicing!$A$1:$H$1,0),FALSE)</f>
        <v>50</v>
      </c>
      <c r="AR398" s="131">
        <f t="shared" si="122"/>
        <v>50</v>
      </c>
      <c r="AS398" s="2">
        <f t="shared" si="138"/>
        <v>7</v>
      </c>
      <c r="AT398" s="2" t="str">
        <f t="shared" si="141"/>
        <v>SUNDAY</v>
      </c>
      <c r="AU398" s="2" t="str">
        <f t="shared" si="139"/>
        <v>MSISUNDAY</v>
      </c>
      <c r="AV398" s="94">
        <f>(IF(ISNA(AP398),AO398+AR398,SUM($AO398,$AR398,IFERROR($AP398,"0"))))+Table2[[#This Row],[WAITING TIMES]]</f>
        <v>573.5</v>
      </c>
      <c r="AW398" s="94">
        <f>VLOOKUP(AN398,Invoicing!A:K,11,FALSE)</f>
        <v>20</v>
      </c>
      <c r="AY398" s="48"/>
      <c r="AZ398" s="94">
        <f t="shared" si="140"/>
        <v>593.5</v>
      </c>
      <c r="BA398" s="133">
        <f>VLOOKUP(AN398,Invoicing!A:J,10,FALSE)</f>
        <v>70</v>
      </c>
      <c r="BB398" s="133">
        <f>VLOOKUP(AN398,Invoicing!A:L,12,FALSE)</f>
        <v>1</v>
      </c>
      <c r="BC398" s="2"/>
    </row>
    <row r="399" spans="1:55">
      <c r="A399" s="38" t="s">
        <v>761</v>
      </c>
      <c r="B399" s="3" t="s">
        <v>77</v>
      </c>
      <c r="C399" s="11">
        <v>46080.71597222222</v>
      </c>
      <c r="D399" s="11">
        <v>46080.708333333336</v>
      </c>
      <c r="E399" s="11" t="s">
        <v>71</v>
      </c>
      <c r="F399" s="11" t="s">
        <v>762</v>
      </c>
      <c r="G399" s="11" t="s">
        <v>59</v>
      </c>
      <c r="H399" s="11" t="s">
        <v>80</v>
      </c>
      <c r="I399" s="3" t="s">
        <v>765</v>
      </c>
      <c r="J399" s="3" t="s">
        <v>100</v>
      </c>
      <c r="K399" s="11">
        <v>46082.333333333336</v>
      </c>
      <c r="L399" s="12">
        <v>46082.443749999999</v>
      </c>
      <c r="M399" s="12">
        <v>46082.416666666664</v>
      </c>
      <c r="N399" s="12">
        <v>46082.458333333336</v>
      </c>
      <c r="O399" s="12" t="s">
        <v>63</v>
      </c>
      <c r="P399" s="85" t="s">
        <v>64</v>
      </c>
      <c r="Q399" s="3">
        <v>1</v>
      </c>
      <c r="R399" s="1">
        <f t="shared" si="123"/>
        <v>9</v>
      </c>
      <c r="S399" s="1">
        <f t="shared" si="124"/>
        <v>3</v>
      </c>
      <c r="T399" s="126">
        <f t="shared" si="125"/>
        <v>46082.443749999999</v>
      </c>
      <c r="U399" s="127">
        <f t="shared" si="126"/>
        <v>1.617361111115315</v>
      </c>
      <c r="V399" s="128">
        <f>Table2[[#This Row],[ATA A OFRECIMIENTO]]*24</f>
        <v>38.81666666676756</v>
      </c>
      <c r="W399" s="1" t="str">
        <f t="shared" si="127"/>
        <v>YES</v>
      </c>
      <c r="X399" s="127">
        <f t="shared" si="128"/>
        <v>8.3333333328482695E-2</v>
      </c>
      <c r="Y399" s="128">
        <f>Table2[[#This Row],[DEL. AVAILABLE A SLOT]]*24</f>
        <v>1.9999999998835847</v>
      </c>
      <c r="Z399" s="1" t="str">
        <f t="shared" si="129"/>
        <v>SI</v>
      </c>
      <c r="AA399" s="127">
        <f t="shared" si="130"/>
        <v>1.7006944444437977</v>
      </c>
      <c r="AB399" s="128">
        <f>Table2[[#This Row],[ATA A TIMESLOT]]*24</f>
        <v>40.816666666651145</v>
      </c>
      <c r="AC399" s="127">
        <f t="shared" si="131"/>
        <v>2.7083333334303461E-2</v>
      </c>
      <c r="AD399" s="127" t="str">
        <f t="shared" si="132"/>
        <v>SI</v>
      </c>
      <c r="AE399" s="128">
        <f>Table2[[#This Row],[PUNTUALIDAD (H)]]*24</f>
        <v>0.65000000002328306</v>
      </c>
      <c r="AF399" s="127">
        <f t="shared" si="133"/>
        <v>1.742361111115315</v>
      </c>
      <c r="AG399" s="128">
        <f>Table2[[#This Row],[ATA TO UNLOADING]]*24</f>
        <v>41.81666666676756</v>
      </c>
      <c r="AH399" s="128" t="str">
        <f>IF(Table2[[#This Row],[ATA TO UNLOADING 2]]&lt;=48,"YES","NO")</f>
        <v>YES</v>
      </c>
      <c r="AJ399" s="129">
        <f t="shared" si="134"/>
        <v>0.41666666666424135</v>
      </c>
      <c r="AK399" s="2" t="s">
        <v>64</v>
      </c>
      <c r="AL399" s="2" t="str">
        <f t="shared" si="135"/>
        <v>9/26</v>
      </c>
      <c r="AM399" s="2" t="str">
        <f t="shared" si="136"/>
        <v>TCKU7267263</v>
      </c>
      <c r="AN399" s="130" t="str">
        <f t="shared" si="137"/>
        <v>LOGIX</v>
      </c>
      <c r="AO399" s="150">
        <f>IF($O399="TRUCK",
VLOOKUP($AU399,Invoicing!$A$16:$B$56,MATCH($AO$1,Invoicing!$A$16:$B$16,0),FALSE)+IF(OR($B399="DCD",$B399="HPD2"),23.5,0),
VLOOKUP($AU399,Invoicing!$N$15:$O$19,MATCH($AO$1,Invoicing!$N$15:$O$15,0),FALSE)+IF(OR($B399="DCD",$B399="HPD2"),23.5,0))</f>
        <v>573.5</v>
      </c>
      <c r="AP399" s="131" t="e">
        <f>VLOOKUP($E399,Invoicing!$A$1:$H$12,MATCH(TRACKER!$P399,Invoicing!$A$1:$H$1,0),FALSE)</f>
        <v>#N/A</v>
      </c>
      <c r="AQ399" s="131">
        <f>VLOOKUP($E399,Invoicing!$A$1:$H$12,MATCH(TRACKER!$Q$1,Invoicing!$A$1:$H$1,0),FALSE)</f>
        <v>50</v>
      </c>
      <c r="AR399" s="131">
        <f t="shared" si="122"/>
        <v>50</v>
      </c>
      <c r="AS399" s="2">
        <f t="shared" si="138"/>
        <v>7</v>
      </c>
      <c r="AT399" s="2" t="str">
        <f t="shared" si="141"/>
        <v>SUNDAY</v>
      </c>
      <c r="AU399" s="2" t="str">
        <f t="shared" si="139"/>
        <v>LOGIXSUNDAY</v>
      </c>
      <c r="AV399" s="94">
        <f>(IF(ISNA(AP399),AO399+AR399,SUM($AO399,$AR399,IFERROR($AP399,"0"))))+Table2[[#This Row],[WAITING TIMES]]</f>
        <v>623.5</v>
      </c>
      <c r="AW399" s="94">
        <f>VLOOKUP(AN399,Invoicing!A:K,11,FALSE)</f>
        <v>20</v>
      </c>
      <c r="AY399" s="48"/>
      <c r="AZ399" s="94">
        <f t="shared" si="140"/>
        <v>643.5</v>
      </c>
      <c r="BA399" s="133">
        <f>VLOOKUP(AN399,Invoicing!A:J,10,FALSE)</f>
        <v>70</v>
      </c>
      <c r="BB399" s="133">
        <f>VLOOKUP(AN399,Invoicing!A:L,12,FALSE)</f>
        <v>1</v>
      </c>
      <c r="BC399" s="2"/>
    </row>
    <row r="400" spans="1:55">
      <c r="A400" s="38" t="s">
        <v>761</v>
      </c>
      <c r="B400" s="3" t="s">
        <v>77</v>
      </c>
      <c r="C400" s="11">
        <v>46080.71597222222</v>
      </c>
      <c r="D400" s="11">
        <v>46080.708333333336</v>
      </c>
      <c r="E400" s="11" t="s">
        <v>83</v>
      </c>
      <c r="F400" s="11" t="s">
        <v>766</v>
      </c>
      <c r="G400" s="11" t="s">
        <v>59</v>
      </c>
      <c r="H400" s="11" t="s">
        <v>287</v>
      </c>
      <c r="I400" s="3" t="s">
        <v>767</v>
      </c>
      <c r="J400" s="3" t="s">
        <v>100</v>
      </c>
      <c r="K400" s="11">
        <v>46082.333333333336</v>
      </c>
      <c r="L400" s="12">
        <v>46082.522916666669</v>
      </c>
      <c r="M400" s="12">
        <v>46082.5</v>
      </c>
      <c r="N400" s="12">
        <v>46082.503472222219</v>
      </c>
      <c r="O400" s="12" t="s">
        <v>63</v>
      </c>
      <c r="P400" s="85" t="s">
        <v>64</v>
      </c>
      <c r="Q400" s="3">
        <v>1</v>
      </c>
      <c r="R400" s="1">
        <f t="shared" si="123"/>
        <v>9</v>
      </c>
      <c r="S400" s="1">
        <f t="shared" si="124"/>
        <v>3</v>
      </c>
      <c r="T400" s="126">
        <f t="shared" si="125"/>
        <v>46082.522916666669</v>
      </c>
      <c r="U400" s="127">
        <f t="shared" si="126"/>
        <v>1.617361111115315</v>
      </c>
      <c r="V400" s="128">
        <f>Table2[[#This Row],[ATA A OFRECIMIENTO]]*24</f>
        <v>38.81666666676756</v>
      </c>
      <c r="W400" s="1" t="str">
        <f t="shared" si="127"/>
        <v>YES</v>
      </c>
      <c r="X400" s="127">
        <f t="shared" si="128"/>
        <v>0.16666666666424135</v>
      </c>
      <c r="Y400" s="128">
        <f>Table2[[#This Row],[DEL. AVAILABLE A SLOT]]*24</f>
        <v>3.9999999999417923</v>
      </c>
      <c r="Z400" s="1" t="str">
        <f t="shared" si="129"/>
        <v>SI</v>
      </c>
      <c r="AA400" s="127">
        <f t="shared" si="130"/>
        <v>1.7840277777795563</v>
      </c>
      <c r="AB400" s="128">
        <f>Table2[[#This Row],[ATA A TIMESLOT]]*24</f>
        <v>42.816666666709352</v>
      </c>
      <c r="AC400" s="127">
        <f t="shared" si="131"/>
        <v>2.2916666668606922E-2</v>
      </c>
      <c r="AD400" s="127" t="str">
        <f t="shared" si="132"/>
        <v>SI</v>
      </c>
      <c r="AE400" s="128">
        <f>Table2[[#This Row],[PUNTUALIDAD (H)]]*24</f>
        <v>0.55000000004656613</v>
      </c>
      <c r="AF400" s="127">
        <f t="shared" si="133"/>
        <v>1.7874999999985448</v>
      </c>
      <c r="AG400" s="128">
        <f>Table2[[#This Row],[ATA TO UNLOADING]]*24</f>
        <v>42.899999999965075</v>
      </c>
      <c r="AH400" s="128" t="str">
        <f>IF(Table2[[#This Row],[ATA TO UNLOADING 2]]&lt;=48,"YES","NO")</f>
        <v>YES</v>
      </c>
      <c r="AJ400" s="129">
        <f t="shared" si="134"/>
        <v>0.5</v>
      </c>
      <c r="AK400" s="2" t="s">
        <v>64</v>
      </c>
      <c r="AL400" s="2" t="str">
        <f t="shared" si="135"/>
        <v>9/26</v>
      </c>
      <c r="AM400" s="2" t="str">
        <f t="shared" si="136"/>
        <v>MRKU0240108</v>
      </c>
      <c r="AN400" s="130" t="str">
        <f t="shared" si="137"/>
        <v>OM TRANSPORT</v>
      </c>
      <c r="AO400" s="150">
        <f>IF($O400="TRUCK",
VLOOKUP($AU400,Invoicing!$A$16:$B$56,MATCH($AO$1,Invoicing!$A$16:$B$16,0),FALSE)+IF(OR($B400="DCD",$B400="HPD2"),23.5,0),
VLOOKUP($AU400,Invoicing!$N$15:$O$19,MATCH($AO$1,Invoicing!$N$15:$O$15,0),FALSE)+IF(OR($B400="DCD",$B400="HPD2"),23.5,0))</f>
        <v>573.5</v>
      </c>
      <c r="AP400" s="131" t="e">
        <f>VLOOKUP($E400,Invoicing!$A$1:$H$12,MATCH(TRACKER!$P400,Invoicing!$A$1:$H$1,0),FALSE)</f>
        <v>#N/A</v>
      </c>
      <c r="AQ400" s="131">
        <f>VLOOKUP($E400,Invoicing!$A$1:$H$12,MATCH(TRACKER!$Q$1,Invoicing!$A$1:$H$1,0),FALSE)</f>
        <v>50</v>
      </c>
      <c r="AR400" s="131">
        <f t="shared" si="122"/>
        <v>50</v>
      </c>
      <c r="AS400" s="2">
        <f t="shared" si="138"/>
        <v>7</v>
      </c>
      <c r="AT400" s="2" t="str">
        <f t="shared" si="141"/>
        <v>SUNDAY</v>
      </c>
      <c r="AU400" s="2" t="str">
        <f t="shared" si="139"/>
        <v>OM TRANSPORTSUNDAY</v>
      </c>
      <c r="AV400" s="94">
        <f>(IF(ISNA(AP400),AO400+AR400,SUM($AO400,$AR400,IFERROR($AP400,"0"))))+Table2[[#This Row],[WAITING TIMES]]</f>
        <v>623.5</v>
      </c>
      <c r="AW400" s="94">
        <f>VLOOKUP(AN400,Invoicing!A:K,11,FALSE)</f>
        <v>20</v>
      </c>
      <c r="AY400" s="48"/>
      <c r="AZ400" s="94">
        <f t="shared" si="140"/>
        <v>643.5</v>
      </c>
      <c r="BA400" s="133">
        <f>VLOOKUP(AN400,Invoicing!A:J,10,FALSE)</f>
        <v>70</v>
      </c>
      <c r="BB400" s="133">
        <f>VLOOKUP(AN400,Invoicing!A:L,12,FALSE)</f>
        <v>1</v>
      </c>
      <c r="BC400" s="2"/>
    </row>
    <row r="401" spans="1:55">
      <c r="A401" s="38" t="s">
        <v>761</v>
      </c>
      <c r="B401" s="3" t="s">
        <v>77</v>
      </c>
      <c r="C401" s="11">
        <v>46080.71597222222</v>
      </c>
      <c r="D401" s="11">
        <v>46080.708333333336</v>
      </c>
      <c r="E401" s="11" t="s">
        <v>98</v>
      </c>
      <c r="F401" s="11" t="s">
        <v>768</v>
      </c>
      <c r="G401" s="11" t="s">
        <v>59</v>
      </c>
      <c r="H401" s="11" t="s">
        <v>80</v>
      </c>
      <c r="I401" s="3" t="s">
        <v>769</v>
      </c>
      <c r="J401" s="3" t="s">
        <v>82</v>
      </c>
      <c r="K401" s="11">
        <v>46082.333333333336</v>
      </c>
      <c r="L401" s="12">
        <v>46082.488888888889</v>
      </c>
      <c r="M401" s="12">
        <v>46082.5</v>
      </c>
      <c r="N401" s="12">
        <v>46082.625</v>
      </c>
      <c r="O401" s="12" t="s">
        <v>63</v>
      </c>
      <c r="P401" s="85" t="s">
        <v>64</v>
      </c>
      <c r="Q401" s="3">
        <v>0</v>
      </c>
      <c r="R401" s="1">
        <f t="shared" si="123"/>
        <v>9</v>
      </c>
      <c r="S401" s="1">
        <f t="shared" si="124"/>
        <v>3</v>
      </c>
      <c r="T401" s="126">
        <f t="shared" si="125"/>
        <v>46082.488888888889</v>
      </c>
      <c r="U401" s="127">
        <f t="shared" si="126"/>
        <v>1.617361111115315</v>
      </c>
      <c r="V401" s="128">
        <f>Table2[[#This Row],[ATA A OFRECIMIENTO]]*24</f>
        <v>38.81666666676756</v>
      </c>
      <c r="W401" s="1" t="str">
        <f t="shared" si="127"/>
        <v>YES</v>
      </c>
      <c r="X401" s="127">
        <f t="shared" si="128"/>
        <v>0.16666666666424135</v>
      </c>
      <c r="Y401" s="128">
        <f>Table2[[#This Row],[DEL. AVAILABLE A SLOT]]*24</f>
        <v>3.9999999999417923</v>
      </c>
      <c r="Z401" s="1" t="str">
        <f t="shared" si="129"/>
        <v>SI</v>
      </c>
      <c r="AA401" s="127">
        <f t="shared" si="130"/>
        <v>1.7840277777795563</v>
      </c>
      <c r="AB401" s="128">
        <f>Table2[[#This Row],[ATA A TIMESLOT]]*24</f>
        <v>42.816666666709352</v>
      </c>
      <c r="AC401" s="127">
        <f t="shared" si="131"/>
        <v>0</v>
      </c>
      <c r="AD401" s="127" t="str">
        <f t="shared" si="132"/>
        <v>SI</v>
      </c>
      <c r="AE401" s="128">
        <f>Table2[[#This Row],[PUNTUALIDAD (H)]]*24</f>
        <v>0</v>
      </c>
      <c r="AF401" s="127">
        <f t="shared" si="133"/>
        <v>1.9090277777795563</v>
      </c>
      <c r="AG401" s="128">
        <f>Table2[[#This Row],[ATA TO UNLOADING]]*24</f>
        <v>45.816666666709352</v>
      </c>
      <c r="AH401" s="128" t="str">
        <f>IF(Table2[[#This Row],[ATA TO UNLOADING 2]]&lt;=48,"YES","NO")</f>
        <v>YES</v>
      </c>
      <c r="AJ401" s="129">
        <f t="shared" si="134"/>
        <v>0.5</v>
      </c>
      <c r="AK401" s="2" t="s">
        <v>64</v>
      </c>
      <c r="AL401" s="2" t="str">
        <f t="shared" si="135"/>
        <v>9/26</v>
      </c>
      <c r="AM401" s="2" t="str">
        <f t="shared" si="136"/>
        <v>TRHU4336435</v>
      </c>
      <c r="AN401" s="130" t="str">
        <f t="shared" si="137"/>
        <v>MSI</v>
      </c>
      <c r="AO401" s="150">
        <f>IF($O401="TRUCK",
VLOOKUP($AU401,Invoicing!$A$16:$B$56,MATCH($AO$1,Invoicing!$A$16:$B$16,0),FALSE)+IF(OR($B401="DCD",$B401="HPD2"),23.5,0),
VLOOKUP($AU401,Invoicing!$N$15:$O$19,MATCH($AO$1,Invoicing!$N$15:$O$15,0),FALSE)+IF(OR($B401="DCD",$B401="HPD2"),23.5,0))</f>
        <v>523.5</v>
      </c>
      <c r="AP401" s="131" t="e">
        <f>VLOOKUP($E401,Invoicing!$A$1:$H$12,MATCH(TRACKER!$P401,Invoicing!$A$1:$H$1,0),FALSE)</f>
        <v>#N/A</v>
      </c>
      <c r="AQ401" s="131">
        <f>VLOOKUP($E401,Invoicing!$A$1:$H$12,MATCH(TRACKER!$Q$1,Invoicing!$A$1:$H$1,0),FALSE)</f>
        <v>50</v>
      </c>
      <c r="AR401" s="131">
        <f t="shared" si="122"/>
        <v>0</v>
      </c>
      <c r="AS401" s="2">
        <f t="shared" si="138"/>
        <v>7</v>
      </c>
      <c r="AT401" s="2" t="str">
        <f t="shared" si="141"/>
        <v>SUNDAY</v>
      </c>
      <c r="AU401" s="2" t="str">
        <f t="shared" si="139"/>
        <v>MSISUNDAY</v>
      </c>
      <c r="AV401" s="94">
        <f>(IF(ISNA(AP401),AO401+AR401,SUM($AO401,$AR401,IFERROR($AP401,"0"))))+Table2[[#This Row],[WAITING TIMES]]</f>
        <v>523.5</v>
      </c>
      <c r="AW401" s="94">
        <f>VLOOKUP(AN401,Invoicing!A:K,11,FALSE)</f>
        <v>20</v>
      </c>
      <c r="AY401" s="48"/>
      <c r="AZ401" s="94">
        <f t="shared" si="140"/>
        <v>543.5</v>
      </c>
      <c r="BA401" s="133">
        <f>VLOOKUP(AN401,Invoicing!A:J,10,FALSE)</f>
        <v>70</v>
      </c>
      <c r="BB401" s="133">
        <f>VLOOKUP(AN401,Invoicing!A:L,12,FALSE)</f>
        <v>1</v>
      </c>
      <c r="BC401" s="2"/>
    </row>
    <row r="402" spans="1:55">
      <c r="A402" s="38" t="s">
        <v>761</v>
      </c>
      <c r="B402" s="3" t="s">
        <v>77</v>
      </c>
      <c r="C402" s="11">
        <v>46080.71597222222</v>
      </c>
      <c r="D402" s="11">
        <v>46080.708333333336</v>
      </c>
      <c r="E402" s="11" t="s">
        <v>71</v>
      </c>
      <c r="F402" s="11" t="s">
        <v>770</v>
      </c>
      <c r="G402" s="11" t="s">
        <v>59</v>
      </c>
      <c r="H402" s="11" t="s">
        <v>80</v>
      </c>
      <c r="I402" s="3" t="s">
        <v>771</v>
      </c>
      <c r="J402" s="3" t="s">
        <v>82</v>
      </c>
      <c r="K402" s="11">
        <v>46082.333333333336</v>
      </c>
      <c r="L402" s="12">
        <v>46082.367361111108</v>
      </c>
      <c r="M402" s="12">
        <v>46082.625</v>
      </c>
      <c r="N402" s="12">
        <v>46082.614583333336</v>
      </c>
      <c r="O402" s="12" t="s">
        <v>63</v>
      </c>
      <c r="P402" s="85" t="s">
        <v>64</v>
      </c>
      <c r="Q402" s="3">
        <v>0</v>
      </c>
      <c r="R402" s="1">
        <f t="shared" si="123"/>
        <v>9</v>
      </c>
      <c r="S402" s="1">
        <f t="shared" si="124"/>
        <v>3</v>
      </c>
      <c r="T402" s="126">
        <f t="shared" si="125"/>
        <v>46082.367361111108</v>
      </c>
      <c r="U402" s="127">
        <f t="shared" si="126"/>
        <v>1.617361111115315</v>
      </c>
      <c r="V402" s="128">
        <f>Table2[[#This Row],[ATA A OFRECIMIENTO]]*24</f>
        <v>38.81666666676756</v>
      </c>
      <c r="W402" s="1" t="str">
        <f t="shared" si="127"/>
        <v>YES</v>
      </c>
      <c r="X402" s="127">
        <f t="shared" si="128"/>
        <v>0.29166666666424135</v>
      </c>
      <c r="Y402" s="128">
        <f>Table2[[#This Row],[DEL. AVAILABLE A SLOT]]*24</f>
        <v>6.9999999999417923</v>
      </c>
      <c r="Z402" s="1" t="str">
        <f t="shared" si="129"/>
        <v>SI</v>
      </c>
      <c r="AA402" s="127">
        <f t="shared" si="130"/>
        <v>1.9090277777795563</v>
      </c>
      <c r="AB402" s="128">
        <f>Table2[[#This Row],[ATA A TIMESLOT]]*24</f>
        <v>45.816666666709352</v>
      </c>
      <c r="AC402" s="127">
        <f t="shared" si="131"/>
        <v>0</v>
      </c>
      <c r="AD402" s="127" t="str">
        <f t="shared" si="132"/>
        <v>SI</v>
      </c>
      <c r="AE402" s="128">
        <f>Table2[[#This Row],[PUNTUALIDAD (H)]]*24</f>
        <v>0</v>
      </c>
      <c r="AF402" s="127">
        <f t="shared" si="133"/>
        <v>1.898611111115315</v>
      </c>
      <c r="AG402" s="128">
        <f>Table2[[#This Row],[ATA TO UNLOADING]]*24</f>
        <v>45.56666666676756</v>
      </c>
      <c r="AH402" s="128" t="str">
        <f>IF(Table2[[#This Row],[ATA TO UNLOADING 2]]&lt;=48,"YES","NO")</f>
        <v>YES</v>
      </c>
      <c r="AJ402" s="129">
        <f t="shared" si="134"/>
        <v>0.625</v>
      </c>
      <c r="AK402" s="2" t="s">
        <v>64</v>
      </c>
      <c r="AL402" s="2" t="str">
        <f t="shared" si="135"/>
        <v>9/26</v>
      </c>
      <c r="AM402" s="2" t="str">
        <f t="shared" si="136"/>
        <v>TIIU5336013</v>
      </c>
      <c r="AN402" s="130" t="str">
        <f t="shared" si="137"/>
        <v>LOGIX</v>
      </c>
      <c r="AO402" s="150">
        <f>IF($O402="TRUCK",
VLOOKUP($AU402,Invoicing!$A$16:$B$56,MATCH($AO$1,Invoicing!$A$16:$B$16,0),FALSE)+IF(OR($B402="DCD",$B402="HPD2"),23.5,0),
VLOOKUP($AU402,Invoicing!$N$15:$O$19,MATCH($AO$1,Invoicing!$N$15:$O$15,0),FALSE)+IF(OR($B402="DCD",$B402="HPD2"),23.5,0))</f>
        <v>573.5</v>
      </c>
      <c r="AP402" s="131" t="e">
        <f>VLOOKUP($E402,Invoicing!$A$1:$H$12,MATCH(TRACKER!$P402,Invoicing!$A$1:$H$1,0),FALSE)</f>
        <v>#N/A</v>
      </c>
      <c r="AQ402" s="131">
        <f>VLOOKUP($E402,Invoicing!$A$1:$H$12,MATCH(TRACKER!$Q$1,Invoicing!$A$1:$H$1,0),FALSE)</f>
        <v>50</v>
      </c>
      <c r="AR402" s="131">
        <f t="shared" si="122"/>
        <v>0</v>
      </c>
      <c r="AS402" s="2">
        <f t="shared" si="138"/>
        <v>7</v>
      </c>
      <c r="AT402" s="2" t="str">
        <f t="shared" si="141"/>
        <v>SUNDAY</v>
      </c>
      <c r="AU402" s="2" t="str">
        <f t="shared" si="139"/>
        <v>LOGIXSUNDAY</v>
      </c>
      <c r="AV402" s="94">
        <f>(IF(ISNA(AP402),AO402+AR402,SUM($AO402,$AR402,IFERROR($AP402,"0"))))+Table2[[#This Row],[WAITING TIMES]]</f>
        <v>573.5</v>
      </c>
      <c r="AW402" s="94">
        <f>VLOOKUP(AN402,Invoicing!A:K,11,FALSE)</f>
        <v>20</v>
      </c>
      <c r="AY402" s="48"/>
      <c r="AZ402" s="94">
        <f t="shared" si="140"/>
        <v>593.5</v>
      </c>
      <c r="BA402" s="133">
        <f>VLOOKUP(AN402,Invoicing!A:J,10,FALSE)</f>
        <v>70</v>
      </c>
      <c r="BB402" s="133">
        <f>VLOOKUP(AN402,Invoicing!A:L,12,FALSE)</f>
        <v>1</v>
      </c>
      <c r="BC402" s="2"/>
    </row>
    <row r="403" spans="1:55">
      <c r="A403" s="38" t="s">
        <v>761</v>
      </c>
      <c r="B403" s="3" t="s">
        <v>77</v>
      </c>
      <c r="C403" s="11">
        <v>46080.71597222222</v>
      </c>
      <c r="D403" s="11">
        <v>46080.708333333336</v>
      </c>
      <c r="E403" s="11" t="s">
        <v>83</v>
      </c>
      <c r="F403" s="11" t="s">
        <v>770</v>
      </c>
      <c r="G403" s="11" t="s">
        <v>59</v>
      </c>
      <c r="H403" s="11" t="s">
        <v>80</v>
      </c>
      <c r="I403" s="3" t="s">
        <v>772</v>
      </c>
      <c r="J403" s="3" t="s">
        <v>82</v>
      </c>
      <c r="K403" s="11">
        <v>46082.333333333336</v>
      </c>
      <c r="L403" s="12">
        <v>46082.609722222223</v>
      </c>
      <c r="M403" s="12">
        <v>46082.708333333336</v>
      </c>
      <c r="N403" s="12">
        <v>46082.645138888889</v>
      </c>
      <c r="O403" s="12" t="s">
        <v>63</v>
      </c>
      <c r="P403" s="85" t="s">
        <v>64</v>
      </c>
      <c r="Q403" s="3">
        <v>0</v>
      </c>
      <c r="R403" s="1">
        <f t="shared" si="123"/>
        <v>9</v>
      </c>
      <c r="S403" s="1">
        <f t="shared" si="124"/>
        <v>3</v>
      </c>
      <c r="T403" s="126">
        <f t="shared" si="125"/>
        <v>46082.609722222223</v>
      </c>
      <c r="U403" s="127">
        <f t="shared" si="126"/>
        <v>1.617361111115315</v>
      </c>
      <c r="V403" s="128">
        <f>Table2[[#This Row],[ATA A OFRECIMIENTO]]*24</f>
        <v>38.81666666676756</v>
      </c>
      <c r="W403" s="1" t="str">
        <f t="shared" si="127"/>
        <v>YES</v>
      </c>
      <c r="X403" s="127">
        <f t="shared" si="128"/>
        <v>0.375</v>
      </c>
      <c r="Y403" s="128">
        <f>Table2[[#This Row],[DEL. AVAILABLE A SLOT]]*24</f>
        <v>9</v>
      </c>
      <c r="Z403" s="1" t="str">
        <f t="shared" si="129"/>
        <v>SI</v>
      </c>
      <c r="AA403" s="127">
        <f t="shared" si="130"/>
        <v>1.992361111115315</v>
      </c>
      <c r="AB403" s="128">
        <f>Table2[[#This Row],[ATA A TIMESLOT]]*24</f>
        <v>47.81666666676756</v>
      </c>
      <c r="AC403" s="127">
        <f t="shared" si="131"/>
        <v>0</v>
      </c>
      <c r="AD403" s="127" t="str">
        <f t="shared" si="132"/>
        <v>SI</v>
      </c>
      <c r="AE403" s="128">
        <f>Table2[[#This Row],[PUNTUALIDAD (H)]]*24</f>
        <v>0</v>
      </c>
      <c r="AF403" s="127">
        <f t="shared" si="133"/>
        <v>1.9291666666686069</v>
      </c>
      <c r="AG403" s="128">
        <f>Table2[[#This Row],[ATA TO UNLOADING]]*24</f>
        <v>46.300000000046566</v>
      </c>
      <c r="AH403" s="128" t="str">
        <f>IF(Table2[[#This Row],[ATA TO UNLOADING 2]]&lt;=48,"YES","NO")</f>
        <v>YES</v>
      </c>
      <c r="AJ403" s="129">
        <f t="shared" si="134"/>
        <v>0.70833333333575865</v>
      </c>
      <c r="AK403" s="2" t="s">
        <v>64</v>
      </c>
      <c r="AL403" s="2" t="str">
        <f t="shared" si="135"/>
        <v>9/26</v>
      </c>
      <c r="AM403" s="2" t="str">
        <f t="shared" si="136"/>
        <v>GCXU5685857</v>
      </c>
      <c r="AN403" s="130" t="str">
        <f t="shared" si="137"/>
        <v>OM TRANSPORT</v>
      </c>
      <c r="AO403" s="150">
        <f>IF($O403="TRUCK",
VLOOKUP($AU403,Invoicing!$A$16:$B$56,MATCH($AO$1,Invoicing!$A$16:$B$16,0),FALSE)+IF(OR($B403="DCD",$B403="HPD2"),23.5,0),
VLOOKUP($AU403,Invoicing!$N$15:$O$19,MATCH($AO$1,Invoicing!$N$15:$O$15,0),FALSE)+IF(OR($B403="DCD",$B403="HPD2"),23.5,0))</f>
        <v>573.5</v>
      </c>
      <c r="AP403" s="131" t="e">
        <f>VLOOKUP($E403,Invoicing!$A$1:$H$12,MATCH(TRACKER!$P403,Invoicing!$A$1:$H$1,0),FALSE)</f>
        <v>#N/A</v>
      </c>
      <c r="AQ403" s="131">
        <f>VLOOKUP($E403,Invoicing!$A$1:$H$12,MATCH(TRACKER!$Q$1,Invoicing!$A$1:$H$1,0),FALSE)</f>
        <v>50</v>
      </c>
      <c r="AR403" s="131">
        <f t="shared" si="122"/>
        <v>0</v>
      </c>
      <c r="AS403" s="2">
        <f t="shared" si="138"/>
        <v>7</v>
      </c>
      <c r="AT403" s="2" t="str">
        <f t="shared" si="141"/>
        <v>SUNDAY</v>
      </c>
      <c r="AU403" s="2" t="str">
        <f t="shared" si="139"/>
        <v>OM TRANSPORTSUNDAY</v>
      </c>
      <c r="AV403" s="94">
        <f>(IF(ISNA(AP403),AO403+AR403,SUM($AO403,$AR403,IFERROR($AP403,"0"))))+Table2[[#This Row],[WAITING TIMES]]</f>
        <v>573.5</v>
      </c>
      <c r="AW403" s="94">
        <f>VLOOKUP(AN403,Invoicing!A:K,11,FALSE)</f>
        <v>20</v>
      </c>
      <c r="AY403" s="48"/>
      <c r="AZ403" s="94">
        <f t="shared" si="140"/>
        <v>593.5</v>
      </c>
      <c r="BA403" s="133">
        <f>VLOOKUP(AN403,Invoicing!A:J,10,FALSE)</f>
        <v>70</v>
      </c>
      <c r="BB403" s="133">
        <f>VLOOKUP(AN403,Invoicing!A:L,12,FALSE)</f>
        <v>1</v>
      </c>
      <c r="BC403" s="2"/>
    </row>
    <row r="404" spans="1:55">
      <c r="A404" s="87" t="s">
        <v>761</v>
      </c>
      <c r="B404" s="91" t="s">
        <v>77</v>
      </c>
      <c r="C404" s="89">
        <v>46080.71597222222</v>
      </c>
      <c r="D404" s="89">
        <v>46080.708333333336</v>
      </c>
      <c r="E404" s="89" t="s">
        <v>98</v>
      </c>
      <c r="F404" s="89" t="s">
        <v>770</v>
      </c>
      <c r="G404" s="89" t="s">
        <v>59</v>
      </c>
      <c r="H404" s="89" t="s">
        <v>80</v>
      </c>
      <c r="I404" s="91" t="s">
        <v>773</v>
      </c>
      <c r="J404" s="91" t="s">
        <v>82</v>
      </c>
      <c r="K404" s="89">
        <v>46082.333333333336</v>
      </c>
      <c r="L404" s="90">
        <v>46082.770138888889</v>
      </c>
      <c r="M404" s="90">
        <v>46082.791666666664</v>
      </c>
      <c r="N404" s="90">
        <v>46082.875</v>
      </c>
      <c r="O404" s="90" t="s">
        <v>63</v>
      </c>
      <c r="P404" s="93" t="s">
        <v>64</v>
      </c>
      <c r="Q404" s="91">
        <v>0</v>
      </c>
      <c r="R404" s="1">
        <f t="shared" si="123"/>
        <v>9</v>
      </c>
      <c r="S404" s="1">
        <f t="shared" si="124"/>
        <v>3</v>
      </c>
      <c r="T404" s="126">
        <f t="shared" si="125"/>
        <v>46082.770138888889</v>
      </c>
      <c r="U404" s="127">
        <f t="shared" si="126"/>
        <v>1.617361111115315</v>
      </c>
      <c r="V404" s="128">
        <f>Table2[[#This Row],[ATA A OFRECIMIENTO]]*24</f>
        <v>38.81666666676756</v>
      </c>
      <c r="W404" s="1" t="str">
        <f t="shared" si="127"/>
        <v>YES</v>
      </c>
      <c r="X404" s="127">
        <f t="shared" si="128"/>
        <v>0.45833333332848269</v>
      </c>
      <c r="Y404" s="128">
        <f>Table2[[#This Row],[DEL. AVAILABLE A SLOT]]*24</f>
        <v>10.999999999883585</v>
      </c>
      <c r="Z404" s="1" t="str">
        <f t="shared" si="129"/>
        <v>SI</v>
      </c>
      <c r="AA404" s="127">
        <f t="shared" si="130"/>
        <v>2.0756944444437977</v>
      </c>
      <c r="AB404" s="128">
        <f>Table2[[#This Row],[ATA A TIMESLOT]]*24</f>
        <v>49.816666666651145</v>
      </c>
      <c r="AC404" s="127">
        <f t="shared" si="131"/>
        <v>0</v>
      </c>
      <c r="AD404" s="127" t="str">
        <f t="shared" si="132"/>
        <v>SI</v>
      </c>
      <c r="AE404" s="128">
        <f>Table2[[#This Row],[PUNTUALIDAD (H)]]*24</f>
        <v>0</v>
      </c>
      <c r="AF404" s="127">
        <f t="shared" si="133"/>
        <v>2.1590277777795563</v>
      </c>
      <c r="AG404" s="128">
        <f>Table2[[#This Row],[ATA TO UNLOADING]]*24</f>
        <v>51.816666666709352</v>
      </c>
      <c r="AH404" s="128" t="str">
        <f>IF(Table2[[#This Row],[ATA TO UNLOADING 2]]&lt;=48,"YES","NO")</f>
        <v>NO</v>
      </c>
      <c r="AJ404" s="129">
        <f t="shared" si="134"/>
        <v>0.79166666666424135</v>
      </c>
      <c r="AK404" s="2" t="s">
        <v>64</v>
      </c>
      <c r="AL404" s="2" t="str">
        <f t="shared" si="135"/>
        <v>9/26</v>
      </c>
      <c r="AM404" s="2" t="str">
        <f t="shared" si="136"/>
        <v>MRSU5930217</v>
      </c>
      <c r="AN404" s="130" t="str">
        <f t="shared" si="137"/>
        <v>MSI</v>
      </c>
      <c r="AO404" s="150">
        <f>IF($O404="TRUCK",
VLOOKUP($AU404,Invoicing!$A$16:$B$56,MATCH($AO$1,Invoicing!$A$16:$B$16,0),FALSE)+IF(OR($B404="DCD",$B404="HPD2"),23.5,0),
VLOOKUP($AU404,Invoicing!$N$15:$O$19,MATCH($AO$1,Invoicing!$N$15:$O$15,0),FALSE)+IF(OR($B404="DCD",$B404="HPD2"),23.5,0))</f>
        <v>523.5</v>
      </c>
      <c r="AP404" s="131" t="e">
        <f>VLOOKUP($E404,Invoicing!$A$1:$H$12,MATCH(TRACKER!$P404,Invoicing!$A$1:$H$1,0),FALSE)</f>
        <v>#N/A</v>
      </c>
      <c r="AQ404" s="131">
        <f>VLOOKUP($E404,Invoicing!$A$1:$H$12,MATCH(TRACKER!$Q$1,Invoicing!$A$1:$H$1,0),FALSE)</f>
        <v>50</v>
      </c>
      <c r="AR404" s="131">
        <f t="shared" si="122"/>
        <v>0</v>
      </c>
      <c r="AS404" s="2">
        <f t="shared" si="138"/>
        <v>7</v>
      </c>
      <c r="AT404" s="2" t="str">
        <f t="shared" si="141"/>
        <v>SUNDAY</v>
      </c>
      <c r="AU404" s="2" t="str">
        <f t="shared" si="139"/>
        <v>MSISUNDAY</v>
      </c>
      <c r="AV404" s="94">
        <f>(IF(ISNA(AP404),AO404+AR404,SUM($AO404,$AR404,IFERROR($AP404,"0"))))+Table2[[#This Row],[WAITING TIMES]]</f>
        <v>523.5</v>
      </c>
      <c r="AW404" s="94">
        <f>VLOOKUP(AN404,Invoicing!A:K,11,FALSE)</f>
        <v>20</v>
      </c>
      <c r="AY404" s="48"/>
      <c r="AZ404" s="94">
        <f t="shared" si="140"/>
        <v>543.5</v>
      </c>
      <c r="BA404" s="133">
        <f>VLOOKUP(AN404,Invoicing!A:J,10,FALSE)</f>
        <v>70</v>
      </c>
      <c r="BB404" s="133">
        <f>VLOOKUP(AN404,Invoicing!A:L,12,FALSE)</f>
        <v>1</v>
      </c>
      <c r="BC404" s="2"/>
    </row>
    <row r="405" spans="1:55">
      <c r="A405" s="38" t="s">
        <v>774</v>
      </c>
      <c r="B405" s="3" t="s">
        <v>77</v>
      </c>
      <c r="C405" s="11">
        <v>46083.368055555555</v>
      </c>
      <c r="D405" s="11">
        <v>46083.458333333336</v>
      </c>
      <c r="E405" s="11" t="s">
        <v>71</v>
      </c>
      <c r="F405" s="11" t="s">
        <v>775</v>
      </c>
      <c r="G405" s="11" t="s">
        <v>59</v>
      </c>
      <c r="H405" s="11" t="s">
        <v>91</v>
      </c>
      <c r="I405" s="86" t="s">
        <v>776</v>
      </c>
      <c r="J405" s="86" t="s">
        <v>82</v>
      </c>
      <c r="K405" s="11">
        <v>46084.541666666664</v>
      </c>
      <c r="L405" s="12">
        <v>46083.782638888886</v>
      </c>
      <c r="M405" s="12">
        <v>46083.75</v>
      </c>
      <c r="N405" s="12">
        <v>46083.795138888891</v>
      </c>
      <c r="O405" s="12" t="s">
        <v>63</v>
      </c>
      <c r="P405" s="85" t="s">
        <v>64</v>
      </c>
      <c r="Q405" s="3">
        <v>0</v>
      </c>
      <c r="R405" s="1">
        <f t="shared" ref="R405:R436" si="142">IF(M405="","",WEEKNUM(T405,2))</f>
        <v>10</v>
      </c>
      <c r="S405" s="1">
        <f t="shared" ref="S405:S436" si="143">IF(M405="","",MONTH(T405))</f>
        <v>3</v>
      </c>
      <c r="T405" s="126">
        <f t="shared" ref="T405:T436" si="144">IF(ISBLANK(L405),IF(ISBLANK(N405),"00:00",N405),L405)</f>
        <v>46083.782638888886</v>
      </c>
      <c r="U405" s="127">
        <f t="shared" ref="U405:U436" si="145">(K405-C405)</f>
        <v>1.1736111111094942</v>
      </c>
      <c r="V405" s="128">
        <f>Table2[[#This Row],[ATA A OFRECIMIENTO]]*24</f>
        <v>28.166666666627862</v>
      </c>
      <c r="W405" s="1" t="str">
        <f t="shared" ref="W405:W436" si="146">IF(U405="","",IF(U405&lt;=2,"YES","NO"))</f>
        <v>YES</v>
      </c>
      <c r="X405" s="127">
        <f t="shared" ref="X405:X436" si="147">(M405-K405)</f>
        <v>-0.79166666666424135</v>
      </c>
      <c r="Y405" s="128">
        <f>Table2[[#This Row],[DEL. AVAILABLE A SLOT]]*24</f>
        <v>-18.999999999941792</v>
      </c>
      <c r="Z405" s="1" t="str">
        <f t="shared" ref="Z405:Z436" si="148">IF(X405="","",IF(X405&lt;=1,"SI","NO"))</f>
        <v>SI</v>
      </c>
      <c r="AA405" s="127">
        <f t="shared" ref="AA405:AA436" si="149">(M405-C405)</f>
        <v>0.38194444444525288</v>
      </c>
      <c r="AB405" s="128">
        <f>Table2[[#This Row],[ATA A TIMESLOT]]*24</f>
        <v>9.1666666666860692</v>
      </c>
      <c r="AC405" s="127">
        <f t="shared" ref="AC405:AC436" si="150">IF(T405&lt; M405, TIME(0,0,0), T405-M405)</f>
        <v>3.2638888886140194E-2</v>
      </c>
      <c r="AD405" s="127" t="str">
        <f t="shared" ref="AD405:AD436" si="151">IF(AC405&gt;TIME(0,40,0),"NO","SI")</f>
        <v>NO</v>
      </c>
      <c r="AE405" s="128">
        <f>Table2[[#This Row],[PUNTUALIDAD (H)]]*24</f>
        <v>0.78333333326736465</v>
      </c>
      <c r="AF405" s="127">
        <f t="shared" ref="AF405:AF436" si="152">(N405-C405)</f>
        <v>0.42708333333575865</v>
      </c>
      <c r="AG405" s="128">
        <f>Table2[[#This Row],[ATA TO UNLOADING]]*24</f>
        <v>10.250000000058208</v>
      </c>
      <c r="AH405" s="128" t="str">
        <f>IF(Table2[[#This Row],[ATA TO UNLOADING 2]]&lt;=48,"YES","NO")</f>
        <v>YES</v>
      </c>
      <c r="AJ405" s="129">
        <f t="shared" ref="AJ405:AJ436" si="153">MOD(M405,1)</f>
        <v>0.75</v>
      </c>
      <c r="AK405" s="2" t="s">
        <v>64</v>
      </c>
      <c r="AL405" s="2" t="str">
        <f t="shared" ref="AL405:AL436" si="154">IF(M405="","",_xlfn.ISOWEEKNUM(M405)&amp;"/"&amp;RIGHT(YEAR(M405),2))</f>
        <v>10/26</v>
      </c>
      <c r="AM405" s="2" t="str">
        <f t="shared" ref="AM405:AM436" si="155">I405</f>
        <v>TCNU3826780</v>
      </c>
      <c r="AN405" s="130" t="str">
        <f t="shared" ref="AN405:AN436" si="156">E405</f>
        <v>LOGIX</v>
      </c>
      <c r="AO405" s="151">
        <f>IF($O405="TRUCK",
VLOOKUP($AU405,Invoicing!$A$16:$B$56,MATCH($AO$1,Invoicing!$A$16:$B$16,0),FALSE)+IF(OR($B405="DCD",$B405="HPD2"),23.5,0),
VLOOKUP($AU405,Invoicing!$N$15:$O$19,MATCH($AO$1,Invoicing!$N$15:$O$15,0),FALSE)+IF(OR($B405="DCD",$B405="HPD2"),23.5,0))</f>
        <v>573.5</v>
      </c>
      <c r="AP405" s="131" t="e">
        <f>VLOOKUP($E405,Invoicing!$A$1:$H$12,MATCH(TRACKER!$P405,Invoicing!$A$1:$H$1,0),FALSE)</f>
        <v>#N/A</v>
      </c>
      <c r="AQ405" s="131">
        <f>VLOOKUP($E405,Invoicing!$A$1:$H$12,MATCH(TRACKER!$Q$1,Invoicing!$A$1:$H$1,0),FALSE)</f>
        <v>50</v>
      </c>
      <c r="AR405" s="131">
        <f t="shared" ref="AR405:AR436" si="157">IF($Q405&lt;&gt;0,$Q405*$AQ405,0)</f>
        <v>0</v>
      </c>
      <c r="AS405" s="2">
        <f t="shared" ref="AS405:AS436" si="158">WEEKDAY(M405,2)</f>
        <v>1</v>
      </c>
      <c r="AT405" s="2" t="str">
        <f t="shared" si="141"/>
        <v>WEEK</v>
      </c>
      <c r="AU405" s="2" t="str">
        <f t="shared" ref="AU405:AU436" si="159">AN405&amp;AT405</f>
        <v>LOGIXWEEK</v>
      </c>
      <c r="AV405" s="94">
        <f>(IF(ISNA(AP405),AO405+AR405,SUM($AO405,$AR405,IFERROR($AP405,"0"))))+Table2[[#This Row],[WAITING TIMES]]</f>
        <v>573.5</v>
      </c>
      <c r="AW405" s="48">
        <f>VLOOKUP(AN405,Invoicing!A:K,11,FALSE)</f>
        <v>20</v>
      </c>
      <c r="AY405" s="48"/>
      <c r="AZ405" s="48">
        <f t="shared" ref="AZ405:AZ436" si="160">AV405+AW405</f>
        <v>593.5</v>
      </c>
      <c r="BA405" s="132">
        <f>VLOOKUP(AN405,Invoicing!A:J,10,FALSE)</f>
        <v>70</v>
      </c>
      <c r="BB405" s="132">
        <f>VLOOKUP(AN405,Invoicing!A:L,12,FALSE)</f>
        <v>1</v>
      </c>
      <c r="BC405" s="2"/>
    </row>
    <row r="406" spans="1:55">
      <c r="A406" s="38" t="s">
        <v>774</v>
      </c>
      <c r="B406" s="3" t="s">
        <v>77</v>
      </c>
      <c r="C406" s="11">
        <v>46083.368055555555</v>
      </c>
      <c r="D406" s="11">
        <v>46083.458333333336</v>
      </c>
      <c r="E406" s="11" t="s">
        <v>83</v>
      </c>
      <c r="F406" s="11" t="s">
        <v>777</v>
      </c>
      <c r="G406" s="11" t="s">
        <v>133</v>
      </c>
      <c r="H406" s="11" t="s">
        <v>91</v>
      </c>
      <c r="I406" s="86" t="s">
        <v>778</v>
      </c>
      <c r="J406" s="86" t="s">
        <v>100</v>
      </c>
      <c r="K406" s="11">
        <v>46084.541666666664</v>
      </c>
      <c r="L406" s="12">
        <v>46084.260416666664</v>
      </c>
      <c r="M406" s="12">
        <v>46084.25</v>
      </c>
      <c r="N406" s="12">
        <v>46084.267361111109</v>
      </c>
      <c r="O406" s="12" t="s">
        <v>63</v>
      </c>
      <c r="P406" s="85" t="s">
        <v>64</v>
      </c>
      <c r="Q406" s="3">
        <v>0</v>
      </c>
      <c r="R406" s="1">
        <f t="shared" si="142"/>
        <v>10</v>
      </c>
      <c r="S406" s="1">
        <f t="shared" si="143"/>
        <v>3</v>
      </c>
      <c r="T406" s="126">
        <f t="shared" si="144"/>
        <v>46084.260416666664</v>
      </c>
      <c r="U406" s="127">
        <f t="shared" si="145"/>
        <v>1.1736111111094942</v>
      </c>
      <c r="V406" s="128">
        <f>Table2[[#This Row],[ATA A OFRECIMIENTO]]*24</f>
        <v>28.166666666627862</v>
      </c>
      <c r="W406" s="1" t="str">
        <f t="shared" si="146"/>
        <v>YES</v>
      </c>
      <c r="X406" s="127">
        <f t="shared" si="147"/>
        <v>-0.29166666666424135</v>
      </c>
      <c r="Y406" s="128">
        <f>Table2[[#This Row],[DEL. AVAILABLE A SLOT]]*24</f>
        <v>-6.9999999999417923</v>
      </c>
      <c r="Z406" s="1" t="str">
        <f t="shared" si="148"/>
        <v>SI</v>
      </c>
      <c r="AA406" s="127">
        <f t="shared" si="149"/>
        <v>0.88194444444525288</v>
      </c>
      <c r="AB406" s="128">
        <f>Table2[[#This Row],[ATA A TIMESLOT]]*24</f>
        <v>21.166666666686069</v>
      </c>
      <c r="AC406" s="127">
        <f t="shared" si="150"/>
        <v>1.0416666664241347E-2</v>
      </c>
      <c r="AD406" s="127" t="str">
        <f t="shared" si="151"/>
        <v>SI</v>
      </c>
      <c r="AE406" s="128">
        <f>Table2[[#This Row],[PUNTUALIDAD (H)]]*24</f>
        <v>0.24999999994179234</v>
      </c>
      <c r="AF406" s="127">
        <f t="shared" si="152"/>
        <v>0.89930555555474712</v>
      </c>
      <c r="AG406" s="128">
        <f>Table2[[#This Row],[ATA TO UNLOADING]]*24</f>
        <v>21.583333333313931</v>
      </c>
      <c r="AH406" s="128" t="str">
        <f>IF(Table2[[#This Row],[ATA TO UNLOADING 2]]&lt;=48,"YES","NO")</f>
        <v>YES</v>
      </c>
      <c r="AJ406" s="129">
        <f t="shared" si="153"/>
        <v>0.25</v>
      </c>
      <c r="AK406" s="2" t="s">
        <v>64</v>
      </c>
      <c r="AL406" s="2" t="str">
        <f t="shared" si="154"/>
        <v>10/26</v>
      </c>
      <c r="AM406" s="2" t="str">
        <f t="shared" si="155"/>
        <v>HLXU8309214</v>
      </c>
      <c r="AN406" s="130" t="str">
        <f t="shared" si="156"/>
        <v>OM TRANSPORT</v>
      </c>
      <c r="AO406" s="151">
        <f>IF($O406="TRUCK",
VLOOKUP($AU406,Invoicing!$A$16:$B$56,MATCH($AO$1,Invoicing!$A$16:$B$16,0),FALSE)+IF(OR($B406="DCD",$B406="HPD2"),23.5,0),
VLOOKUP($AU406,Invoicing!$N$15:$O$19,MATCH($AO$1,Invoicing!$N$15:$O$15,0),FALSE)+IF(OR($B406="DCD",$B406="HPD2"),23.5,0))</f>
        <v>498.5</v>
      </c>
      <c r="AP406" s="131" t="e">
        <f>VLOOKUP($E406,Invoicing!$A$1:$H$12,MATCH(TRACKER!$P406,Invoicing!$A$1:$H$1,0),FALSE)</f>
        <v>#N/A</v>
      </c>
      <c r="AQ406" s="131">
        <f>VLOOKUP($E406,Invoicing!$A$1:$H$12,MATCH(TRACKER!$Q$1,Invoicing!$A$1:$H$1,0),FALSE)</f>
        <v>50</v>
      </c>
      <c r="AR406" s="131">
        <f t="shared" si="157"/>
        <v>0</v>
      </c>
      <c r="AS406" s="2">
        <f t="shared" si="158"/>
        <v>2</v>
      </c>
      <c r="AT406" s="2" t="str">
        <f t="shared" si="141"/>
        <v>WEEK</v>
      </c>
      <c r="AU406" s="2" t="str">
        <f t="shared" si="159"/>
        <v>OM TRANSPORTWEEK</v>
      </c>
      <c r="AV406" s="94">
        <f>(IF(ISNA(AP406),AO406+AR406,SUM($AO406,$AR406,IFERROR($AP406,"0"))))+Table2[[#This Row],[WAITING TIMES]]</f>
        <v>498.5</v>
      </c>
      <c r="AW406" s="48">
        <f>VLOOKUP(AN406,Invoicing!A:K,11,FALSE)</f>
        <v>20</v>
      </c>
      <c r="AY406" s="48"/>
      <c r="AZ406" s="48">
        <f t="shared" si="160"/>
        <v>518.5</v>
      </c>
      <c r="BA406" s="132">
        <f>VLOOKUP(AN406,Invoicing!A:J,10,FALSE)</f>
        <v>70</v>
      </c>
      <c r="BB406" s="132">
        <f>VLOOKUP(AN406,Invoicing!A:L,12,FALSE)</f>
        <v>1</v>
      </c>
      <c r="BC406" s="2"/>
    </row>
    <row r="407" spans="1:55">
      <c r="A407" s="38" t="s">
        <v>774</v>
      </c>
      <c r="B407" s="3" t="s">
        <v>77</v>
      </c>
      <c r="C407" s="11">
        <v>46083.368055555555</v>
      </c>
      <c r="D407" s="11">
        <v>46083.458333333336</v>
      </c>
      <c r="E407" s="11" t="s">
        <v>73</v>
      </c>
      <c r="F407" s="11" t="s">
        <v>777</v>
      </c>
      <c r="G407" s="11" t="s">
        <v>133</v>
      </c>
      <c r="H407" s="11" t="s">
        <v>91</v>
      </c>
      <c r="I407" s="86" t="s">
        <v>779</v>
      </c>
      <c r="J407" s="86" t="s">
        <v>100</v>
      </c>
      <c r="K407" s="11">
        <v>46084.541666666664</v>
      </c>
      <c r="L407" s="12">
        <v>46084.46875</v>
      </c>
      <c r="M407" s="12">
        <v>46084.333333333336</v>
      </c>
      <c r="N407" s="12">
        <v>46084.475694444445</v>
      </c>
      <c r="O407" s="12" t="s">
        <v>63</v>
      </c>
      <c r="P407" s="85" t="s">
        <v>64</v>
      </c>
      <c r="Q407" s="3">
        <v>0</v>
      </c>
      <c r="R407" s="1">
        <f t="shared" si="142"/>
        <v>10</v>
      </c>
      <c r="S407" s="1">
        <f t="shared" si="143"/>
        <v>3</v>
      </c>
      <c r="T407" s="126">
        <f t="shared" si="144"/>
        <v>46084.46875</v>
      </c>
      <c r="U407" s="127">
        <f t="shared" si="145"/>
        <v>1.1736111111094942</v>
      </c>
      <c r="V407" s="128">
        <f>Table2[[#This Row],[ATA A OFRECIMIENTO]]*24</f>
        <v>28.166666666627862</v>
      </c>
      <c r="W407" s="1" t="str">
        <f t="shared" si="146"/>
        <v>YES</v>
      </c>
      <c r="X407" s="127">
        <f t="shared" si="147"/>
        <v>-0.20833333332848269</v>
      </c>
      <c r="Y407" s="128">
        <f>Table2[[#This Row],[DEL. AVAILABLE A SLOT]]*24</f>
        <v>-4.9999999998835847</v>
      </c>
      <c r="Z407" s="1" t="str">
        <f t="shared" si="148"/>
        <v>SI</v>
      </c>
      <c r="AA407" s="127">
        <f t="shared" si="149"/>
        <v>0.96527777778101154</v>
      </c>
      <c r="AB407" s="128">
        <f>Table2[[#This Row],[ATA A TIMESLOT]]*24</f>
        <v>23.166666666744277</v>
      </c>
      <c r="AC407" s="127">
        <f t="shared" si="150"/>
        <v>0.13541666666424135</v>
      </c>
      <c r="AD407" s="127" t="str">
        <f t="shared" si="151"/>
        <v>NO</v>
      </c>
      <c r="AE407" s="128">
        <f>Table2[[#This Row],[PUNTUALIDAD (H)]]*24</f>
        <v>3.2499999999417923</v>
      </c>
      <c r="AF407" s="127">
        <f t="shared" si="152"/>
        <v>1.1076388888905058</v>
      </c>
      <c r="AG407" s="128">
        <f>Table2[[#This Row],[ATA TO UNLOADING]]*24</f>
        <v>26.583333333372138</v>
      </c>
      <c r="AH407" s="128" t="str">
        <f>IF(Table2[[#This Row],[ATA TO UNLOADING 2]]&lt;=48,"YES","NO")</f>
        <v>YES</v>
      </c>
      <c r="AJ407" s="129">
        <f t="shared" si="153"/>
        <v>0.33333333333575865</v>
      </c>
      <c r="AK407" s="2" t="s">
        <v>64</v>
      </c>
      <c r="AL407" s="2" t="str">
        <f t="shared" si="154"/>
        <v>10/26</v>
      </c>
      <c r="AM407" s="2" t="str">
        <f t="shared" si="155"/>
        <v>FANU3391878</v>
      </c>
      <c r="AN407" s="130" t="str">
        <f t="shared" si="156"/>
        <v>OTL</v>
      </c>
      <c r="AO407" s="151">
        <f>IF($O407="TRUCK",
VLOOKUP($AU407,Invoicing!$A$16:$B$56,MATCH($AO$1,Invoicing!$A$16:$B$16,0),FALSE)+IF(OR($B407="DCD",$B407="HPD2"),23.5,0),
VLOOKUP($AU407,Invoicing!$N$15:$O$19,MATCH($AO$1,Invoicing!$N$15:$O$15,0),FALSE)+IF(OR($B407="DCD",$B407="HPD2"),23.5,0))</f>
        <v>553.5</v>
      </c>
      <c r="AP407" s="131" t="e">
        <f>VLOOKUP($E407,Invoicing!$A$1:$H$12,MATCH(TRACKER!$P407,Invoicing!$A$1:$H$1,0),FALSE)</f>
        <v>#N/A</v>
      </c>
      <c r="AQ407" s="131">
        <f>VLOOKUP($E407,Invoicing!$A$1:$H$12,MATCH(TRACKER!$Q$1,Invoicing!$A$1:$H$1,0),FALSE)</f>
        <v>60</v>
      </c>
      <c r="AR407" s="131">
        <f t="shared" si="157"/>
        <v>0</v>
      </c>
      <c r="AS407" s="2">
        <f t="shared" si="158"/>
        <v>2</v>
      </c>
      <c r="AT407" s="2" t="str">
        <f t="shared" si="141"/>
        <v>WEEK</v>
      </c>
      <c r="AU407" s="2" t="str">
        <f t="shared" si="159"/>
        <v>OTLWEEK</v>
      </c>
      <c r="AV407" s="94">
        <f>(IF(ISNA(AP407),AO407+AR407,SUM($AO407,$AR407,IFERROR($AP407,"0"))))+Table2[[#This Row],[WAITING TIMES]]</f>
        <v>553.5</v>
      </c>
      <c r="AW407" s="48">
        <f>VLOOKUP(AN407,Invoicing!A:K,11,FALSE)</f>
        <v>20</v>
      </c>
      <c r="AY407" s="48"/>
      <c r="AZ407" s="48">
        <f t="shared" si="160"/>
        <v>573.5</v>
      </c>
      <c r="BA407" s="132">
        <f>VLOOKUP(AN407,Invoicing!A:J,10,FALSE)</f>
        <v>70</v>
      </c>
      <c r="BB407" s="132">
        <f>VLOOKUP(AN407,Invoicing!A:L,12,FALSE)</f>
        <v>1</v>
      </c>
      <c r="BC407" s="2"/>
    </row>
    <row r="408" spans="1:55">
      <c r="A408" s="38" t="s">
        <v>774</v>
      </c>
      <c r="B408" s="3" t="s">
        <v>77</v>
      </c>
      <c r="C408" s="11">
        <v>46083.368055555555</v>
      </c>
      <c r="D408" s="11">
        <v>46083.458333333336</v>
      </c>
      <c r="E408" s="11" t="s">
        <v>71</v>
      </c>
      <c r="F408" s="11" t="s">
        <v>780</v>
      </c>
      <c r="G408" s="11" t="s">
        <v>133</v>
      </c>
      <c r="H408" s="11" t="s">
        <v>91</v>
      </c>
      <c r="I408" s="86" t="s">
        <v>781</v>
      </c>
      <c r="J408" s="86" t="s">
        <v>62</v>
      </c>
      <c r="K408" s="11">
        <v>46084.541666666664</v>
      </c>
      <c r="L408" s="12">
        <v>46084.481249999997</v>
      </c>
      <c r="M408" s="12">
        <v>46084.5</v>
      </c>
      <c r="N408" s="12">
        <v>46084.642361111109</v>
      </c>
      <c r="O408" s="12" t="s">
        <v>63</v>
      </c>
      <c r="P408" s="85" t="s">
        <v>64</v>
      </c>
      <c r="Q408" s="3">
        <v>1</v>
      </c>
      <c r="R408" s="1">
        <f t="shared" si="142"/>
        <v>10</v>
      </c>
      <c r="S408" s="1">
        <f t="shared" si="143"/>
        <v>3</v>
      </c>
      <c r="T408" s="126">
        <f t="shared" si="144"/>
        <v>46084.481249999997</v>
      </c>
      <c r="U408" s="127">
        <f t="shared" si="145"/>
        <v>1.1736111111094942</v>
      </c>
      <c r="V408" s="128">
        <f>Table2[[#This Row],[ATA A OFRECIMIENTO]]*24</f>
        <v>28.166666666627862</v>
      </c>
      <c r="W408" s="1" t="str">
        <f t="shared" si="146"/>
        <v>YES</v>
      </c>
      <c r="X408" s="127">
        <f t="shared" si="147"/>
        <v>-4.1666666664241347E-2</v>
      </c>
      <c r="Y408" s="128">
        <f>Table2[[#This Row],[DEL. AVAILABLE A SLOT]]*24</f>
        <v>-0.99999999994179234</v>
      </c>
      <c r="Z408" s="1" t="str">
        <f t="shared" si="148"/>
        <v>SI</v>
      </c>
      <c r="AA408" s="127">
        <f t="shared" si="149"/>
        <v>1.1319444444452529</v>
      </c>
      <c r="AB408" s="128">
        <f>Table2[[#This Row],[ATA A TIMESLOT]]*24</f>
        <v>27.166666666686069</v>
      </c>
      <c r="AC408" s="127">
        <f t="shared" si="150"/>
        <v>0</v>
      </c>
      <c r="AD408" s="127" t="str">
        <f t="shared" si="151"/>
        <v>SI</v>
      </c>
      <c r="AE408" s="128">
        <f>Table2[[#This Row],[PUNTUALIDAD (H)]]*24</f>
        <v>0</v>
      </c>
      <c r="AF408" s="127">
        <f t="shared" si="152"/>
        <v>1.2743055555547471</v>
      </c>
      <c r="AG408" s="128">
        <f>Table2[[#This Row],[ATA TO UNLOADING]]*24</f>
        <v>30.583333333313931</v>
      </c>
      <c r="AH408" s="128" t="str">
        <f>IF(Table2[[#This Row],[ATA TO UNLOADING 2]]&lt;=48,"YES","NO")</f>
        <v>YES</v>
      </c>
      <c r="AJ408" s="129">
        <f t="shared" si="153"/>
        <v>0.5</v>
      </c>
      <c r="AK408" s="2" t="s">
        <v>64</v>
      </c>
      <c r="AL408" s="2" t="str">
        <f t="shared" si="154"/>
        <v>10/26</v>
      </c>
      <c r="AM408" s="2" t="str">
        <f t="shared" si="155"/>
        <v>TGBU2229120</v>
      </c>
      <c r="AN408" s="130" t="str">
        <f t="shared" si="156"/>
        <v>LOGIX</v>
      </c>
      <c r="AO408" s="151">
        <f>IF($O408="TRUCK",
VLOOKUP($AU408,Invoicing!$A$16:$B$56,MATCH($AO$1,Invoicing!$A$16:$B$16,0),FALSE)+IF(OR($B408="DCD",$B408="HPD2"),23.5,0),
VLOOKUP($AU408,Invoicing!$N$15:$O$19,MATCH($AO$1,Invoicing!$N$15:$O$15,0),FALSE)+IF(OR($B408="DCD",$B408="HPD2"),23.5,0))</f>
        <v>573.5</v>
      </c>
      <c r="AP408" s="131" t="e">
        <f>VLOOKUP($E408,Invoicing!$A$1:$H$12,MATCH(TRACKER!$P408,Invoicing!$A$1:$H$1,0),FALSE)</f>
        <v>#N/A</v>
      </c>
      <c r="AQ408" s="131">
        <f>VLOOKUP($E408,Invoicing!$A$1:$H$12,MATCH(TRACKER!$Q$1,Invoicing!$A$1:$H$1,0),FALSE)</f>
        <v>50</v>
      </c>
      <c r="AR408" s="131">
        <f t="shared" si="157"/>
        <v>50</v>
      </c>
      <c r="AS408" s="2">
        <f t="shared" si="158"/>
        <v>2</v>
      </c>
      <c r="AT408" s="2" t="str">
        <f t="shared" si="141"/>
        <v>WEEK</v>
      </c>
      <c r="AU408" s="2" t="str">
        <f t="shared" si="159"/>
        <v>LOGIXWEEK</v>
      </c>
      <c r="AV408" s="94">
        <f>(IF(ISNA(AP408),AO408+AR408,SUM($AO408,$AR408,IFERROR($AP408,"0"))))+Table2[[#This Row],[WAITING TIMES]]</f>
        <v>623.5</v>
      </c>
      <c r="AW408" s="48">
        <f>VLOOKUP(AN408,Invoicing!A:K,11,FALSE)</f>
        <v>20</v>
      </c>
      <c r="AY408" s="48"/>
      <c r="AZ408" s="48">
        <f t="shared" si="160"/>
        <v>643.5</v>
      </c>
      <c r="BA408" s="132">
        <f>VLOOKUP(AN408,Invoicing!A:J,10,FALSE)</f>
        <v>70</v>
      </c>
      <c r="BB408" s="132">
        <f>VLOOKUP(AN408,Invoicing!A:L,12,FALSE)</f>
        <v>1</v>
      </c>
      <c r="BC408" s="2"/>
    </row>
    <row r="409" spans="1:55">
      <c r="A409" s="38" t="s">
        <v>774</v>
      </c>
      <c r="B409" s="3" t="s">
        <v>77</v>
      </c>
      <c r="C409" s="11">
        <v>46083.368055555555</v>
      </c>
      <c r="D409" s="11">
        <v>46083.458333333336</v>
      </c>
      <c r="E409" s="11" t="s">
        <v>71</v>
      </c>
      <c r="F409" s="11" t="s">
        <v>777</v>
      </c>
      <c r="G409" s="11" t="s">
        <v>133</v>
      </c>
      <c r="H409" s="11" t="s">
        <v>91</v>
      </c>
      <c r="I409" s="86" t="s">
        <v>782</v>
      </c>
      <c r="J409" s="86" t="s">
        <v>100</v>
      </c>
      <c r="K409" s="11">
        <v>46084.541666666664</v>
      </c>
      <c r="L409" s="12">
        <v>46084.529166666667</v>
      </c>
      <c r="M409" s="12">
        <v>46084.541666666664</v>
      </c>
      <c r="N409" s="12">
        <v>46084.545138888891</v>
      </c>
      <c r="O409" s="12" t="s">
        <v>63</v>
      </c>
      <c r="P409" s="85" t="s">
        <v>64</v>
      </c>
      <c r="Q409" s="3">
        <v>1</v>
      </c>
      <c r="R409" s="1">
        <f t="shared" si="142"/>
        <v>10</v>
      </c>
      <c r="S409" s="1">
        <f t="shared" si="143"/>
        <v>3</v>
      </c>
      <c r="T409" s="126">
        <f t="shared" si="144"/>
        <v>46084.529166666667</v>
      </c>
      <c r="U409" s="127">
        <f t="shared" si="145"/>
        <v>1.1736111111094942</v>
      </c>
      <c r="V409" s="128">
        <f>Table2[[#This Row],[ATA A OFRECIMIENTO]]*24</f>
        <v>28.166666666627862</v>
      </c>
      <c r="W409" s="1" t="str">
        <f t="shared" si="146"/>
        <v>YES</v>
      </c>
      <c r="X409" s="127">
        <f t="shared" si="147"/>
        <v>0</v>
      </c>
      <c r="Y409" s="128">
        <f>Table2[[#This Row],[DEL. AVAILABLE A SLOT]]*24</f>
        <v>0</v>
      </c>
      <c r="Z409" s="1" t="str">
        <f t="shared" si="148"/>
        <v>SI</v>
      </c>
      <c r="AA409" s="127">
        <f t="shared" si="149"/>
        <v>1.1736111111094942</v>
      </c>
      <c r="AB409" s="128">
        <f>Table2[[#This Row],[ATA A TIMESLOT]]*24</f>
        <v>28.166666666627862</v>
      </c>
      <c r="AC409" s="127">
        <f t="shared" si="150"/>
        <v>0</v>
      </c>
      <c r="AD409" s="127" t="str">
        <f t="shared" si="151"/>
        <v>SI</v>
      </c>
      <c r="AE409" s="128">
        <f>Table2[[#This Row],[PUNTUALIDAD (H)]]*24</f>
        <v>0</v>
      </c>
      <c r="AF409" s="127">
        <f t="shared" si="152"/>
        <v>1.1770833333357587</v>
      </c>
      <c r="AG409" s="128">
        <f>Table2[[#This Row],[ATA TO UNLOADING]]*24</f>
        <v>28.250000000058208</v>
      </c>
      <c r="AH409" s="128" t="str">
        <f>IF(Table2[[#This Row],[ATA TO UNLOADING 2]]&lt;=48,"YES","NO")</f>
        <v>YES</v>
      </c>
      <c r="AJ409" s="129">
        <f t="shared" si="153"/>
        <v>0.54166666666424135</v>
      </c>
      <c r="AK409" s="2" t="s">
        <v>64</v>
      </c>
      <c r="AL409" s="2" t="str">
        <f t="shared" si="154"/>
        <v>10/26</v>
      </c>
      <c r="AM409" s="2" t="str">
        <f t="shared" si="155"/>
        <v>BEAU4189800</v>
      </c>
      <c r="AN409" s="130" t="str">
        <f t="shared" si="156"/>
        <v>LOGIX</v>
      </c>
      <c r="AO409" s="151">
        <f>IF($O409="TRUCK",
VLOOKUP($AU409,Invoicing!$A$16:$B$56,MATCH($AO$1,Invoicing!$A$16:$B$16,0),FALSE)+IF(OR($B409="DCD",$B409="HPD2"),23.5,0),
VLOOKUP($AU409,Invoicing!$N$15:$O$19,MATCH($AO$1,Invoicing!$N$15:$O$15,0),FALSE)+IF(OR($B409="DCD",$B409="HPD2"),23.5,0))</f>
        <v>573.5</v>
      </c>
      <c r="AP409" s="131" t="e">
        <f>VLOOKUP($E409,Invoicing!$A$1:$H$12,MATCH(TRACKER!$P409,Invoicing!$A$1:$H$1,0),FALSE)</f>
        <v>#N/A</v>
      </c>
      <c r="AQ409" s="131">
        <f>VLOOKUP($E409,Invoicing!$A$1:$H$12,MATCH(TRACKER!$Q$1,Invoicing!$A$1:$H$1,0),FALSE)</f>
        <v>50</v>
      </c>
      <c r="AR409" s="131">
        <f t="shared" si="157"/>
        <v>50</v>
      </c>
      <c r="AS409" s="2">
        <f t="shared" si="158"/>
        <v>2</v>
      </c>
      <c r="AT409" s="2" t="str">
        <f t="shared" si="141"/>
        <v>WEEK</v>
      </c>
      <c r="AU409" s="2" t="str">
        <f t="shared" si="159"/>
        <v>LOGIXWEEK</v>
      </c>
      <c r="AV409" s="94">
        <f>(IF(ISNA(AP409),AO409+AR409,SUM($AO409,$AR409,IFERROR($AP409,"0"))))+Table2[[#This Row],[WAITING TIMES]]</f>
        <v>623.5</v>
      </c>
      <c r="AW409" s="48">
        <f>VLOOKUP(AN409,Invoicing!A:K,11,FALSE)</f>
        <v>20</v>
      </c>
      <c r="AY409" s="48"/>
      <c r="AZ409" s="48">
        <f t="shared" si="160"/>
        <v>643.5</v>
      </c>
      <c r="BA409" s="132">
        <f>VLOOKUP(AN409,Invoicing!A:J,10,FALSE)</f>
        <v>70</v>
      </c>
      <c r="BB409" s="132">
        <f>VLOOKUP(AN409,Invoicing!A:L,12,FALSE)</f>
        <v>1</v>
      </c>
      <c r="BC409" s="2"/>
    </row>
    <row r="410" spans="1:55">
      <c r="A410" s="38" t="s">
        <v>774</v>
      </c>
      <c r="B410" s="3" t="s">
        <v>77</v>
      </c>
      <c r="C410" s="11">
        <v>46083.368055555555</v>
      </c>
      <c r="D410" s="11">
        <v>46083.458333333336</v>
      </c>
      <c r="E410" s="11" t="s">
        <v>83</v>
      </c>
      <c r="F410" s="11" t="s">
        <v>783</v>
      </c>
      <c r="G410" s="11" t="s">
        <v>59</v>
      </c>
      <c r="H410" s="11" t="s">
        <v>91</v>
      </c>
      <c r="I410" s="86" t="s">
        <v>784</v>
      </c>
      <c r="J410" s="86" t="s">
        <v>82</v>
      </c>
      <c r="K410" s="11">
        <v>46084.541666666664</v>
      </c>
      <c r="L410" s="12">
        <v>46084.576388888891</v>
      </c>
      <c r="M410" s="12">
        <v>46084.541666666664</v>
      </c>
      <c r="N410" s="12">
        <v>46084.576388888891</v>
      </c>
      <c r="O410" s="12" t="s">
        <v>63</v>
      </c>
      <c r="P410" s="85" t="s">
        <v>15</v>
      </c>
      <c r="Q410" s="3">
        <v>0</v>
      </c>
      <c r="R410" s="1">
        <f t="shared" si="142"/>
        <v>10</v>
      </c>
      <c r="S410" s="1">
        <f t="shared" si="143"/>
        <v>3</v>
      </c>
      <c r="T410" s="126">
        <f t="shared" si="144"/>
        <v>46084.576388888891</v>
      </c>
      <c r="U410" s="127">
        <f t="shared" si="145"/>
        <v>1.1736111111094942</v>
      </c>
      <c r="V410" s="128">
        <f>Table2[[#This Row],[ATA A OFRECIMIENTO]]*24</f>
        <v>28.166666666627862</v>
      </c>
      <c r="W410" s="1" t="str">
        <f t="shared" si="146"/>
        <v>YES</v>
      </c>
      <c r="X410" s="127">
        <f t="shared" si="147"/>
        <v>0</v>
      </c>
      <c r="Y410" s="128">
        <f>Table2[[#This Row],[DEL. AVAILABLE A SLOT]]*24</f>
        <v>0</v>
      </c>
      <c r="Z410" s="1" t="str">
        <f t="shared" si="148"/>
        <v>SI</v>
      </c>
      <c r="AA410" s="127">
        <f t="shared" si="149"/>
        <v>1.1736111111094942</v>
      </c>
      <c r="AB410" s="128">
        <f>Table2[[#This Row],[ATA A TIMESLOT]]*24</f>
        <v>28.166666666627862</v>
      </c>
      <c r="AC410" s="127">
        <f t="shared" si="150"/>
        <v>3.4722222226264421E-2</v>
      </c>
      <c r="AD410" s="127" t="str">
        <f t="shared" si="151"/>
        <v>NO</v>
      </c>
      <c r="AE410" s="128">
        <f>Table2[[#This Row],[PUNTUALIDAD (H)]]*24</f>
        <v>0.8333333334303461</v>
      </c>
      <c r="AF410" s="127">
        <f t="shared" si="152"/>
        <v>1.2083333333357587</v>
      </c>
      <c r="AG410" s="128">
        <f>Table2[[#This Row],[ATA TO UNLOADING]]*24</f>
        <v>29.000000000058208</v>
      </c>
      <c r="AH410" s="128" t="str">
        <f>IF(Table2[[#This Row],[ATA TO UNLOADING 2]]&lt;=48,"YES","NO")</f>
        <v>YES</v>
      </c>
      <c r="AJ410" s="129">
        <f t="shared" si="153"/>
        <v>0.54166666666424135</v>
      </c>
      <c r="AK410" s="2" t="s">
        <v>64</v>
      </c>
      <c r="AL410" s="2" t="str">
        <f t="shared" si="154"/>
        <v>10/26</v>
      </c>
      <c r="AM410" s="2" t="str">
        <f t="shared" si="155"/>
        <v>MRSU6156070</v>
      </c>
      <c r="AN410" s="130" t="str">
        <f t="shared" si="156"/>
        <v>OM TRANSPORT</v>
      </c>
      <c r="AO410" s="151">
        <f>IF($O410="TRUCK",
VLOOKUP($AU410,Invoicing!$A$16:$B$56,MATCH($AO$1,Invoicing!$A$16:$B$16,0),FALSE)+IF(OR($B410="DCD",$B410="HPD2"),23.5,0),
VLOOKUP($AU410,Invoicing!$N$15:$O$19,MATCH($AO$1,Invoicing!$N$15:$O$15,0),FALSE)+IF(OR($B410="DCD",$B410="HPD2"),23.5,0))</f>
        <v>498.5</v>
      </c>
      <c r="AP410" s="131">
        <f>VLOOKUP($E410,Invoicing!$A$1:$H$12,MATCH(TRACKER!$P410,Invoicing!$A$1:$H$1,0),FALSE)</f>
        <v>110</v>
      </c>
      <c r="AQ410" s="131">
        <f>VLOOKUP($E410,Invoicing!$A$1:$H$12,MATCH(TRACKER!$Q$1,Invoicing!$A$1:$H$1,0),FALSE)</f>
        <v>50</v>
      </c>
      <c r="AR410" s="131">
        <f t="shared" si="157"/>
        <v>0</v>
      </c>
      <c r="AS410" s="2">
        <f t="shared" si="158"/>
        <v>2</v>
      </c>
      <c r="AT410" s="2" t="str">
        <f t="shared" si="141"/>
        <v>WEEK</v>
      </c>
      <c r="AU410" s="2" t="str">
        <f t="shared" si="159"/>
        <v>OM TRANSPORTWEEK</v>
      </c>
      <c r="AV410" s="94">
        <f>(IF(ISNA(AP410),AO410+AR410,SUM($AO410,$AR410,IFERROR($AP410,"0"))))+Table2[[#This Row],[WAITING TIMES]]</f>
        <v>608.5</v>
      </c>
      <c r="AW410" s="48">
        <f>VLOOKUP(AN410,Invoicing!A:K,11,FALSE)</f>
        <v>20</v>
      </c>
      <c r="AY410" s="48"/>
      <c r="AZ410" s="48">
        <f t="shared" si="160"/>
        <v>628.5</v>
      </c>
      <c r="BA410" s="132">
        <f>VLOOKUP(AN410,Invoicing!A:J,10,FALSE)</f>
        <v>70</v>
      </c>
      <c r="BB410" s="132">
        <f>VLOOKUP(AN410,Invoicing!A:L,12,FALSE)</f>
        <v>1</v>
      </c>
      <c r="BC410" s="2"/>
    </row>
    <row r="411" spans="1:55">
      <c r="A411" s="38" t="s">
        <v>774</v>
      </c>
      <c r="B411" s="3" t="s">
        <v>77</v>
      </c>
      <c r="C411" s="11">
        <v>46083.368055555555</v>
      </c>
      <c r="D411" s="11">
        <v>46083.458333333336</v>
      </c>
      <c r="E411" s="11" t="s">
        <v>57</v>
      </c>
      <c r="F411" s="11" t="s">
        <v>775</v>
      </c>
      <c r="G411" s="11" t="s">
        <v>59</v>
      </c>
      <c r="H411" s="11" t="s">
        <v>91</v>
      </c>
      <c r="I411" s="86" t="s">
        <v>785</v>
      </c>
      <c r="J411" s="86" t="s">
        <v>82</v>
      </c>
      <c r="K411" s="11">
        <v>46084.541666666664</v>
      </c>
      <c r="L411" s="12">
        <v>46084.590277777781</v>
      </c>
      <c r="M411" s="12">
        <v>46084.541666666664</v>
      </c>
      <c r="N411" s="12">
        <v>46084.590277777781</v>
      </c>
      <c r="O411" s="12" t="s">
        <v>63</v>
      </c>
      <c r="P411" s="85" t="s">
        <v>64</v>
      </c>
      <c r="Q411" s="3">
        <v>0</v>
      </c>
      <c r="R411" s="1">
        <f t="shared" si="142"/>
        <v>10</v>
      </c>
      <c r="S411" s="1">
        <f t="shared" si="143"/>
        <v>3</v>
      </c>
      <c r="T411" s="126">
        <f t="shared" si="144"/>
        <v>46084.590277777781</v>
      </c>
      <c r="U411" s="127">
        <f t="shared" si="145"/>
        <v>1.1736111111094942</v>
      </c>
      <c r="V411" s="128">
        <f>Table2[[#This Row],[ATA A OFRECIMIENTO]]*24</f>
        <v>28.166666666627862</v>
      </c>
      <c r="W411" s="1" t="str">
        <f t="shared" si="146"/>
        <v>YES</v>
      </c>
      <c r="X411" s="127">
        <f t="shared" si="147"/>
        <v>0</v>
      </c>
      <c r="Y411" s="128">
        <f>Table2[[#This Row],[DEL. AVAILABLE A SLOT]]*24</f>
        <v>0</v>
      </c>
      <c r="Z411" s="1" t="str">
        <f t="shared" si="148"/>
        <v>SI</v>
      </c>
      <c r="AA411" s="127">
        <f t="shared" si="149"/>
        <v>1.1736111111094942</v>
      </c>
      <c r="AB411" s="128">
        <f>Table2[[#This Row],[ATA A TIMESLOT]]*24</f>
        <v>28.166666666627862</v>
      </c>
      <c r="AC411" s="127">
        <f t="shared" si="150"/>
        <v>4.8611111116770189E-2</v>
      </c>
      <c r="AD411" s="127" t="str">
        <f t="shared" si="151"/>
        <v>NO</v>
      </c>
      <c r="AE411" s="128">
        <f>Table2[[#This Row],[PUNTUALIDAD (H)]]*24</f>
        <v>1.1666666668024845</v>
      </c>
      <c r="AF411" s="127">
        <f t="shared" si="152"/>
        <v>1.2222222222262644</v>
      </c>
      <c r="AG411" s="128">
        <f>Table2[[#This Row],[ATA TO UNLOADING]]*24</f>
        <v>29.333333333430346</v>
      </c>
      <c r="AH411" s="128" t="str">
        <f>IF(Table2[[#This Row],[ATA TO UNLOADING 2]]&lt;=48,"YES","NO")</f>
        <v>YES</v>
      </c>
      <c r="AJ411" s="129">
        <f t="shared" si="153"/>
        <v>0.54166666666424135</v>
      </c>
      <c r="AK411" s="2" t="s">
        <v>64</v>
      </c>
      <c r="AL411" s="2" t="str">
        <f t="shared" si="154"/>
        <v>10/26</v>
      </c>
      <c r="AM411" s="2" t="str">
        <f t="shared" si="155"/>
        <v>TCNU2882270</v>
      </c>
      <c r="AN411" s="130" t="str">
        <f t="shared" si="156"/>
        <v>CTK TRANSPORT</v>
      </c>
      <c r="AO411" s="151">
        <f>IF($O411="TRUCK",
VLOOKUP($AU411,Invoicing!$A$16:$B$56,MATCH($AO$1,Invoicing!$A$16:$B$16,0),FALSE)+IF(OR($B411="DCD",$B411="HPD2"),23.5,0),
VLOOKUP($AU411,Invoicing!$N$15:$O$19,MATCH($AO$1,Invoicing!$N$15:$O$15,0),FALSE)+IF(OR($B411="DCD",$B411="HPD2"),23.5,0))</f>
        <v>573.5</v>
      </c>
      <c r="AP411" s="131" t="e">
        <f>VLOOKUP($E411,Invoicing!$A$1:$H$12,MATCH(TRACKER!$P411,Invoicing!$A$1:$H$1,0),FALSE)</f>
        <v>#N/A</v>
      </c>
      <c r="AQ411" s="131">
        <f>VLOOKUP($E411,Invoicing!$A$1:$H$12,MATCH(TRACKER!$Q$1,Invoicing!$A$1:$H$1,0),FALSE)</f>
        <v>50</v>
      </c>
      <c r="AR411" s="131">
        <f t="shared" si="157"/>
        <v>0</v>
      </c>
      <c r="AS411" s="2">
        <f t="shared" si="158"/>
        <v>2</v>
      </c>
      <c r="AT411" s="2" t="str">
        <f t="shared" si="141"/>
        <v>WEEK</v>
      </c>
      <c r="AU411" s="2" t="str">
        <f t="shared" si="159"/>
        <v>CTK TRANSPORTWEEK</v>
      </c>
      <c r="AV411" s="94">
        <f>(IF(ISNA(AP411),AO411+AR411,SUM($AO411,$AR411,IFERROR($AP411,"0"))))+Table2[[#This Row],[WAITING TIMES]]</f>
        <v>573.5</v>
      </c>
      <c r="AW411" s="48">
        <f>VLOOKUP(AN411,Invoicing!A:K,11,FALSE)</f>
        <v>20</v>
      </c>
      <c r="AY411" s="48"/>
      <c r="AZ411" s="48">
        <f t="shared" si="160"/>
        <v>593.5</v>
      </c>
      <c r="BA411" s="132">
        <f>VLOOKUP(AN411,Invoicing!A:J,10,FALSE)</f>
        <v>70</v>
      </c>
      <c r="BB411" s="132">
        <f>VLOOKUP(AN411,Invoicing!A:L,12,FALSE)</f>
        <v>1</v>
      </c>
      <c r="BC411" s="2"/>
    </row>
    <row r="412" spans="1:55">
      <c r="A412" s="38" t="s">
        <v>774</v>
      </c>
      <c r="B412" s="3" t="s">
        <v>77</v>
      </c>
      <c r="C412" s="11">
        <v>46083.368055555555</v>
      </c>
      <c r="D412" s="11">
        <v>46083.458333333336</v>
      </c>
      <c r="E412" s="11" t="s">
        <v>73</v>
      </c>
      <c r="F412" s="11" t="s">
        <v>775</v>
      </c>
      <c r="G412" s="11" t="s">
        <v>59</v>
      </c>
      <c r="H412" s="11" t="s">
        <v>91</v>
      </c>
      <c r="I412" s="86" t="s">
        <v>786</v>
      </c>
      <c r="J412" s="86" t="s">
        <v>82</v>
      </c>
      <c r="K412" s="11">
        <v>46084.541666666664</v>
      </c>
      <c r="L412" s="12">
        <v>46084.611111111109</v>
      </c>
      <c r="M412" s="12">
        <v>46084.583333333336</v>
      </c>
      <c r="N412" s="12">
        <v>46084.621527777781</v>
      </c>
      <c r="O412" s="12" t="s">
        <v>63</v>
      </c>
      <c r="P412" s="85" t="s">
        <v>64</v>
      </c>
      <c r="Q412" s="3">
        <v>0</v>
      </c>
      <c r="R412" s="1">
        <f t="shared" si="142"/>
        <v>10</v>
      </c>
      <c r="S412" s="1">
        <f t="shared" si="143"/>
        <v>3</v>
      </c>
      <c r="T412" s="126">
        <f t="shared" si="144"/>
        <v>46084.611111111109</v>
      </c>
      <c r="U412" s="127">
        <f t="shared" si="145"/>
        <v>1.1736111111094942</v>
      </c>
      <c r="V412" s="128">
        <f>Table2[[#This Row],[ATA A OFRECIMIENTO]]*24</f>
        <v>28.166666666627862</v>
      </c>
      <c r="W412" s="1" t="str">
        <f t="shared" si="146"/>
        <v>YES</v>
      </c>
      <c r="X412" s="127">
        <f t="shared" si="147"/>
        <v>4.1666666671517305E-2</v>
      </c>
      <c r="Y412" s="128">
        <f>Table2[[#This Row],[DEL. AVAILABLE A SLOT]]*24</f>
        <v>1.0000000001164153</v>
      </c>
      <c r="Z412" s="1" t="str">
        <f t="shared" si="148"/>
        <v>SI</v>
      </c>
      <c r="AA412" s="127">
        <f t="shared" si="149"/>
        <v>1.2152777777810115</v>
      </c>
      <c r="AB412" s="128">
        <f>Table2[[#This Row],[ATA A TIMESLOT]]*24</f>
        <v>29.166666666744277</v>
      </c>
      <c r="AC412" s="127">
        <f t="shared" si="150"/>
        <v>2.7777777773735579E-2</v>
      </c>
      <c r="AD412" s="127" t="str">
        <f t="shared" si="151"/>
        <v>SI</v>
      </c>
      <c r="AE412" s="128">
        <f>Table2[[#This Row],[PUNTUALIDAD (H)]]*24</f>
        <v>0.6666666665696539</v>
      </c>
      <c r="AF412" s="127">
        <f t="shared" si="152"/>
        <v>1.2534722222262644</v>
      </c>
      <c r="AG412" s="128">
        <f>Table2[[#This Row],[ATA TO UNLOADING]]*24</f>
        <v>30.083333333430346</v>
      </c>
      <c r="AH412" s="128" t="str">
        <f>IF(Table2[[#This Row],[ATA TO UNLOADING 2]]&lt;=48,"YES","NO")</f>
        <v>YES</v>
      </c>
      <c r="AJ412" s="129">
        <f t="shared" si="153"/>
        <v>0.58333333333575865</v>
      </c>
      <c r="AK412" s="2" t="s">
        <v>64</v>
      </c>
      <c r="AL412" s="2" t="str">
        <f t="shared" si="154"/>
        <v>10/26</v>
      </c>
      <c r="AM412" s="2" t="str">
        <f t="shared" si="155"/>
        <v>MRSU3925295</v>
      </c>
      <c r="AN412" s="130" t="str">
        <f t="shared" si="156"/>
        <v>OTL</v>
      </c>
      <c r="AO412" s="151">
        <f>IF($O412="TRUCK",
VLOOKUP($AU412,Invoicing!$A$16:$B$56,MATCH($AO$1,Invoicing!$A$16:$B$16,0),FALSE)+IF(OR($B412="DCD",$B412="HPD2"),23.5,0),
VLOOKUP($AU412,Invoicing!$N$15:$O$19,MATCH($AO$1,Invoicing!$N$15:$O$15,0),FALSE)+IF(OR($B412="DCD",$B412="HPD2"),23.5,0))</f>
        <v>553.5</v>
      </c>
      <c r="AP412" s="131" t="e">
        <f>VLOOKUP($E412,Invoicing!$A$1:$H$12,MATCH(TRACKER!$P412,Invoicing!$A$1:$H$1,0),FALSE)</f>
        <v>#N/A</v>
      </c>
      <c r="AQ412" s="131">
        <f>VLOOKUP($E412,Invoicing!$A$1:$H$12,MATCH(TRACKER!$Q$1,Invoicing!$A$1:$H$1,0),FALSE)</f>
        <v>60</v>
      </c>
      <c r="AR412" s="131">
        <f t="shared" si="157"/>
        <v>0</v>
      </c>
      <c r="AS412" s="2">
        <f t="shared" si="158"/>
        <v>2</v>
      </c>
      <c r="AT412" s="2" t="str">
        <f t="shared" si="141"/>
        <v>WEEK</v>
      </c>
      <c r="AU412" s="2" t="str">
        <f t="shared" si="159"/>
        <v>OTLWEEK</v>
      </c>
      <c r="AV412" s="94">
        <f>(IF(ISNA(AP412),AO412+AR412,SUM($AO412,$AR412,IFERROR($AP412,"0"))))+Table2[[#This Row],[WAITING TIMES]]</f>
        <v>553.5</v>
      </c>
      <c r="AW412" s="48">
        <f>VLOOKUP(AN412,Invoicing!A:K,11,FALSE)</f>
        <v>20</v>
      </c>
      <c r="AY412" s="48"/>
      <c r="AZ412" s="48">
        <f t="shared" si="160"/>
        <v>573.5</v>
      </c>
      <c r="BA412" s="132">
        <f>VLOOKUP(AN412,Invoicing!A:J,10,FALSE)</f>
        <v>70</v>
      </c>
      <c r="BB412" s="132">
        <f>VLOOKUP(AN412,Invoicing!A:L,12,FALSE)</f>
        <v>1</v>
      </c>
      <c r="BC412" s="2"/>
    </row>
    <row r="413" spans="1:55">
      <c r="A413" s="38" t="s">
        <v>774</v>
      </c>
      <c r="B413" s="3" t="s">
        <v>77</v>
      </c>
      <c r="C413" s="11">
        <v>46083.368055555555</v>
      </c>
      <c r="D413" s="11">
        <v>46083.458333333336</v>
      </c>
      <c r="E413" s="11" t="s">
        <v>98</v>
      </c>
      <c r="F413" s="11" t="s">
        <v>787</v>
      </c>
      <c r="G413" s="11" t="s">
        <v>59</v>
      </c>
      <c r="H413" s="11" t="s">
        <v>91</v>
      </c>
      <c r="I413" s="86" t="s">
        <v>788</v>
      </c>
      <c r="J413" s="86" t="s">
        <v>82</v>
      </c>
      <c r="K413" s="11">
        <v>46084.541666666664</v>
      </c>
      <c r="L413" s="12">
        <v>46084.584722222222</v>
      </c>
      <c r="M413" s="12">
        <v>46084.625</v>
      </c>
      <c r="N413" s="12">
        <v>46084.600694444445</v>
      </c>
      <c r="O413" s="12" t="s">
        <v>63</v>
      </c>
      <c r="P413" s="85" t="s">
        <v>15</v>
      </c>
      <c r="Q413" s="3">
        <v>0</v>
      </c>
      <c r="R413" s="1">
        <f t="shared" si="142"/>
        <v>10</v>
      </c>
      <c r="S413" s="1">
        <f t="shared" si="143"/>
        <v>3</v>
      </c>
      <c r="T413" s="126">
        <f t="shared" si="144"/>
        <v>46084.584722222222</v>
      </c>
      <c r="U413" s="127">
        <f t="shared" si="145"/>
        <v>1.1736111111094942</v>
      </c>
      <c r="V413" s="128">
        <f>Table2[[#This Row],[ATA A OFRECIMIENTO]]*24</f>
        <v>28.166666666627862</v>
      </c>
      <c r="W413" s="1" t="str">
        <f t="shared" si="146"/>
        <v>YES</v>
      </c>
      <c r="X413" s="127">
        <f t="shared" si="147"/>
        <v>8.3333333335758653E-2</v>
      </c>
      <c r="Y413" s="128">
        <f>Table2[[#This Row],[DEL. AVAILABLE A SLOT]]*24</f>
        <v>2.0000000000582077</v>
      </c>
      <c r="Z413" s="1" t="str">
        <f t="shared" si="148"/>
        <v>SI</v>
      </c>
      <c r="AA413" s="127">
        <f t="shared" si="149"/>
        <v>1.2569444444452529</v>
      </c>
      <c r="AB413" s="128">
        <f>Table2[[#This Row],[ATA A TIMESLOT]]*24</f>
        <v>30.166666666686069</v>
      </c>
      <c r="AC413" s="127">
        <f t="shared" si="150"/>
        <v>0</v>
      </c>
      <c r="AD413" s="127" t="str">
        <f t="shared" si="151"/>
        <v>SI</v>
      </c>
      <c r="AE413" s="128">
        <f>Table2[[#This Row],[PUNTUALIDAD (H)]]*24</f>
        <v>0</v>
      </c>
      <c r="AF413" s="127">
        <f t="shared" si="152"/>
        <v>1.2326388888905058</v>
      </c>
      <c r="AG413" s="128">
        <f>Table2[[#This Row],[ATA TO UNLOADING]]*24</f>
        <v>29.583333333372138</v>
      </c>
      <c r="AH413" s="128" t="str">
        <f>IF(Table2[[#This Row],[ATA TO UNLOADING 2]]&lt;=48,"YES","NO")</f>
        <v>YES</v>
      </c>
      <c r="AJ413" s="129">
        <f t="shared" si="153"/>
        <v>0.625</v>
      </c>
      <c r="AK413" s="2" t="s">
        <v>64</v>
      </c>
      <c r="AL413" s="2" t="str">
        <f t="shared" si="154"/>
        <v>10/26</v>
      </c>
      <c r="AM413" s="2" t="str">
        <f t="shared" si="155"/>
        <v>MRSU8524470</v>
      </c>
      <c r="AN413" s="130" t="str">
        <f t="shared" si="156"/>
        <v>MSI</v>
      </c>
      <c r="AO413" s="151">
        <f>IF($O413="TRUCK",
VLOOKUP($AU413,Invoicing!$A$16:$B$56,MATCH($AO$1,Invoicing!$A$16:$B$16,0),FALSE)+IF(OR($B413="DCD",$B413="HPD2"),23.5,0),
VLOOKUP($AU413,Invoicing!$N$15:$O$19,MATCH($AO$1,Invoicing!$N$15:$O$15,0),FALSE)+IF(OR($B413="DCD",$B413="HPD2"),23.5,0))</f>
        <v>503.5</v>
      </c>
      <c r="AP413" s="131">
        <f>VLOOKUP($E413,Invoicing!$A$1:$H$12,MATCH(TRACKER!$P413,Invoicing!$A$1:$H$1,0),FALSE)</f>
        <v>120</v>
      </c>
      <c r="AQ413" s="131">
        <f>VLOOKUP($E413,Invoicing!$A$1:$H$12,MATCH(TRACKER!$Q$1,Invoicing!$A$1:$H$1,0),FALSE)</f>
        <v>50</v>
      </c>
      <c r="AR413" s="131">
        <f t="shared" si="157"/>
        <v>0</v>
      </c>
      <c r="AS413" s="2">
        <f t="shared" si="158"/>
        <v>2</v>
      </c>
      <c r="AT413" s="2" t="str">
        <f t="shared" si="141"/>
        <v>WEEK</v>
      </c>
      <c r="AU413" s="2" t="str">
        <f t="shared" si="159"/>
        <v>MSIWEEK</v>
      </c>
      <c r="AV413" s="94">
        <f>(IF(ISNA(AP413),AO413+AR413,SUM($AO413,$AR413,IFERROR($AP413,"0"))))+Table2[[#This Row],[WAITING TIMES]]</f>
        <v>623.5</v>
      </c>
      <c r="AW413" s="48">
        <f>VLOOKUP(AN413,Invoicing!A:K,11,FALSE)</f>
        <v>20</v>
      </c>
      <c r="AY413" s="48"/>
      <c r="AZ413" s="48">
        <f t="shared" si="160"/>
        <v>643.5</v>
      </c>
      <c r="BA413" s="132">
        <f>VLOOKUP(AN413,Invoicing!A:J,10,FALSE)</f>
        <v>70</v>
      </c>
      <c r="BB413" s="132">
        <f>VLOOKUP(AN413,Invoicing!A:L,12,FALSE)</f>
        <v>1</v>
      </c>
      <c r="BC413" s="2"/>
    </row>
    <row r="414" spans="1:55">
      <c r="A414" s="38" t="s">
        <v>774</v>
      </c>
      <c r="B414" s="3" t="s">
        <v>77</v>
      </c>
      <c r="C414" s="11">
        <v>46083.368055555555</v>
      </c>
      <c r="D414" s="11">
        <v>46083.458333333336</v>
      </c>
      <c r="E414" s="11" t="s">
        <v>71</v>
      </c>
      <c r="F414" s="11" t="s">
        <v>775</v>
      </c>
      <c r="G414" s="11" t="s">
        <v>59</v>
      </c>
      <c r="H414" s="11" t="s">
        <v>91</v>
      </c>
      <c r="I414" s="86" t="s">
        <v>789</v>
      </c>
      <c r="J414" s="86" t="s">
        <v>82</v>
      </c>
      <c r="K414" s="11">
        <v>46084.541666666664</v>
      </c>
      <c r="L414" s="12">
        <v>46084.727083333331</v>
      </c>
      <c r="M414" s="12">
        <v>46084.666666666664</v>
      </c>
      <c r="N414" s="12">
        <v>46084.743055555555</v>
      </c>
      <c r="O414" s="12" t="s">
        <v>63</v>
      </c>
      <c r="P414" s="85" t="s">
        <v>64</v>
      </c>
      <c r="Q414" s="3">
        <v>0</v>
      </c>
      <c r="R414" s="1">
        <f t="shared" si="142"/>
        <v>10</v>
      </c>
      <c r="S414" s="1">
        <f t="shared" si="143"/>
        <v>3</v>
      </c>
      <c r="T414" s="126">
        <f t="shared" si="144"/>
        <v>46084.727083333331</v>
      </c>
      <c r="U414" s="127">
        <f t="shared" si="145"/>
        <v>1.1736111111094942</v>
      </c>
      <c r="V414" s="128">
        <f>Table2[[#This Row],[ATA A OFRECIMIENTO]]*24</f>
        <v>28.166666666627862</v>
      </c>
      <c r="W414" s="1" t="str">
        <f t="shared" si="146"/>
        <v>YES</v>
      </c>
      <c r="X414" s="127">
        <f t="shared" si="147"/>
        <v>0.125</v>
      </c>
      <c r="Y414" s="128">
        <f>Table2[[#This Row],[DEL. AVAILABLE A SLOT]]*24</f>
        <v>3</v>
      </c>
      <c r="Z414" s="1" t="str">
        <f t="shared" si="148"/>
        <v>SI</v>
      </c>
      <c r="AA414" s="127">
        <f t="shared" si="149"/>
        <v>1.2986111111094942</v>
      </c>
      <c r="AB414" s="128">
        <f>Table2[[#This Row],[ATA A TIMESLOT]]*24</f>
        <v>31.166666666627862</v>
      </c>
      <c r="AC414" s="127">
        <f t="shared" si="150"/>
        <v>6.0416666667151731E-2</v>
      </c>
      <c r="AD414" s="127" t="str">
        <f t="shared" si="151"/>
        <v>NO</v>
      </c>
      <c r="AE414" s="128">
        <f>Table2[[#This Row],[PUNTUALIDAD (H)]]*24</f>
        <v>1.4500000000116415</v>
      </c>
      <c r="AF414" s="127">
        <f t="shared" si="152"/>
        <v>1.375</v>
      </c>
      <c r="AG414" s="128">
        <f>Table2[[#This Row],[ATA TO UNLOADING]]*24</f>
        <v>33</v>
      </c>
      <c r="AH414" s="128" t="str">
        <f>IF(Table2[[#This Row],[ATA TO UNLOADING 2]]&lt;=48,"YES","NO")</f>
        <v>YES</v>
      </c>
      <c r="AJ414" s="129">
        <f t="shared" si="153"/>
        <v>0.66666666666424135</v>
      </c>
      <c r="AK414" s="2" t="s">
        <v>64</v>
      </c>
      <c r="AL414" s="2" t="str">
        <f t="shared" si="154"/>
        <v>10/26</v>
      </c>
      <c r="AM414" s="2" t="str">
        <f t="shared" si="155"/>
        <v>BEAU5205187</v>
      </c>
      <c r="AN414" s="130" t="str">
        <f t="shared" si="156"/>
        <v>LOGIX</v>
      </c>
      <c r="AO414" s="151">
        <f>IF($O414="TRUCK",
VLOOKUP($AU414,Invoicing!$A$16:$B$56,MATCH($AO$1,Invoicing!$A$16:$B$16,0),FALSE)+IF(OR($B414="DCD",$B414="HPD2"),23.5,0),
VLOOKUP($AU414,Invoicing!$N$15:$O$19,MATCH($AO$1,Invoicing!$N$15:$O$15,0),FALSE)+IF(OR($B414="DCD",$B414="HPD2"),23.5,0))</f>
        <v>573.5</v>
      </c>
      <c r="AP414" s="131" t="e">
        <f>VLOOKUP($E414,Invoicing!$A$1:$H$12,MATCH(TRACKER!$P414,Invoicing!$A$1:$H$1,0),FALSE)</f>
        <v>#N/A</v>
      </c>
      <c r="AQ414" s="131">
        <f>VLOOKUP($E414,Invoicing!$A$1:$H$12,MATCH(TRACKER!$Q$1,Invoicing!$A$1:$H$1,0),FALSE)</f>
        <v>50</v>
      </c>
      <c r="AR414" s="131">
        <f t="shared" si="157"/>
        <v>0</v>
      </c>
      <c r="AS414" s="2">
        <f t="shared" si="158"/>
        <v>2</v>
      </c>
      <c r="AT414" s="2" t="str">
        <f t="shared" si="141"/>
        <v>WEEK</v>
      </c>
      <c r="AU414" s="2" t="str">
        <f t="shared" si="159"/>
        <v>LOGIXWEEK</v>
      </c>
      <c r="AV414" s="94">
        <f>(IF(ISNA(AP414),AO414+AR414,SUM($AO414,$AR414,IFERROR($AP414,"0"))))+Table2[[#This Row],[WAITING TIMES]]</f>
        <v>573.5</v>
      </c>
      <c r="AW414" s="48">
        <f>VLOOKUP(AN414,Invoicing!A:K,11,FALSE)</f>
        <v>20</v>
      </c>
      <c r="AY414" s="48"/>
      <c r="AZ414" s="48">
        <f t="shared" si="160"/>
        <v>593.5</v>
      </c>
      <c r="BA414" s="132">
        <f>VLOOKUP(AN414,Invoicing!A:J,10,FALSE)</f>
        <v>70</v>
      </c>
      <c r="BB414" s="132">
        <f>VLOOKUP(AN414,Invoicing!A:L,12,FALSE)</f>
        <v>1</v>
      </c>
      <c r="BC414" s="2"/>
    </row>
    <row r="415" spans="1:55">
      <c r="A415" s="38" t="s">
        <v>774</v>
      </c>
      <c r="B415" s="3" t="s">
        <v>77</v>
      </c>
      <c r="C415" s="11">
        <v>46083.368055555555</v>
      </c>
      <c r="D415" s="11">
        <v>46083.458333333336</v>
      </c>
      <c r="E415" s="11" t="s">
        <v>57</v>
      </c>
      <c r="F415" s="11" t="s">
        <v>777</v>
      </c>
      <c r="G415" s="11" t="s">
        <v>133</v>
      </c>
      <c r="H415" s="11" t="s">
        <v>91</v>
      </c>
      <c r="I415" s="86" t="s">
        <v>790</v>
      </c>
      <c r="J415" s="86" t="s">
        <v>62</v>
      </c>
      <c r="K415" s="11">
        <v>46084.541666666664</v>
      </c>
      <c r="L415" s="12">
        <v>46084.666666666664</v>
      </c>
      <c r="M415" s="12">
        <v>46084.666666666664</v>
      </c>
      <c r="N415" s="12">
        <v>46084.6875</v>
      </c>
      <c r="O415" s="12" t="s">
        <v>63</v>
      </c>
      <c r="P415" s="85" t="s">
        <v>64</v>
      </c>
      <c r="Q415" s="3">
        <v>0</v>
      </c>
      <c r="R415" s="1">
        <f t="shared" si="142"/>
        <v>10</v>
      </c>
      <c r="S415" s="1">
        <f t="shared" si="143"/>
        <v>3</v>
      </c>
      <c r="T415" s="126">
        <f t="shared" si="144"/>
        <v>46084.666666666664</v>
      </c>
      <c r="U415" s="127">
        <f t="shared" si="145"/>
        <v>1.1736111111094942</v>
      </c>
      <c r="V415" s="128">
        <f>Table2[[#This Row],[ATA A OFRECIMIENTO]]*24</f>
        <v>28.166666666627862</v>
      </c>
      <c r="W415" s="1" t="str">
        <f t="shared" si="146"/>
        <v>YES</v>
      </c>
      <c r="X415" s="127">
        <f t="shared" si="147"/>
        <v>0.125</v>
      </c>
      <c r="Y415" s="128">
        <f>Table2[[#This Row],[DEL. AVAILABLE A SLOT]]*24</f>
        <v>3</v>
      </c>
      <c r="Z415" s="1" t="str">
        <f t="shared" si="148"/>
        <v>SI</v>
      </c>
      <c r="AA415" s="127">
        <f t="shared" si="149"/>
        <v>1.2986111111094942</v>
      </c>
      <c r="AB415" s="128">
        <f>Table2[[#This Row],[ATA A TIMESLOT]]*24</f>
        <v>31.166666666627862</v>
      </c>
      <c r="AC415" s="127">
        <f t="shared" si="150"/>
        <v>0</v>
      </c>
      <c r="AD415" s="127" t="str">
        <f t="shared" si="151"/>
        <v>SI</v>
      </c>
      <c r="AE415" s="128">
        <f>Table2[[#This Row],[PUNTUALIDAD (H)]]*24</f>
        <v>0</v>
      </c>
      <c r="AF415" s="127">
        <f t="shared" si="152"/>
        <v>1.3194444444452529</v>
      </c>
      <c r="AG415" s="128">
        <f>Table2[[#This Row],[ATA TO UNLOADING]]*24</f>
        <v>31.666666666686069</v>
      </c>
      <c r="AH415" s="128" t="str">
        <f>IF(Table2[[#This Row],[ATA TO UNLOADING 2]]&lt;=48,"YES","NO")</f>
        <v>YES</v>
      </c>
      <c r="AJ415" s="129">
        <f t="shared" si="153"/>
        <v>0.66666666666424135</v>
      </c>
      <c r="AK415" s="2" t="s">
        <v>64</v>
      </c>
      <c r="AL415" s="2" t="str">
        <f t="shared" si="154"/>
        <v>10/26</v>
      </c>
      <c r="AM415" s="2" t="str">
        <f t="shared" si="155"/>
        <v>FBIU0127539</v>
      </c>
      <c r="AN415" s="130" t="str">
        <f t="shared" si="156"/>
        <v>CTK TRANSPORT</v>
      </c>
      <c r="AO415" s="151">
        <f>IF($O415="TRUCK",
VLOOKUP($AU415,Invoicing!$A$16:$B$56,MATCH($AO$1,Invoicing!$A$16:$B$16,0),FALSE)+IF(OR($B415="DCD",$B415="HPD2"),23.5,0),
VLOOKUP($AU415,Invoicing!$N$15:$O$19,MATCH($AO$1,Invoicing!$N$15:$O$15,0),FALSE)+IF(OR($B415="DCD",$B415="HPD2"),23.5,0))</f>
        <v>573.5</v>
      </c>
      <c r="AP415" s="131" t="e">
        <f>VLOOKUP($E415,Invoicing!$A$1:$H$12,MATCH(TRACKER!$P415,Invoicing!$A$1:$H$1,0),FALSE)</f>
        <v>#N/A</v>
      </c>
      <c r="AQ415" s="131">
        <f>VLOOKUP($E415,Invoicing!$A$1:$H$12,MATCH(TRACKER!$Q$1,Invoicing!$A$1:$H$1,0),FALSE)</f>
        <v>50</v>
      </c>
      <c r="AR415" s="131">
        <f t="shared" si="157"/>
        <v>0</v>
      </c>
      <c r="AS415" s="2">
        <f t="shared" si="158"/>
        <v>2</v>
      </c>
      <c r="AT415" s="2" t="str">
        <f t="shared" si="141"/>
        <v>WEEK</v>
      </c>
      <c r="AU415" s="2" t="str">
        <f t="shared" si="159"/>
        <v>CTK TRANSPORTWEEK</v>
      </c>
      <c r="AV415" s="94">
        <f>(IF(ISNA(AP415),AO415+AR415,SUM($AO415,$AR415,IFERROR($AP415,"0"))))+Table2[[#This Row],[WAITING TIMES]]</f>
        <v>573.5</v>
      </c>
      <c r="AW415" s="48">
        <f>VLOOKUP(AN415,Invoicing!A:K,11,FALSE)</f>
        <v>20</v>
      </c>
      <c r="AY415" s="48"/>
      <c r="AZ415" s="48">
        <f t="shared" si="160"/>
        <v>593.5</v>
      </c>
      <c r="BA415" s="132">
        <f>VLOOKUP(AN415,Invoicing!A:J,10,FALSE)</f>
        <v>70</v>
      </c>
      <c r="BB415" s="132">
        <f>VLOOKUP(AN415,Invoicing!A:L,12,FALSE)</f>
        <v>1</v>
      </c>
      <c r="BC415" s="2"/>
    </row>
    <row r="416" spans="1:55">
      <c r="A416" s="38" t="s">
        <v>774</v>
      </c>
      <c r="B416" s="3" t="s">
        <v>77</v>
      </c>
      <c r="C416" s="11">
        <v>46083.368055555555</v>
      </c>
      <c r="D416" s="11">
        <v>46083.458333333336</v>
      </c>
      <c r="E416" s="11" t="s">
        <v>98</v>
      </c>
      <c r="F416" s="11" t="s">
        <v>775</v>
      </c>
      <c r="G416" s="11" t="s">
        <v>59</v>
      </c>
      <c r="H416" s="11" t="s">
        <v>91</v>
      </c>
      <c r="I416" s="86" t="s">
        <v>791</v>
      </c>
      <c r="J416" s="86" t="s">
        <v>100</v>
      </c>
      <c r="K416" s="11">
        <v>46084.541666666664</v>
      </c>
      <c r="L416" s="12">
        <v>46084.650694444441</v>
      </c>
      <c r="M416" s="12">
        <v>46084.666666666664</v>
      </c>
      <c r="N416" s="12">
        <v>46084.663194444445</v>
      </c>
      <c r="O416" s="12" t="s">
        <v>63</v>
      </c>
      <c r="P416" s="85" t="s">
        <v>64</v>
      </c>
      <c r="Q416" s="3">
        <v>1</v>
      </c>
      <c r="R416" s="1">
        <f t="shared" si="142"/>
        <v>10</v>
      </c>
      <c r="S416" s="1">
        <f t="shared" si="143"/>
        <v>3</v>
      </c>
      <c r="T416" s="126">
        <f t="shared" si="144"/>
        <v>46084.650694444441</v>
      </c>
      <c r="U416" s="127">
        <f t="shared" si="145"/>
        <v>1.1736111111094942</v>
      </c>
      <c r="V416" s="128">
        <f>Table2[[#This Row],[ATA A OFRECIMIENTO]]*24</f>
        <v>28.166666666627862</v>
      </c>
      <c r="W416" s="1" t="str">
        <f t="shared" si="146"/>
        <v>YES</v>
      </c>
      <c r="X416" s="127">
        <f t="shared" si="147"/>
        <v>0.125</v>
      </c>
      <c r="Y416" s="128">
        <f>Table2[[#This Row],[DEL. AVAILABLE A SLOT]]*24</f>
        <v>3</v>
      </c>
      <c r="Z416" s="1" t="str">
        <f t="shared" si="148"/>
        <v>SI</v>
      </c>
      <c r="AA416" s="127">
        <f t="shared" si="149"/>
        <v>1.2986111111094942</v>
      </c>
      <c r="AB416" s="128">
        <f>Table2[[#This Row],[ATA A TIMESLOT]]*24</f>
        <v>31.166666666627862</v>
      </c>
      <c r="AC416" s="127">
        <f t="shared" si="150"/>
        <v>0</v>
      </c>
      <c r="AD416" s="127" t="str">
        <f t="shared" si="151"/>
        <v>SI</v>
      </c>
      <c r="AE416" s="128">
        <f>Table2[[#This Row],[PUNTUALIDAD (H)]]*24</f>
        <v>0</v>
      </c>
      <c r="AF416" s="127">
        <f t="shared" si="152"/>
        <v>1.2951388888905058</v>
      </c>
      <c r="AG416" s="128">
        <f>Table2[[#This Row],[ATA TO UNLOADING]]*24</f>
        <v>31.083333333372138</v>
      </c>
      <c r="AH416" s="128" t="str">
        <f>IF(Table2[[#This Row],[ATA TO UNLOADING 2]]&lt;=48,"YES","NO")</f>
        <v>YES</v>
      </c>
      <c r="AJ416" s="129">
        <f t="shared" si="153"/>
        <v>0.66666666666424135</v>
      </c>
      <c r="AK416" s="2" t="s">
        <v>64</v>
      </c>
      <c r="AL416" s="2" t="str">
        <f t="shared" si="154"/>
        <v>10/26</v>
      </c>
      <c r="AM416" s="2" t="str">
        <f t="shared" si="155"/>
        <v>MRSU3136677</v>
      </c>
      <c r="AN416" s="130" t="str">
        <f t="shared" si="156"/>
        <v>MSI</v>
      </c>
      <c r="AO416" s="151">
        <f>IF($O416="TRUCK",
VLOOKUP($AU416,Invoicing!$A$16:$B$56,MATCH($AO$1,Invoicing!$A$16:$B$16,0),FALSE)+IF(OR($B416="DCD",$B416="HPD2"),23.5,0),
VLOOKUP($AU416,Invoicing!$N$15:$O$19,MATCH($AO$1,Invoicing!$N$15:$O$15,0),FALSE)+IF(OR($B416="DCD",$B416="HPD2"),23.5,0))</f>
        <v>503.5</v>
      </c>
      <c r="AP416" s="131" t="e">
        <f>VLOOKUP($E416,Invoicing!$A$1:$H$12,MATCH(TRACKER!$P416,Invoicing!$A$1:$H$1,0),FALSE)</f>
        <v>#N/A</v>
      </c>
      <c r="AQ416" s="131">
        <f>VLOOKUP($E416,Invoicing!$A$1:$H$12,MATCH(TRACKER!$Q$1,Invoicing!$A$1:$H$1,0),FALSE)</f>
        <v>50</v>
      </c>
      <c r="AR416" s="131">
        <f t="shared" si="157"/>
        <v>50</v>
      </c>
      <c r="AS416" s="2">
        <f t="shared" si="158"/>
        <v>2</v>
      </c>
      <c r="AT416" s="2" t="str">
        <f t="shared" si="141"/>
        <v>WEEK</v>
      </c>
      <c r="AU416" s="2" t="str">
        <f t="shared" si="159"/>
        <v>MSIWEEK</v>
      </c>
      <c r="AV416" s="94">
        <f>(IF(ISNA(AP416),AO416+AR416,SUM($AO416,$AR416,IFERROR($AP416,"0"))))+Table2[[#This Row],[WAITING TIMES]]</f>
        <v>553.5</v>
      </c>
      <c r="AW416" s="48">
        <f>VLOOKUP(AN416,Invoicing!A:K,11,FALSE)</f>
        <v>20</v>
      </c>
      <c r="AY416" s="48"/>
      <c r="AZ416" s="48">
        <f t="shared" si="160"/>
        <v>573.5</v>
      </c>
      <c r="BA416" s="132">
        <f>VLOOKUP(AN416,Invoicing!A:J,10,FALSE)</f>
        <v>70</v>
      </c>
      <c r="BB416" s="132">
        <f>VLOOKUP(AN416,Invoicing!A:L,12,FALSE)</f>
        <v>1</v>
      </c>
      <c r="BC416" s="2"/>
    </row>
    <row r="417" spans="1:55">
      <c r="A417" s="38" t="s">
        <v>774</v>
      </c>
      <c r="B417" s="3" t="s">
        <v>77</v>
      </c>
      <c r="C417" s="11">
        <v>46083.368055555555</v>
      </c>
      <c r="D417" s="11">
        <v>46083.458333333336</v>
      </c>
      <c r="E417" s="11" t="s">
        <v>98</v>
      </c>
      <c r="F417" s="11" t="s">
        <v>783</v>
      </c>
      <c r="G417" s="11" t="s">
        <v>59</v>
      </c>
      <c r="H417" s="11" t="s">
        <v>91</v>
      </c>
      <c r="I417" s="86" t="s">
        <v>792</v>
      </c>
      <c r="J417" s="86" t="s">
        <v>82</v>
      </c>
      <c r="K417" s="11">
        <v>46084.541666666664</v>
      </c>
      <c r="L417" s="12">
        <v>46084.72152777778</v>
      </c>
      <c r="M417" s="12">
        <v>46084.708333333336</v>
      </c>
      <c r="N417" s="12">
        <v>46084.756944444445</v>
      </c>
      <c r="O417" s="12" t="s">
        <v>63</v>
      </c>
      <c r="P417" s="85" t="s">
        <v>15</v>
      </c>
      <c r="Q417" s="3">
        <v>0</v>
      </c>
      <c r="R417" s="1">
        <f t="shared" si="142"/>
        <v>10</v>
      </c>
      <c r="S417" s="1">
        <f t="shared" si="143"/>
        <v>3</v>
      </c>
      <c r="T417" s="126">
        <f t="shared" si="144"/>
        <v>46084.72152777778</v>
      </c>
      <c r="U417" s="127">
        <f t="shared" si="145"/>
        <v>1.1736111111094942</v>
      </c>
      <c r="V417" s="128">
        <f>Table2[[#This Row],[ATA A OFRECIMIENTO]]*24</f>
        <v>28.166666666627862</v>
      </c>
      <c r="W417" s="1" t="str">
        <f t="shared" si="146"/>
        <v>YES</v>
      </c>
      <c r="X417" s="127">
        <f t="shared" si="147"/>
        <v>0.16666666667151731</v>
      </c>
      <c r="Y417" s="128">
        <f>Table2[[#This Row],[DEL. AVAILABLE A SLOT]]*24</f>
        <v>4.0000000001164153</v>
      </c>
      <c r="Z417" s="1" t="str">
        <f t="shared" si="148"/>
        <v>SI</v>
      </c>
      <c r="AA417" s="127">
        <f t="shared" si="149"/>
        <v>1.3402777777810115</v>
      </c>
      <c r="AB417" s="128">
        <f>Table2[[#This Row],[ATA A TIMESLOT]]*24</f>
        <v>32.166666666744277</v>
      </c>
      <c r="AC417" s="127">
        <f t="shared" si="150"/>
        <v>1.3194444443797693E-2</v>
      </c>
      <c r="AD417" s="127" t="str">
        <f t="shared" si="151"/>
        <v>SI</v>
      </c>
      <c r="AE417" s="128">
        <f>Table2[[#This Row],[PUNTUALIDAD (H)]]*24</f>
        <v>0.31666666665114462</v>
      </c>
      <c r="AF417" s="127">
        <f t="shared" si="152"/>
        <v>1.3888888888905058</v>
      </c>
      <c r="AG417" s="128">
        <f>Table2[[#This Row],[ATA TO UNLOADING]]*24</f>
        <v>33.333333333372138</v>
      </c>
      <c r="AH417" s="128" t="str">
        <f>IF(Table2[[#This Row],[ATA TO UNLOADING 2]]&lt;=48,"YES","NO")</f>
        <v>YES</v>
      </c>
      <c r="AJ417" s="129">
        <f t="shared" si="153"/>
        <v>0.70833333333575865</v>
      </c>
      <c r="AK417" s="2" t="s">
        <v>64</v>
      </c>
      <c r="AL417" s="2" t="str">
        <f t="shared" si="154"/>
        <v>10/26</v>
      </c>
      <c r="AM417" s="2" t="str">
        <f t="shared" si="155"/>
        <v>TIIU4709874</v>
      </c>
      <c r="AN417" s="130" t="str">
        <f t="shared" si="156"/>
        <v>MSI</v>
      </c>
      <c r="AO417" s="151">
        <f>IF($O417="TRUCK",
VLOOKUP($AU417,Invoicing!$A$16:$B$56,MATCH($AO$1,Invoicing!$A$16:$B$16,0),FALSE)+IF(OR($B417="DCD",$B417="HPD2"),23.5,0),
VLOOKUP($AU417,Invoicing!$N$15:$O$19,MATCH($AO$1,Invoicing!$N$15:$O$15,0),FALSE)+IF(OR($B417="DCD",$B417="HPD2"),23.5,0))</f>
        <v>503.5</v>
      </c>
      <c r="AP417" s="131">
        <f>VLOOKUP($E417,Invoicing!$A$1:$H$12,MATCH(TRACKER!$P417,Invoicing!$A$1:$H$1,0),FALSE)</f>
        <v>120</v>
      </c>
      <c r="AQ417" s="131">
        <f>VLOOKUP($E417,Invoicing!$A$1:$H$12,MATCH(TRACKER!$Q$1,Invoicing!$A$1:$H$1,0),FALSE)</f>
        <v>50</v>
      </c>
      <c r="AR417" s="131">
        <f t="shared" si="157"/>
        <v>0</v>
      </c>
      <c r="AS417" s="2">
        <f t="shared" si="158"/>
        <v>2</v>
      </c>
      <c r="AT417" s="2" t="str">
        <f t="shared" si="141"/>
        <v>WEEK</v>
      </c>
      <c r="AU417" s="2" t="str">
        <f t="shared" si="159"/>
        <v>MSIWEEK</v>
      </c>
      <c r="AV417" s="94">
        <f>(IF(ISNA(AP417),AO417+AR417,SUM($AO417,$AR417,IFERROR($AP417,"0"))))+Table2[[#This Row],[WAITING TIMES]]</f>
        <v>623.5</v>
      </c>
      <c r="AW417" s="48">
        <f>VLOOKUP(AN417,Invoicing!A:K,11,FALSE)</f>
        <v>20</v>
      </c>
      <c r="AY417" s="48"/>
      <c r="AZ417" s="48">
        <f t="shared" si="160"/>
        <v>643.5</v>
      </c>
      <c r="BA417" s="132">
        <f>VLOOKUP(AN417,Invoicing!A:J,10,FALSE)</f>
        <v>70</v>
      </c>
      <c r="BB417" s="132">
        <f>VLOOKUP(AN417,Invoicing!A:L,12,FALSE)</f>
        <v>1</v>
      </c>
      <c r="BC417" s="2"/>
    </row>
    <row r="418" spans="1:55">
      <c r="A418" s="38" t="s">
        <v>774</v>
      </c>
      <c r="B418" s="3" t="s">
        <v>77</v>
      </c>
      <c r="C418" s="11">
        <v>46083.368055555555</v>
      </c>
      <c r="D418" s="11">
        <v>46083.458333333336</v>
      </c>
      <c r="E418" s="11" t="s">
        <v>73</v>
      </c>
      <c r="F418" s="11" t="s">
        <v>775</v>
      </c>
      <c r="G418" s="11" t="s">
        <v>59</v>
      </c>
      <c r="H418" s="11" t="s">
        <v>91</v>
      </c>
      <c r="I418" s="86" t="s">
        <v>793</v>
      </c>
      <c r="J418" s="86" t="s">
        <v>62</v>
      </c>
      <c r="K418" s="11">
        <v>46084.541666666664</v>
      </c>
      <c r="L418" s="12">
        <v>46084.833333333336</v>
      </c>
      <c r="M418" s="12">
        <v>46084.75</v>
      </c>
      <c r="N418" s="12">
        <v>46084.847222222219</v>
      </c>
      <c r="O418" s="12" t="s">
        <v>63</v>
      </c>
      <c r="P418" s="85" t="s">
        <v>64</v>
      </c>
      <c r="Q418" s="3">
        <v>0</v>
      </c>
      <c r="R418" s="1">
        <f t="shared" si="142"/>
        <v>10</v>
      </c>
      <c r="S418" s="1">
        <f t="shared" si="143"/>
        <v>3</v>
      </c>
      <c r="T418" s="126">
        <f t="shared" si="144"/>
        <v>46084.833333333336</v>
      </c>
      <c r="U418" s="127">
        <f t="shared" si="145"/>
        <v>1.1736111111094942</v>
      </c>
      <c r="V418" s="128">
        <f>Table2[[#This Row],[ATA A OFRECIMIENTO]]*24</f>
        <v>28.166666666627862</v>
      </c>
      <c r="W418" s="1" t="str">
        <f t="shared" si="146"/>
        <v>YES</v>
      </c>
      <c r="X418" s="127">
        <f t="shared" si="147"/>
        <v>0.20833333333575865</v>
      </c>
      <c r="Y418" s="128">
        <f>Table2[[#This Row],[DEL. AVAILABLE A SLOT]]*24</f>
        <v>5.0000000000582077</v>
      </c>
      <c r="Z418" s="1" t="str">
        <f t="shared" si="148"/>
        <v>SI</v>
      </c>
      <c r="AA418" s="127">
        <f t="shared" si="149"/>
        <v>1.3819444444452529</v>
      </c>
      <c r="AB418" s="128">
        <f>Table2[[#This Row],[ATA A TIMESLOT]]*24</f>
        <v>33.166666666686069</v>
      </c>
      <c r="AC418" s="127">
        <f t="shared" si="150"/>
        <v>8.3333333335758653E-2</v>
      </c>
      <c r="AD418" s="127" t="str">
        <f t="shared" si="151"/>
        <v>NO</v>
      </c>
      <c r="AE418" s="128">
        <f>Table2[[#This Row],[PUNTUALIDAD (H)]]*24</f>
        <v>2.0000000000582077</v>
      </c>
      <c r="AF418" s="127">
        <f t="shared" si="152"/>
        <v>1.4791666666642413</v>
      </c>
      <c r="AG418" s="128">
        <f>Table2[[#This Row],[ATA TO UNLOADING]]*24</f>
        <v>35.499999999941792</v>
      </c>
      <c r="AH418" s="128" t="str">
        <f>IF(Table2[[#This Row],[ATA TO UNLOADING 2]]&lt;=48,"YES","NO")</f>
        <v>YES</v>
      </c>
      <c r="AJ418" s="129">
        <f t="shared" si="153"/>
        <v>0.75</v>
      </c>
      <c r="AK418" s="2" t="s">
        <v>64</v>
      </c>
      <c r="AL418" s="2" t="str">
        <f t="shared" si="154"/>
        <v>10/26</v>
      </c>
      <c r="AM418" s="2" t="str">
        <f t="shared" si="155"/>
        <v>MRSU4168299</v>
      </c>
      <c r="AN418" s="130" t="str">
        <f t="shared" si="156"/>
        <v>OTL</v>
      </c>
      <c r="AO418" s="151">
        <f>IF($O418="TRUCK",
VLOOKUP($AU418,Invoicing!$A$16:$B$56,MATCH($AO$1,Invoicing!$A$16:$B$16,0),FALSE)+IF(OR($B418="DCD",$B418="HPD2"),23.5,0),
VLOOKUP($AU418,Invoicing!$N$15:$O$19,MATCH($AO$1,Invoicing!$N$15:$O$15,0),FALSE)+IF(OR($B418="DCD",$B418="HPD2"),23.5,0))</f>
        <v>553.5</v>
      </c>
      <c r="AP418" s="131" t="e">
        <f>VLOOKUP($E418,Invoicing!$A$1:$H$12,MATCH(TRACKER!$P418,Invoicing!$A$1:$H$1,0),FALSE)</f>
        <v>#N/A</v>
      </c>
      <c r="AQ418" s="131">
        <f>VLOOKUP($E418,Invoicing!$A$1:$H$12,MATCH(TRACKER!$Q$1,Invoicing!$A$1:$H$1,0),FALSE)</f>
        <v>60</v>
      </c>
      <c r="AR418" s="131">
        <f t="shared" si="157"/>
        <v>0</v>
      </c>
      <c r="AS418" s="2">
        <f t="shared" si="158"/>
        <v>2</v>
      </c>
      <c r="AT418" s="2" t="str">
        <f t="shared" si="141"/>
        <v>WEEK</v>
      </c>
      <c r="AU418" s="2" t="str">
        <f t="shared" si="159"/>
        <v>OTLWEEK</v>
      </c>
      <c r="AV418" s="94">
        <f>(IF(ISNA(AP418),AO418+AR418,SUM($AO418,$AR418,IFERROR($AP418,"0"))))+Table2[[#This Row],[WAITING TIMES]]</f>
        <v>553.5</v>
      </c>
      <c r="AW418" s="48">
        <f>VLOOKUP(AN418,Invoicing!A:K,11,FALSE)</f>
        <v>20</v>
      </c>
      <c r="AY418" s="48"/>
      <c r="AZ418" s="48">
        <f t="shared" si="160"/>
        <v>573.5</v>
      </c>
      <c r="BA418" s="132">
        <f>VLOOKUP(AN418,Invoicing!A:J,10,FALSE)</f>
        <v>70</v>
      </c>
      <c r="BB418" s="132">
        <f>VLOOKUP(AN418,Invoicing!A:L,12,FALSE)</f>
        <v>1</v>
      </c>
      <c r="BC418" s="2"/>
    </row>
    <row r="419" spans="1:55">
      <c r="A419" s="38" t="s">
        <v>774</v>
      </c>
      <c r="B419" s="3" t="s">
        <v>77</v>
      </c>
      <c r="C419" s="11">
        <v>46083.368055555555</v>
      </c>
      <c r="D419" s="11">
        <v>46083.458333333336</v>
      </c>
      <c r="E419" s="11" t="s">
        <v>83</v>
      </c>
      <c r="F419" s="11" t="s">
        <v>787</v>
      </c>
      <c r="G419" s="11" t="s">
        <v>59</v>
      </c>
      <c r="H419" s="11" t="s">
        <v>91</v>
      </c>
      <c r="I419" s="86" t="s">
        <v>794</v>
      </c>
      <c r="J419" s="86" t="s">
        <v>82</v>
      </c>
      <c r="K419" s="11">
        <v>46084.541666666664</v>
      </c>
      <c r="L419" s="12">
        <v>46084.743750000001</v>
      </c>
      <c r="M419" s="12">
        <v>46084.75</v>
      </c>
      <c r="N419" s="12">
        <v>46084.791666666664</v>
      </c>
      <c r="O419" s="12" t="s">
        <v>63</v>
      </c>
      <c r="P419" s="85" t="s">
        <v>15</v>
      </c>
      <c r="Q419" s="3">
        <v>0</v>
      </c>
      <c r="R419" s="1">
        <f t="shared" si="142"/>
        <v>10</v>
      </c>
      <c r="S419" s="1">
        <f t="shared" si="143"/>
        <v>3</v>
      </c>
      <c r="T419" s="126">
        <f t="shared" si="144"/>
        <v>46084.743750000001</v>
      </c>
      <c r="U419" s="127">
        <f t="shared" si="145"/>
        <v>1.1736111111094942</v>
      </c>
      <c r="V419" s="128">
        <f>Table2[[#This Row],[ATA A OFRECIMIENTO]]*24</f>
        <v>28.166666666627862</v>
      </c>
      <c r="W419" s="1" t="str">
        <f t="shared" si="146"/>
        <v>YES</v>
      </c>
      <c r="X419" s="127">
        <f t="shared" si="147"/>
        <v>0.20833333333575865</v>
      </c>
      <c r="Y419" s="128">
        <f>Table2[[#This Row],[DEL. AVAILABLE A SLOT]]*24</f>
        <v>5.0000000000582077</v>
      </c>
      <c r="Z419" s="1" t="str">
        <f t="shared" si="148"/>
        <v>SI</v>
      </c>
      <c r="AA419" s="127">
        <f t="shared" si="149"/>
        <v>1.3819444444452529</v>
      </c>
      <c r="AB419" s="128">
        <f>Table2[[#This Row],[ATA A TIMESLOT]]*24</f>
        <v>33.166666666686069</v>
      </c>
      <c r="AC419" s="127">
        <f t="shared" si="150"/>
        <v>0</v>
      </c>
      <c r="AD419" s="127" t="str">
        <f t="shared" si="151"/>
        <v>SI</v>
      </c>
      <c r="AE419" s="128">
        <f>Table2[[#This Row],[PUNTUALIDAD (H)]]*24</f>
        <v>0</v>
      </c>
      <c r="AF419" s="127">
        <f t="shared" si="152"/>
        <v>1.4236111111094942</v>
      </c>
      <c r="AG419" s="128">
        <f>Table2[[#This Row],[ATA TO UNLOADING]]*24</f>
        <v>34.166666666627862</v>
      </c>
      <c r="AH419" s="128" t="str">
        <f>IF(Table2[[#This Row],[ATA TO UNLOADING 2]]&lt;=48,"YES","NO")</f>
        <v>YES</v>
      </c>
      <c r="AJ419" s="129">
        <f t="shared" si="153"/>
        <v>0.75</v>
      </c>
      <c r="AK419" s="2" t="s">
        <v>64</v>
      </c>
      <c r="AL419" s="2" t="str">
        <f t="shared" si="154"/>
        <v>10/26</v>
      </c>
      <c r="AM419" s="2" t="str">
        <f t="shared" si="155"/>
        <v>SEKU4717293</v>
      </c>
      <c r="AN419" s="130" t="str">
        <f t="shared" si="156"/>
        <v>OM TRANSPORT</v>
      </c>
      <c r="AO419" s="151">
        <f>IF($O419="TRUCK",
VLOOKUP($AU419,Invoicing!$A$16:$B$56,MATCH($AO$1,Invoicing!$A$16:$B$16,0),FALSE)+IF(OR($B419="DCD",$B419="HPD2"),23.5,0),
VLOOKUP($AU419,Invoicing!$N$15:$O$19,MATCH($AO$1,Invoicing!$N$15:$O$15,0),FALSE)+IF(OR($B419="DCD",$B419="HPD2"),23.5,0))</f>
        <v>498.5</v>
      </c>
      <c r="AP419" s="131">
        <f>VLOOKUP($E419,Invoicing!$A$1:$H$12,MATCH(TRACKER!$P419,Invoicing!$A$1:$H$1,0),FALSE)</f>
        <v>110</v>
      </c>
      <c r="AQ419" s="131">
        <f>VLOOKUP($E419,Invoicing!$A$1:$H$12,MATCH(TRACKER!$Q$1,Invoicing!$A$1:$H$1,0),FALSE)</f>
        <v>50</v>
      </c>
      <c r="AR419" s="131">
        <f t="shared" si="157"/>
        <v>0</v>
      </c>
      <c r="AS419" s="2">
        <f t="shared" si="158"/>
        <v>2</v>
      </c>
      <c r="AT419" s="2" t="str">
        <f t="shared" si="141"/>
        <v>WEEK</v>
      </c>
      <c r="AU419" s="2" t="str">
        <f t="shared" si="159"/>
        <v>OM TRANSPORTWEEK</v>
      </c>
      <c r="AV419" s="94">
        <f>(IF(ISNA(AP419),AO419+AR419,SUM($AO419,$AR419,IFERROR($AP419,"0"))))+Table2[[#This Row],[WAITING TIMES]]</f>
        <v>608.5</v>
      </c>
      <c r="AW419" s="48">
        <f>VLOOKUP(AN419,Invoicing!A:K,11,FALSE)</f>
        <v>20</v>
      </c>
      <c r="AY419" s="48"/>
      <c r="AZ419" s="48">
        <f t="shared" si="160"/>
        <v>628.5</v>
      </c>
      <c r="BA419" s="132">
        <f>VLOOKUP(AN419,Invoicing!A:J,10,FALSE)</f>
        <v>70</v>
      </c>
      <c r="BB419" s="132">
        <f>VLOOKUP(AN419,Invoicing!A:L,12,FALSE)</f>
        <v>1</v>
      </c>
      <c r="BC419" s="2"/>
    </row>
    <row r="420" spans="1:55">
      <c r="A420" s="38" t="s">
        <v>774</v>
      </c>
      <c r="B420" s="3" t="s">
        <v>77</v>
      </c>
      <c r="C420" s="11">
        <v>46083.368055555555</v>
      </c>
      <c r="D420" s="11">
        <v>46083.458333333336</v>
      </c>
      <c r="E420" s="11" t="s">
        <v>83</v>
      </c>
      <c r="F420" s="11" t="s">
        <v>787</v>
      </c>
      <c r="G420" s="11" t="s">
        <v>59</v>
      </c>
      <c r="H420" s="11" t="s">
        <v>91</v>
      </c>
      <c r="I420" s="86" t="s">
        <v>795</v>
      </c>
      <c r="J420" s="86" t="s">
        <v>82</v>
      </c>
      <c r="K420" s="11">
        <v>46084.541666666664</v>
      </c>
      <c r="L420" s="12">
        <v>46084.742361111108</v>
      </c>
      <c r="M420" s="12">
        <v>46084.791666666664</v>
      </c>
      <c r="N420" s="12">
        <v>46084.770833333336</v>
      </c>
      <c r="O420" s="12" t="s">
        <v>63</v>
      </c>
      <c r="P420" s="85" t="s">
        <v>15</v>
      </c>
      <c r="Q420" s="3">
        <v>0</v>
      </c>
      <c r="R420" s="1">
        <f t="shared" si="142"/>
        <v>10</v>
      </c>
      <c r="S420" s="1">
        <f t="shared" si="143"/>
        <v>3</v>
      </c>
      <c r="T420" s="126">
        <f t="shared" si="144"/>
        <v>46084.742361111108</v>
      </c>
      <c r="U420" s="127">
        <f t="shared" si="145"/>
        <v>1.1736111111094942</v>
      </c>
      <c r="V420" s="128">
        <f>Table2[[#This Row],[ATA A OFRECIMIENTO]]*24</f>
        <v>28.166666666627862</v>
      </c>
      <c r="W420" s="1" t="str">
        <f t="shared" si="146"/>
        <v>YES</v>
      </c>
      <c r="X420" s="127">
        <f t="shared" si="147"/>
        <v>0.25</v>
      </c>
      <c r="Y420" s="128">
        <f>Table2[[#This Row],[DEL. AVAILABLE A SLOT]]*24</f>
        <v>6</v>
      </c>
      <c r="Z420" s="1" t="str">
        <f t="shared" si="148"/>
        <v>SI</v>
      </c>
      <c r="AA420" s="127">
        <f t="shared" si="149"/>
        <v>1.4236111111094942</v>
      </c>
      <c r="AB420" s="128">
        <f>Table2[[#This Row],[ATA A TIMESLOT]]*24</f>
        <v>34.166666666627862</v>
      </c>
      <c r="AC420" s="127">
        <f t="shared" si="150"/>
        <v>0</v>
      </c>
      <c r="AD420" s="127" t="str">
        <f t="shared" si="151"/>
        <v>SI</v>
      </c>
      <c r="AE420" s="128">
        <f>Table2[[#This Row],[PUNTUALIDAD (H)]]*24</f>
        <v>0</v>
      </c>
      <c r="AF420" s="127">
        <f t="shared" si="152"/>
        <v>1.4027777777810115</v>
      </c>
      <c r="AG420" s="128">
        <f>Table2[[#This Row],[ATA TO UNLOADING]]*24</f>
        <v>33.666666666744277</v>
      </c>
      <c r="AH420" s="128" t="str">
        <f>IF(Table2[[#This Row],[ATA TO UNLOADING 2]]&lt;=48,"YES","NO")</f>
        <v>YES</v>
      </c>
      <c r="AJ420" s="129">
        <f t="shared" si="153"/>
        <v>0.79166666666424135</v>
      </c>
      <c r="AK420" s="2" t="s">
        <v>64</v>
      </c>
      <c r="AL420" s="2" t="str">
        <f t="shared" si="154"/>
        <v>10/26</v>
      </c>
      <c r="AM420" s="2" t="str">
        <f t="shared" si="155"/>
        <v>MRKU2992784</v>
      </c>
      <c r="AN420" s="130" t="str">
        <f t="shared" si="156"/>
        <v>OM TRANSPORT</v>
      </c>
      <c r="AO420" s="151">
        <f>IF($O420="TRUCK",
VLOOKUP($AU420,Invoicing!$A$16:$B$56,MATCH($AO$1,Invoicing!$A$16:$B$16,0),FALSE)+IF(OR($B420="DCD",$B420="HPD2"),23.5,0),
VLOOKUP($AU420,Invoicing!$N$15:$O$19,MATCH($AO$1,Invoicing!$N$15:$O$15,0),FALSE)+IF(OR($B420="DCD",$B420="HPD2"),23.5,0))</f>
        <v>498.5</v>
      </c>
      <c r="AP420" s="131">
        <f>VLOOKUP($E420,Invoicing!$A$1:$H$12,MATCH(TRACKER!$P420,Invoicing!$A$1:$H$1,0),FALSE)</f>
        <v>110</v>
      </c>
      <c r="AQ420" s="131">
        <f>VLOOKUP($E420,Invoicing!$A$1:$H$12,MATCH(TRACKER!$Q$1,Invoicing!$A$1:$H$1,0),FALSE)</f>
        <v>50</v>
      </c>
      <c r="AR420" s="131">
        <f t="shared" si="157"/>
        <v>0</v>
      </c>
      <c r="AS420" s="2">
        <f t="shared" si="158"/>
        <v>2</v>
      </c>
      <c r="AT420" s="2" t="str">
        <f t="shared" si="141"/>
        <v>WEEK</v>
      </c>
      <c r="AU420" s="2" t="str">
        <f t="shared" si="159"/>
        <v>OM TRANSPORTWEEK</v>
      </c>
      <c r="AV420" s="94">
        <f>(IF(ISNA(AP420),AO420+AR420,SUM($AO420,$AR420,IFERROR($AP420,"0"))))+Table2[[#This Row],[WAITING TIMES]]</f>
        <v>608.5</v>
      </c>
      <c r="AW420" s="48">
        <f>VLOOKUP(AN420,Invoicing!A:K,11,FALSE)</f>
        <v>20</v>
      </c>
      <c r="AY420" s="48"/>
      <c r="AZ420" s="48">
        <f t="shared" si="160"/>
        <v>628.5</v>
      </c>
      <c r="BA420" s="132">
        <f>VLOOKUP(AN420,Invoicing!A:J,10,FALSE)</f>
        <v>70</v>
      </c>
      <c r="BB420" s="132">
        <f>VLOOKUP(AN420,Invoicing!A:L,12,FALSE)</f>
        <v>1</v>
      </c>
      <c r="BC420" s="2"/>
    </row>
    <row r="421" spans="1:55">
      <c r="A421" s="38" t="s">
        <v>774</v>
      </c>
      <c r="B421" s="3" t="s">
        <v>77</v>
      </c>
      <c r="C421" s="11">
        <v>46083.368055555555</v>
      </c>
      <c r="D421" s="11">
        <v>46083.458333333336</v>
      </c>
      <c r="E421" s="11" t="s">
        <v>83</v>
      </c>
      <c r="F421" s="11" t="s">
        <v>796</v>
      </c>
      <c r="G421" s="11" t="s">
        <v>59</v>
      </c>
      <c r="H421" s="11" t="s">
        <v>91</v>
      </c>
      <c r="I421" s="86" t="s">
        <v>797</v>
      </c>
      <c r="J421" s="86" t="s">
        <v>82</v>
      </c>
      <c r="K421" s="11">
        <v>46084.541666666664</v>
      </c>
      <c r="L421" s="12">
        <v>46084.833333333336</v>
      </c>
      <c r="M421" s="12">
        <v>46084.791666666664</v>
      </c>
      <c r="N421" s="12">
        <v>46084.850694444445</v>
      </c>
      <c r="O421" s="12" t="s">
        <v>63</v>
      </c>
      <c r="P421" s="85" t="s">
        <v>64</v>
      </c>
      <c r="Q421" s="3">
        <v>0</v>
      </c>
      <c r="R421" s="1">
        <f t="shared" si="142"/>
        <v>10</v>
      </c>
      <c r="S421" s="1">
        <f t="shared" si="143"/>
        <v>3</v>
      </c>
      <c r="T421" s="126">
        <f t="shared" si="144"/>
        <v>46084.833333333336</v>
      </c>
      <c r="U421" s="127">
        <f t="shared" si="145"/>
        <v>1.1736111111094942</v>
      </c>
      <c r="V421" s="128">
        <f>Table2[[#This Row],[ATA A OFRECIMIENTO]]*24</f>
        <v>28.166666666627862</v>
      </c>
      <c r="W421" s="1" t="str">
        <f t="shared" si="146"/>
        <v>YES</v>
      </c>
      <c r="X421" s="127">
        <f t="shared" si="147"/>
        <v>0.25</v>
      </c>
      <c r="Y421" s="128">
        <f>Table2[[#This Row],[DEL. AVAILABLE A SLOT]]*24</f>
        <v>6</v>
      </c>
      <c r="Z421" s="1" t="str">
        <f t="shared" si="148"/>
        <v>SI</v>
      </c>
      <c r="AA421" s="127">
        <f t="shared" si="149"/>
        <v>1.4236111111094942</v>
      </c>
      <c r="AB421" s="128">
        <f>Table2[[#This Row],[ATA A TIMESLOT]]*24</f>
        <v>34.166666666627862</v>
      </c>
      <c r="AC421" s="127">
        <f t="shared" si="150"/>
        <v>4.1666666671517305E-2</v>
      </c>
      <c r="AD421" s="127" t="str">
        <f t="shared" si="151"/>
        <v>NO</v>
      </c>
      <c r="AE421" s="128">
        <f>Table2[[#This Row],[PUNTUALIDAD (H)]]*24</f>
        <v>1.0000000001164153</v>
      </c>
      <c r="AF421" s="127">
        <f t="shared" si="152"/>
        <v>1.4826388888905058</v>
      </c>
      <c r="AG421" s="128">
        <f>Table2[[#This Row],[ATA TO UNLOADING]]*24</f>
        <v>35.583333333372138</v>
      </c>
      <c r="AH421" s="128" t="str">
        <f>IF(Table2[[#This Row],[ATA TO UNLOADING 2]]&lt;=48,"YES","NO")</f>
        <v>YES</v>
      </c>
      <c r="AJ421" s="129">
        <f t="shared" si="153"/>
        <v>0.79166666666424135</v>
      </c>
      <c r="AK421" s="2" t="s">
        <v>64</v>
      </c>
      <c r="AL421" s="2" t="str">
        <f t="shared" si="154"/>
        <v>10/26</v>
      </c>
      <c r="AM421" s="2" t="str">
        <f t="shared" si="155"/>
        <v>MSKU9021313</v>
      </c>
      <c r="AN421" s="130" t="str">
        <f t="shared" si="156"/>
        <v>OM TRANSPORT</v>
      </c>
      <c r="AO421" s="151">
        <f>IF($O421="TRUCK",
VLOOKUP($AU421,Invoicing!$A$16:$B$56,MATCH($AO$1,Invoicing!$A$16:$B$16,0),FALSE)+IF(OR($B421="DCD",$B421="HPD2"),23.5,0),
VLOOKUP($AU421,Invoicing!$N$15:$O$19,MATCH($AO$1,Invoicing!$N$15:$O$15,0),FALSE)+IF(OR($B421="DCD",$B421="HPD2"),23.5,0))</f>
        <v>498.5</v>
      </c>
      <c r="AP421" s="131" t="e">
        <f>VLOOKUP($E421,Invoicing!$A$1:$H$12,MATCH(TRACKER!$P421,Invoicing!$A$1:$H$1,0),FALSE)</f>
        <v>#N/A</v>
      </c>
      <c r="AQ421" s="131">
        <f>VLOOKUP($E421,Invoicing!$A$1:$H$12,MATCH(TRACKER!$Q$1,Invoicing!$A$1:$H$1,0),FALSE)</f>
        <v>50</v>
      </c>
      <c r="AR421" s="131">
        <f t="shared" si="157"/>
        <v>0</v>
      </c>
      <c r="AS421" s="2">
        <f t="shared" si="158"/>
        <v>2</v>
      </c>
      <c r="AT421" s="2" t="str">
        <f t="shared" si="141"/>
        <v>WEEK</v>
      </c>
      <c r="AU421" s="2" t="str">
        <f t="shared" si="159"/>
        <v>OM TRANSPORTWEEK</v>
      </c>
      <c r="AV421" s="94">
        <f>(IF(ISNA(AP421),AO421+AR421,SUM($AO421,$AR421,IFERROR($AP421,"0"))))+Table2[[#This Row],[WAITING TIMES]]</f>
        <v>498.5</v>
      </c>
      <c r="AW421" s="48">
        <f>VLOOKUP(AN421,Invoicing!A:K,11,FALSE)</f>
        <v>20</v>
      </c>
      <c r="AY421" s="48"/>
      <c r="AZ421" s="48">
        <f t="shared" si="160"/>
        <v>518.5</v>
      </c>
      <c r="BA421" s="132">
        <f>VLOOKUP(AN421,Invoicing!A:J,10,FALSE)</f>
        <v>70</v>
      </c>
      <c r="BB421" s="132">
        <f>VLOOKUP(AN421,Invoicing!A:L,12,FALSE)</f>
        <v>1</v>
      </c>
      <c r="BC421" s="2"/>
    </row>
    <row r="422" spans="1:55">
      <c r="A422" s="38" t="s">
        <v>774</v>
      </c>
      <c r="B422" s="3" t="s">
        <v>77</v>
      </c>
      <c r="C422" s="11">
        <v>46083.368055555555</v>
      </c>
      <c r="D422" s="11">
        <v>46083.458333333336</v>
      </c>
      <c r="E422" s="11" t="s">
        <v>71</v>
      </c>
      <c r="F422" s="11" t="s">
        <v>777</v>
      </c>
      <c r="G422" s="11" t="s">
        <v>133</v>
      </c>
      <c r="H422" s="11" t="s">
        <v>91</v>
      </c>
      <c r="I422" s="86" t="s">
        <v>798</v>
      </c>
      <c r="J422" s="86" t="s">
        <v>82</v>
      </c>
      <c r="K422" s="11">
        <v>46084.541666666664</v>
      </c>
      <c r="L422" s="12">
        <v>46084.911805555559</v>
      </c>
      <c r="M422" s="12">
        <v>46084.875</v>
      </c>
      <c r="N422" s="12">
        <v>46084.930555555555</v>
      </c>
      <c r="O422" s="12" t="s">
        <v>63</v>
      </c>
      <c r="P422" s="85" t="s">
        <v>64</v>
      </c>
      <c r="Q422" s="3">
        <v>0</v>
      </c>
      <c r="R422" s="1">
        <f t="shared" si="142"/>
        <v>10</v>
      </c>
      <c r="S422" s="1">
        <f t="shared" si="143"/>
        <v>3</v>
      </c>
      <c r="T422" s="126">
        <f t="shared" si="144"/>
        <v>46084.911805555559</v>
      </c>
      <c r="U422" s="127">
        <f t="shared" si="145"/>
        <v>1.1736111111094942</v>
      </c>
      <c r="V422" s="128">
        <f>Table2[[#This Row],[ATA A OFRECIMIENTO]]*24</f>
        <v>28.166666666627862</v>
      </c>
      <c r="W422" s="1" t="str">
        <f t="shared" si="146"/>
        <v>YES</v>
      </c>
      <c r="X422" s="127">
        <f t="shared" si="147"/>
        <v>0.33333333333575865</v>
      </c>
      <c r="Y422" s="128">
        <f>Table2[[#This Row],[DEL. AVAILABLE A SLOT]]*24</f>
        <v>8.0000000000582077</v>
      </c>
      <c r="Z422" s="1" t="str">
        <f t="shared" si="148"/>
        <v>SI</v>
      </c>
      <c r="AA422" s="127">
        <f t="shared" si="149"/>
        <v>1.5069444444452529</v>
      </c>
      <c r="AB422" s="128">
        <f>Table2[[#This Row],[ATA A TIMESLOT]]*24</f>
        <v>36.166666666686069</v>
      </c>
      <c r="AC422" s="127">
        <f t="shared" si="150"/>
        <v>3.680555555911269E-2</v>
      </c>
      <c r="AD422" s="127" t="str">
        <f t="shared" si="151"/>
        <v>NO</v>
      </c>
      <c r="AE422" s="128">
        <f>Table2[[#This Row],[PUNTUALIDAD (H)]]*24</f>
        <v>0.88333333341870457</v>
      </c>
      <c r="AF422" s="127">
        <f t="shared" si="152"/>
        <v>1.5625</v>
      </c>
      <c r="AG422" s="128">
        <f>Table2[[#This Row],[ATA TO UNLOADING]]*24</f>
        <v>37.5</v>
      </c>
      <c r="AH422" s="128" t="str">
        <f>IF(Table2[[#This Row],[ATA TO UNLOADING 2]]&lt;=48,"YES","NO")</f>
        <v>YES</v>
      </c>
      <c r="AJ422" s="129">
        <f t="shared" si="153"/>
        <v>0.875</v>
      </c>
      <c r="AK422" s="2" t="s">
        <v>36</v>
      </c>
      <c r="AL422" s="2" t="str">
        <f t="shared" si="154"/>
        <v>10/26</v>
      </c>
      <c r="AM422" s="2" t="str">
        <f t="shared" si="155"/>
        <v>HLBU3566090</v>
      </c>
      <c r="AN422" s="130" t="str">
        <f t="shared" si="156"/>
        <v>LOGIX</v>
      </c>
      <c r="AO422" s="151">
        <f>IF($O422="TRUCK",
VLOOKUP($AU422,Invoicing!$A$16:$B$56,MATCH($AO$1,Invoicing!$A$16:$B$16,0),FALSE)+IF(OR($B422="DCD",$B422="HPD2"),23.5,0),
VLOOKUP($AU422,Invoicing!$N$15:$O$19,MATCH($AO$1,Invoicing!$N$15:$O$15,0),FALSE)+IF(OR($B422="DCD",$B422="HPD2"),23.5,0))</f>
        <v>573.5</v>
      </c>
      <c r="AP422" s="131" t="e">
        <f>VLOOKUP($E422,Invoicing!$A$1:$H$12,MATCH(TRACKER!$P422,Invoicing!$A$1:$H$1,0),FALSE)</f>
        <v>#N/A</v>
      </c>
      <c r="AQ422" s="131">
        <f>VLOOKUP($E422,Invoicing!$A$1:$H$12,MATCH(TRACKER!$Q$1,Invoicing!$A$1:$H$1,0),FALSE)</f>
        <v>50</v>
      </c>
      <c r="AR422" s="131">
        <f t="shared" si="157"/>
        <v>0</v>
      </c>
      <c r="AS422" s="2">
        <f t="shared" si="158"/>
        <v>2</v>
      </c>
      <c r="AT422" s="2" t="str">
        <f t="shared" si="141"/>
        <v>NIGHT</v>
      </c>
      <c r="AU422" s="2" t="str">
        <f t="shared" si="159"/>
        <v>LOGIXNIGHT</v>
      </c>
      <c r="AV422" s="94">
        <f>(IF(ISNA(AP422),AO422+AR422,SUM($AO422,$AR422,IFERROR($AP422,"0"))))+Table2[[#This Row],[WAITING TIMES]]</f>
        <v>573.5</v>
      </c>
      <c r="AW422" s="48">
        <f>VLOOKUP(AN422,Invoicing!A:K,11,FALSE)</f>
        <v>20</v>
      </c>
      <c r="AY422" s="48"/>
      <c r="AZ422" s="48">
        <f t="shared" si="160"/>
        <v>593.5</v>
      </c>
      <c r="BA422" s="132">
        <f>VLOOKUP(AN422,Invoicing!A:J,10,FALSE)</f>
        <v>70</v>
      </c>
      <c r="BB422" s="132">
        <f>VLOOKUP(AN422,Invoicing!A:L,12,FALSE)</f>
        <v>1</v>
      </c>
      <c r="BC422" s="2"/>
    </row>
    <row r="423" spans="1:55">
      <c r="A423" s="38" t="s">
        <v>774</v>
      </c>
      <c r="B423" s="3" t="s">
        <v>77</v>
      </c>
      <c r="C423" s="11">
        <v>46083.368055555555</v>
      </c>
      <c r="D423" s="11">
        <v>46083.458333333336</v>
      </c>
      <c r="E423" s="11" t="s">
        <v>98</v>
      </c>
      <c r="F423" s="11" t="s">
        <v>796</v>
      </c>
      <c r="G423" s="11" t="s">
        <v>59</v>
      </c>
      <c r="H423" s="11" t="s">
        <v>91</v>
      </c>
      <c r="I423" s="86" t="s">
        <v>799</v>
      </c>
      <c r="J423" s="86" t="s">
        <v>82</v>
      </c>
      <c r="K423" s="11">
        <v>46084.541666666664</v>
      </c>
      <c r="L423" s="12">
        <v>46084.938194444447</v>
      </c>
      <c r="M423" s="12">
        <v>46084.875</v>
      </c>
      <c r="N423" s="12">
        <v>46084.951388888891</v>
      </c>
      <c r="O423" s="12" t="s">
        <v>63</v>
      </c>
      <c r="P423" s="85" t="s">
        <v>64</v>
      </c>
      <c r="Q423" s="3">
        <v>0</v>
      </c>
      <c r="R423" s="1">
        <f t="shared" si="142"/>
        <v>10</v>
      </c>
      <c r="S423" s="1">
        <f t="shared" si="143"/>
        <v>3</v>
      </c>
      <c r="T423" s="126">
        <f t="shared" si="144"/>
        <v>46084.938194444447</v>
      </c>
      <c r="U423" s="127">
        <f t="shared" si="145"/>
        <v>1.1736111111094942</v>
      </c>
      <c r="V423" s="128">
        <f>Table2[[#This Row],[ATA A OFRECIMIENTO]]*24</f>
        <v>28.166666666627862</v>
      </c>
      <c r="W423" s="1" t="str">
        <f t="shared" si="146"/>
        <v>YES</v>
      </c>
      <c r="X423" s="127">
        <f t="shared" si="147"/>
        <v>0.33333333333575865</v>
      </c>
      <c r="Y423" s="128">
        <f>Table2[[#This Row],[DEL. AVAILABLE A SLOT]]*24</f>
        <v>8.0000000000582077</v>
      </c>
      <c r="Z423" s="1" t="str">
        <f t="shared" si="148"/>
        <v>SI</v>
      </c>
      <c r="AA423" s="127">
        <f t="shared" si="149"/>
        <v>1.5069444444452529</v>
      </c>
      <c r="AB423" s="128">
        <f>Table2[[#This Row],[ATA A TIMESLOT]]*24</f>
        <v>36.166666666686069</v>
      </c>
      <c r="AC423" s="127">
        <f t="shared" si="150"/>
        <v>6.3194444446708076E-2</v>
      </c>
      <c r="AD423" s="127" t="str">
        <f t="shared" si="151"/>
        <v>NO</v>
      </c>
      <c r="AE423" s="128">
        <f>Table2[[#This Row],[PUNTUALIDAD (H)]]*24</f>
        <v>1.5166666667209938</v>
      </c>
      <c r="AF423" s="127">
        <f t="shared" si="152"/>
        <v>1.5833333333357587</v>
      </c>
      <c r="AG423" s="128">
        <f>Table2[[#This Row],[ATA TO UNLOADING]]*24</f>
        <v>38.000000000058208</v>
      </c>
      <c r="AH423" s="128" t="str">
        <f>IF(Table2[[#This Row],[ATA TO UNLOADING 2]]&lt;=48,"YES","NO")</f>
        <v>YES</v>
      </c>
      <c r="AJ423" s="129">
        <f t="shared" si="153"/>
        <v>0.875</v>
      </c>
      <c r="AK423" s="2" t="s">
        <v>36</v>
      </c>
      <c r="AL423" s="2" t="str">
        <f t="shared" si="154"/>
        <v>10/26</v>
      </c>
      <c r="AM423" s="2" t="str">
        <f t="shared" si="155"/>
        <v>MRSU0663566</v>
      </c>
      <c r="AN423" s="130" t="str">
        <f t="shared" si="156"/>
        <v>MSI</v>
      </c>
      <c r="AO423" s="151">
        <f>IF($O423="TRUCK",
VLOOKUP($AU423,Invoicing!$A$16:$B$56,MATCH($AO$1,Invoicing!$A$16:$B$16,0),FALSE)+IF(OR($B423="DCD",$B423="HPD2"),23.5,0),
VLOOKUP($AU423,Invoicing!$N$15:$O$19,MATCH($AO$1,Invoicing!$N$15:$O$15,0),FALSE)+IF(OR($B423="DCD",$B423="HPD2"),23.5,0))</f>
        <v>553.5</v>
      </c>
      <c r="AP423" s="131" t="e">
        <f>VLOOKUP($E423,Invoicing!$A$1:$H$12,MATCH(TRACKER!$P423,Invoicing!$A$1:$H$1,0),FALSE)</f>
        <v>#N/A</v>
      </c>
      <c r="AQ423" s="131">
        <f>VLOOKUP($E423,Invoicing!$A$1:$H$12,MATCH(TRACKER!$Q$1,Invoicing!$A$1:$H$1,0),FALSE)</f>
        <v>50</v>
      </c>
      <c r="AR423" s="131">
        <f t="shared" si="157"/>
        <v>0</v>
      </c>
      <c r="AS423" s="2">
        <f t="shared" si="158"/>
        <v>2</v>
      </c>
      <c r="AT423" s="2" t="str">
        <f t="shared" si="141"/>
        <v>NIGHT</v>
      </c>
      <c r="AU423" s="2" t="str">
        <f t="shared" si="159"/>
        <v>MSINIGHT</v>
      </c>
      <c r="AV423" s="94">
        <f>(IF(ISNA(AP423),AO423+AR423,SUM($AO423,$AR423,IFERROR($AP423,"0"))))+Table2[[#This Row],[WAITING TIMES]]</f>
        <v>553.5</v>
      </c>
      <c r="AW423" s="48">
        <f>VLOOKUP(AN423,Invoicing!A:K,11,FALSE)</f>
        <v>20</v>
      </c>
      <c r="AY423" s="48"/>
      <c r="AZ423" s="48">
        <f t="shared" si="160"/>
        <v>573.5</v>
      </c>
      <c r="BA423" s="132">
        <f>VLOOKUP(AN423,Invoicing!A:J,10,FALSE)</f>
        <v>70</v>
      </c>
      <c r="BB423" s="132">
        <f>VLOOKUP(AN423,Invoicing!A:L,12,FALSE)</f>
        <v>1</v>
      </c>
      <c r="BC423" s="2"/>
    </row>
    <row r="424" spans="1:55">
      <c r="A424" s="38" t="s">
        <v>774</v>
      </c>
      <c r="B424" s="3" t="s">
        <v>77</v>
      </c>
      <c r="C424" s="11">
        <v>46083.368055555555</v>
      </c>
      <c r="D424" s="11">
        <v>46083.458333333336</v>
      </c>
      <c r="E424" s="11" t="s">
        <v>98</v>
      </c>
      <c r="F424" s="11" t="s">
        <v>800</v>
      </c>
      <c r="G424" s="11" t="s">
        <v>59</v>
      </c>
      <c r="H424" s="11" t="s">
        <v>91</v>
      </c>
      <c r="I424" s="86" t="s">
        <v>801</v>
      </c>
      <c r="J424" s="86" t="s">
        <v>82</v>
      </c>
      <c r="K424" s="11">
        <v>46084.541666666664</v>
      </c>
      <c r="L424" s="12">
        <v>46084.89166666667</v>
      </c>
      <c r="M424" s="12">
        <v>46084.875</v>
      </c>
      <c r="N424" s="12">
        <v>46084.9375</v>
      </c>
      <c r="O424" s="12" t="s">
        <v>63</v>
      </c>
      <c r="P424" s="85" t="s">
        <v>15</v>
      </c>
      <c r="Q424" s="3">
        <v>0</v>
      </c>
      <c r="R424" s="1">
        <f t="shared" si="142"/>
        <v>10</v>
      </c>
      <c r="S424" s="1">
        <f t="shared" si="143"/>
        <v>3</v>
      </c>
      <c r="T424" s="126">
        <f t="shared" si="144"/>
        <v>46084.89166666667</v>
      </c>
      <c r="U424" s="127">
        <f t="shared" si="145"/>
        <v>1.1736111111094942</v>
      </c>
      <c r="V424" s="128">
        <f>Table2[[#This Row],[ATA A OFRECIMIENTO]]*24</f>
        <v>28.166666666627862</v>
      </c>
      <c r="W424" s="1" t="str">
        <f t="shared" si="146"/>
        <v>YES</v>
      </c>
      <c r="X424" s="127">
        <f t="shared" si="147"/>
        <v>0.33333333333575865</v>
      </c>
      <c r="Y424" s="128">
        <f>Table2[[#This Row],[DEL. AVAILABLE A SLOT]]*24</f>
        <v>8.0000000000582077</v>
      </c>
      <c r="Z424" s="1" t="str">
        <f t="shared" si="148"/>
        <v>SI</v>
      </c>
      <c r="AA424" s="127">
        <f t="shared" si="149"/>
        <v>1.5069444444452529</v>
      </c>
      <c r="AB424" s="128">
        <f>Table2[[#This Row],[ATA A TIMESLOT]]*24</f>
        <v>36.166666666686069</v>
      </c>
      <c r="AC424" s="127">
        <f t="shared" si="150"/>
        <v>1.6666666670062114E-2</v>
      </c>
      <c r="AD424" s="127" t="str">
        <f t="shared" si="151"/>
        <v>SI</v>
      </c>
      <c r="AE424" s="128">
        <f>Table2[[#This Row],[PUNTUALIDAD (H)]]*24</f>
        <v>0.40000000008149073</v>
      </c>
      <c r="AF424" s="127">
        <f t="shared" si="152"/>
        <v>1.5694444444452529</v>
      </c>
      <c r="AG424" s="128">
        <f>Table2[[#This Row],[ATA TO UNLOADING]]*24</f>
        <v>37.666666666686069</v>
      </c>
      <c r="AH424" s="128" t="str">
        <f>IF(Table2[[#This Row],[ATA TO UNLOADING 2]]&lt;=48,"YES","NO")</f>
        <v>YES</v>
      </c>
      <c r="AJ424" s="129">
        <f t="shared" si="153"/>
        <v>0.875</v>
      </c>
      <c r="AK424" s="2" t="s">
        <v>36</v>
      </c>
      <c r="AL424" s="2" t="str">
        <f t="shared" si="154"/>
        <v>10/26</v>
      </c>
      <c r="AM424" s="2" t="str">
        <f t="shared" si="155"/>
        <v>MRSU3534813</v>
      </c>
      <c r="AN424" s="130" t="str">
        <f t="shared" si="156"/>
        <v>MSI</v>
      </c>
      <c r="AO424" s="151">
        <f>IF($O424="TRUCK",
VLOOKUP($AU424,Invoicing!$A$16:$B$56,MATCH($AO$1,Invoicing!$A$16:$B$16,0),FALSE)+IF(OR($B424="DCD",$B424="HPD2"),23.5,0),
VLOOKUP($AU424,Invoicing!$N$15:$O$19,MATCH($AO$1,Invoicing!$N$15:$O$15,0),FALSE)+IF(OR($B424="DCD",$B424="HPD2"),23.5,0))</f>
        <v>553.5</v>
      </c>
      <c r="AP424" s="131">
        <f>VLOOKUP($E424,Invoicing!$A$1:$H$12,MATCH(TRACKER!$P424,Invoicing!$A$1:$H$1,0),FALSE)</f>
        <v>120</v>
      </c>
      <c r="AQ424" s="131">
        <f>VLOOKUP($E424,Invoicing!$A$1:$H$12,MATCH(TRACKER!$Q$1,Invoicing!$A$1:$H$1,0),FALSE)</f>
        <v>50</v>
      </c>
      <c r="AR424" s="131">
        <f t="shared" si="157"/>
        <v>0</v>
      </c>
      <c r="AS424" s="2">
        <f t="shared" si="158"/>
        <v>2</v>
      </c>
      <c r="AT424" s="2" t="str">
        <f t="shared" si="141"/>
        <v>NIGHT</v>
      </c>
      <c r="AU424" s="2" t="str">
        <f t="shared" si="159"/>
        <v>MSINIGHT</v>
      </c>
      <c r="AV424" s="94">
        <f>(IF(ISNA(AP424),AO424+AR424,SUM($AO424,$AR424,IFERROR($AP424,"0"))))+Table2[[#This Row],[WAITING TIMES]]</f>
        <v>673.5</v>
      </c>
      <c r="AW424" s="48">
        <f>VLOOKUP(AN424,Invoicing!A:K,11,FALSE)</f>
        <v>20</v>
      </c>
      <c r="AY424" s="48"/>
      <c r="AZ424" s="48">
        <f t="shared" si="160"/>
        <v>693.5</v>
      </c>
      <c r="BA424" s="132">
        <f>VLOOKUP(AN424,Invoicing!A:J,10,FALSE)</f>
        <v>70</v>
      </c>
      <c r="BB424" s="132">
        <f>VLOOKUP(AN424,Invoicing!A:L,12,FALSE)</f>
        <v>1</v>
      </c>
      <c r="BC424" s="2"/>
    </row>
    <row r="425" spans="1:55">
      <c r="A425" s="38" t="s">
        <v>774</v>
      </c>
      <c r="B425" s="3" t="s">
        <v>77</v>
      </c>
      <c r="C425" s="11">
        <v>46083.368055555555</v>
      </c>
      <c r="D425" s="11">
        <v>46083.458333333336</v>
      </c>
      <c r="E425" s="11" t="s">
        <v>83</v>
      </c>
      <c r="F425" s="11" t="s">
        <v>783</v>
      </c>
      <c r="G425" s="11" t="s">
        <v>59</v>
      </c>
      <c r="H425" s="11" t="s">
        <v>91</v>
      </c>
      <c r="I425" s="86" t="s">
        <v>802</v>
      </c>
      <c r="J425" s="86" t="s">
        <v>82</v>
      </c>
      <c r="K425" s="11">
        <v>46084.541666666664</v>
      </c>
      <c r="L425" s="12">
        <v>46084.852083333331</v>
      </c>
      <c r="M425" s="12">
        <v>46084.875</v>
      </c>
      <c r="N425" s="12">
        <v>46084.90625</v>
      </c>
      <c r="O425" s="12" t="s">
        <v>63</v>
      </c>
      <c r="P425" s="85" t="s">
        <v>15</v>
      </c>
      <c r="Q425" s="3">
        <v>0</v>
      </c>
      <c r="R425" s="1">
        <f t="shared" si="142"/>
        <v>10</v>
      </c>
      <c r="S425" s="1">
        <f t="shared" si="143"/>
        <v>3</v>
      </c>
      <c r="T425" s="126">
        <f t="shared" si="144"/>
        <v>46084.852083333331</v>
      </c>
      <c r="U425" s="127">
        <f t="shared" si="145"/>
        <v>1.1736111111094942</v>
      </c>
      <c r="V425" s="128">
        <f>Table2[[#This Row],[ATA A OFRECIMIENTO]]*24</f>
        <v>28.166666666627862</v>
      </c>
      <c r="W425" s="1" t="str">
        <f t="shared" si="146"/>
        <v>YES</v>
      </c>
      <c r="X425" s="127">
        <f t="shared" si="147"/>
        <v>0.33333333333575865</v>
      </c>
      <c r="Y425" s="128">
        <f>Table2[[#This Row],[DEL. AVAILABLE A SLOT]]*24</f>
        <v>8.0000000000582077</v>
      </c>
      <c r="Z425" s="1" t="str">
        <f t="shared" si="148"/>
        <v>SI</v>
      </c>
      <c r="AA425" s="127">
        <f t="shared" si="149"/>
        <v>1.5069444444452529</v>
      </c>
      <c r="AB425" s="128">
        <f>Table2[[#This Row],[ATA A TIMESLOT]]*24</f>
        <v>36.166666666686069</v>
      </c>
      <c r="AC425" s="127">
        <f t="shared" si="150"/>
        <v>0</v>
      </c>
      <c r="AD425" s="127" t="str">
        <f t="shared" si="151"/>
        <v>SI</v>
      </c>
      <c r="AE425" s="128">
        <f>Table2[[#This Row],[PUNTUALIDAD (H)]]*24</f>
        <v>0</v>
      </c>
      <c r="AF425" s="127">
        <f t="shared" si="152"/>
        <v>1.5381944444452529</v>
      </c>
      <c r="AG425" s="128">
        <f>Table2[[#This Row],[ATA TO UNLOADING]]*24</f>
        <v>36.916666666686069</v>
      </c>
      <c r="AH425" s="128" t="str">
        <f>IF(Table2[[#This Row],[ATA TO UNLOADING 2]]&lt;=48,"YES","NO")</f>
        <v>YES</v>
      </c>
      <c r="AJ425" s="129">
        <f t="shared" si="153"/>
        <v>0.875</v>
      </c>
      <c r="AK425" s="2" t="s">
        <v>36</v>
      </c>
      <c r="AL425" s="2" t="str">
        <f t="shared" si="154"/>
        <v>10/26</v>
      </c>
      <c r="AM425" s="2" t="str">
        <f t="shared" si="155"/>
        <v>TCNU1844892</v>
      </c>
      <c r="AN425" s="130" t="str">
        <f t="shared" si="156"/>
        <v>OM TRANSPORT</v>
      </c>
      <c r="AO425" s="151">
        <f>IF($O425="TRUCK",
VLOOKUP($AU425,Invoicing!$A$16:$B$56,MATCH($AO$1,Invoicing!$A$16:$B$16,0),FALSE)+IF(OR($B425="DCD",$B425="HPD2"),23.5,0),
VLOOKUP($AU425,Invoicing!$N$15:$O$19,MATCH($AO$1,Invoicing!$N$15:$O$15,0),FALSE)+IF(OR($B425="DCD",$B425="HPD2"),23.5,0))</f>
        <v>498.5</v>
      </c>
      <c r="AP425" s="131">
        <f>VLOOKUP($E425,Invoicing!$A$1:$H$12,MATCH(TRACKER!$P425,Invoicing!$A$1:$H$1,0),FALSE)</f>
        <v>110</v>
      </c>
      <c r="AQ425" s="131">
        <f>VLOOKUP($E425,Invoicing!$A$1:$H$12,MATCH(TRACKER!$Q$1,Invoicing!$A$1:$H$1,0),FALSE)</f>
        <v>50</v>
      </c>
      <c r="AR425" s="131">
        <f t="shared" si="157"/>
        <v>0</v>
      </c>
      <c r="AS425" s="2">
        <f t="shared" si="158"/>
        <v>2</v>
      </c>
      <c r="AT425" s="2" t="str">
        <f t="shared" si="141"/>
        <v>NIGHT</v>
      </c>
      <c r="AU425" s="2" t="str">
        <f t="shared" si="159"/>
        <v>OM TRANSPORTNIGHT</v>
      </c>
      <c r="AV425" s="94">
        <f>(IF(ISNA(AP425),AO425+AR425,SUM($AO425,$AR425,IFERROR($AP425,"0"))))+Table2[[#This Row],[WAITING TIMES]]</f>
        <v>608.5</v>
      </c>
      <c r="AW425" s="48">
        <f>VLOOKUP(AN425,Invoicing!A:K,11,FALSE)</f>
        <v>20</v>
      </c>
      <c r="AY425" s="48"/>
      <c r="AZ425" s="48">
        <f t="shared" si="160"/>
        <v>628.5</v>
      </c>
      <c r="BA425" s="132">
        <f>VLOOKUP(AN425,Invoicing!A:J,10,FALSE)</f>
        <v>70</v>
      </c>
      <c r="BB425" s="132">
        <f>VLOOKUP(AN425,Invoicing!A:L,12,FALSE)</f>
        <v>1</v>
      </c>
      <c r="BC425" s="2"/>
    </row>
    <row r="426" spans="1:55">
      <c r="A426" s="38" t="s">
        <v>774</v>
      </c>
      <c r="B426" s="3" t="s">
        <v>77</v>
      </c>
      <c r="C426" s="11">
        <v>46083.368055555555</v>
      </c>
      <c r="D426" s="11">
        <v>46083.458333333336</v>
      </c>
      <c r="E426" s="11" t="s">
        <v>83</v>
      </c>
      <c r="F426" s="11" t="s">
        <v>800</v>
      </c>
      <c r="G426" s="11" t="s">
        <v>59</v>
      </c>
      <c r="H426" s="11" t="s">
        <v>91</v>
      </c>
      <c r="I426" s="86" t="s">
        <v>803</v>
      </c>
      <c r="J426" s="86" t="s">
        <v>82</v>
      </c>
      <c r="K426" s="11">
        <v>46084.541666666664</v>
      </c>
      <c r="L426" s="12">
        <v>46084.857638888891</v>
      </c>
      <c r="M426" s="12">
        <v>46084.958333333336</v>
      </c>
      <c r="N426" s="12">
        <v>46084.899305555555</v>
      </c>
      <c r="O426" s="12" t="s">
        <v>63</v>
      </c>
      <c r="P426" s="85" t="s">
        <v>15</v>
      </c>
      <c r="Q426" s="3">
        <v>0</v>
      </c>
      <c r="R426" s="1">
        <f t="shared" si="142"/>
        <v>10</v>
      </c>
      <c r="S426" s="1">
        <f t="shared" si="143"/>
        <v>3</v>
      </c>
      <c r="T426" s="126">
        <f t="shared" si="144"/>
        <v>46084.857638888891</v>
      </c>
      <c r="U426" s="127">
        <f t="shared" si="145"/>
        <v>1.1736111111094942</v>
      </c>
      <c r="V426" s="128">
        <f>Table2[[#This Row],[ATA A OFRECIMIENTO]]*24</f>
        <v>28.166666666627862</v>
      </c>
      <c r="W426" s="1" t="str">
        <f t="shared" si="146"/>
        <v>YES</v>
      </c>
      <c r="X426" s="127">
        <f t="shared" si="147"/>
        <v>0.41666666667151731</v>
      </c>
      <c r="Y426" s="128">
        <f>Table2[[#This Row],[DEL. AVAILABLE A SLOT]]*24</f>
        <v>10.000000000116415</v>
      </c>
      <c r="Z426" s="1" t="str">
        <f t="shared" si="148"/>
        <v>SI</v>
      </c>
      <c r="AA426" s="127">
        <f t="shared" si="149"/>
        <v>1.5902777777810115</v>
      </c>
      <c r="AB426" s="128">
        <f>Table2[[#This Row],[ATA A TIMESLOT]]*24</f>
        <v>38.166666666744277</v>
      </c>
      <c r="AC426" s="127">
        <f t="shared" si="150"/>
        <v>0</v>
      </c>
      <c r="AD426" s="127" t="str">
        <f t="shared" si="151"/>
        <v>SI</v>
      </c>
      <c r="AE426" s="128">
        <f>Table2[[#This Row],[PUNTUALIDAD (H)]]*24</f>
        <v>0</v>
      </c>
      <c r="AF426" s="127">
        <f t="shared" si="152"/>
        <v>1.53125</v>
      </c>
      <c r="AG426" s="128">
        <f>Table2[[#This Row],[ATA TO UNLOADING]]*24</f>
        <v>36.75</v>
      </c>
      <c r="AH426" s="128" t="str">
        <f>IF(Table2[[#This Row],[ATA TO UNLOADING 2]]&lt;=48,"YES","NO")</f>
        <v>YES</v>
      </c>
      <c r="AJ426" s="129">
        <f t="shared" si="153"/>
        <v>0.95833333333575865</v>
      </c>
      <c r="AK426" s="2" t="s">
        <v>36</v>
      </c>
      <c r="AL426" s="2" t="str">
        <f t="shared" si="154"/>
        <v>10/26</v>
      </c>
      <c r="AM426" s="2" t="str">
        <f t="shared" si="155"/>
        <v>MRSU6267710</v>
      </c>
      <c r="AN426" s="130" t="str">
        <f t="shared" si="156"/>
        <v>OM TRANSPORT</v>
      </c>
      <c r="AO426" s="151">
        <f>IF($O426="TRUCK",
VLOOKUP($AU426,Invoicing!$A$16:$B$56,MATCH($AO$1,Invoicing!$A$16:$B$16,0),FALSE)+IF(OR($B426="DCD",$B426="HPD2"),23.5,0),
VLOOKUP($AU426,Invoicing!$N$15:$O$19,MATCH($AO$1,Invoicing!$N$15:$O$15,0),FALSE)+IF(OR($B426="DCD",$B426="HPD2"),23.5,0))</f>
        <v>498.5</v>
      </c>
      <c r="AP426" s="131">
        <f>VLOOKUP($E426,Invoicing!$A$1:$H$12,MATCH(TRACKER!$P426,Invoicing!$A$1:$H$1,0),FALSE)</f>
        <v>110</v>
      </c>
      <c r="AQ426" s="131">
        <f>VLOOKUP($E426,Invoicing!$A$1:$H$12,MATCH(TRACKER!$Q$1,Invoicing!$A$1:$H$1,0),FALSE)</f>
        <v>50</v>
      </c>
      <c r="AR426" s="131">
        <f t="shared" si="157"/>
        <v>0</v>
      </c>
      <c r="AS426" s="2">
        <f t="shared" si="158"/>
        <v>2</v>
      </c>
      <c r="AT426" s="2" t="str">
        <f t="shared" si="141"/>
        <v>NIGHT</v>
      </c>
      <c r="AU426" s="2" t="str">
        <f t="shared" si="159"/>
        <v>OM TRANSPORTNIGHT</v>
      </c>
      <c r="AV426" s="94">
        <f>(IF(ISNA(AP426),AO426+AR426,SUM($AO426,$AR426,IFERROR($AP426,"0"))))+Table2[[#This Row],[WAITING TIMES]]</f>
        <v>608.5</v>
      </c>
      <c r="AW426" s="48">
        <f>VLOOKUP(AN426,Invoicing!A:K,11,FALSE)</f>
        <v>20</v>
      </c>
      <c r="AY426" s="48"/>
      <c r="AZ426" s="48">
        <f t="shared" si="160"/>
        <v>628.5</v>
      </c>
      <c r="BA426" s="132">
        <f>VLOOKUP(AN426,Invoicing!A:J,10,FALSE)</f>
        <v>70</v>
      </c>
      <c r="BB426" s="132">
        <f>VLOOKUP(AN426,Invoicing!A:L,12,FALSE)</f>
        <v>1</v>
      </c>
      <c r="BC426" s="2"/>
    </row>
    <row r="427" spans="1:55">
      <c r="A427" s="38" t="s">
        <v>774</v>
      </c>
      <c r="B427" s="3" t="s">
        <v>77</v>
      </c>
      <c r="C427" s="11">
        <v>46083.368055555555</v>
      </c>
      <c r="D427" s="11">
        <v>46083.458333333336</v>
      </c>
      <c r="E427" s="11" t="s">
        <v>83</v>
      </c>
      <c r="F427" s="11" t="s">
        <v>800</v>
      </c>
      <c r="G427" s="11" t="s">
        <v>59</v>
      </c>
      <c r="H427" s="11" t="s">
        <v>91</v>
      </c>
      <c r="I427" s="86" t="s">
        <v>804</v>
      </c>
      <c r="J427" s="86" t="s">
        <v>82</v>
      </c>
      <c r="K427" s="11">
        <v>46084.541666666664</v>
      </c>
      <c r="L427" s="12">
        <v>46085.306944444441</v>
      </c>
      <c r="M427" s="12">
        <v>46085.083333333336</v>
      </c>
      <c r="N427" s="12">
        <v>46085.085416666669</v>
      </c>
      <c r="O427" s="12" t="s">
        <v>63</v>
      </c>
      <c r="P427" s="85" t="s">
        <v>15</v>
      </c>
      <c r="Q427" s="3">
        <v>0</v>
      </c>
      <c r="R427" s="1">
        <f t="shared" si="142"/>
        <v>10</v>
      </c>
      <c r="S427" s="1">
        <f t="shared" si="143"/>
        <v>3</v>
      </c>
      <c r="T427" s="126">
        <f t="shared" si="144"/>
        <v>46085.306944444441</v>
      </c>
      <c r="U427" s="127">
        <f t="shared" si="145"/>
        <v>1.1736111111094942</v>
      </c>
      <c r="V427" s="128">
        <f>Table2[[#This Row],[ATA A OFRECIMIENTO]]*24</f>
        <v>28.166666666627862</v>
      </c>
      <c r="W427" s="1" t="str">
        <f t="shared" si="146"/>
        <v>YES</v>
      </c>
      <c r="X427" s="127">
        <f t="shared" si="147"/>
        <v>0.54166666667151731</v>
      </c>
      <c r="Y427" s="128">
        <f>Table2[[#This Row],[DEL. AVAILABLE A SLOT]]*24</f>
        <v>13.000000000116415</v>
      </c>
      <c r="Z427" s="1" t="str">
        <f t="shared" si="148"/>
        <v>SI</v>
      </c>
      <c r="AA427" s="127">
        <f t="shared" si="149"/>
        <v>1.7152777777810115</v>
      </c>
      <c r="AB427" s="128">
        <f>Table2[[#This Row],[ATA A TIMESLOT]]*24</f>
        <v>41.166666666744277</v>
      </c>
      <c r="AC427" s="127">
        <f t="shared" si="150"/>
        <v>0.22361111110512866</v>
      </c>
      <c r="AD427" s="127" t="str">
        <f t="shared" si="151"/>
        <v>NO</v>
      </c>
      <c r="AE427" s="128">
        <f>Table2[[#This Row],[PUNTUALIDAD (H)]]*24</f>
        <v>5.3666666665230878</v>
      </c>
      <c r="AF427" s="127">
        <f t="shared" si="152"/>
        <v>1.7173611111138598</v>
      </c>
      <c r="AG427" s="128">
        <f>Table2[[#This Row],[ATA TO UNLOADING]]*24</f>
        <v>41.216666666732635</v>
      </c>
      <c r="AH427" s="128" t="str">
        <f>IF(Table2[[#This Row],[ATA TO UNLOADING 2]]&lt;=48,"YES","NO")</f>
        <v>YES</v>
      </c>
      <c r="AJ427" s="129">
        <f t="shared" si="153"/>
        <v>8.3333333335758653E-2</v>
      </c>
      <c r="AK427" s="2" t="s">
        <v>36</v>
      </c>
      <c r="AL427" s="2" t="str">
        <f t="shared" si="154"/>
        <v>10/26</v>
      </c>
      <c r="AM427" s="2" t="str">
        <f t="shared" si="155"/>
        <v>MRSU3318054</v>
      </c>
      <c r="AN427" s="130" t="str">
        <f t="shared" si="156"/>
        <v>OM TRANSPORT</v>
      </c>
      <c r="AO427" s="151">
        <f>IF($O427="TRUCK",
VLOOKUP($AU427,Invoicing!$A$16:$B$56,MATCH($AO$1,Invoicing!$A$16:$B$16,0),FALSE)+IF(OR($B427="DCD",$B427="HPD2"),23.5,0),
VLOOKUP($AU427,Invoicing!$N$15:$O$19,MATCH($AO$1,Invoicing!$N$15:$O$15,0),FALSE)+IF(OR($B427="DCD",$B427="HPD2"),23.5,0))</f>
        <v>498.5</v>
      </c>
      <c r="AP427" s="131">
        <f>VLOOKUP($E427,Invoicing!$A$1:$H$12,MATCH(TRACKER!$P427,Invoicing!$A$1:$H$1,0),FALSE)</f>
        <v>110</v>
      </c>
      <c r="AQ427" s="131">
        <f>VLOOKUP($E427,Invoicing!$A$1:$H$12,MATCH(TRACKER!$Q$1,Invoicing!$A$1:$H$1,0),FALSE)</f>
        <v>50</v>
      </c>
      <c r="AR427" s="131">
        <f t="shared" si="157"/>
        <v>0</v>
      </c>
      <c r="AS427" s="2">
        <f t="shared" si="158"/>
        <v>3</v>
      </c>
      <c r="AT427" s="2" t="str">
        <f t="shared" si="141"/>
        <v>NIGHT</v>
      </c>
      <c r="AU427" s="2" t="str">
        <f t="shared" si="159"/>
        <v>OM TRANSPORTNIGHT</v>
      </c>
      <c r="AV427" s="94">
        <f>(IF(ISNA(AP427),AO427+AR427,SUM($AO427,$AR427,IFERROR($AP427,"0"))))+Table2[[#This Row],[WAITING TIMES]]</f>
        <v>608.5</v>
      </c>
      <c r="AW427" s="48">
        <f>VLOOKUP(AN427,Invoicing!A:K,11,FALSE)</f>
        <v>20</v>
      </c>
      <c r="AY427" s="48"/>
      <c r="AZ427" s="48">
        <f t="shared" si="160"/>
        <v>628.5</v>
      </c>
      <c r="BA427" s="132">
        <f>VLOOKUP(AN427,Invoicing!A:J,10,FALSE)</f>
        <v>70</v>
      </c>
      <c r="BB427" s="132">
        <f>VLOOKUP(AN427,Invoicing!A:L,12,FALSE)</f>
        <v>1</v>
      </c>
      <c r="BC427" s="2"/>
    </row>
    <row r="428" spans="1:55">
      <c r="A428" s="38" t="s">
        <v>774</v>
      </c>
      <c r="B428" s="3" t="s">
        <v>77</v>
      </c>
      <c r="C428" s="11">
        <v>46083.368055555555</v>
      </c>
      <c r="D428" s="11">
        <v>46083.458333333336</v>
      </c>
      <c r="E428" s="11" t="s">
        <v>98</v>
      </c>
      <c r="F428" s="11" t="s">
        <v>800</v>
      </c>
      <c r="G428" s="11" t="s">
        <v>59</v>
      </c>
      <c r="H428" s="11" t="s">
        <v>91</v>
      </c>
      <c r="I428" s="86" t="s">
        <v>805</v>
      </c>
      <c r="J428" s="86" t="s">
        <v>82</v>
      </c>
      <c r="K428" s="11">
        <v>46084.541666666664</v>
      </c>
      <c r="L428" s="12">
        <v>46085.213194444441</v>
      </c>
      <c r="M428" s="12">
        <v>46085.208333333336</v>
      </c>
      <c r="N428" s="12">
        <v>46085.333333333336</v>
      </c>
      <c r="O428" s="12" t="s">
        <v>63</v>
      </c>
      <c r="P428" s="85" t="s">
        <v>15</v>
      </c>
      <c r="Q428" s="3">
        <v>0</v>
      </c>
      <c r="R428" s="1">
        <f t="shared" si="142"/>
        <v>10</v>
      </c>
      <c r="S428" s="1">
        <f t="shared" si="143"/>
        <v>3</v>
      </c>
      <c r="T428" s="126">
        <f t="shared" si="144"/>
        <v>46085.213194444441</v>
      </c>
      <c r="U428" s="127">
        <f t="shared" si="145"/>
        <v>1.1736111111094942</v>
      </c>
      <c r="V428" s="128">
        <f>Table2[[#This Row],[ATA A OFRECIMIENTO]]*24</f>
        <v>28.166666666627862</v>
      </c>
      <c r="W428" s="1" t="str">
        <f t="shared" si="146"/>
        <v>YES</v>
      </c>
      <c r="X428" s="127">
        <f t="shared" si="147"/>
        <v>0.66666666667151731</v>
      </c>
      <c r="Y428" s="128">
        <f>Table2[[#This Row],[DEL. AVAILABLE A SLOT]]*24</f>
        <v>16.000000000116415</v>
      </c>
      <c r="Z428" s="1" t="str">
        <f t="shared" si="148"/>
        <v>SI</v>
      </c>
      <c r="AA428" s="127">
        <f t="shared" si="149"/>
        <v>1.8402777777810115</v>
      </c>
      <c r="AB428" s="128">
        <f>Table2[[#This Row],[ATA A TIMESLOT]]*24</f>
        <v>44.166666666744277</v>
      </c>
      <c r="AC428" s="127">
        <f t="shared" si="150"/>
        <v>4.8611111051286571E-3</v>
      </c>
      <c r="AD428" s="127" t="str">
        <f t="shared" si="151"/>
        <v>SI</v>
      </c>
      <c r="AE428" s="128">
        <f>Table2[[#This Row],[PUNTUALIDAD (H)]]*24</f>
        <v>0.11666666652308777</v>
      </c>
      <c r="AF428" s="127">
        <f t="shared" si="152"/>
        <v>1.9652777777810115</v>
      </c>
      <c r="AG428" s="128">
        <f>Table2[[#This Row],[ATA TO UNLOADING]]*24</f>
        <v>47.166666666744277</v>
      </c>
      <c r="AH428" s="128" t="str">
        <f>IF(Table2[[#This Row],[ATA TO UNLOADING 2]]&lt;=48,"YES","NO")</f>
        <v>YES</v>
      </c>
      <c r="AJ428" s="129">
        <f t="shared" si="153"/>
        <v>0.20833333333575865</v>
      </c>
      <c r="AK428" s="2" t="s">
        <v>64</v>
      </c>
      <c r="AL428" s="2" t="str">
        <f t="shared" si="154"/>
        <v>10/26</v>
      </c>
      <c r="AM428" s="2" t="str">
        <f t="shared" si="155"/>
        <v>MRSU3662666</v>
      </c>
      <c r="AN428" s="130" t="str">
        <f t="shared" si="156"/>
        <v>MSI</v>
      </c>
      <c r="AO428" s="151">
        <f>IF($O428="TRUCK",
VLOOKUP($AU428,Invoicing!$A$16:$B$56,MATCH($AO$1,Invoicing!$A$16:$B$16,0),FALSE)+IF(OR($B428="DCD",$B428="HPD2"),23.5,0),
VLOOKUP($AU428,Invoicing!$N$15:$O$19,MATCH($AO$1,Invoicing!$N$15:$O$15,0),FALSE)+IF(OR($B428="DCD",$B428="HPD2"),23.5,0))</f>
        <v>503.5</v>
      </c>
      <c r="AP428" s="131">
        <f>VLOOKUP($E428,Invoicing!$A$1:$H$12,MATCH(TRACKER!$P428,Invoicing!$A$1:$H$1,0),FALSE)</f>
        <v>120</v>
      </c>
      <c r="AQ428" s="131">
        <f>VLOOKUP($E428,Invoicing!$A$1:$H$12,MATCH(TRACKER!$Q$1,Invoicing!$A$1:$H$1,0),FALSE)</f>
        <v>50</v>
      </c>
      <c r="AR428" s="131">
        <f t="shared" si="157"/>
        <v>0</v>
      </c>
      <c r="AS428" s="2">
        <f t="shared" si="158"/>
        <v>3</v>
      </c>
      <c r="AT428" s="2" t="str">
        <f t="shared" si="141"/>
        <v>WEEK</v>
      </c>
      <c r="AU428" s="2" t="str">
        <f t="shared" si="159"/>
        <v>MSIWEEK</v>
      </c>
      <c r="AV428" s="94">
        <f>(IF(ISNA(AP428),AO428+AR428,SUM($AO428,$AR428,IFERROR($AP428,"0"))))+Table2[[#This Row],[WAITING TIMES]]</f>
        <v>623.5</v>
      </c>
      <c r="AW428" s="48">
        <f>VLOOKUP(AN428,Invoicing!A:K,11,FALSE)</f>
        <v>20</v>
      </c>
      <c r="AY428" s="48"/>
      <c r="AZ428" s="48">
        <f t="shared" si="160"/>
        <v>643.5</v>
      </c>
      <c r="BA428" s="132">
        <f>VLOOKUP(AN428,Invoicing!A:J,10,FALSE)</f>
        <v>70</v>
      </c>
      <c r="BB428" s="132">
        <f>VLOOKUP(AN428,Invoicing!A:L,12,FALSE)</f>
        <v>1</v>
      </c>
      <c r="BC428" s="2"/>
    </row>
    <row r="429" spans="1:55">
      <c r="A429" s="38" t="s">
        <v>774</v>
      </c>
      <c r="B429" s="3" t="s">
        <v>77</v>
      </c>
      <c r="C429" s="11">
        <v>46083.368055555555</v>
      </c>
      <c r="D429" s="11">
        <v>46083.458333333336</v>
      </c>
      <c r="E429" s="11" t="s">
        <v>83</v>
      </c>
      <c r="F429" s="11" t="s">
        <v>775</v>
      </c>
      <c r="G429" s="11" t="s">
        <v>59</v>
      </c>
      <c r="H429" s="11" t="s">
        <v>91</v>
      </c>
      <c r="I429" s="86" t="s">
        <v>806</v>
      </c>
      <c r="J429" s="86" t="s">
        <v>100</v>
      </c>
      <c r="K429" s="11">
        <v>46084.541666666664</v>
      </c>
      <c r="L429" s="12">
        <v>46085.25</v>
      </c>
      <c r="M429" s="12">
        <v>46085.25</v>
      </c>
      <c r="N429" s="12">
        <v>46085.256944444445</v>
      </c>
      <c r="O429" s="12" t="s">
        <v>63</v>
      </c>
      <c r="P429" s="85" t="s">
        <v>64</v>
      </c>
      <c r="Q429" s="3">
        <v>1</v>
      </c>
      <c r="R429" s="1">
        <f t="shared" si="142"/>
        <v>10</v>
      </c>
      <c r="S429" s="1">
        <f t="shared" si="143"/>
        <v>3</v>
      </c>
      <c r="T429" s="126">
        <f t="shared" si="144"/>
        <v>46085.25</v>
      </c>
      <c r="U429" s="127">
        <f t="shared" si="145"/>
        <v>1.1736111111094942</v>
      </c>
      <c r="V429" s="128">
        <f>Table2[[#This Row],[ATA A OFRECIMIENTO]]*24</f>
        <v>28.166666666627862</v>
      </c>
      <c r="W429" s="1" t="str">
        <f t="shared" si="146"/>
        <v>YES</v>
      </c>
      <c r="X429" s="127">
        <f t="shared" si="147"/>
        <v>0.70833333333575865</v>
      </c>
      <c r="Y429" s="128">
        <f>Table2[[#This Row],[DEL. AVAILABLE A SLOT]]*24</f>
        <v>17.000000000058208</v>
      </c>
      <c r="Z429" s="1" t="str">
        <f t="shared" si="148"/>
        <v>SI</v>
      </c>
      <c r="AA429" s="127">
        <f t="shared" si="149"/>
        <v>1.8819444444452529</v>
      </c>
      <c r="AB429" s="128">
        <f>Table2[[#This Row],[ATA A TIMESLOT]]*24</f>
        <v>45.166666666686069</v>
      </c>
      <c r="AC429" s="127">
        <f t="shared" si="150"/>
        <v>0</v>
      </c>
      <c r="AD429" s="127" t="str">
        <f t="shared" si="151"/>
        <v>SI</v>
      </c>
      <c r="AE429" s="128">
        <f>Table2[[#This Row],[PUNTUALIDAD (H)]]*24</f>
        <v>0</v>
      </c>
      <c r="AF429" s="127">
        <f t="shared" si="152"/>
        <v>1.8888888888905058</v>
      </c>
      <c r="AG429" s="128">
        <f>Table2[[#This Row],[ATA TO UNLOADING]]*24</f>
        <v>45.333333333372138</v>
      </c>
      <c r="AH429" s="128" t="str">
        <f>IF(Table2[[#This Row],[ATA TO UNLOADING 2]]&lt;=48,"YES","NO")</f>
        <v>YES</v>
      </c>
      <c r="AJ429" s="129">
        <f t="shared" si="153"/>
        <v>0.25</v>
      </c>
      <c r="AK429" s="2" t="s">
        <v>64</v>
      </c>
      <c r="AL429" s="2" t="str">
        <f t="shared" si="154"/>
        <v>10/26</v>
      </c>
      <c r="AM429" s="2" t="str">
        <f t="shared" si="155"/>
        <v>MRSU5612617</v>
      </c>
      <c r="AN429" s="130" t="str">
        <f t="shared" si="156"/>
        <v>OM TRANSPORT</v>
      </c>
      <c r="AO429" s="151">
        <f>IF($O429="TRUCK",
VLOOKUP($AU429,Invoicing!$A$16:$B$56,MATCH($AO$1,Invoicing!$A$16:$B$16,0),FALSE)+IF(OR($B429="DCD",$B429="HPD2"),23.5,0),
VLOOKUP($AU429,Invoicing!$N$15:$O$19,MATCH($AO$1,Invoicing!$N$15:$O$15,0),FALSE)+IF(OR($B429="DCD",$B429="HPD2"),23.5,0))</f>
        <v>498.5</v>
      </c>
      <c r="AP429" s="131" t="e">
        <f>VLOOKUP($E429,Invoicing!$A$1:$H$12,MATCH(TRACKER!$P429,Invoicing!$A$1:$H$1,0),FALSE)</f>
        <v>#N/A</v>
      </c>
      <c r="AQ429" s="131">
        <f>VLOOKUP($E429,Invoicing!$A$1:$H$12,MATCH(TRACKER!$Q$1,Invoicing!$A$1:$H$1,0),FALSE)</f>
        <v>50</v>
      </c>
      <c r="AR429" s="131">
        <f t="shared" si="157"/>
        <v>50</v>
      </c>
      <c r="AS429" s="2">
        <f t="shared" si="158"/>
        <v>3</v>
      </c>
      <c r="AT429" s="2" t="str">
        <f t="shared" si="141"/>
        <v>WEEK</v>
      </c>
      <c r="AU429" s="2" t="str">
        <f t="shared" si="159"/>
        <v>OM TRANSPORTWEEK</v>
      </c>
      <c r="AV429" s="94">
        <f>(IF(ISNA(AP429),AO429+AR429,SUM($AO429,$AR429,IFERROR($AP429,"0"))))+Table2[[#This Row],[WAITING TIMES]]</f>
        <v>548.5</v>
      </c>
      <c r="AW429" s="48">
        <f>VLOOKUP(AN429,Invoicing!A:K,11,FALSE)</f>
        <v>20</v>
      </c>
      <c r="AY429" s="48"/>
      <c r="AZ429" s="48">
        <f t="shared" si="160"/>
        <v>568.5</v>
      </c>
      <c r="BA429" s="132">
        <f>VLOOKUP(AN429,Invoicing!A:J,10,FALSE)</f>
        <v>70</v>
      </c>
      <c r="BB429" s="132">
        <f>VLOOKUP(AN429,Invoicing!A:L,12,FALSE)</f>
        <v>1</v>
      </c>
      <c r="BC429" s="2"/>
    </row>
    <row r="430" spans="1:55">
      <c r="A430" s="38" t="s">
        <v>774</v>
      </c>
      <c r="B430" s="3" t="s">
        <v>77</v>
      </c>
      <c r="C430" s="11">
        <v>46083.368055555555</v>
      </c>
      <c r="D430" s="11">
        <v>46083.458333333336</v>
      </c>
      <c r="E430" s="11" t="s">
        <v>73</v>
      </c>
      <c r="F430" s="11" t="s">
        <v>777</v>
      </c>
      <c r="G430" s="11" t="s">
        <v>133</v>
      </c>
      <c r="H430" s="11" t="s">
        <v>91</v>
      </c>
      <c r="I430" s="86" t="s">
        <v>807</v>
      </c>
      <c r="J430" s="86" t="s">
        <v>82</v>
      </c>
      <c r="K430" s="11">
        <v>46084.541666666664</v>
      </c>
      <c r="L430" s="12">
        <v>46085.333333333336</v>
      </c>
      <c r="M430" s="12">
        <v>46085.333333333336</v>
      </c>
      <c r="N430" s="12">
        <v>46085.336805555555</v>
      </c>
      <c r="O430" s="12" t="s">
        <v>63</v>
      </c>
      <c r="P430" s="85" t="s">
        <v>64</v>
      </c>
      <c r="Q430" s="3">
        <v>0</v>
      </c>
      <c r="R430" s="1">
        <f t="shared" si="142"/>
        <v>10</v>
      </c>
      <c r="S430" s="1">
        <f t="shared" si="143"/>
        <v>3</v>
      </c>
      <c r="T430" s="126">
        <f t="shared" si="144"/>
        <v>46085.333333333336</v>
      </c>
      <c r="U430" s="127">
        <f t="shared" si="145"/>
        <v>1.1736111111094942</v>
      </c>
      <c r="V430" s="128">
        <f>Table2[[#This Row],[ATA A OFRECIMIENTO]]*24</f>
        <v>28.166666666627862</v>
      </c>
      <c r="W430" s="1" t="str">
        <f t="shared" si="146"/>
        <v>YES</v>
      </c>
      <c r="X430" s="127">
        <f t="shared" si="147"/>
        <v>0.79166666667151731</v>
      </c>
      <c r="Y430" s="128">
        <f>Table2[[#This Row],[DEL. AVAILABLE A SLOT]]*24</f>
        <v>19.000000000116415</v>
      </c>
      <c r="Z430" s="1" t="str">
        <f t="shared" si="148"/>
        <v>SI</v>
      </c>
      <c r="AA430" s="127">
        <f t="shared" si="149"/>
        <v>1.9652777777810115</v>
      </c>
      <c r="AB430" s="128">
        <f>Table2[[#This Row],[ATA A TIMESLOT]]*24</f>
        <v>47.166666666744277</v>
      </c>
      <c r="AC430" s="127">
        <f t="shared" si="150"/>
        <v>0</v>
      </c>
      <c r="AD430" s="127" t="str">
        <f t="shared" si="151"/>
        <v>SI</v>
      </c>
      <c r="AE430" s="128">
        <f>Table2[[#This Row],[PUNTUALIDAD (H)]]*24</f>
        <v>0</v>
      </c>
      <c r="AF430" s="127">
        <f t="shared" si="152"/>
        <v>1.96875</v>
      </c>
      <c r="AG430" s="128">
        <f>Table2[[#This Row],[ATA TO UNLOADING]]*24</f>
        <v>47.25</v>
      </c>
      <c r="AH430" s="128" t="str">
        <f>IF(Table2[[#This Row],[ATA TO UNLOADING 2]]&lt;=48,"YES","NO")</f>
        <v>YES</v>
      </c>
      <c r="AJ430" s="129">
        <f t="shared" si="153"/>
        <v>0.33333333333575865</v>
      </c>
      <c r="AK430" s="2" t="s">
        <v>64</v>
      </c>
      <c r="AL430" s="2" t="str">
        <f t="shared" si="154"/>
        <v>10/26</v>
      </c>
      <c r="AM430" s="2" t="str">
        <f t="shared" si="155"/>
        <v>HLBU3087380</v>
      </c>
      <c r="AN430" s="130" t="str">
        <f t="shared" si="156"/>
        <v>OTL</v>
      </c>
      <c r="AO430" s="151">
        <f>IF($O430="TRUCK",
VLOOKUP($AU430,Invoicing!$A$16:$B$56,MATCH($AO$1,Invoicing!$A$16:$B$16,0),FALSE)+IF(OR($B430="DCD",$B430="HPD2"),23.5,0),
VLOOKUP($AU430,Invoicing!$N$15:$O$19,MATCH($AO$1,Invoicing!$N$15:$O$15,0),FALSE)+IF(OR($B430="DCD",$B430="HPD2"),23.5,0))</f>
        <v>553.5</v>
      </c>
      <c r="AP430" s="131" t="e">
        <f>VLOOKUP($E430,Invoicing!$A$1:$H$12,MATCH(TRACKER!$P430,Invoicing!$A$1:$H$1,0),FALSE)</f>
        <v>#N/A</v>
      </c>
      <c r="AQ430" s="131">
        <f>VLOOKUP($E430,Invoicing!$A$1:$H$12,MATCH(TRACKER!$Q$1,Invoicing!$A$1:$H$1,0),FALSE)</f>
        <v>60</v>
      </c>
      <c r="AR430" s="131">
        <f t="shared" si="157"/>
        <v>0</v>
      </c>
      <c r="AS430" s="2">
        <f t="shared" si="158"/>
        <v>3</v>
      </c>
      <c r="AT430" s="2" t="str">
        <f t="shared" si="141"/>
        <v>WEEK</v>
      </c>
      <c r="AU430" s="2" t="str">
        <f t="shared" si="159"/>
        <v>OTLWEEK</v>
      </c>
      <c r="AV430" s="94">
        <f>(IF(ISNA(AP430),AO430+AR430,SUM($AO430,$AR430,IFERROR($AP430,"0"))))+Table2[[#This Row],[WAITING TIMES]]</f>
        <v>553.5</v>
      </c>
      <c r="AW430" s="48">
        <f>VLOOKUP(AN430,Invoicing!A:K,11,FALSE)</f>
        <v>20</v>
      </c>
      <c r="AY430" s="48"/>
      <c r="AZ430" s="48">
        <f t="shared" si="160"/>
        <v>573.5</v>
      </c>
      <c r="BA430" s="132">
        <f>VLOOKUP(AN430,Invoicing!A:J,10,FALSE)</f>
        <v>70</v>
      </c>
      <c r="BB430" s="132">
        <f>VLOOKUP(AN430,Invoicing!A:L,12,FALSE)</f>
        <v>1</v>
      </c>
      <c r="BC430" s="2"/>
    </row>
    <row r="431" spans="1:55">
      <c r="A431" s="38" t="s">
        <v>774</v>
      </c>
      <c r="B431" s="3" t="s">
        <v>77</v>
      </c>
      <c r="C431" s="11">
        <v>46083.368055555555</v>
      </c>
      <c r="D431" s="11">
        <v>46083.458333333336</v>
      </c>
      <c r="E431" s="11" t="s">
        <v>83</v>
      </c>
      <c r="F431" s="11" t="s">
        <v>800</v>
      </c>
      <c r="G431" s="11" t="s">
        <v>59</v>
      </c>
      <c r="H431" s="11" t="s">
        <v>91</v>
      </c>
      <c r="I431" s="86" t="s">
        <v>808</v>
      </c>
      <c r="J431" s="86" t="s">
        <v>82</v>
      </c>
      <c r="K431" s="11">
        <v>46084.541666666664</v>
      </c>
      <c r="L431" s="12">
        <v>46085.303472222222</v>
      </c>
      <c r="M431" s="12">
        <v>46085.333333333336</v>
      </c>
      <c r="N431" s="12">
        <v>46085.340277777781</v>
      </c>
      <c r="O431" s="12" t="s">
        <v>63</v>
      </c>
      <c r="P431" s="85" t="s">
        <v>15</v>
      </c>
      <c r="Q431" s="3">
        <v>0</v>
      </c>
      <c r="R431" s="1">
        <f t="shared" si="142"/>
        <v>10</v>
      </c>
      <c r="S431" s="1">
        <f t="shared" si="143"/>
        <v>3</v>
      </c>
      <c r="T431" s="126">
        <f t="shared" si="144"/>
        <v>46085.303472222222</v>
      </c>
      <c r="U431" s="127">
        <f t="shared" si="145"/>
        <v>1.1736111111094942</v>
      </c>
      <c r="V431" s="128">
        <f>Table2[[#This Row],[ATA A OFRECIMIENTO]]*24</f>
        <v>28.166666666627862</v>
      </c>
      <c r="W431" s="1" t="str">
        <f t="shared" si="146"/>
        <v>YES</v>
      </c>
      <c r="X431" s="127">
        <f t="shared" si="147"/>
        <v>0.79166666667151731</v>
      </c>
      <c r="Y431" s="128">
        <f>Table2[[#This Row],[DEL. AVAILABLE A SLOT]]*24</f>
        <v>19.000000000116415</v>
      </c>
      <c r="Z431" s="1" t="str">
        <f t="shared" si="148"/>
        <v>SI</v>
      </c>
      <c r="AA431" s="127">
        <f t="shared" si="149"/>
        <v>1.9652777777810115</v>
      </c>
      <c r="AB431" s="128">
        <f>Table2[[#This Row],[ATA A TIMESLOT]]*24</f>
        <v>47.166666666744277</v>
      </c>
      <c r="AC431" s="127">
        <f t="shared" si="150"/>
        <v>0</v>
      </c>
      <c r="AD431" s="127" t="str">
        <f t="shared" si="151"/>
        <v>SI</v>
      </c>
      <c r="AE431" s="128">
        <f>Table2[[#This Row],[PUNTUALIDAD (H)]]*24</f>
        <v>0</v>
      </c>
      <c r="AF431" s="127">
        <f t="shared" si="152"/>
        <v>1.9722222222262644</v>
      </c>
      <c r="AG431" s="128">
        <f>Table2[[#This Row],[ATA TO UNLOADING]]*24</f>
        <v>47.333333333430346</v>
      </c>
      <c r="AH431" s="128" t="str">
        <f>IF(Table2[[#This Row],[ATA TO UNLOADING 2]]&lt;=48,"YES","NO")</f>
        <v>YES</v>
      </c>
      <c r="AJ431" s="129">
        <f t="shared" si="153"/>
        <v>0.33333333333575865</v>
      </c>
      <c r="AK431" s="2" t="s">
        <v>64</v>
      </c>
      <c r="AL431" s="2" t="str">
        <f t="shared" si="154"/>
        <v>10/26</v>
      </c>
      <c r="AM431" s="2" t="str">
        <f t="shared" si="155"/>
        <v>MRSU3707354</v>
      </c>
      <c r="AN431" s="130" t="str">
        <f t="shared" si="156"/>
        <v>OM TRANSPORT</v>
      </c>
      <c r="AO431" s="151">
        <f>IF($O431="TRUCK",
VLOOKUP($AU431,Invoicing!$A$16:$B$56,MATCH($AO$1,Invoicing!$A$16:$B$16,0),FALSE)+IF(OR($B431="DCD",$B431="HPD2"),23.5,0),
VLOOKUP($AU431,Invoicing!$N$15:$O$19,MATCH($AO$1,Invoicing!$N$15:$O$15,0),FALSE)+IF(OR($B431="DCD",$B431="HPD2"),23.5,0))</f>
        <v>498.5</v>
      </c>
      <c r="AP431" s="131">
        <f>VLOOKUP($E431,Invoicing!$A$1:$H$12,MATCH(TRACKER!$P431,Invoicing!$A$1:$H$1,0),FALSE)</f>
        <v>110</v>
      </c>
      <c r="AQ431" s="131">
        <f>VLOOKUP($E431,Invoicing!$A$1:$H$12,MATCH(TRACKER!$Q$1,Invoicing!$A$1:$H$1,0),FALSE)</f>
        <v>50</v>
      </c>
      <c r="AR431" s="131">
        <f t="shared" si="157"/>
        <v>0</v>
      </c>
      <c r="AS431" s="2">
        <f t="shared" si="158"/>
        <v>3</v>
      </c>
      <c r="AT431" s="2" t="str">
        <f t="shared" si="141"/>
        <v>WEEK</v>
      </c>
      <c r="AU431" s="2" t="str">
        <f t="shared" si="159"/>
        <v>OM TRANSPORTWEEK</v>
      </c>
      <c r="AV431" s="94">
        <f>(IF(ISNA(AP431),AO431+AR431,SUM($AO431,$AR431,IFERROR($AP431,"0"))))+Table2[[#This Row],[WAITING TIMES]]</f>
        <v>608.5</v>
      </c>
      <c r="AW431" s="48">
        <f>VLOOKUP(AN431,Invoicing!A:K,11,FALSE)</f>
        <v>20</v>
      </c>
      <c r="AY431" s="48"/>
      <c r="AZ431" s="48">
        <f t="shared" si="160"/>
        <v>628.5</v>
      </c>
      <c r="BA431" s="132">
        <f>VLOOKUP(AN431,Invoicing!A:J,10,FALSE)</f>
        <v>70</v>
      </c>
      <c r="BB431" s="132">
        <f>VLOOKUP(AN431,Invoicing!A:L,12,FALSE)</f>
        <v>1</v>
      </c>
      <c r="BC431" s="2"/>
    </row>
    <row r="432" spans="1:55">
      <c r="A432" s="38" t="s">
        <v>774</v>
      </c>
      <c r="B432" s="3" t="s">
        <v>77</v>
      </c>
      <c r="C432" s="11">
        <v>46083.368055555555</v>
      </c>
      <c r="D432" s="11">
        <v>46083.458333333336</v>
      </c>
      <c r="E432" s="11" t="s">
        <v>73</v>
      </c>
      <c r="F432" s="11" t="s">
        <v>775</v>
      </c>
      <c r="G432" s="11" t="s">
        <v>59</v>
      </c>
      <c r="H432" s="11" t="s">
        <v>91</v>
      </c>
      <c r="I432" s="86" t="s">
        <v>809</v>
      </c>
      <c r="J432" s="86" t="s">
        <v>100</v>
      </c>
      <c r="K432" s="11">
        <v>46084.541666666664</v>
      </c>
      <c r="L432" s="12">
        <v>46085.369444444441</v>
      </c>
      <c r="M432" s="12">
        <v>46085.375</v>
      </c>
      <c r="N432" s="12">
        <v>46085.378472222219</v>
      </c>
      <c r="O432" s="12" t="s">
        <v>63</v>
      </c>
      <c r="P432" s="85" t="s">
        <v>64</v>
      </c>
      <c r="Q432" s="3">
        <v>0</v>
      </c>
      <c r="R432" s="1">
        <f t="shared" si="142"/>
        <v>10</v>
      </c>
      <c r="S432" s="1">
        <f t="shared" si="143"/>
        <v>3</v>
      </c>
      <c r="T432" s="126">
        <f t="shared" si="144"/>
        <v>46085.369444444441</v>
      </c>
      <c r="U432" s="127">
        <f t="shared" si="145"/>
        <v>1.1736111111094942</v>
      </c>
      <c r="V432" s="128">
        <f>Table2[[#This Row],[ATA A OFRECIMIENTO]]*24</f>
        <v>28.166666666627862</v>
      </c>
      <c r="W432" s="1" t="str">
        <f t="shared" si="146"/>
        <v>YES</v>
      </c>
      <c r="X432" s="127">
        <f t="shared" si="147"/>
        <v>0.83333333333575865</v>
      </c>
      <c r="Y432" s="128">
        <f>Table2[[#This Row],[DEL. AVAILABLE A SLOT]]*24</f>
        <v>20.000000000058208</v>
      </c>
      <c r="Z432" s="1" t="str">
        <f t="shared" si="148"/>
        <v>SI</v>
      </c>
      <c r="AA432" s="127">
        <f t="shared" si="149"/>
        <v>2.0069444444452529</v>
      </c>
      <c r="AB432" s="128">
        <f>Table2[[#This Row],[ATA A TIMESLOT]]*24</f>
        <v>48.166666666686069</v>
      </c>
      <c r="AC432" s="127">
        <f t="shared" si="150"/>
        <v>0</v>
      </c>
      <c r="AD432" s="127" t="str">
        <f t="shared" si="151"/>
        <v>SI</v>
      </c>
      <c r="AE432" s="128">
        <f>Table2[[#This Row],[PUNTUALIDAD (H)]]*24</f>
        <v>0</v>
      </c>
      <c r="AF432" s="127">
        <f t="shared" si="152"/>
        <v>2.0104166666642413</v>
      </c>
      <c r="AG432" s="128">
        <f>Table2[[#This Row],[ATA TO UNLOADING]]*24</f>
        <v>48.249999999941792</v>
      </c>
      <c r="AH432" s="128" t="str">
        <f>IF(Table2[[#This Row],[ATA TO UNLOADING 2]]&lt;=48,"YES","NO")</f>
        <v>NO</v>
      </c>
      <c r="AJ432" s="129">
        <f t="shared" si="153"/>
        <v>0.375</v>
      </c>
      <c r="AK432" s="2" t="s">
        <v>64</v>
      </c>
      <c r="AL432" s="2" t="str">
        <f t="shared" si="154"/>
        <v>10/26</v>
      </c>
      <c r="AM432" s="2" t="str">
        <f t="shared" si="155"/>
        <v>MRSU8194130</v>
      </c>
      <c r="AN432" s="130" t="str">
        <f t="shared" si="156"/>
        <v>OTL</v>
      </c>
      <c r="AO432" s="151">
        <f>IF($O432="TRUCK",
VLOOKUP($AU432,Invoicing!$A$16:$B$56,MATCH($AO$1,Invoicing!$A$16:$B$16,0),FALSE)+IF(OR($B432="DCD",$B432="HPD2"),23.5,0),
VLOOKUP($AU432,Invoicing!$N$15:$O$19,MATCH($AO$1,Invoicing!$N$15:$O$15,0),FALSE)+IF(OR($B432="DCD",$B432="HPD2"),23.5,0))</f>
        <v>553.5</v>
      </c>
      <c r="AP432" s="131" t="e">
        <f>VLOOKUP($E432,Invoicing!$A$1:$H$12,MATCH(TRACKER!$P432,Invoicing!$A$1:$H$1,0),FALSE)</f>
        <v>#N/A</v>
      </c>
      <c r="AQ432" s="131">
        <f>VLOOKUP($E432,Invoicing!$A$1:$H$12,MATCH(TRACKER!$Q$1,Invoicing!$A$1:$H$1,0),FALSE)</f>
        <v>60</v>
      </c>
      <c r="AR432" s="131">
        <f t="shared" si="157"/>
        <v>0</v>
      </c>
      <c r="AS432" s="2">
        <f t="shared" si="158"/>
        <v>3</v>
      </c>
      <c r="AT432" s="2" t="str">
        <f t="shared" si="141"/>
        <v>WEEK</v>
      </c>
      <c r="AU432" s="2" t="str">
        <f t="shared" si="159"/>
        <v>OTLWEEK</v>
      </c>
      <c r="AV432" s="94">
        <f>(IF(ISNA(AP432),AO432+AR432,SUM($AO432,$AR432,IFERROR($AP432,"0"))))+Table2[[#This Row],[WAITING TIMES]]</f>
        <v>553.5</v>
      </c>
      <c r="AW432" s="48">
        <f>VLOOKUP(AN432,Invoicing!A:K,11,FALSE)</f>
        <v>20</v>
      </c>
      <c r="AY432" s="48"/>
      <c r="AZ432" s="48">
        <f t="shared" si="160"/>
        <v>573.5</v>
      </c>
      <c r="BA432" s="132">
        <f>VLOOKUP(AN432,Invoicing!A:J,10,FALSE)</f>
        <v>70</v>
      </c>
      <c r="BB432" s="132">
        <f>VLOOKUP(AN432,Invoicing!A:L,12,FALSE)</f>
        <v>1</v>
      </c>
      <c r="BC432" s="2"/>
    </row>
    <row r="433" spans="1:55">
      <c r="A433" s="38" t="s">
        <v>774</v>
      </c>
      <c r="B433" s="3" t="s">
        <v>77</v>
      </c>
      <c r="C433" s="11">
        <v>46083.368055555555</v>
      </c>
      <c r="D433" s="11">
        <v>46083.458333333336</v>
      </c>
      <c r="E433" s="11" t="s">
        <v>98</v>
      </c>
      <c r="F433" s="11" t="s">
        <v>800</v>
      </c>
      <c r="G433" s="11" t="s">
        <v>59</v>
      </c>
      <c r="H433" s="11" t="s">
        <v>91</v>
      </c>
      <c r="I433" s="86" t="s">
        <v>810</v>
      </c>
      <c r="J433" s="86" t="s">
        <v>82</v>
      </c>
      <c r="K433" s="11">
        <v>46084.541666666664</v>
      </c>
      <c r="L433" s="12">
        <v>46085.354166666664</v>
      </c>
      <c r="M433" s="12">
        <v>46085.416666666664</v>
      </c>
      <c r="N433" s="12">
        <v>46085.444444444445</v>
      </c>
      <c r="O433" s="12" t="s">
        <v>63</v>
      </c>
      <c r="P433" s="85" t="s">
        <v>15</v>
      </c>
      <c r="Q433" s="3">
        <v>0</v>
      </c>
      <c r="R433" s="1">
        <f t="shared" si="142"/>
        <v>10</v>
      </c>
      <c r="S433" s="1">
        <f t="shared" si="143"/>
        <v>3</v>
      </c>
      <c r="T433" s="126">
        <f t="shared" si="144"/>
        <v>46085.354166666664</v>
      </c>
      <c r="U433" s="127">
        <f t="shared" si="145"/>
        <v>1.1736111111094942</v>
      </c>
      <c r="V433" s="128">
        <f>Table2[[#This Row],[ATA A OFRECIMIENTO]]*24</f>
        <v>28.166666666627862</v>
      </c>
      <c r="W433" s="1" t="str">
        <f t="shared" si="146"/>
        <v>YES</v>
      </c>
      <c r="X433" s="127">
        <f t="shared" si="147"/>
        <v>0.875</v>
      </c>
      <c r="Y433" s="128">
        <f>Table2[[#This Row],[DEL. AVAILABLE A SLOT]]*24</f>
        <v>21</v>
      </c>
      <c r="Z433" s="1" t="str">
        <f t="shared" si="148"/>
        <v>SI</v>
      </c>
      <c r="AA433" s="127">
        <f t="shared" si="149"/>
        <v>2.0486111111094942</v>
      </c>
      <c r="AB433" s="128">
        <f>Table2[[#This Row],[ATA A TIMESLOT]]*24</f>
        <v>49.166666666627862</v>
      </c>
      <c r="AC433" s="127">
        <f t="shared" si="150"/>
        <v>0</v>
      </c>
      <c r="AD433" s="127" t="str">
        <f t="shared" si="151"/>
        <v>SI</v>
      </c>
      <c r="AE433" s="128">
        <f>Table2[[#This Row],[PUNTUALIDAD (H)]]*24</f>
        <v>0</v>
      </c>
      <c r="AF433" s="127">
        <f t="shared" si="152"/>
        <v>2.0763888888905058</v>
      </c>
      <c r="AG433" s="128">
        <f>Table2[[#This Row],[ATA TO UNLOADING]]*24</f>
        <v>49.833333333372138</v>
      </c>
      <c r="AH433" s="128" t="str">
        <f>IF(Table2[[#This Row],[ATA TO UNLOADING 2]]&lt;=48,"YES","NO")</f>
        <v>NO</v>
      </c>
      <c r="AJ433" s="129">
        <f t="shared" si="153"/>
        <v>0.41666666666424135</v>
      </c>
      <c r="AK433" s="2" t="s">
        <v>64</v>
      </c>
      <c r="AL433" s="2" t="str">
        <f t="shared" si="154"/>
        <v>10/26</v>
      </c>
      <c r="AM433" s="2" t="str">
        <f t="shared" si="155"/>
        <v>MRSU4825921</v>
      </c>
      <c r="AN433" s="130" t="str">
        <f t="shared" si="156"/>
        <v>MSI</v>
      </c>
      <c r="AO433" s="151">
        <f>IF($O433="TRUCK",
VLOOKUP($AU433,Invoicing!$A$16:$B$56,MATCH($AO$1,Invoicing!$A$16:$B$16,0),FALSE)+IF(OR($B433="DCD",$B433="HPD2"),23.5,0),
VLOOKUP($AU433,Invoicing!$N$15:$O$19,MATCH($AO$1,Invoicing!$N$15:$O$15,0),FALSE)+IF(OR($B433="DCD",$B433="HPD2"),23.5,0))</f>
        <v>503.5</v>
      </c>
      <c r="AP433" s="131">
        <f>VLOOKUP($E433,Invoicing!$A$1:$H$12,MATCH(TRACKER!$P433,Invoicing!$A$1:$H$1,0),FALSE)</f>
        <v>120</v>
      </c>
      <c r="AQ433" s="131">
        <f>VLOOKUP($E433,Invoicing!$A$1:$H$12,MATCH(TRACKER!$Q$1,Invoicing!$A$1:$H$1,0),FALSE)</f>
        <v>50</v>
      </c>
      <c r="AR433" s="131">
        <f t="shared" si="157"/>
        <v>0</v>
      </c>
      <c r="AS433" s="2">
        <f t="shared" si="158"/>
        <v>3</v>
      </c>
      <c r="AT433" s="2" t="str">
        <f t="shared" si="141"/>
        <v>WEEK</v>
      </c>
      <c r="AU433" s="2" t="str">
        <f t="shared" si="159"/>
        <v>MSIWEEK</v>
      </c>
      <c r="AV433" s="94">
        <f>(IF(ISNA(AP433),AO433+AR433,SUM($AO433,$AR433,IFERROR($AP433,"0"))))+Table2[[#This Row],[WAITING TIMES]]</f>
        <v>623.5</v>
      </c>
      <c r="AW433" s="48">
        <f>VLOOKUP(AN433,Invoicing!A:K,11,FALSE)</f>
        <v>20</v>
      </c>
      <c r="AY433" s="48"/>
      <c r="AZ433" s="48">
        <f t="shared" si="160"/>
        <v>643.5</v>
      </c>
      <c r="BA433" s="132">
        <f>VLOOKUP(AN433,Invoicing!A:J,10,FALSE)</f>
        <v>70</v>
      </c>
      <c r="BB433" s="132">
        <f>VLOOKUP(AN433,Invoicing!A:L,12,FALSE)</f>
        <v>1</v>
      </c>
      <c r="BC433" s="2"/>
    </row>
    <row r="434" spans="1:55">
      <c r="A434" s="38" t="s">
        <v>774</v>
      </c>
      <c r="B434" s="3" t="s">
        <v>77</v>
      </c>
      <c r="C434" s="11">
        <v>46083.368055555555</v>
      </c>
      <c r="D434" s="11">
        <v>46083.458333333336</v>
      </c>
      <c r="E434" s="11" t="s">
        <v>71</v>
      </c>
      <c r="F434" s="11" t="s">
        <v>796</v>
      </c>
      <c r="G434" s="11" t="s">
        <v>59</v>
      </c>
      <c r="H434" s="11" t="s">
        <v>91</v>
      </c>
      <c r="I434" s="86" t="s">
        <v>811</v>
      </c>
      <c r="J434" s="86" t="s">
        <v>82</v>
      </c>
      <c r="K434" s="11">
        <v>46084.541666666664</v>
      </c>
      <c r="L434" s="12">
        <v>46085.428472222222</v>
      </c>
      <c r="M434" s="12">
        <v>46085.416666666664</v>
      </c>
      <c r="N434" s="12">
        <v>46085.447222222225</v>
      </c>
      <c r="O434" s="12" t="s">
        <v>63</v>
      </c>
      <c r="P434" s="85" t="s">
        <v>64</v>
      </c>
      <c r="Q434" s="3">
        <v>0</v>
      </c>
      <c r="R434" s="1">
        <f t="shared" si="142"/>
        <v>10</v>
      </c>
      <c r="S434" s="1">
        <f t="shared" si="143"/>
        <v>3</v>
      </c>
      <c r="T434" s="126">
        <f t="shared" si="144"/>
        <v>46085.428472222222</v>
      </c>
      <c r="U434" s="127">
        <f t="shared" si="145"/>
        <v>1.1736111111094942</v>
      </c>
      <c r="V434" s="128">
        <f>Table2[[#This Row],[ATA A OFRECIMIENTO]]*24</f>
        <v>28.166666666627862</v>
      </c>
      <c r="W434" s="1" t="str">
        <f t="shared" si="146"/>
        <v>YES</v>
      </c>
      <c r="X434" s="127">
        <f t="shared" si="147"/>
        <v>0.875</v>
      </c>
      <c r="Y434" s="128">
        <f>Table2[[#This Row],[DEL. AVAILABLE A SLOT]]*24</f>
        <v>21</v>
      </c>
      <c r="Z434" s="1" t="str">
        <f t="shared" si="148"/>
        <v>SI</v>
      </c>
      <c r="AA434" s="127">
        <f t="shared" si="149"/>
        <v>2.0486111111094942</v>
      </c>
      <c r="AB434" s="128">
        <f>Table2[[#This Row],[ATA A TIMESLOT]]*24</f>
        <v>49.166666666627862</v>
      </c>
      <c r="AC434" s="127">
        <f t="shared" si="150"/>
        <v>1.1805555557657499E-2</v>
      </c>
      <c r="AD434" s="127" t="str">
        <f t="shared" si="151"/>
        <v>SI</v>
      </c>
      <c r="AE434" s="128">
        <f>Table2[[#This Row],[PUNTUALIDAD (H)]]*24</f>
        <v>0.28333333338377997</v>
      </c>
      <c r="AF434" s="127">
        <f t="shared" si="152"/>
        <v>2.0791666666700621</v>
      </c>
      <c r="AG434" s="128">
        <f>Table2[[#This Row],[ATA TO UNLOADING]]*24</f>
        <v>49.900000000081491</v>
      </c>
      <c r="AH434" s="128" t="str">
        <f>IF(Table2[[#This Row],[ATA TO UNLOADING 2]]&lt;=48,"YES","NO")</f>
        <v>NO</v>
      </c>
      <c r="AJ434" s="129">
        <f t="shared" si="153"/>
        <v>0.41666666666424135</v>
      </c>
      <c r="AK434" s="2" t="s">
        <v>64</v>
      </c>
      <c r="AL434" s="2" t="str">
        <f t="shared" si="154"/>
        <v>10/26</v>
      </c>
      <c r="AM434" s="2" t="str">
        <f t="shared" si="155"/>
        <v>MRSU6778773</v>
      </c>
      <c r="AN434" s="130" t="str">
        <f t="shared" si="156"/>
        <v>LOGIX</v>
      </c>
      <c r="AO434" s="151">
        <f>IF($O434="TRUCK",
VLOOKUP($AU434,Invoicing!$A$16:$B$56,MATCH($AO$1,Invoicing!$A$16:$B$16,0),FALSE)+IF(OR($B434="DCD",$B434="HPD2"),23.5,0),
VLOOKUP($AU434,Invoicing!$N$15:$O$19,MATCH($AO$1,Invoicing!$N$15:$O$15,0),FALSE)+IF(OR($B434="DCD",$B434="HPD2"),23.5,0))</f>
        <v>573.5</v>
      </c>
      <c r="AP434" s="131" t="e">
        <f>VLOOKUP($E434,Invoicing!$A$1:$H$12,MATCH(TRACKER!$P434,Invoicing!$A$1:$H$1,0),FALSE)</f>
        <v>#N/A</v>
      </c>
      <c r="AQ434" s="131">
        <f>VLOOKUP($E434,Invoicing!$A$1:$H$12,MATCH(TRACKER!$Q$1,Invoicing!$A$1:$H$1,0),FALSE)</f>
        <v>50</v>
      </c>
      <c r="AR434" s="131">
        <f t="shared" si="157"/>
        <v>0</v>
      </c>
      <c r="AS434" s="2">
        <f t="shared" si="158"/>
        <v>3</v>
      </c>
      <c r="AT434" s="2" t="str">
        <f t="shared" si="141"/>
        <v>WEEK</v>
      </c>
      <c r="AU434" s="2" t="str">
        <f t="shared" si="159"/>
        <v>LOGIXWEEK</v>
      </c>
      <c r="AV434" s="94">
        <f>(IF(ISNA(AP434),AO434+AR434,SUM($AO434,$AR434,IFERROR($AP434,"0"))))+Table2[[#This Row],[WAITING TIMES]]</f>
        <v>573.5</v>
      </c>
      <c r="AW434" s="48">
        <f>VLOOKUP(AN434,Invoicing!A:K,11,FALSE)</f>
        <v>20</v>
      </c>
      <c r="AY434" s="48"/>
      <c r="AZ434" s="48">
        <f t="shared" si="160"/>
        <v>593.5</v>
      </c>
      <c r="BA434" s="132">
        <f>VLOOKUP(AN434,Invoicing!A:J,10,FALSE)</f>
        <v>70</v>
      </c>
      <c r="BB434" s="132">
        <f>VLOOKUP(AN434,Invoicing!A:L,12,FALSE)</f>
        <v>1</v>
      </c>
      <c r="BC434" s="2"/>
    </row>
    <row r="435" spans="1:55">
      <c r="A435" s="38" t="s">
        <v>774</v>
      </c>
      <c r="B435" s="3" t="s">
        <v>77</v>
      </c>
      <c r="C435" s="11">
        <v>46083.368055555555</v>
      </c>
      <c r="D435" s="11">
        <v>46083.458333333336</v>
      </c>
      <c r="E435" s="11" t="s">
        <v>83</v>
      </c>
      <c r="F435" s="11" t="s">
        <v>787</v>
      </c>
      <c r="G435" s="11" t="s">
        <v>59</v>
      </c>
      <c r="H435" s="11" t="s">
        <v>91</v>
      </c>
      <c r="I435" s="86" t="s">
        <v>812</v>
      </c>
      <c r="J435" s="86" t="s">
        <v>82</v>
      </c>
      <c r="K435" s="11">
        <v>46084.541666666664</v>
      </c>
      <c r="L435" s="12">
        <v>46085.488888888889</v>
      </c>
      <c r="M435" s="12">
        <v>46085.5</v>
      </c>
      <c r="N435" s="12">
        <v>46085.5625</v>
      </c>
      <c r="O435" s="12" t="s">
        <v>63</v>
      </c>
      <c r="P435" s="85" t="s">
        <v>15</v>
      </c>
      <c r="Q435" s="3">
        <v>0</v>
      </c>
      <c r="R435" s="1">
        <f t="shared" si="142"/>
        <v>10</v>
      </c>
      <c r="S435" s="1">
        <f t="shared" si="143"/>
        <v>3</v>
      </c>
      <c r="T435" s="126">
        <f t="shared" si="144"/>
        <v>46085.488888888889</v>
      </c>
      <c r="U435" s="127">
        <f t="shared" si="145"/>
        <v>1.1736111111094942</v>
      </c>
      <c r="V435" s="128">
        <f>Table2[[#This Row],[ATA A OFRECIMIENTO]]*24</f>
        <v>28.166666666627862</v>
      </c>
      <c r="W435" s="1" t="str">
        <f t="shared" si="146"/>
        <v>YES</v>
      </c>
      <c r="X435" s="127">
        <f t="shared" si="147"/>
        <v>0.95833333333575865</v>
      </c>
      <c r="Y435" s="128">
        <f>Table2[[#This Row],[DEL. AVAILABLE A SLOT]]*24</f>
        <v>23.000000000058208</v>
      </c>
      <c r="Z435" s="1" t="str">
        <f t="shared" si="148"/>
        <v>SI</v>
      </c>
      <c r="AA435" s="127">
        <f t="shared" si="149"/>
        <v>2.1319444444452529</v>
      </c>
      <c r="AB435" s="128">
        <f>Table2[[#This Row],[ATA A TIMESLOT]]*24</f>
        <v>51.166666666686069</v>
      </c>
      <c r="AC435" s="127">
        <f t="shared" si="150"/>
        <v>0</v>
      </c>
      <c r="AD435" s="127" t="str">
        <f t="shared" si="151"/>
        <v>SI</v>
      </c>
      <c r="AE435" s="128">
        <f>Table2[[#This Row],[PUNTUALIDAD (H)]]*24</f>
        <v>0</v>
      </c>
      <c r="AF435" s="127">
        <f t="shared" si="152"/>
        <v>2.1944444444452529</v>
      </c>
      <c r="AG435" s="128">
        <f>Table2[[#This Row],[ATA TO UNLOADING]]*24</f>
        <v>52.666666666686069</v>
      </c>
      <c r="AH435" s="128" t="str">
        <f>IF(Table2[[#This Row],[ATA TO UNLOADING 2]]&lt;=48,"YES","NO")</f>
        <v>NO</v>
      </c>
      <c r="AJ435" s="129">
        <f t="shared" si="153"/>
        <v>0.5</v>
      </c>
      <c r="AK435" s="2" t="s">
        <v>64</v>
      </c>
      <c r="AL435" s="2" t="str">
        <f t="shared" si="154"/>
        <v>10/26</v>
      </c>
      <c r="AM435" s="2" t="str">
        <f t="shared" si="155"/>
        <v>CAAU6601456</v>
      </c>
      <c r="AN435" s="130" t="str">
        <f t="shared" si="156"/>
        <v>OM TRANSPORT</v>
      </c>
      <c r="AO435" s="151">
        <f>IF($O435="TRUCK",
VLOOKUP($AU435,Invoicing!$A$16:$B$56,MATCH($AO$1,Invoicing!$A$16:$B$16,0),FALSE)+IF(OR($B435="DCD",$B435="HPD2"),23.5,0),
VLOOKUP($AU435,Invoicing!$N$15:$O$19,MATCH($AO$1,Invoicing!$N$15:$O$15,0),FALSE)+IF(OR($B435="DCD",$B435="HPD2"),23.5,0))</f>
        <v>498.5</v>
      </c>
      <c r="AP435" s="131">
        <f>VLOOKUP($E435,Invoicing!$A$1:$H$12,MATCH(TRACKER!$P435,Invoicing!$A$1:$H$1,0),FALSE)</f>
        <v>110</v>
      </c>
      <c r="AQ435" s="131">
        <f>VLOOKUP($E435,Invoicing!$A$1:$H$12,MATCH(TRACKER!$Q$1,Invoicing!$A$1:$H$1,0),FALSE)</f>
        <v>50</v>
      </c>
      <c r="AR435" s="131">
        <f t="shared" si="157"/>
        <v>0</v>
      </c>
      <c r="AS435" s="2">
        <f t="shared" si="158"/>
        <v>3</v>
      </c>
      <c r="AT435" s="2" t="str">
        <f t="shared" si="141"/>
        <v>WEEK</v>
      </c>
      <c r="AU435" s="2" t="str">
        <f t="shared" si="159"/>
        <v>OM TRANSPORTWEEK</v>
      </c>
      <c r="AV435" s="94">
        <f>(IF(ISNA(AP435),AO435+AR435,SUM($AO435,$AR435,IFERROR($AP435,"0"))))+Table2[[#This Row],[WAITING TIMES]]</f>
        <v>608.5</v>
      </c>
      <c r="AW435" s="48">
        <f>VLOOKUP(AN435,Invoicing!A:K,11,FALSE)</f>
        <v>20</v>
      </c>
      <c r="AY435" s="48"/>
      <c r="AZ435" s="48">
        <f t="shared" si="160"/>
        <v>628.5</v>
      </c>
      <c r="BA435" s="132">
        <f>VLOOKUP(AN435,Invoicing!A:J,10,FALSE)</f>
        <v>70</v>
      </c>
      <c r="BB435" s="132">
        <f>VLOOKUP(AN435,Invoicing!A:L,12,FALSE)</f>
        <v>1</v>
      </c>
      <c r="BC435" s="2"/>
    </row>
    <row r="436" spans="1:55">
      <c r="A436" s="38" t="s">
        <v>774</v>
      </c>
      <c r="B436" s="3" t="s">
        <v>77</v>
      </c>
      <c r="C436" s="11">
        <v>46083.368055555555</v>
      </c>
      <c r="D436" s="11">
        <v>46083.458333333336</v>
      </c>
      <c r="E436" s="11" t="s">
        <v>57</v>
      </c>
      <c r="F436" s="11" t="s">
        <v>777</v>
      </c>
      <c r="G436" s="11" t="s">
        <v>133</v>
      </c>
      <c r="H436" s="11" t="s">
        <v>91</v>
      </c>
      <c r="I436" s="86" t="s">
        <v>813</v>
      </c>
      <c r="J436" s="86" t="s">
        <v>82</v>
      </c>
      <c r="K436" s="11">
        <v>46084.541666666664</v>
      </c>
      <c r="L436" s="12">
        <v>46085.536111111112</v>
      </c>
      <c r="M436" s="12">
        <v>46085.5</v>
      </c>
      <c r="N436" s="12">
        <v>46085.536111111112</v>
      </c>
      <c r="O436" s="12" t="s">
        <v>63</v>
      </c>
      <c r="P436" s="85" t="s">
        <v>64</v>
      </c>
      <c r="Q436" s="3">
        <v>0</v>
      </c>
      <c r="R436" s="1">
        <f t="shared" si="142"/>
        <v>10</v>
      </c>
      <c r="S436" s="1">
        <f t="shared" si="143"/>
        <v>3</v>
      </c>
      <c r="T436" s="126">
        <f t="shared" si="144"/>
        <v>46085.536111111112</v>
      </c>
      <c r="U436" s="127">
        <f t="shared" si="145"/>
        <v>1.1736111111094942</v>
      </c>
      <c r="V436" s="128">
        <f>Table2[[#This Row],[ATA A OFRECIMIENTO]]*24</f>
        <v>28.166666666627862</v>
      </c>
      <c r="W436" s="1" t="str">
        <f t="shared" si="146"/>
        <v>YES</v>
      </c>
      <c r="X436" s="127">
        <f t="shared" si="147"/>
        <v>0.95833333333575865</v>
      </c>
      <c r="Y436" s="128">
        <f>Table2[[#This Row],[DEL. AVAILABLE A SLOT]]*24</f>
        <v>23.000000000058208</v>
      </c>
      <c r="Z436" s="1" t="str">
        <f t="shared" si="148"/>
        <v>SI</v>
      </c>
      <c r="AA436" s="127">
        <f t="shared" si="149"/>
        <v>2.1319444444452529</v>
      </c>
      <c r="AB436" s="128">
        <f>Table2[[#This Row],[ATA A TIMESLOT]]*24</f>
        <v>51.166666666686069</v>
      </c>
      <c r="AC436" s="127">
        <f t="shared" si="150"/>
        <v>3.6111111112404615E-2</v>
      </c>
      <c r="AD436" s="127" t="str">
        <f t="shared" si="151"/>
        <v>NO</v>
      </c>
      <c r="AE436" s="128">
        <f>Table2[[#This Row],[PUNTUALIDAD (H)]]*24</f>
        <v>0.86666666669771075</v>
      </c>
      <c r="AF436" s="127">
        <f t="shared" si="152"/>
        <v>2.1680555555576575</v>
      </c>
      <c r="AG436" s="128">
        <f>Table2[[#This Row],[ATA TO UNLOADING]]*24</f>
        <v>52.03333333338378</v>
      </c>
      <c r="AH436" s="128" t="str">
        <f>IF(Table2[[#This Row],[ATA TO UNLOADING 2]]&lt;=48,"YES","NO")</f>
        <v>NO</v>
      </c>
      <c r="AJ436" s="129">
        <f t="shared" si="153"/>
        <v>0.5</v>
      </c>
      <c r="AK436" s="2" t="s">
        <v>64</v>
      </c>
      <c r="AL436" s="2" t="str">
        <f t="shared" si="154"/>
        <v>10/26</v>
      </c>
      <c r="AM436" s="2" t="str">
        <f t="shared" si="155"/>
        <v>SEKU6291946</v>
      </c>
      <c r="AN436" s="130" t="str">
        <f t="shared" si="156"/>
        <v>CTK TRANSPORT</v>
      </c>
      <c r="AO436" s="151">
        <f>IF($O436="TRUCK",
VLOOKUP($AU436,Invoicing!$A$16:$B$56,MATCH($AO$1,Invoicing!$A$16:$B$16,0),FALSE)+IF(OR($B436="DCD",$B436="HPD2"),23.5,0),
VLOOKUP($AU436,Invoicing!$N$15:$O$19,MATCH($AO$1,Invoicing!$N$15:$O$15,0),FALSE)+IF(OR($B436="DCD",$B436="HPD2"),23.5,0))</f>
        <v>573.5</v>
      </c>
      <c r="AP436" s="131" t="e">
        <f>VLOOKUP($E436,Invoicing!$A$1:$H$12,MATCH(TRACKER!$P436,Invoicing!$A$1:$H$1,0),FALSE)</f>
        <v>#N/A</v>
      </c>
      <c r="AQ436" s="131">
        <f>VLOOKUP($E436,Invoicing!$A$1:$H$12,MATCH(TRACKER!$Q$1,Invoicing!$A$1:$H$1,0),FALSE)</f>
        <v>50</v>
      </c>
      <c r="AR436" s="131">
        <f t="shared" si="157"/>
        <v>0</v>
      </c>
      <c r="AS436" s="2">
        <f t="shared" si="158"/>
        <v>3</v>
      </c>
      <c r="AT436" s="2" t="str">
        <f t="shared" si="141"/>
        <v>WEEK</v>
      </c>
      <c r="AU436" s="2" t="str">
        <f t="shared" si="159"/>
        <v>CTK TRANSPORTWEEK</v>
      </c>
      <c r="AV436" s="94">
        <f>(IF(ISNA(AP436),AO436+AR436,SUM($AO436,$AR436,IFERROR($AP436,"0"))))+Table2[[#This Row],[WAITING TIMES]]</f>
        <v>573.5</v>
      </c>
      <c r="AW436" s="48">
        <f>VLOOKUP(AN436,Invoicing!A:K,11,FALSE)</f>
        <v>20</v>
      </c>
      <c r="AY436" s="48"/>
      <c r="AZ436" s="48">
        <f t="shared" si="160"/>
        <v>593.5</v>
      </c>
      <c r="BA436" s="132">
        <f>VLOOKUP(AN436,Invoicing!A:J,10,FALSE)</f>
        <v>70</v>
      </c>
      <c r="BB436" s="132">
        <f>VLOOKUP(AN436,Invoicing!A:L,12,FALSE)</f>
        <v>1</v>
      </c>
      <c r="BC436" s="2"/>
    </row>
    <row r="437" spans="1:55">
      <c r="A437" s="38" t="s">
        <v>774</v>
      </c>
      <c r="B437" s="3" t="s">
        <v>77</v>
      </c>
      <c r="C437" s="11">
        <v>46083.368055555555</v>
      </c>
      <c r="D437" s="11">
        <v>46083.458333333336</v>
      </c>
      <c r="E437" s="11" t="s">
        <v>83</v>
      </c>
      <c r="F437" s="11" t="s">
        <v>775</v>
      </c>
      <c r="G437" s="11" t="s">
        <v>59</v>
      </c>
      <c r="H437" s="11" t="s">
        <v>91</v>
      </c>
      <c r="I437" s="86" t="s">
        <v>814</v>
      </c>
      <c r="J437" s="86" t="s">
        <v>82</v>
      </c>
      <c r="K437" s="11">
        <v>46084.541666666664</v>
      </c>
      <c r="L437" s="12">
        <v>46085.539583333331</v>
      </c>
      <c r="M437" s="12">
        <v>46085.541666666664</v>
      </c>
      <c r="N437" s="12">
        <v>46085.539583333331</v>
      </c>
      <c r="O437" s="12" t="s">
        <v>63</v>
      </c>
      <c r="P437" s="85" t="s">
        <v>64</v>
      </c>
      <c r="Q437" s="3">
        <v>0</v>
      </c>
      <c r="R437" s="1">
        <f t="shared" ref="R437:R455" si="161">IF(M437="","",WEEKNUM(T437,2))</f>
        <v>10</v>
      </c>
      <c r="S437" s="1">
        <f t="shared" ref="S437:S455" si="162">IF(M437="","",MONTH(T437))</f>
        <v>3</v>
      </c>
      <c r="T437" s="126">
        <f t="shared" ref="T437:T455" si="163">IF(ISBLANK(L437),IF(ISBLANK(N437),"00:00",N437),L437)</f>
        <v>46085.539583333331</v>
      </c>
      <c r="U437" s="127">
        <f t="shared" ref="U437:U455" si="164">(K437-C437)</f>
        <v>1.1736111111094942</v>
      </c>
      <c r="V437" s="128">
        <f>Table2[[#This Row],[ATA A OFRECIMIENTO]]*24</f>
        <v>28.166666666627862</v>
      </c>
      <c r="W437" s="1" t="str">
        <f t="shared" ref="W437:W455" si="165">IF(U437="","",IF(U437&lt;=2,"YES","NO"))</f>
        <v>YES</v>
      </c>
      <c r="X437" s="127">
        <f t="shared" ref="X437:X455" si="166">(M437-K437)</f>
        <v>1</v>
      </c>
      <c r="Y437" s="128">
        <f>Table2[[#This Row],[DEL. AVAILABLE A SLOT]]*24</f>
        <v>24</v>
      </c>
      <c r="Z437" s="1" t="str">
        <f t="shared" ref="Z437:Z455" si="167">IF(X437="","",IF(X437&lt;=1,"SI","NO"))</f>
        <v>SI</v>
      </c>
      <c r="AA437" s="127">
        <f t="shared" ref="AA437:AA455" si="168">(M437-C437)</f>
        <v>2.1736111111094942</v>
      </c>
      <c r="AB437" s="128">
        <f>Table2[[#This Row],[ATA A TIMESLOT]]*24</f>
        <v>52.166666666627862</v>
      </c>
      <c r="AC437" s="127">
        <f t="shared" ref="AC437:AC455" si="169">IF(T437&lt; M437, TIME(0,0,0), T437-M437)</f>
        <v>0</v>
      </c>
      <c r="AD437" s="127" t="str">
        <f t="shared" ref="AD437:AD455" si="170">IF(AC437&gt;TIME(0,40,0),"NO","SI")</f>
        <v>SI</v>
      </c>
      <c r="AE437" s="128">
        <f>Table2[[#This Row],[PUNTUALIDAD (H)]]*24</f>
        <v>0</v>
      </c>
      <c r="AF437" s="127">
        <f t="shared" ref="AF437:AF455" si="171">(N437-C437)</f>
        <v>2.171527777776646</v>
      </c>
      <c r="AG437" s="128">
        <f>Table2[[#This Row],[ATA TO UNLOADING]]*24</f>
        <v>52.116666666639503</v>
      </c>
      <c r="AH437" s="128" t="str">
        <f>IF(Table2[[#This Row],[ATA TO UNLOADING 2]]&lt;=48,"YES","NO")</f>
        <v>NO</v>
      </c>
      <c r="AJ437" s="129">
        <f t="shared" ref="AJ437:AJ455" si="172">MOD(M437,1)</f>
        <v>0.54166666666424135</v>
      </c>
      <c r="AK437" s="2" t="s">
        <v>64</v>
      </c>
      <c r="AL437" s="2" t="str">
        <f t="shared" ref="AL437:AL455" si="173">IF(M437="","",_xlfn.ISOWEEKNUM(M437)&amp;"/"&amp;RIGHT(YEAR(M437),2))</f>
        <v>10/26</v>
      </c>
      <c r="AM437" s="2" t="str">
        <f t="shared" ref="AM437:AM455" si="174">I437</f>
        <v>MRSU0052063</v>
      </c>
      <c r="AN437" s="130" t="str">
        <f t="shared" ref="AN437:AN455" si="175">E437</f>
        <v>OM TRANSPORT</v>
      </c>
      <c r="AO437" s="151">
        <f>IF($O437="TRUCK",
VLOOKUP($AU437,Invoicing!$A$16:$B$56,MATCH($AO$1,Invoicing!$A$16:$B$16,0),FALSE)+IF(OR($B437="DCD",$B437="HPD2"),23.5,0),
VLOOKUP($AU437,Invoicing!$N$15:$O$19,MATCH($AO$1,Invoicing!$N$15:$O$15,0),FALSE)+IF(OR($B437="DCD",$B437="HPD2"),23.5,0))</f>
        <v>498.5</v>
      </c>
      <c r="AP437" s="131" t="e">
        <f>VLOOKUP($E437,Invoicing!$A$1:$H$12,MATCH(TRACKER!$P437,Invoicing!$A$1:$H$1,0),FALSE)</f>
        <v>#N/A</v>
      </c>
      <c r="AQ437" s="131">
        <f>VLOOKUP($E437,Invoicing!$A$1:$H$12,MATCH(TRACKER!$Q$1,Invoicing!$A$1:$H$1,0),FALSE)</f>
        <v>50</v>
      </c>
      <c r="AR437" s="131">
        <f t="shared" ref="AR437:AR455" si="176">IF($Q437&lt;&gt;0,$Q437*$AQ437,0)</f>
        <v>0</v>
      </c>
      <c r="AS437" s="2">
        <f t="shared" ref="AS437:AS455" si="177">WEEKDAY(M437,2)</f>
        <v>3</v>
      </c>
      <c r="AT437" s="2" t="str">
        <f t="shared" si="141"/>
        <v>WEEK</v>
      </c>
      <c r="AU437" s="2" t="str">
        <f t="shared" ref="AU437:AU455" si="178">AN437&amp;AT437</f>
        <v>OM TRANSPORTWEEK</v>
      </c>
      <c r="AV437" s="94">
        <f>(IF(ISNA(AP437),AO437+AR437,SUM($AO437,$AR437,IFERROR($AP437,"0"))))+Table2[[#This Row],[WAITING TIMES]]</f>
        <v>498.5</v>
      </c>
      <c r="AW437" s="48">
        <f>VLOOKUP(AN437,Invoicing!A:K,11,FALSE)</f>
        <v>20</v>
      </c>
      <c r="AY437" s="48"/>
      <c r="AZ437" s="48">
        <f t="shared" ref="AZ437:AZ455" si="179">AV437+AW437</f>
        <v>518.5</v>
      </c>
      <c r="BA437" s="132">
        <f>VLOOKUP(AN437,Invoicing!A:J,10,FALSE)</f>
        <v>70</v>
      </c>
      <c r="BB437" s="132">
        <f>VLOOKUP(AN437,Invoicing!A:L,12,FALSE)</f>
        <v>1</v>
      </c>
      <c r="BC437" s="2"/>
    </row>
    <row r="438" spans="1:55">
      <c r="A438" s="38" t="s">
        <v>774</v>
      </c>
      <c r="B438" s="3" t="s">
        <v>77</v>
      </c>
      <c r="C438" s="11">
        <v>46083.368055555555</v>
      </c>
      <c r="D438" s="11">
        <v>46083.458333333336</v>
      </c>
      <c r="E438" s="11" t="s">
        <v>98</v>
      </c>
      <c r="F438" s="11" t="s">
        <v>787</v>
      </c>
      <c r="G438" s="11" t="s">
        <v>59</v>
      </c>
      <c r="H438" s="11" t="s">
        <v>91</v>
      </c>
      <c r="I438" s="86" t="s">
        <v>815</v>
      </c>
      <c r="J438" s="86" t="s">
        <v>82</v>
      </c>
      <c r="K438" s="11">
        <v>46084.541666666664</v>
      </c>
      <c r="L438" s="12">
        <v>46085.491666666669</v>
      </c>
      <c r="M438" s="12">
        <v>46085.583333333336</v>
      </c>
      <c r="N438" s="12">
        <v>46085.5625</v>
      </c>
      <c r="O438" s="12" t="s">
        <v>63</v>
      </c>
      <c r="P438" s="85" t="s">
        <v>15</v>
      </c>
      <c r="Q438" s="3">
        <v>0</v>
      </c>
      <c r="R438" s="1">
        <f t="shared" si="161"/>
        <v>10</v>
      </c>
      <c r="S438" s="1">
        <f t="shared" si="162"/>
        <v>3</v>
      </c>
      <c r="T438" s="126">
        <f t="shared" si="163"/>
        <v>46085.491666666669</v>
      </c>
      <c r="U438" s="127">
        <f t="shared" si="164"/>
        <v>1.1736111111094942</v>
      </c>
      <c r="V438" s="128">
        <f>Table2[[#This Row],[ATA A OFRECIMIENTO]]*24</f>
        <v>28.166666666627862</v>
      </c>
      <c r="W438" s="1" t="str">
        <f t="shared" si="165"/>
        <v>YES</v>
      </c>
      <c r="X438" s="127">
        <f t="shared" si="166"/>
        <v>1.0416666666715173</v>
      </c>
      <c r="Y438" s="128">
        <f>Table2[[#This Row],[DEL. AVAILABLE A SLOT]]*24</f>
        <v>25.000000000116415</v>
      </c>
      <c r="Z438" s="1" t="str">
        <f t="shared" si="167"/>
        <v>NO</v>
      </c>
      <c r="AA438" s="127">
        <f t="shared" si="168"/>
        <v>2.2152777777810115</v>
      </c>
      <c r="AB438" s="128">
        <f>Table2[[#This Row],[ATA A TIMESLOT]]*24</f>
        <v>53.166666666744277</v>
      </c>
      <c r="AC438" s="127">
        <f t="shared" si="169"/>
        <v>0</v>
      </c>
      <c r="AD438" s="127" t="str">
        <f t="shared" si="170"/>
        <v>SI</v>
      </c>
      <c r="AE438" s="128">
        <f>Table2[[#This Row],[PUNTUALIDAD (H)]]*24</f>
        <v>0</v>
      </c>
      <c r="AF438" s="127">
        <f t="shared" si="171"/>
        <v>2.1944444444452529</v>
      </c>
      <c r="AG438" s="128">
        <f>Table2[[#This Row],[ATA TO UNLOADING]]*24</f>
        <v>52.666666666686069</v>
      </c>
      <c r="AH438" s="128" t="str">
        <f>IF(Table2[[#This Row],[ATA TO UNLOADING 2]]&lt;=48,"YES","NO")</f>
        <v>NO</v>
      </c>
      <c r="AJ438" s="129">
        <f t="shared" si="172"/>
        <v>0.58333333333575865</v>
      </c>
      <c r="AK438" s="2" t="s">
        <v>64</v>
      </c>
      <c r="AL438" s="2" t="str">
        <f t="shared" si="173"/>
        <v>10/26</v>
      </c>
      <c r="AM438" s="2" t="str">
        <f t="shared" si="174"/>
        <v>TCKU7690824</v>
      </c>
      <c r="AN438" s="130" t="str">
        <f t="shared" si="175"/>
        <v>MSI</v>
      </c>
      <c r="AO438" s="151">
        <f>IF($O438="TRUCK",
VLOOKUP($AU438,Invoicing!$A$16:$B$56,MATCH($AO$1,Invoicing!$A$16:$B$16,0),FALSE)+IF(OR($B438="DCD",$B438="HPD2"),23.5,0),
VLOOKUP($AU438,Invoicing!$N$15:$O$19,MATCH($AO$1,Invoicing!$N$15:$O$15,0),FALSE)+IF(OR($B438="DCD",$B438="HPD2"),23.5,0))</f>
        <v>503.5</v>
      </c>
      <c r="AP438" s="131">
        <f>VLOOKUP($E438,Invoicing!$A$1:$H$12,MATCH(TRACKER!$P438,Invoicing!$A$1:$H$1,0),FALSE)</f>
        <v>120</v>
      </c>
      <c r="AQ438" s="131">
        <f>VLOOKUP($E438,Invoicing!$A$1:$H$12,MATCH(TRACKER!$Q$1,Invoicing!$A$1:$H$1,0),FALSE)</f>
        <v>50</v>
      </c>
      <c r="AR438" s="131">
        <f t="shared" si="176"/>
        <v>0</v>
      </c>
      <c r="AS438" s="2">
        <f t="shared" si="177"/>
        <v>3</v>
      </c>
      <c r="AT438" s="2" t="str">
        <f t="shared" si="141"/>
        <v>WEEK</v>
      </c>
      <c r="AU438" s="2" t="str">
        <f t="shared" si="178"/>
        <v>MSIWEEK</v>
      </c>
      <c r="AV438" s="94">
        <f>(IF(ISNA(AP438),AO438+AR438,SUM($AO438,$AR438,IFERROR($AP438,"0"))))+Table2[[#This Row],[WAITING TIMES]]</f>
        <v>623.5</v>
      </c>
      <c r="AW438" s="48">
        <f>VLOOKUP(AN438,Invoicing!A:K,11,FALSE)</f>
        <v>20</v>
      </c>
      <c r="AY438" s="48"/>
      <c r="AZ438" s="48">
        <f t="shared" si="179"/>
        <v>643.5</v>
      </c>
      <c r="BA438" s="132">
        <f>VLOOKUP(AN438,Invoicing!A:J,10,FALSE)</f>
        <v>70</v>
      </c>
      <c r="BB438" s="132">
        <f>VLOOKUP(AN438,Invoicing!A:L,12,FALSE)</f>
        <v>1</v>
      </c>
      <c r="BC438" s="2"/>
    </row>
    <row r="439" spans="1:55">
      <c r="A439" s="38" t="s">
        <v>774</v>
      </c>
      <c r="B439" s="3" t="s">
        <v>77</v>
      </c>
      <c r="C439" s="11">
        <v>46083.368055555555</v>
      </c>
      <c r="D439" s="11">
        <v>46083.458333333336</v>
      </c>
      <c r="E439" s="11" t="s">
        <v>83</v>
      </c>
      <c r="F439" s="11" t="s">
        <v>787</v>
      </c>
      <c r="G439" s="11" t="s">
        <v>59</v>
      </c>
      <c r="H439" s="11" t="s">
        <v>91</v>
      </c>
      <c r="I439" s="86" t="s">
        <v>816</v>
      </c>
      <c r="J439" s="86" t="s">
        <v>82</v>
      </c>
      <c r="K439" s="11">
        <v>46084.541666666664</v>
      </c>
      <c r="L439" s="12">
        <v>46085.732638888891</v>
      </c>
      <c r="M439" s="12">
        <v>46085.666666666664</v>
      </c>
      <c r="N439" s="12">
        <v>46085.732638888891</v>
      </c>
      <c r="O439" s="12" t="s">
        <v>63</v>
      </c>
      <c r="P439" s="85" t="s">
        <v>15</v>
      </c>
      <c r="Q439" s="3">
        <v>0</v>
      </c>
      <c r="R439" s="1">
        <f t="shared" si="161"/>
        <v>10</v>
      </c>
      <c r="S439" s="1">
        <f t="shared" si="162"/>
        <v>3</v>
      </c>
      <c r="T439" s="126">
        <f t="shared" si="163"/>
        <v>46085.732638888891</v>
      </c>
      <c r="U439" s="127">
        <f t="shared" si="164"/>
        <v>1.1736111111094942</v>
      </c>
      <c r="V439" s="128">
        <f>Table2[[#This Row],[ATA A OFRECIMIENTO]]*24</f>
        <v>28.166666666627862</v>
      </c>
      <c r="W439" s="1" t="str">
        <f t="shared" si="165"/>
        <v>YES</v>
      </c>
      <c r="X439" s="127">
        <f t="shared" si="166"/>
        <v>1.125</v>
      </c>
      <c r="Y439" s="128">
        <f>Table2[[#This Row],[DEL. AVAILABLE A SLOT]]*24</f>
        <v>27</v>
      </c>
      <c r="Z439" s="1" t="str">
        <f t="shared" si="167"/>
        <v>NO</v>
      </c>
      <c r="AA439" s="127">
        <f t="shared" si="168"/>
        <v>2.2986111111094942</v>
      </c>
      <c r="AB439" s="128">
        <f>Table2[[#This Row],[ATA A TIMESLOT]]*24</f>
        <v>55.166666666627862</v>
      </c>
      <c r="AC439" s="127">
        <f t="shared" si="169"/>
        <v>6.5972222226264421E-2</v>
      </c>
      <c r="AD439" s="127" t="str">
        <f t="shared" si="170"/>
        <v>NO</v>
      </c>
      <c r="AE439" s="128">
        <f>Table2[[#This Row],[PUNTUALIDAD (H)]]*24</f>
        <v>1.5833333334303461</v>
      </c>
      <c r="AF439" s="127">
        <f t="shared" si="171"/>
        <v>2.3645833333357587</v>
      </c>
      <c r="AG439" s="128">
        <f>Table2[[#This Row],[ATA TO UNLOADING]]*24</f>
        <v>56.750000000058208</v>
      </c>
      <c r="AH439" s="128" t="str">
        <f>IF(Table2[[#This Row],[ATA TO UNLOADING 2]]&lt;=48,"YES","NO")</f>
        <v>NO</v>
      </c>
      <c r="AJ439" s="129">
        <f t="shared" si="172"/>
        <v>0.66666666666424135</v>
      </c>
      <c r="AK439" s="2" t="s">
        <v>64</v>
      </c>
      <c r="AL439" s="2" t="str">
        <f t="shared" si="173"/>
        <v>10/26</v>
      </c>
      <c r="AM439" s="2" t="str">
        <f t="shared" si="174"/>
        <v>MRSU8067012</v>
      </c>
      <c r="AN439" s="130" t="str">
        <f t="shared" si="175"/>
        <v>OM TRANSPORT</v>
      </c>
      <c r="AO439" s="151">
        <f>IF($O439="TRUCK",
VLOOKUP($AU439,Invoicing!$A$16:$B$56,MATCH($AO$1,Invoicing!$A$16:$B$16,0),FALSE)+IF(OR($B439="DCD",$B439="HPD2"),23.5,0),
VLOOKUP($AU439,Invoicing!$N$15:$O$19,MATCH($AO$1,Invoicing!$N$15:$O$15,0),FALSE)+IF(OR($B439="DCD",$B439="HPD2"),23.5,0))</f>
        <v>498.5</v>
      </c>
      <c r="AP439" s="131">
        <f>VLOOKUP($E439,Invoicing!$A$1:$H$12,MATCH(TRACKER!$P439,Invoicing!$A$1:$H$1,0),FALSE)</f>
        <v>110</v>
      </c>
      <c r="AQ439" s="131">
        <f>VLOOKUP($E439,Invoicing!$A$1:$H$12,MATCH(TRACKER!$Q$1,Invoicing!$A$1:$H$1,0),FALSE)</f>
        <v>50</v>
      </c>
      <c r="AR439" s="131">
        <f t="shared" si="176"/>
        <v>0</v>
      </c>
      <c r="AS439" s="2">
        <f t="shared" si="177"/>
        <v>3</v>
      </c>
      <c r="AT439" s="2" t="str">
        <f t="shared" si="141"/>
        <v>WEEK</v>
      </c>
      <c r="AU439" s="2" t="str">
        <f t="shared" si="178"/>
        <v>OM TRANSPORTWEEK</v>
      </c>
      <c r="AV439" s="94">
        <f>(IF(ISNA(AP439),AO439+AR439,SUM($AO439,$AR439,IFERROR($AP439,"0"))))+Table2[[#This Row],[WAITING TIMES]]</f>
        <v>608.5</v>
      </c>
      <c r="AW439" s="48">
        <f>VLOOKUP(AN439,Invoicing!A:K,11,FALSE)</f>
        <v>20</v>
      </c>
      <c r="AY439" s="48"/>
      <c r="AZ439" s="48">
        <f t="shared" si="179"/>
        <v>628.5</v>
      </c>
      <c r="BA439" s="132">
        <f>VLOOKUP(AN439,Invoicing!A:J,10,FALSE)</f>
        <v>70</v>
      </c>
      <c r="BB439" s="132">
        <f>VLOOKUP(AN439,Invoicing!A:L,12,FALSE)</f>
        <v>1</v>
      </c>
      <c r="BC439" s="2"/>
    </row>
    <row r="440" spans="1:55">
      <c r="A440" s="38" t="s">
        <v>774</v>
      </c>
      <c r="B440" s="3" t="s">
        <v>77</v>
      </c>
      <c r="C440" s="11">
        <v>46083.368055555555</v>
      </c>
      <c r="D440" s="11">
        <v>46083.458333333336</v>
      </c>
      <c r="E440" s="11" t="s">
        <v>73</v>
      </c>
      <c r="F440" s="11" t="s">
        <v>777</v>
      </c>
      <c r="G440" s="11" t="s">
        <v>133</v>
      </c>
      <c r="H440" s="11" t="s">
        <v>91</v>
      </c>
      <c r="I440" s="86" t="s">
        <v>817</v>
      </c>
      <c r="J440" s="86" t="s">
        <v>82</v>
      </c>
      <c r="K440" s="11">
        <v>46084.541666666664</v>
      </c>
      <c r="L440" s="12">
        <v>46085.696527777778</v>
      </c>
      <c r="M440" s="12">
        <v>46085.708333333336</v>
      </c>
      <c r="N440" s="12">
        <v>46085.743750000001</v>
      </c>
      <c r="O440" s="12" t="s">
        <v>63</v>
      </c>
      <c r="P440" s="85" t="s">
        <v>64</v>
      </c>
      <c r="Q440" s="3">
        <v>0</v>
      </c>
      <c r="R440" s="1">
        <f t="shared" si="161"/>
        <v>10</v>
      </c>
      <c r="S440" s="1">
        <f t="shared" si="162"/>
        <v>3</v>
      </c>
      <c r="T440" s="126">
        <f t="shared" si="163"/>
        <v>46085.696527777778</v>
      </c>
      <c r="U440" s="127">
        <f t="shared" si="164"/>
        <v>1.1736111111094942</v>
      </c>
      <c r="V440" s="128">
        <f>Table2[[#This Row],[ATA A OFRECIMIENTO]]*24</f>
        <v>28.166666666627862</v>
      </c>
      <c r="W440" s="1" t="str">
        <f t="shared" si="165"/>
        <v>YES</v>
      </c>
      <c r="X440" s="127">
        <f t="shared" si="166"/>
        <v>1.1666666666715173</v>
      </c>
      <c r="Y440" s="128">
        <f>Table2[[#This Row],[DEL. AVAILABLE A SLOT]]*24</f>
        <v>28.000000000116415</v>
      </c>
      <c r="Z440" s="1" t="str">
        <f t="shared" si="167"/>
        <v>NO</v>
      </c>
      <c r="AA440" s="127">
        <f t="shared" si="168"/>
        <v>2.3402777777810115</v>
      </c>
      <c r="AB440" s="128">
        <f>Table2[[#This Row],[ATA A TIMESLOT]]*24</f>
        <v>56.166666666744277</v>
      </c>
      <c r="AC440" s="127">
        <f t="shared" si="169"/>
        <v>0</v>
      </c>
      <c r="AD440" s="127" t="str">
        <f t="shared" si="170"/>
        <v>SI</v>
      </c>
      <c r="AE440" s="128">
        <f>Table2[[#This Row],[PUNTUALIDAD (H)]]*24</f>
        <v>0</v>
      </c>
      <c r="AF440" s="127">
        <f t="shared" si="171"/>
        <v>2.3756944444467081</v>
      </c>
      <c r="AG440" s="128">
        <f>Table2[[#This Row],[ATA TO UNLOADING]]*24</f>
        <v>57.016666666720994</v>
      </c>
      <c r="AH440" s="128" t="str">
        <f>IF(Table2[[#This Row],[ATA TO UNLOADING 2]]&lt;=48,"YES","NO")</f>
        <v>NO</v>
      </c>
      <c r="AJ440" s="129">
        <f t="shared" si="172"/>
        <v>0.70833333333575865</v>
      </c>
      <c r="AK440" s="2" t="s">
        <v>64</v>
      </c>
      <c r="AL440" s="2" t="str">
        <f t="shared" si="173"/>
        <v>10/26</v>
      </c>
      <c r="AM440" s="2" t="str">
        <f t="shared" si="174"/>
        <v>TGHU5087572</v>
      </c>
      <c r="AN440" s="130" t="str">
        <f t="shared" si="175"/>
        <v>OTL</v>
      </c>
      <c r="AO440" s="151">
        <f>IF($O440="TRUCK",
VLOOKUP($AU440,Invoicing!$A$16:$B$56,MATCH($AO$1,Invoicing!$A$16:$B$16,0),FALSE)+IF(OR($B440="DCD",$B440="HPD2"),23.5,0),
VLOOKUP($AU440,Invoicing!$N$15:$O$19,MATCH($AO$1,Invoicing!$N$15:$O$15,0),FALSE)+IF(OR($B440="DCD",$B440="HPD2"),23.5,0))</f>
        <v>553.5</v>
      </c>
      <c r="AP440" s="131" t="e">
        <f>VLOOKUP($E440,Invoicing!$A$1:$H$12,MATCH(TRACKER!$P440,Invoicing!$A$1:$H$1,0),FALSE)</f>
        <v>#N/A</v>
      </c>
      <c r="AQ440" s="131">
        <f>VLOOKUP($E440,Invoicing!$A$1:$H$12,MATCH(TRACKER!$Q$1,Invoicing!$A$1:$H$1,0),FALSE)</f>
        <v>60</v>
      </c>
      <c r="AR440" s="131">
        <f t="shared" si="176"/>
        <v>0</v>
      </c>
      <c r="AS440" s="2">
        <f t="shared" si="177"/>
        <v>3</v>
      </c>
      <c r="AT440" s="2" t="str">
        <f t="shared" si="141"/>
        <v>WEEK</v>
      </c>
      <c r="AU440" s="2" t="str">
        <f t="shared" si="178"/>
        <v>OTLWEEK</v>
      </c>
      <c r="AV440" s="94">
        <f>(IF(ISNA(AP440),AO440+AR440,SUM($AO440,$AR440,IFERROR($AP440,"0"))))+Table2[[#This Row],[WAITING TIMES]]</f>
        <v>553.5</v>
      </c>
      <c r="AW440" s="48">
        <f>VLOOKUP(AN440,Invoicing!A:K,11,FALSE)</f>
        <v>20</v>
      </c>
      <c r="AY440" s="48"/>
      <c r="AZ440" s="48">
        <f t="shared" si="179"/>
        <v>573.5</v>
      </c>
      <c r="BA440" s="132">
        <f>VLOOKUP(AN440,Invoicing!A:J,10,FALSE)</f>
        <v>70</v>
      </c>
      <c r="BB440" s="132">
        <f>VLOOKUP(AN440,Invoicing!A:L,12,FALSE)</f>
        <v>1</v>
      </c>
      <c r="BC440" s="2"/>
    </row>
    <row r="441" spans="1:55">
      <c r="A441" s="38" t="s">
        <v>774</v>
      </c>
      <c r="B441" s="3" t="s">
        <v>77</v>
      </c>
      <c r="C441" s="11">
        <v>46083.368055555555</v>
      </c>
      <c r="D441" s="11">
        <v>46083.458333333336</v>
      </c>
      <c r="E441" s="11" t="s">
        <v>98</v>
      </c>
      <c r="F441" s="11" t="s">
        <v>787</v>
      </c>
      <c r="G441" s="11" t="s">
        <v>59</v>
      </c>
      <c r="H441" s="11" t="s">
        <v>91</v>
      </c>
      <c r="I441" s="86" t="s">
        <v>818</v>
      </c>
      <c r="J441" s="86" t="s">
        <v>82</v>
      </c>
      <c r="K441" s="11">
        <v>46084.541666666664</v>
      </c>
      <c r="L441" s="12">
        <v>46085.77847222222</v>
      </c>
      <c r="M441" s="12">
        <v>46085.791666666664</v>
      </c>
      <c r="N441" s="12">
        <v>46085.875</v>
      </c>
      <c r="O441" s="12" t="s">
        <v>63</v>
      </c>
      <c r="P441" s="85" t="s">
        <v>15</v>
      </c>
      <c r="Q441" s="3">
        <v>0</v>
      </c>
      <c r="R441" s="1">
        <f t="shared" si="161"/>
        <v>10</v>
      </c>
      <c r="S441" s="1">
        <f t="shared" si="162"/>
        <v>3</v>
      </c>
      <c r="T441" s="126">
        <f t="shared" si="163"/>
        <v>46085.77847222222</v>
      </c>
      <c r="U441" s="127">
        <f t="shared" si="164"/>
        <v>1.1736111111094942</v>
      </c>
      <c r="V441" s="128">
        <f>Table2[[#This Row],[ATA A OFRECIMIENTO]]*24</f>
        <v>28.166666666627862</v>
      </c>
      <c r="W441" s="1" t="str">
        <f t="shared" si="165"/>
        <v>YES</v>
      </c>
      <c r="X441" s="127">
        <f t="shared" si="166"/>
        <v>1.25</v>
      </c>
      <c r="Y441" s="128">
        <f>Table2[[#This Row],[DEL. AVAILABLE A SLOT]]*24</f>
        <v>30</v>
      </c>
      <c r="Z441" s="1" t="str">
        <f t="shared" si="167"/>
        <v>NO</v>
      </c>
      <c r="AA441" s="127">
        <f t="shared" si="168"/>
        <v>2.4236111111094942</v>
      </c>
      <c r="AB441" s="128">
        <f>Table2[[#This Row],[ATA A TIMESLOT]]*24</f>
        <v>58.166666666627862</v>
      </c>
      <c r="AC441" s="127">
        <f t="shared" si="169"/>
        <v>0</v>
      </c>
      <c r="AD441" s="127" t="str">
        <f t="shared" si="170"/>
        <v>SI</v>
      </c>
      <c r="AE441" s="128">
        <f>Table2[[#This Row],[PUNTUALIDAD (H)]]*24</f>
        <v>0</v>
      </c>
      <c r="AF441" s="127">
        <f t="shared" si="171"/>
        <v>2.5069444444452529</v>
      </c>
      <c r="AG441" s="128">
        <f>Table2[[#This Row],[ATA TO UNLOADING]]*24</f>
        <v>60.166666666686069</v>
      </c>
      <c r="AH441" s="128" t="str">
        <f>IF(Table2[[#This Row],[ATA TO UNLOADING 2]]&lt;=48,"YES","NO")</f>
        <v>NO</v>
      </c>
      <c r="AJ441" s="129">
        <f t="shared" si="172"/>
        <v>0.79166666666424135</v>
      </c>
      <c r="AK441" s="2" t="s">
        <v>64</v>
      </c>
      <c r="AL441" s="2" t="str">
        <f t="shared" si="173"/>
        <v>10/26</v>
      </c>
      <c r="AM441" s="2" t="str">
        <f t="shared" si="174"/>
        <v>MRSU4678800</v>
      </c>
      <c r="AN441" s="130" t="str">
        <f t="shared" si="175"/>
        <v>MSI</v>
      </c>
      <c r="AO441" s="151">
        <f>IF($O441="TRUCK",
VLOOKUP($AU441,Invoicing!$A$16:$B$56,MATCH($AO$1,Invoicing!$A$16:$B$16,0),FALSE)+IF(OR($B441="DCD",$B441="HPD2"),23.5,0),
VLOOKUP($AU441,Invoicing!$N$15:$O$19,MATCH($AO$1,Invoicing!$N$15:$O$15,0),FALSE)+IF(OR($B441="DCD",$B441="HPD2"),23.5,0))</f>
        <v>503.5</v>
      </c>
      <c r="AP441" s="131">
        <f>VLOOKUP($E441,Invoicing!$A$1:$H$12,MATCH(TRACKER!$P441,Invoicing!$A$1:$H$1,0),FALSE)</f>
        <v>120</v>
      </c>
      <c r="AQ441" s="131">
        <f>VLOOKUP($E441,Invoicing!$A$1:$H$12,MATCH(TRACKER!$Q$1,Invoicing!$A$1:$H$1,0),FALSE)</f>
        <v>50</v>
      </c>
      <c r="AR441" s="131">
        <f t="shared" si="176"/>
        <v>0</v>
      </c>
      <c r="AS441" s="2">
        <f t="shared" si="177"/>
        <v>3</v>
      </c>
      <c r="AT441" s="2" t="str">
        <f t="shared" si="141"/>
        <v>WEEK</v>
      </c>
      <c r="AU441" s="2" t="str">
        <f t="shared" si="178"/>
        <v>MSIWEEK</v>
      </c>
      <c r="AV441" s="94">
        <f>(IF(ISNA(AP441),AO441+AR441,SUM($AO441,$AR441,IFERROR($AP441,"0"))))+Table2[[#This Row],[WAITING TIMES]]</f>
        <v>623.5</v>
      </c>
      <c r="AW441" s="48">
        <f>VLOOKUP(AN441,Invoicing!A:K,11,FALSE)</f>
        <v>20</v>
      </c>
      <c r="AY441" s="48"/>
      <c r="AZ441" s="48">
        <f t="shared" si="179"/>
        <v>643.5</v>
      </c>
      <c r="BA441" s="132">
        <f>VLOOKUP(AN441,Invoicing!A:J,10,FALSE)</f>
        <v>70</v>
      </c>
      <c r="BB441" s="132">
        <f>VLOOKUP(AN441,Invoicing!A:L,12,FALSE)</f>
        <v>1</v>
      </c>
      <c r="BC441" s="2"/>
    </row>
    <row r="442" spans="1:55">
      <c r="A442" s="38" t="s">
        <v>774</v>
      </c>
      <c r="B442" s="3" t="s">
        <v>77</v>
      </c>
      <c r="C442" s="11">
        <v>46083.368055555555</v>
      </c>
      <c r="D442" s="11">
        <v>46083.458333333336</v>
      </c>
      <c r="E442" s="11" t="s">
        <v>83</v>
      </c>
      <c r="F442" s="11" t="s">
        <v>787</v>
      </c>
      <c r="G442" s="11" t="s">
        <v>59</v>
      </c>
      <c r="H442" s="11" t="s">
        <v>91</v>
      </c>
      <c r="I442" s="86" t="s">
        <v>819</v>
      </c>
      <c r="J442" s="86" t="s">
        <v>82</v>
      </c>
      <c r="K442" s="11">
        <v>46084.541666666664</v>
      </c>
      <c r="L442" s="12">
        <v>46085.833333333336</v>
      </c>
      <c r="M442" s="12">
        <v>46085.833333333336</v>
      </c>
      <c r="N442" s="12">
        <v>46085.833333333336</v>
      </c>
      <c r="O442" s="12" t="s">
        <v>63</v>
      </c>
      <c r="P442" s="85" t="s">
        <v>15</v>
      </c>
      <c r="Q442" s="3">
        <v>0</v>
      </c>
      <c r="R442" s="1">
        <f t="shared" si="161"/>
        <v>10</v>
      </c>
      <c r="S442" s="1">
        <f t="shared" si="162"/>
        <v>3</v>
      </c>
      <c r="T442" s="126">
        <f t="shared" si="163"/>
        <v>46085.833333333336</v>
      </c>
      <c r="U442" s="127">
        <f t="shared" si="164"/>
        <v>1.1736111111094942</v>
      </c>
      <c r="V442" s="128">
        <f>Table2[[#This Row],[ATA A OFRECIMIENTO]]*24</f>
        <v>28.166666666627862</v>
      </c>
      <c r="W442" s="1" t="str">
        <f t="shared" si="165"/>
        <v>YES</v>
      </c>
      <c r="X442" s="127">
        <f t="shared" si="166"/>
        <v>1.2916666666715173</v>
      </c>
      <c r="Y442" s="128">
        <f>Table2[[#This Row],[DEL. AVAILABLE A SLOT]]*24</f>
        <v>31.000000000116415</v>
      </c>
      <c r="Z442" s="1" t="str">
        <f t="shared" si="167"/>
        <v>NO</v>
      </c>
      <c r="AA442" s="127">
        <f t="shared" si="168"/>
        <v>2.4652777777810115</v>
      </c>
      <c r="AB442" s="128">
        <f>Table2[[#This Row],[ATA A TIMESLOT]]*24</f>
        <v>59.166666666744277</v>
      </c>
      <c r="AC442" s="127">
        <f t="shared" si="169"/>
        <v>0</v>
      </c>
      <c r="AD442" s="127" t="str">
        <f t="shared" si="170"/>
        <v>SI</v>
      </c>
      <c r="AE442" s="128">
        <f>Table2[[#This Row],[PUNTUALIDAD (H)]]*24</f>
        <v>0</v>
      </c>
      <c r="AF442" s="127">
        <f t="shared" si="171"/>
        <v>2.4652777777810115</v>
      </c>
      <c r="AG442" s="128">
        <f>Table2[[#This Row],[ATA TO UNLOADING]]*24</f>
        <v>59.166666666744277</v>
      </c>
      <c r="AH442" s="128" t="str">
        <f>IF(Table2[[#This Row],[ATA TO UNLOADING 2]]&lt;=48,"YES","NO")</f>
        <v>NO</v>
      </c>
      <c r="AJ442" s="129">
        <f t="shared" si="172"/>
        <v>0.83333333333575865</v>
      </c>
      <c r="AK442" s="2" t="s">
        <v>36</v>
      </c>
      <c r="AL442" s="2" t="str">
        <f t="shared" si="173"/>
        <v>10/26</v>
      </c>
      <c r="AM442" s="2" t="str">
        <f t="shared" si="174"/>
        <v>MRSU4901615</v>
      </c>
      <c r="AN442" s="130" t="str">
        <f t="shared" si="175"/>
        <v>OM TRANSPORT</v>
      </c>
      <c r="AO442" s="151">
        <f>IF($O442="TRUCK",
VLOOKUP($AU442,Invoicing!$A$16:$B$56,MATCH($AO$1,Invoicing!$A$16:$B$16,0),FALSE)+IF(OR($B442="DCD",$B442="HPD2"),23.5,0),
VLOOKUP($AU442,Invoicing!$N$15:$O$19,MATCH($AO$1,Invoicing!$N$15:$O$15,0),FALSE)+IF(OR($B442="DCD",$B442="HPD2"),23.5,0))</f>
        <v>498.5</v>
      </c>
      <c r="AP442" s="131">
        <f>VLOOKUP($E442,Invoicing!$A$1:$H$12,MATCH(TRACKER!$P442,Invoicing!$A$1:$H$1,0),FALSE)</f>
        <v>110</v>
      </c>
      <c r="AQ442" s="131">
        <f>VLOOKUP($E442,Invoicing!$A$1:$H$12,MATCH(TRACKER!$Q$1,Invoicing!$A$1:$H$1,0),FALSE)</f>
        <v>50</v>
      </c>
      <c r="AR442" s="131">
        <f t="shared" si="176"/>
        <v>0</v>
      </c>
      <c r="AS442" s="2">
        <f t="shared" si="177"/>
        <v>3</v>
      </c>
      <c r="AT442" s="2" t="str">
        <f t="shared" si="141"/>
        <v>NIGHT</v>
      </c>
      <c r="AU442" s="2" t="str">
        <f t="shared" si="178"/>
        <v>OM TRANSPORTNIGHT</v>
      </c>
      <c r="AV442" s="94">
        <f>(IF(ISNA(AP442),AO442+AR442,SUM($AO442,$AR442,IFERROR($AP442,"0"))))+Table2[[#This Row],[WAITING TIMES]]</f>
        <v>608.5</v>
      </c>
      <c r="AW442" s="48">
        <f>VLOOKUP(AN442,Invoicing!A:K,11,FALSE)</f>
        <v>20</v>
      </c>
      <c r="AY442" s="48"/>
      <c r="AZ442" s="48">
        <f t="shared" si="179"/>
        <v>628.5</v>
      </c>
      <c r="BA442" s="132">
        <f>VLOOKUP(AN442,Invoicing!A:J,10,FALSE)</f>
        <v>70</v>
      </c>
      <c r="BB442" s="132">
        <f>VLOOKUP(AN442,Invoicing!A:L,12,FALSE)</f>
        <v>1</v>
      </c>
      <c r="BC442" s="2"/>
    </row>
    <row r="443" spans="1:55">
      <c r="A443" s="38" t="s">
        <v>774</v>
      </c>
      <c r="B443" s="3" t="s">
        <v>77</v>
      </c>
      <c r="C443" s="11">
        <v>46083.368055555555</v>
      </c>
      <c r="D443" s="11">
        <v>46083.458333333336</v>
      </c>
      <c r="E443" s="11" t="s">
        <v>83</v>
      </c>
      <c r="F443" s="11" t="s">
        <v>787</v>
      </c>
      <c r="G443" s="11" t="s">
        <v>59</v>
      </c>
      <c r="H443" s="11" t="s">
        <v>91</v>
      </c>
      <c r="I443" s="86" t="s">
        <v>820</v>
      </c>
      <c r="J443" s="86" t="s">
        <v>82</v>
      </c>
      <c r="K443" s="11">
        <v>46084.541666666664</v>
      </c>
      <c r="L443" s="12">
        <v>46085.802083333336</v>
      </c>
      <c r="M443" s="12">
        <v>46085.916666666664</v>
      </c>
      <c r="N443" s="12">
        <v>46085.802083333336</v>
      </c>
      <c r="O443" s="12" t="s">
        <v>63</v>
      </c>
      <c r="P443" s="85" t="s">
        <v>15</v>
      </c>
      <c r="Q443" s="3">
        <v>0</v>
      </c>
      <c r="R443" s="1">
        <f t="shared" si="161"/>
        <v>10</v>
      </c>
      <c r="S443" s="1">
        <f t="shared" si="162"/>
        <v>3</v>
      </c>
      <c r="T443" s="126">
        <f t="shared" si="163"/>
        <v>46085.802083333336</v>
      </c>
      <c r="U443" s="127">
        <f t="shared" si="164"/>
        <v>1.1736111111094942</v>
      </c>
      <c r="V443" s="128">
        <f>Table2[[#This Row],[ATA A OFRECIMIENTO]]*24</f>
        <v>28.166666666627862</v>
      </c>
      <c r="W443" s="1" t="str">
        <f t="shared" si="165"/>
        <v>YES</v>
      </c>
      <c r="X443" s="127">
        <f t="shared" si="166"/>
        <v>1.375</v>
      </c>
      <c r="Y443" s="128">
        <f>Table2[[#This Row],[DEL. AVAILABLE A SLOT]]*24</f>
        <v>33</v>
      </c>
      <c r="Z443" s="1" t="str">
        <f t="shared" si="167"/>
        <v>NO</v>
      </c>
      <c r="AA443" s="127">
        <f t="shared" si="168"/>
        <v>2.5486111111094942</v>
      </c>
      <c r="AB443" s="128">
        <f>Table2[[#This Row],[ATA A TIMESLOT]]*24</f>
        <v>61.166666666627862</v>
      </c>
      <c r="AC443" s="127">
        <f t="shared" si="169"/>
        <v>0</v>
      </c>
      <c r="AD443" s="127" t="str">
        <f t="shared" si="170"/>
        <v>SI</v>
      </c>
      <c r="AE443" s="128">
        <f>Table2[[#This Row],[PUNTUALIDAD (H)]]*24</f>
        <v>0</v>
      </c>
      <c r="AF443" s="127">
        <f t="shared" si="171"/>
        <v>2.4340277777810115</v>
      </c>
      <c r="AG443" s="128">
        <f>Table2[[#This Row],[ATA TO UNLOADING]]*24</f>
        <v>58.416666666744277</v>
      </c>
      <c r="AH443" s="128" t="str">
        <f>IF(Table2[[#This Row],[ATA TO UNLOADING 2]]&lt;=48,"YES","NO")</f>
        <v>NO</v>
      </c>
      <c r="AJ443" s="129">
        <f t="shared" si="172"/>
        <v>0.91666666666424135</v>
      </c>
      <c r="AK443" s="2" t="s">
        <v>36</v>
      </c>
      <c r="AL443" s="2" t="str">
        <f t="shared" si="173"/>
        <v>10/26</v>
      </c>
      <c r="AM443" s="2" t="str">
        <f t="shared" si="174"/>
        <v>TRHU8031861</v>
      </c>
      <c r="AN443" s="130" t="str">
        <f t="shared" si="175"/>
        <v>OM TRANSPORT</v>
      </c>
      <c r="AO443" s="151">
        <f>IF($O443="TRUCK",
VLOOKUP($AU443,Invoicing!$A$16:$B$56,MATCH($AO$1,Invoicing!$A$16:$B$16,0),FALSE)+IF(OR($B443="DCD",$B443="HPD2"),23.5,0),
VLOOKUP($AU443,Invoicing!$N$15:$O$19,MATCH($AO$1,Invoicing!$N$15:$O$15,0),FALSE)+IF(OR($B443="DCD",$B443="HPD2"),23.5,0))</f>
        <v>498.5</v>
      </c>
      <c r="AP443" s="131">
        <f>VLOOKUP($E443,Invoicing!$A$1:$H$12,MATCH(TRACKER!$P443,Invoicing!$A$1:$H$1,0),FALSE)</f>
        <v>110</v>
      </c>
      <c r="AQ443" s="131">
        <f>VLOOKUP($E443,Invoicing!$A$1:$H$12,MATCH(TRACKER!$Q$1,Invoicing!$A$1:$H$1,0),FALSE)</f>
        <v>50</v>
      </c>
      <c r="AR443" s="131">
        <f t="shared" si="176"/>
        <v>0</v>
      </c>
      <c r="AS443" s="2">
        <f t="shared" si="177"/>
        <v>3</v>
      </c>
      <c r="AT443" s="2" t="str">
        <f t="shared" si="141"/>
        <v>NIGHT</v>
      </c>
      <c r="AU443" s="2" t="str">
        <f t="shared" si="178"/>
        <v>OM TRANSPORTNIGHT</v>
      </c>
      <c r="AV443" s="94">
        <f>(IF(ISNA(AP443),AO443+AR443,SUM($AO443,$AR443,IFERROR($AP443,"0"))))+Table2[[#This Row],[WAITING TIMES]]</f>
        <v>608.5</v>
      </c>
      <c r="AW443" s="48">
        <f>VLOOKUP(AN443,Invoicing!A:K,11,FALSE)</f>
        <v>20</v>
      </c>
      <c r="AY443" s="48"/>
      <c r="AZ443" s="48">
        <f t="shared" si="179"/>
        <v>628.5</v>
      </c>
      <c r="BA443" s="132">
        <f>VLOOKUP(AN443,Invoicing!A:J,10,FALSE)</f>
        <v>70</v>
      </c>
      <c r="BB443" s="132">
        <f>VLOOKUP(AN443,Invoicing!A:L,12,FALSE)</f>
        <v>1</v>
      </c>
      <c r="BC443" s="2"/>
    </row>
    <row r="444" spans="1:55">
      <c r="A444" s="38" t="s">
        <v>774</v>
      </c>
      <c r="B444" s="3" t="s">
        <v>659</v>
      </c>
      <c r="C444" s="11">
        <v>46076.80972222222</v>
      </c>
      <c r="D444" s="11">
        <v>46076.80972222222</v>
      </c>
      <c r="E444" s="11" t="s">
        <v>660</v>
      </c>
      <c r="F444" s="11" t="s">
        <v>821</v>
      </c>
      <c r="G444" s="11" t="s">
        <v>59</v>
      </c>
      <c r="H444" s="11" t="s">
        <v>91</v>
      </c>
      <c r="I444" s="86" t="s">
        <v>822</v>
      </c>
      <c r="J444" s="86" t="s">
        <v>82</v>
      </c>
      <c r="K444" s="11">
        <v>46086.416666666664</v>
      </c>
      <c r="L444" s="12">
        <v>46086.291666666664</v>
      </c>
      <c r="M444" s="12">
        <v>46086.416666666664</v>
      </c>
      <c r="N444" s="12">
        <v>46086.315972222219</v>
      </c>
      <c r="O444" s="12" t="s">
        <v>63</v>
      </c>
      <c r="P444" s="85" t="s">
        <v>15</v>
      </c>
      <c r="Q444" s="3">
        <v>1</v>
      </c>
      <c r="R444" s="1">
        <f t="shared" si="161"/>
        <v>10</v>
      </c>
      <c r="S444" s="1">
        <f t="shared" si="162"/>
        <v>3</v>
      </c>
      <c r="T444" s="126">
        <f t="shared" si="163"/>
        <v>46086.291666666664</v>
      </c>
      <c r="U444" s="127">
        <f t="shared" si="164"/>
        <v>9.6069444444437977</v>
      </c>
      <c r="V444" s="128">
        <f>Table2[[#This Row],[ATA A OFRECIMIENTO]]*24</f>
        <v>230.56666666665114</v>
      </c>
      <c r="W444" s="1" t="str">
        <f t="shared" si="165"/>
        <v>NO</v>
      </c>
      <c r="X444" s="127">
        <f t="shared" si="166"/>
        <v>0</v>
      </c>
      <c r="Y444" s="128">
        <f>Table2[[#This Row],[DEL. AVAILABLE A SLOT]]*24</f>
        <v>0</v>
      </c>
      <c r="Z444" s="1" t="str">
        <f t="shared" si="167"/>
        <v>SI</v>
      </c>
      <c r="AA444" s="127">
        <f t="shared" si="168"/>
        <v>9.6069444444437977</v>
      </c>
      <c r="AB444" s="128">
        <f>Table2[[#This Row],[ATA A TIMESLOT]]*24</f>
        <v>230.56666666665114</v>
      </c>
      <c r="AC444" s="127">
        <f t="shared" si="169"/>
        <v>0</v>
      </c>
      <c r="AD444" s="127" t="str">
        <f t="shared" si="170"/>
        <v>SI</v>
      </c>
      <c r="AE444" s="128">
        <f>Table2[[#This Row],[PUNTUALIDAD (H)]]*24</f>
        <v>0</v>
      </c>
      <c r="AF444" s="127">
        <f t="shared" si="171"/>
        <v>9.5062499999985448</v>
      </c>
      <c r="AG444" s="128">
        <f>Table2[[#This Row],[ATA TO UNLOADING]]*24</f>
        <v>228.14999999996508</v>
      </c>
      <c r="AH444" s="128" t="str">
        <f>IF(Table2[[#This Row],[ATA TO UNLOADING 2]]&lt;=48,"YES","NO")</f>
        <v>NO</v>
      </c>
      <c r="AJ444" s="129">
        <f t="shared" si="172"/>
        <v>0.41666666666424135</v>
      </c>
      <c r="AK444" s="2" t="s">
        <v>64</v>
      </c>
      <c r="AL444" s="2" t="str">
        <f t="shared" si="173"/>
        <v>10/26</v>
      </c>
      <c r="AM444" s="2" t="str">
        <f t="shared" si="174"/>
        <v>TRHU8045525</v>
      </c>
      <c r="AN444" s="130" t="str">
        <f t="shared" si="175"/>
        <v>ALTRANSA</v>
      </c>
      <c r="AO444" s="151" t="e">
        <f>IF($O444="TRUCK",
VLOOKUP($AU444,Invoicing!$A$16:$B$56,MATCH($AO$1,Invoicing!$A$16:$B$16,0),FALSE)+IF(OR($B444="DCD",$B444="HPD2"),23.5,0),
VLOOKUP($AU444,Invoicing!$N$15:$O$19,MATCH($AO$1,Invoicing!$N$15:$O$15,0),FALSE)+IF(OR($B444="DCD",$B444="HPD2"),23.5,0))</f>
        <v>#N/A</v>
      </c>
      <c r="AP444" s="131" t="e">
        <f>VLOOKUP($E444,Invoicing!$A$1:$H$12,MATCH(TRACKER!$P444,Invoicing!$A$1:$H$1,0),FALSE)</f>
        <v>#N/A</v>
      </c>
      <c r="AQ444" s="131" t="e">
        <f>VLOOKUP($E444,Invoicing!$A$1:$H$12,MATCH(TRACKER!$Q$1,Invoicing!$A$1:$H$1,0),FALSE)</f>
        <v>#N/A</v>
      </c>
      <c r="AR444" s="131" t="e">
        <f t="shared" si="176"/>
        <v>#N/A</v>
      </c>
      <c r="AS444" s="2">
        <f t="shared" si="177"/>
        <v>4</v>
      </c>
      <c r="AT444" s="2" t="str">
        <f t="shared" si="141"/>
        <v>WEEK</v>
      </c>
      <c r="AU444" s="2" t="str">
        <f t="shared" si="178"/>
        <v>ALTRANSAWEEK</v>
      </c>
      <c r="AV444" s="94" t="e">
        <f>(IF(ISNA(AP444),AO444+AR444,SUM($AO444,$AR444,IFERROR($AP444,"0"))))+Table2[[#This Row],[WAITING TIMES]]</f>
        <v>#N/A</v>
      </c>
      <c r="AW444" s="48" t="e">
        <f>VLOOKUP(AN444,Invoicing!A:K,11,FALSE)</f>
        <v>#N/A</v>
      </c>
      <c r="AY444" s="48"/>
      <c r="AZ444" s="48" t="e">
        <f t="shared" si="179"/>
        <v>#N/A</v>
      </c>
      <c r="BA444" s="132" t="e">
        <f>VLOOKUP(AN444,Invoicing!A:J,10,FALSE)</f>
        <v>#N/A</v>
      </c>
      <c r="BB444" s="132" t="e">
        <f>VLOOKUP(AN444,Invoicing!A:L,12,FALSE)</f>
        <v>#N/A</v>
      </c>
      <c r="BC444" s="2"/>
    </row>
    <row r="445" spans="1:55">
      <c r="A445" s="38" t="s">
        <v>823</v>
      </c>
      <c r="B445" s="3" t="s">
        <v>56</v>
      </c>
      <c r="C445" s="11">
        <v>46084.237500000003</v>
      </c>
      <c r="D445" s="11">
        <v>46084.041666666664</v>
      </c>
      <c r="E445" s="11" t="s">
        <v>83</v>
      </c>
      <c r="F445" s="11" t="s">
        <v>824</v>
      </c>
      <c r="G445" s="11" t="s">
        <v>59</v>
      </c>
      <c r="H445" s="11" t="s">
        <v>68</v>
      </c>
      <c r="I445" s="86" t="s">
        <v>825</v>
      </c>
      <c r="J445" s="86" t="s">
        <v>100</v>
      </c>
      <c r="K445" s="11">
        <v>46085.541666666664</v>
      </c>
      <c r="L445" s="12">
        <v>46085.513888888891</v>
      </c>
      <c r="M445" s="12">
        <v>46085.541666666664</v>
      </c>
      <c r="N445" s="12">
        <v>46085.527777777781</v>
      </c>
      <c r="O445" s="12" t="s">
        <v>63</v>
      </c>
      <c r="P445" s="85" t="s">
        <v>64</v>
      </c>
      <c r="Q445" s="3">
        <v>0</v>
      </c>
      <c r="R445" s="1">
        <f t="shared" si="161"/>
        <v>10</v>
      </c>
      <c r="S445" s="1">
        <f t="shared" si="162"/>
        <v>3</v>
      </c>
      <c r="T445" s="126">
        <f t="shared" si="163"/>
        <v>46085.513888888891</v>
      </c>
      <c r="U445" s="127">
        <f t="shared" si="164"/>
        <v>1.304166666661331</v>
      </c>
      <c r="V445" s="128">
        <f>Table2[[#This Row],[ATA A OFRECIMIENTO]]*24</f>
        <v>31.299999999871943</v>
      </c>
      <c r="W445" s="1" t="str">
        <f t="shared" si="165"/>
        <v>YES</v>
      </c>
      <c r="X445" s="127">
        <f t="shared" si="166"/>
        <v>0</v>
      </c>
      <c r="Y445" s="128">
        <f>Table2[[#This Row],[DEL. AVAILABLE A SLOT]]*24</f>
        <v>0</v>
      </c>
      <c r="Z445" s="1" t="str">
        <f t="shared" si="167"/>
        <v>SI</v>
      </c>
      <c r="AA445" s="127">
        <f t="shared" si="168"/>
        <v>1.304166666661331</v>
      </c>
      <c r="AB445" s="128">
        <f>Table2[[#This Row],[ATA A TIMESLOT]]*24</f>
        <v>31.299999999871943</v>
      </c>
      <c r="AC445" s="127">
        <f t="shared" si="169"/>
        <v>0</v>
      </c>
      <c r="AD445" s="127" t="str">
        <f t="shared" si="170"/>
        <v>SI</v>
      </c>
      <c r="AE445" s="128">
        <f>Table2[[#This Row],[PUNTUALIDAD (H)]]*24</f>
        <v>0</v>
      </c>
      <c r="AF445" s="127">
        <f t="shared" si="171"/>
        <v>1.2902777777781012</v>
      </c>
      <c r="AG445" s="128">
        <f>Table2[[#This Row],[ATA TO UNLOADING]]*24</f>
        <v>30.966666666674428</v>
      </c>
      <c r="AH445" s="128" t="str">
        <f>IF(Table2[[#This Row],[ATA TO UNLOADING 2]]&lt;=48,"YES","NO")</f>
        <v>YES</v>
      </c>
      <c r="AJ445" s="129">
        <f t="shared" si="172"/>
        <v>0.54166666666424135</v>
      </c>
      <c r="AK445" s="2" t="s">
        <v>64</v>
      </c>
      <c r="AL445" s="2" t="str">
        <f t="shared" si="173"/>
        <v>10/26</v>
      </c>
      <c r="AM445" s="2" t="str">
        <f t="shared" si="174"/>
        <v>MRSU5569491</v>
      </c>
      <c r="AN445" s="130" t="str">
        <f t="shared" si="175"/>
        <v>OM TRANSPORT</v>
      </c>
      <c r="AO445" s="151">
        <f>IF($O445="TRUCK",
VLOOKUP($AU445,Invoicing!$A$16:$B$56,MATCH($AO$1,Invoicing!$A$16:$B$16,0),FALSE)+IF(OR($B445="DCD",$B445="HPD2"),23.5,0),
VLOOKUP($AU445,Invoicing!$N$15:$O$19,MATCH($AO$1,Invoicing!$N$15:$O$15,0),FALSE)+IF(OR($B445="DCD",$B445="HPD2"),23.5,0))</f>
        <v>475</v>
      </c>
      <c r="AP445" s="131" t="e">
        <f>VLOOKUP($E445,Invoicing!$A$1:$H$12,MATCH(TRACKER!$P445,Invoicing!$A$1:$H$1,0),FALSE)</f>
        <v>#N/A</v>
      </c>
      <c r="AQ445" s="131">
        <f>VLOOKUP($E445,Invoicing!$A$1:$H$12,MATCH(TRACKER!$Q$1,Invoicing!$A$1:$H$1,0),FALSE)</f>
        <v>50</v>
      </c>
      <c r="AR445" s="131">
        <f t="shared" si="176"/>
        <v>0</v>
      </c>
      <c r="AS445" s="2">
        <f t="shared" si="177"/>
        <v>3</v>
      </c>
      <c r="AT445" s="2" t="str">
        <f t="shared" si="141"/>
        <v>WEEK</v>
      </c>
      <c r="AU445" s="2" t="str">
        <f t="shared" si="178"/>
        <v>OM TRANSPORTWEEK</v>
      </c>
      <c r="AV445" s="94">
        <f>(IF(ISNA(AP445),AO445+AR445,SUM($AO445,$AR445,IFERROR($AP445,"0"))))+Table2[[#This Row],[WAITING TIMES]]</f>
        <v>475</v>
      </c>
      <c r="AW445" s="48">
        <f>VLOOKUP(AN445,Invoicing!A:K,11,FALSE)</f>
        <v>20</v>
      </c>
      <c r="AY445" s="48"/>
      <c r="AZ445" s="48">
        <f t="shared" si="179"/>
        <v>495</v>
      </c>
      <c r="BA445" s="132">
        <f>VLOOKUP(AN445,Invoicing!A:J,10,FALSE)</f>
        <v>70</v>
      </c>
      <c r="BB445" s="132">
        <f>VLOOKUP(AN445,Invoicing!A:L,12,FALSE)</f>
        <v>1</v>
      </c>
      <c r="BC445" s="2"/>
    </row>
    <row r="446" spans="1:55">
      <c r="A446" s="38" t="s">
        <v>823</v>
      </c>
      <c r="B446" s="3" t="s">
        <v>56</v>
      </c>
      <c r="C446" s="11">
        <v>46084.237500000003</v>
      </c>
      <c r="D446" s="11">
        <v>46084.041666666664</v>
      </c>
      <c r="E446" s="11" t="s">
        <v>98</v>
      </c>
      <c r="F446" s="11" t="s">
        <v>826</v>
      </c>
      <c r="G446" s="11" t="s">
        <v>59</v>
      </c>
      <c r="H446" s="11" t="s">
        <v>266</v>
      </c>
      <c r="I446" s="86" t="s">
        <v>827</v>
      </c>
      <c r="J446" s="86" t="s">
        <v>82</v>
      </c>
      <c r="K446" s="11">
        <v>46085.541666666664</v>
      </c>
      <c r="L446" s="12">
        <v>46085.477777777778</v>
      </c>
      <c r="M446" s="12">
        <v>46085.541666666664</v>
      </c>
      <c r="N446" s="12">
        <v>46085.503472222219</v>
      </c>
      <c r="O446" s="12" t="s">
        <v>63</v>
      </c>
      <c r="P446" s="85" t="s">
        <v>64</v>
      </c>
      <c r="Q446" s="3">
        <v>0</v>
      </c>
      <c r="R446" s="1">
        <f t="shared" si="161"/>
        <v>10</v>
      </c>
      <c r="S446" s="1">
        <f t="shared" si="162"/>
        <v>3</v>
      </c>
      <c r="T446" s="126">
        <f t="shared" si="163"/>
        <v>46085.477777777778</v>
      </c>
      <c r="U446" s="127">
        <f t="shared" si="164"/>
        <v>1.304166666661331</v>
      </c>
      <c r="V446" s="128">
        <f>Table2[[#This Row],[ATA A OFRECIMIENTO]]*24</f>
        <v>31.299999999871943</v>
      </c>
      <c r="W446" s="1" t="str">
        <f t="shared" si="165"/>
        <v>YES</v>
      </c>
      <c r="X446" s="127">
        <f t="shared" si="166"/>
        <v>0</v>
      </c>
      <c r="Y446" s="128">
        <f>Table2[[#This Row],[DEL. AVAILABLE A SLOT]]*24</f>
        <v>0</v>
      </c>
      <c r="Z446" s="1" t="str">
        <f t="shared" si="167"/>
        <v>SI</v>
      </c>
      <c r="AA446" s="127">
        <f t="shared" si="168"/>
        <v>1.304166666661331</v>
      </c>
      <c r="AB446" s="128">
        <f>Table2[[#This Row],[ATA A TIMESLOT]]*24</f>
        <v>31.299999999871943</v>
      </c>
      <c r="AC446" s="127">
        <f t="shared" si="169"/>
        <v>0</v>
      </c>
      <c r="AD446" s="127" t="str">
        <f t="shared" si="170"/>
        <v>SI</v>
      </c>
      <c r="AE446" s="128">
        <f>Table2[[#This Row],[PUNTUALIDAD (H)]]*24</f>
        <v>0</v>
      </c>
      <c r="AF446" s="127">
        <f t="shared" si="171"/>
        <v>1.2659722222160781</v>
      </c>
      <c r="AG446" s="128">
        <f>Table2[[#This Row],[ATA TO UNLOADING]]*24</f>
        <v>30.383333333185874</v>
      </c>
      <c r="AH446" s="128" t="str">
        <f>IF(Table2[[#This Row],[ATA TO UNLOADING 2]]&lt;=48,"YES","NO")</f>
        <v>YES</v>
      </c>
      <c r="AJ446" s="129">
        <f t="shared" si="172"/>
        <v>0.54166666666424135</v>
      </c>
      <c r="AK446" s="2" t="s">
        <v>64</v>
      </c>
      <c r="AL446" s="2" t="str">
        <f t="shared" si="173"/>
        <v>10/26</v>
      </c>
      <c r="AM446" s="2" t="str">
        <f t="shared" si="174"/>
        <v>TEMU3893900</v>
      </c>
      <c r="AN446" s="130" t="str">
        <f t="shared" si="175"/>
        <v>MSI</v>
      </c>
      <c r="AO446" s="151">
        <f>IF($O446="TRUCK",
VLOOKUP($AU446,Invoicing!$A$16:$B$56,MATCH($AO$1,Invoicing!$A$16:$B$16,0),FALSE)+IF(OR($B446="DCD",$B446="HPD2"),23.5,0),
VLOOKUP($AU446,Invoicing!$N$15:$O$19,MATCH($AO$1,Invoicing!$N$15:$O$15,0),FALSE)+IF(OR($B446="DCD",$B446="HPD2"),23.5,0))</f>
        <v>480</v>
      </c>
      <c r="AP446" s="131" t="e">
        <f>VLOOKUP($E446,Invoicing!$A$1:$H$12,MATCH(TRACKER!$P446,Invoicing!$A$1:$H$1,0),FALSE)</f>
        <v>#N/A</v>
      </c>
      <c r="AQ446" s="131">
        <f>VLOOKUP($E446,Invoicing!$A$1:$H$12,MATCH(TRACKER!$Q$1,Invoicing!$A$1:$H$1,0),FALSE)</f>
        <v>50</v>
      </c>
      <c r="AR446" s="131">
        <f t="shared" si="176"/>
        <v>0</v>
      </c>
      <c r="AS446" s="2">
        <f t="shared" si="177"/>
        <v>3</v>
      </c>
      <c r="AT446" s="2" t="str">
        <f t="shared" si="141"/>
        <v>WEEK</v>
      </c>
      <c r="AU446" s="2" t="str">
        <f t="shared" si="178"/>
        <v>MSIWEEK</v>
      </c>
      <c r="AV446" s="94">
        <f>(IF(ISNA(AP446),AO446+AR446,SUM($AO446,$AR446,IFERROR($AP446,"0"))))+Table2[[#This Row],[WAITING TIMES]]</f>
        <v>480</v>
      </c>
      <c r="AW446" s="48">
        <f>VLOOKUP(AN446,Invoicing!A:K,11,FALSE)</f>
        <v>20</v>
      </c>
      <c r="AY446" s="48"/>
      <c r="AZ446" s="48">
        <f t="shared" si="179"/>
        <v>500</v>
      </c>
      <c r="BA446" s="132">
        <f>VLOOKUP(AN446,Invoicing!A:J,10,FALSE)</f>
        <v>70</v>
      </c>
      <c r="BB446" s="132">
        <f>VLOOKUP(AN446,Invoicing!A:L,12,FALSE)</f>
        <v>1</v>
      </c>
      <c r="BC446" s="2"/>
    </row>
    <row r="447" spans="1:55">
      <c r="A447" s="38" t="s">
        <v>823</v>
      </c>
      <c r="B447" s="3" t="s">
        <v>56</v>
      </c>
      <c r="C447" s="11">
        <v>46084.237500000003</v>
      </c>
      <c r="D447" s="11">
        <v>46084.041666666664</v>
      </c>
      <c r="E447" s="11" t="s">
        <v>83</v>
      </c>
      <c r="F447" s="11" t="s">
        <v>824</v>
      </c>
      <c r="G447" s="11" t="s">
        <v>59</v>
      </c>
      <c r="H447" s="11" t="s">
        <v>68</v>
      </c>
      <c r="I447" s="86" t="s">
        <v>828</v>
      </c>
      <c r="J447" s="86" t="s">
        <v>100</v>
      </c>
      <c r="K447" s="11">
        <v>46085.541666666664</v>
      </c>
      <c r="L447" s="12">
        <v>46085.613888888889</v>
      </c>
      <c r="M447" s="12">
        <v>46085.541666666664</v>
      </c>
      <c r="N447" s="12">
        <v>46085.520833333336</v>
      </c>
      <c r="O447" s="12" t="s">
        <v>63</v>
      </c>
      <c r="P447" s="85" t="s">
        <v>64</v>
      </c>
      <c r="Q447" s="3">
        <v>2</v>
      </c>
      <c r="R447" s="1">
        <f t="shared" si="161"/>
        <v>10</v>
      </c>
      <c r="S447" s="1">
        <f t="shared" si="162"/>
        <v>3</v>
      </c>
      <c r="T447" s="126">
        <f t="shared" si="163"/>
        <v>46085.613888888889</v>
      </c>
      <c r="U447" s="127">
        <f t="shared" si="164"/>
        <v>1.304166666661331</v>
      </c>
      <c r="V447" s="128">
        <f>Table2[[#This Row],[ATA A OFRECIMIENTO]]*24</f>
        <v>31.299999999871943</v>
      </c>
      <c r="W447" s="1" t="str">
        <f t="shared" si="165"/>
        <v>YES</v>
      </c>
      <c r="X447" s="127">
        <f t="shared" si="166"/>
        <v>0</v>
      </c>
      <c r="Y447" s="128">
        <f>Table2[[#This Row],[DEL. AVAILABLE A SLOT]]*24</f>
        <v>0</v>
      </c>
      <c r="Z447" s="1" t="str">
        <f t="shared" si="167"/>
        <v>SI</v>
      </c>
      <c r="AA447" s="127">
        <f t="shared" si="168"/>
        <v>1.304166666661331</v>
      </c>
      <c r="AB447" s="128">
        <f>Table2[[#This Row],[ATA A TIMESLOT]]*24</f>
        <v>31.299999999871943</v>
      </c>
      <c r="AC447" s="127">
        <f t="shared" si="169"/>
        <v>7.2222222224809229E-2</v>
      </c>
      <c r="AD447" s="127" t="str">
        <f t="shared" si="170"/>
        <v>NO</v>
      </c>
      <c r="AE447" s="128">
        <f>Table2[[#This Row],[PUNTUALIDAD (H)]]*24</f>
        <v>1.7333333333954215</v>
      </c>
      <c r="AF447" s="127">
        <f t="shared" si="171"/>
        <v>1.2833333333328483</v>
      </c>
      <c r="AG447" s="128">
        <f>Table2[[#This Row],[ATA TO UNLOADING]]*24</f>
        <v>30.799999999988358</v>
      </c>
      <c r="AH447" s="128" t="str">
        <f>IF(Table2[[#This Row],[ATA TO UNLOADING 2]]&lt;=48,"YES","NO")</f>
        <v>YES</v>
      </c>
      <c r="AJ447" s="129">
        <f t="shared" si="172"/>
        <v>0.54166666666424135</v>
      </c>
      <c r="AK447" s="2" t="s">
        <v>64</v>
      </c>
      <c r="AL447" s="2" t="str">
        <f t="shared" si="173"/>
        <v>10/26</v>
      </c>
      <c r="AM447" s="2" t="str">
        <f t="shared" si="174"/>
        <v>UETU7570650</v>
      </c>
      <c r="AN447" s="130" t="str">
        <f t="shared" si="175"/>
        <v>OM TRANSPORT</v>
      </c>
      <c r="AO447" s="151">
        <f>IF($O447="TRUCK",
VLOOKUP($AU447,Invoicing!$A$16:$B$56,MATCH($AO$1,Invoicing!$A$16:$B$16,0),FALSE)+IF(OR($B447="DCD",$B447="HPD2"),23.5,0),
VLOOKUP($AU447,Invoicing!$N$15:$O$19,MATCH($AO$1,Invoicing!$N$15:$O$15,0),FALSE)+IF(OR($B447="DCD",$B447="HPD2"),23.5,0))</f>
        <v>475</v>
      </c>
      <c r="AP447" s="131" t="e">
        <f>VLOOKUP($E447,Invoicing!$A$1:$H$12,MATCH(TRACKER!$P447,Invoicing!$A$1:$H$1,0),FALSE)</f>
        <v>#N/A</v>
      </c>
      <c r="AQ447" s="131">
        <f>VLOOKUP($E447,Invoicing!$A$1:$H$12,MATCH(TRACKER!$Q$1,Invoicing!$A$1:$H$1,0),FALSE)</f>
        <v>50</v>
      </c>
      <c r="AR447" s="131">
        <f t="shared" si="176"/>
        <v>100</v>
      </c>
      <c r="AS447" s="2">
        <f t="shared" si="177"/>
        <v>3</v>
      </c>
      <c r="AT447" s="2" t="str">
        <f t="shared" si="141"/>
        <v>WEEK</v>
      </c>
      <c r="AU447" s="2" t="str">
        <f t="shared" si="178"/>
        <v>OM TRANSPORTWEEK</v>
      </c>
      <c r="AV447" s="94">
        <f>(IF(ISNA(AP447),AO447+AR447,SUM($AO447,$AR447,IFERROR($AP447,"0"))))+Table2[[#This Row],[WAITING TIMES]]</f>
        <v>575</v>
      </c>
      <c r="AW447" s="48">
        <f>VLOOKUP(AN447,Invoicing!A:K,11,FALSE)</f>
        <v>20</v>
      </c>
      <c r="AY447" s="48"/>
      <c r="AZ447" s="48">
        <f t="shared" si="179"/>
        <v>595</v>
      </c>
      <c r="BA447" s="132">
        <f>VLOOKUP(AN447,Invoicing!A:J,10,FALSE)</f>
        <v>70</v>
      </c>
      <c r="BB447" s="132">
        <f>VLOOKUP(AN447,Invoicing!A:L,12,FALSE)</f>
        <v>1</v>
      </c>
      <c r="BC447" s="2"/>
    </row>
    <row r="448" spans="1:55">
      <c r="A448" s="38" t="s">
        <v>823</v>
      </c>
      <c r="B448" s="3" t="s">
        <v>56</v>
      </c>
      <c r="C448" s="11">
        <v>46084.237500000003</v>
      </c>
      <c r="D448" s="11">
        <v>46084.041666666664</v>
      </c>
      <c r="E448" s="11" t="s">
        <v>71</v>
      </c>
      <c r="F448" s="11" t="s">
        <v>829</v>
      </c>
      <c r="G448" s="11" t="s">
        <v>59</v>
      </c>
      <c r="H448" s="11" t="s">
        <v>60</v>
      </c>
      <c r="I448" s="86" t="s">
        <v>830</v>
      </c>
      <c r="J448" s="86" t="s">
        <v>100</v>
      </c>
      <c r="K448" s="11">
        <v>46085.541666666664</v>
      </c>
      <c r="L448" s="12">
        <v>46085.567361111112</v>
      </c>
      <c r="M448" s="12">
        <v>46085.583333333336</v>
      </c>
      <c r="N448" s="12">
        <v>46085.586805555555</v>
      </c>
      <c r="O448" s="12" t="s">
        <v>63</v>
      </c>
      <c r="P448" s="85" t="s">
        <v>64</v>
      </c>
      <c r="Q448" s="3">
        <v>2</v>
      </c>
      <c r="R448" s="1">
        <f t="shared" si="161"/>
        <v>10</v>
      </c>
      <c r="S448" s="1">
        <f t="shared" si="162"/>
        <v>3</v>
      </c>
      <c r="T448" s="126">
        <f t="shared" si="163"/>
        <v>46085.567361111112</v>
      </c>
      <c r="U448" s="127">
        <f t="shared" si="164"/>
        <v>1.304166666661331</v>
      </c>
      <c r="V448" s="128">
        <f>Table2[[#This Row],[ATA A OFRECIMIENTO]]*24</f>
        <v>31.299999999871943</v>
      </c>
      <c r="W448" s="1" t="str">
        <f t="shared" si="165"/>
        <v>YES</v>
      </c>
      <c r="X448" s="127">
        <f t="shared" si="166"/>
        <v>4.1666666671517305E-2</v>
      </c>
      <c r="Y448" s="128">
        <f>Table2[[#This Row],[DEL. AVAILABLE A SLOT]]*24</f>
        <v>1.0000000001164153</v>
      </c>
      <c r="Z448" s="1" t="str">
        <f t="shared" si="167"/>
        <v>SI</v>
      </c>
      <c r="AA448" s="127">
        <f t="shared" si="168"/>
        <v>1.3458333333328483</v>
      </c>
      <c r="AB448" s="128">
        <f>Table2[[#This Row],[ATA A TIMESLOT]]*24</f>
        <v>32.299999999988358</v>
      </c>
      <c r="AC448" s="127">
        <f t="shared" si="169"/>
        <v>0</v>
      </c>
      <c r="AD448" s="127" t="str">
        <f t="shared" si="170"/>
        <v>SI</v>
      </c>
      <c r="AE448" s="128">
        <f>Table2[[#This Row],[PUNTUALIDAD (H)]]*24</f>
        <v>0</v>
      </c>
      <c r="AF448" s="127">
        <f t="shared" si="171"/>
        <v>1.3493055555518367</v>
      </c>
      <c r="AG448" s="128">
        <f>Table2[[#This Row],[ATA TO UNLOADING]]*24</f>
        <v>32.383333333244082</v>
      </c>
      <c r="AH448" s="128" t="str">
        <f>IF(Table2[[#This Row],[ATA TO UNLOADING 2]]&lt;=48,"YES","NO")</f>
        <v>YES</v>
      </c>
      <c r="AJ448" s="129">
        <f t="shared" si="172"/>
        <v>0.58333333333575865</v>
      </c>
      <c r="AK448" s="2" t="s">
        <v>64</v>
      </c>
      <c r="AL448" s="2" t="str">
        <f t="shared" si="173"/>
        <v>10/26</v>
      </c>
      <c r="AM448" s="2" t="str">
        <f t="shared" si="174"/>
        <v>HASU4918599</v>
      </c>
      <c r="AN448" s="130" t="str">
        <f t="shared" si="175"/>
        <v>LOGIX</v>
      </c>
      <c r="AO448" s="151">
        <f>IF($O448="TRUCK",
VLOOKUP($AU448,Invoicing!$A$16:$B$56,MATCH($AO$1,Invoicing!$A$16:$B$16,0),FALSE)+IF(OR($B448="DCD",$B448="HPD2"),23.5,0),
VLOOKUP($AU448,Invoicing!$N$15:$O$19,MATCH($AO$1,Invoicing!$N$15:$O$15,0),FALSE)+IF(OR($B448="DCD",$B448="HPD2"),23.5,0))</f>
        <v>550</v>
      </c>
      <c r="AP448" s="131" t="e">
        <f>VLOOKUP($E448,Invoicing!$A$1:$H$12,MATCH(TRACKER!$P448,Invoicing!$A$1:$H$1,0),FALSE)</f>
        <v>#N/A</v>
      </c>
      <c r="AQ448" s="131">
        <f>VLOOKUP($E448,Invoicing!$A$1:$H$12,MATCH(TRACKER!$Q$1,Invoicing!$A$1:$H$1,0),FALSE)</f>
        <v>50</v>
      </c>
      <c r="AR448" s="131">
        <f t="shared" si="176"/>
        <v>100</v>
      </c>
      <c r="AS448" s="2">
        <f t="shared" si="177"/>
        <v>3</v>
      </c>
      <c r="AT448" s="2" t="str">
        <f t="shared" si="141"/>
        <v>WEEK</v>
      </c>
      <c r="AU448" s="2" t="str">
        <f t="shared" si="178"/>
        <v>LOGIXWEEK</v>
      </c>
      <c r="AV448" s="94">
        <f>(IF(ISNA(AP448),AO448+AR448,SUM($AO448,$AR448,IFERROR($AP448,"0"))))+Table2[[#This Row],[WAITING TIMES]]</f>
        <v>650</v>
      </c>
      <c r="AW448" s="48">
        <f>VLOOKUP(AN448,Invoicing!A:K,11,FALSE)</f>
        <v>20</v>
      </c>
      <c r="AY448" s="48"/>
      <c r="AZ448" s="48">
        <f t="shared" si="179"/>
        <v>670</v>
      </c>
      <c r="BA448" s="132">
        <f>VLOOKUP(AN448,Invoicing!A:J,10,FALSE)</f>
        <v>70</v>
      </c>
      <c r="BB448" s="132">
        <f>VLOOKUP(AN448,Invoicing!A:L,12,FALSE)</f>
        <v>1</v>
      </c>
      <c r="BC448" s="2"/>
    </row>
    <row r="449" spans="1:55">
      <c r="A449" s="38" t="s">
        <v>823</v>
      </c>
      <c r="B449" s="3" t="s">
        <v>56</v>
      </c>
      <c r="C449" s="11">
        <v>46084.237500000003</v>
      </c>
      <c r="D449" s="11">
        <v>46084.041666666664</v>
      </c>
      <c r="E449" s="11" t="s">
        <v>83</v>
      </c>
      <c r="F449" s="11" t="s">
        <v>824</v>
      </c>
      <c r="G449" s="11" t="s">
        <v>59</v>
      </c>
      <c r="H449" s="11" t="s">
        <v>68</v>
      </c>
      <c r="I449" s="86" t="s">
        <v>831</v>
      </c>
      <c r="J449" s="86" t="s">
        <v>100</v>
      </c>
      <c r="K449" s="11">
        <v>46085.541666666664</v>
      </c>
      <c r="L449" s="12">
        <v>46085.600694444445</v>
      </c>
      <c r="M449" s="12">
        <v>46085.625</v>
      </c>
      <c r="N449" s="12">
        <v>46085.604166666664</v>
      </c>
      <c r="O449" s="12" t="s">
        <v>63</v>
      </c>
      <c r="P449" s="85" t="s">
        <v>64</v>
      </c>
      <c r="Q449" s="3">
        <v>0</v>
      </c>
      <c r="R449" s="1">
        <f t="shared" si="161"/>
        <v>10</v>
      </c>
      <c r="S449" s="1">
        <f t="shared" si="162"/>
        <v>3</v>
      </c>
      <c r="T449" s="126">
        <f t="shared" si="163"/>
        <v>46085.600694444445</v>
      </c>
      <c r="U449" s="127">
        <f t="shared" si="164"/>
        <v>1.304166666661331</v>
      </c>
      <c r="V449" s="128">
        <f>Table2[[#This Row],[ATA A OFRECIMIENTO]]*24</f>
        <v>31.299999999871943</v>
      </c>
      <c r="W449" s="1" t="str">
        <f t="shared" si="165"/>
        <v>YES</v>
      </c>
      <c r="X449" s="127">
        <f t="shared" si="166"/>
        <v>8.3333333335758653E-2</v>
      </c>
      <c r="Y449" s="128">
        <f>Table2[[#This Row],[DEL. AVAILABLE A SLOT]]*24</f>
        <v>2.0000000000582077</v>
      </c>
      <c r="Z449" s="1" t="str">
        <f t="shared" si="167"/>
        <v>SI</v>
      </c>
      <c r="AA449" s="127">
        <f t="shared" si="168"/>
        <v>1.3874999999970896</v>
      </c>
      <c r="AB449" s="128">
        <f>Table2[[#This Row],[ATA A TIMESLOT]]*24</f>
        <v>33.299999999930151</v>
      </c>
      <c r="AC449" s="127">
        <f t="shared" si="169"/>
        <v>0</v>
      </c>
      <c r="AD449" s="127" t="str">
        <f t="shared" si="170"/>
        <v>SI</v>
      </c>
      <c r="AE449" s="128">
        <f>Table2[[#This Row],[PUNTUALIDAD (H)]]*24</f>
        <v>0</v>
      </c>
      <c r="AF449" s="127">
        <f t="shared" si="171"/>
        <v>1.366666666661331</v>
      </c>
      <c r="AG449" s="128">
        <f>Table2[[#This Row],[ATA TO UNLOADING]]*24</f>
        <v>32.799999999871943</v>
      </c>
      <c r="AH449" s="128" t="str">
        <f>IF(Table2[[#This Row],[ATA TO UNLOADING 2]]&lt;=48,"YES","NO")</f>
        <v>YES</v>
      </c>
      <c r="AJ449" s="129">
        <f t="shared" si="172"/>
        <v>0.625</v>
      </c>
      <c r="AK449" s="2" t="s">
        <v>64</v>
      </c>
      <c r="AL449" s="2" t="str">
        <f t="shared" si="173"/>
        <v>10/26</v>
      </c>
      <c r="AM449" s="2" t="str">
        <f t="shared" si="174"/>
        <v>MRSU6795220</v>
      </c>
      <c r="AN449" s="130" t="str">
        <f t="shared" si="175"/>
        <v>OM TRANSPORT</v>
      </c>
      <c r="AO449" s="151">
        <f>IF($O449="TRUCK",
VLOOKUP($AU449,Invoicing!$A$16:$B$56,MATCH($AO$1,Invoicing!$A$16:$B$16,0),FALSE)+IF(OR($B449="DCD",$B449="HPD2"),23.5,0),
VLOOKUP($AU449,Invoicing!$N$15:$O$19,MATCH($AO$1,Invoicing!$N$15:$O$15,0),FALSE)+IF(OR($B449="DCD",$B449="HPD2"),23.5,0))</f>
        <v>475</v>
      </c>
      <c r="AP449" s="131" t="e">
        <f>VLOOKUP($E449,Invoicing!$A$1:$H$12,MATCH(TRACKER!$P449,Invoicing!$A$1:$H$1,0),FALSE)</f>
        <v>#N/A</v>
      </c>
      <c r="AQ449" s="131">
        <f>VLOOKUP($E449,Invoicing!$A$1:$H$12,MATCH(TRACKER!$Q$1,Invoicing!$A$1:$H$1,0),FALSE)</f>
        <v>50</v>
      </c>
      <c r="AR449" s="131">
        <f t="shared" si="176"/>
        <v>0</v>
      </c>
      <c r="AS449" s="2">
        <f t="shared" si="177"/>
        <v>3</v>
      </c>
      <c r="AT449" s="2" t="str">
        <f t="shared" si="141"/>
        <v>WEEK</v>
      </c>
      <c r="AU449" s="2" t="str">
        <f t="shared" si="178"/>
        <v>OM TRANSPORTWEEK</v>
      </c>
      <c r="AV449" s="94">
        <f>(IF(ISNA(AP449),AO449+AR449,SUM($AO449,$AR449,IFERROR($AP449,"0"))))+Table2[[#This Row],[WAITING TIMES]]</f>
        <v>475</v>
      </c>
      <c r="AW449" s="48">
        <f>VLOOKUP(AN449,Invoicing!A:K,11,FALSE)</f>
        <v>20</v>
      </c>
      <c r="AY449" s="48"/>
      <c r="AZ449" s="48">
        <f t="shared" si="179"/>
        <v>495</v>
      </c>
      <c r="BA449" s="132">
        <f>VLOOKUP(AN449,Invoicing!A:J,10,FALSE)</f>
        <v>70</v>
      </c>
      <c r="BB449" s="132">
        <f>VLOOKUP(AN449,Invoicing!A:L,12,FALSE)</f>
        <v>1</v>
      </c>
      <c r="BC449" s="2"/>
    </row>
    <row r="450" spans="1:55">
      <c r="A450" s="38" t="s">
        <v>823</v>
      </c>
      <c r="B450" s="3" t="s">
        <v>56</v>
      </c>
      <c r="C450" s="11">
        <v>46084.237500000003</v>
      </c>
      <c r="D450" s="11">
        <v>46084.041666666664</v>
      </c>
      <c r="E450" s="11" t="s">
        <v>98</v>
      </c>
      <c r="F450" s="11" t="s">
        <v>832</v>
      </c>
      <c r="G450" s="11" t="s">
        <v>59</v>
      </c>
      <c r="H450" s="11" t="s">
        <v>643</v>
      </c>
      <c r="I450" s="86" t="s">
        <v>833</v>
      </c>
      <c r="J450" s="86" t="s">
        <v>82</v>
      </c>
      <c r="K450" s="11">
        <v>46085.541666666664</v>
      </c>
      <c r="L450" s="12">
        <v>46085.507638888892</v>
      </c>
      <c r="M450" s="12">
        <v>46085.625</v>
      </c>
      <c r="N450" s="12">
        <v>46085.507638888892</v>
      </c>
      <c r="O450" s="12" t="s">
        <v>63</v>
      </c>
      <c r="P450" s="85" t="s">
        <v>64</v>
      </c>
      <c r="Q450" s="3">
        <v>0</v>
      </c>
      <c r="R450" s="1">
        <f t="shared" si="161"/>
        <v>10</v>
      </c>
      <c r="S450" s="1">
        <f t="shared" si="162"/>
        <v>3</v>
      </c>
      <c r="T450" s="126">
        <f t="shared" si="163"/>
        <v>46085.507638888892</v>
      </c>
      <c r="U450" s="127">
        <f t="shared" si="164"/>
        <v>1.304166666661331</v>
      </c>
      <c r="V450" s="128">
        <f>Table2[[#This Row],[ATA A OFRECIMIENTO]]*24</f>
        <v>31.299999999871943</v>
      </c>
      <c r="W450" s="1" t="str">
        <f t="shared" si="165"/>
        <v>YES</v>
      </c>
      <c r="X450" s="127">
        <f t="shared" si="166"/>
        <v>8.3333333335758653E-2</v>
      </c>
      <c r="Y450" s="128">
        <f>Table2[[#This Row],[DEL. AVAILABLE A SLOT]]*24</f>
        <v>2.0000000000582077</v>
      </c>
      <c r="Z450" s="1" t="str">
        <f t="shared" si="167"/>
        <v>SI</v>
      </c>
      <c r="AA450" s="127">
        <f t="shared" si="168"/>
        <v>1.3874999999970896</v>
      </c>
      <c r="AB450" s="128">
        <f>Table2[[#This Row],[ATA A TIMESLOT]]*24</f>
        <v>33.299999999930151</v>
      </c>
      <c r="AC450" s="127">
        <f t="shared" si="169"/>
        <v>0</v>
      </c>
      <c r="AD450" s="127" t="str">
        <f t="shared" si="170"/>
        <v>SI</v>
      </c>
      <c r="AE450" s="128">
        <f>Table2[[#This Row],[PUNTUALIDAD (H)]]*24</f>
        <v>0</v>
      </c>
      <c r="AF450" s="127">
        <f t="shared" si="171"/>
        <v>1.2701388888890506</v>
      </c>
      <c r="AG450" s="128">
        <f>Table2[[#This Row],[ATA TO UNLOADING]]*24</f>
        <v>30.483333333337214</v>
      </c>
      <c r="AH450" s="128" t="str">
        <f>IF(Table2[[#This Row],[ATA TO UNLOADING 2]]&lt;=48,"YES","NO")</f>
        <v>YES</v>
      </c>
      <c r="AJ450" s="129">
        <f t="shared" si="172"/>
        <v>0.625</v>
      </c>
      <c r="AK450" s="2" t="s">
        <v>64</v>
      </c>
      <c r="AL450" s="2" t="str">
        <f t="shared" si="173"/>
        <v>10/26</v>
      </c>
      <c r="AM450" s="2" t="str">
        <f t="shared" si="174"/>
        <v>TCKU1422716</v>
      </c>
      <c r="AN450" s="130" t="str">
        <f t="shared" si="175"/>
        <v>MSI</v>
      </c>
      <c r="AO450" s="151">
        <f>IF($O450="TRUCK",
VLOOKUP($AU450,Invoicing!$A$16:$B$56,MATCH($AO$1,Invoicing!$A$16:$B$16,0),FALSE)+IF(OR($B450="DCD",$B450="HPD2"),23.5,0),
VLOOKUP($AU450,Invoicing!$N$15:$O$19,MATCH($AO$1,Invoicing!$N$15:$O$15,0),FALSE)+IF(OR($B450="DCD",$B450="HPD2"),23.5,0))</f>
        <v>480</v>
      </c>
      <c r="AP450" s="131" t="e">
        <f>VLOOKUP($E450,Invoicing!$A$1:$H$12,MATCH(TRACKER!$P450,Invoicing!$A$1:$H$1,0),FALSE)</f>
        <v>#N/A</v>
      </c>
      <c r="AQ450" s="131">
        <f>VLOOKUP($E450,Invoicing!$A$1:$H$12,MATCH(TRACKER!$Q$1,Invoicing!$A$1:$H$1,0),FALSE)</f>
        <v>50</v>
      </c>
      <c r="AR450" s="131">
        <f t="shared" si="176"/>
        <v>0</v>
      </c>
      <c r="AS450" s="2">
        <f t="shared" si="177"/>
        <v>3</v>
      </c>
      <c r="AT450" s="2" t="str">
        <f t="shared" si="141"/>
        <v>WEEK</v>
      </c>
      <c r="AU450" s="2" t="str">
        <f t="shared" si="178"/>
        <v>MSIWEEK</v>
      </c>
      <c r="AV450" s="94">
        <f>(IF(ISNA(AP450),AO450+AR450,SUM($AO450,$AR450,IFERROR($AP450,"0"))))+Table2[[#This Row],[WAITING TIMES]]</f>
        <v>480</v>
      </c>
      <c r="AW450" s="48">
        <f>VLOOKUP(AN450,Invoicing!A:K,11,FALSE)</f>
        <v>20</v>
      </c>
      <c r="AY450" s="48"/>
      <c r="AZ450" s="48">
        <f t="shared" si="179"/>
        <v>500</v>
      </c>
      <c r="BA450" s="132">
        <f>VLOOKUP(AN450,Invoicing!A:J,10,FALSE)</f>
        <v>70</v>
      </c>
      <c r="BB450" s="132">
        <f>VLOOKUP(AN450,Invoicing!A:L,12,FALSE)</f>
        <v>1</v>
      </c>
      <c r="BC450" s="2"/>
    </row>
    <row r="451" spans="1:55">
      <c r="A451" s="38" t="s">
        <v>823</v>
      </c>
      <c r="B451" s="3" t="s">
        <v>56</v>
      </c>
      <c r="C451" s="11">
        <v>46084.237500000003</v>
      </c>
      <c r="D451" s="11">
        <v>46084.041666666664</v>
      </c>
      <c r="E451" s="11" t="s">
        <v>98</v>
      </c>
      <c r="F451" s="11" t="s">
        <v>829</v>
      </c>
      <c r="G451" s="11" t="s">
        <v>59</v>
      </c>
      <c r="H451" s="11" t="s">
        <v>60</v>
      </c>
      <c r="I451" s="86" t="s">
        <v>834</v>
      </c>
      <c r="J451" s="86" t="s">
        <v>82</v>
      </c>
      <c r="K451" s="11">
        <v>46085.541666666664</v>
      </c>
      <c r="L451" s="12">
        <v>46085.623611111114</v>
      </c>
      <c r="M451" s="12">
        <v>46085.666666666664</v>
      </c>
      <c r="N451" s="12">
        <v>46085.647916666669</v>
      </c>
      <c r="O451" s="12" t="s">
        <v>63</v>
      </c>
      <c r="P451" s="85" t="s">
        <v>64</v>
      </c>
      <c r="Q451" s="3">
        <v>1</v>
      </c>
      <c r="R451" s="1">
        <f t="shared" si="161"/>
        <v>10</v>
      </c>
      <c r="S451" s="1">
        <f t="shared" si="162"/>
        <v>3</v>
      </c>
      <c r="T451" s="126">
        <f t="shared" si="163"/>
        <v>46085.623611111114</v>
      </c>
      <c r="U451" s="127">
        <f t="shared" si="164"/>
        <v>1.304166666661331</v>
      </c>
      <c r="V451" s="128">
        <f>Table2[[#This Row],[ATA A OFRECIMIENTO]]*24</f>
        <v>31.299999999871943</v>
      </c>
      <c r="W451" s="1" t="str">
        <f t="shared" si="165"/>
        <v>YES</v>
      </c>
      <c r="X451" s="127">
        <f t="shared" si="166"/>
        <v>0.125</v>
      </c>
      <c r="Y451" s="128">
        <f>Table2[[#This Row],[DEL. AVAILABLE A SLOT]]*24</f>
        <v>3</v>
      </c>
      <c r="Z451" s="1" t="str">
        <f t="shared" si="167"/>
        <v>SI</v>
      </c>
      <c r="AA451" s="127">
        <f t="shared" si="168"/>
        <v>1.429166666661331</v>
      </c>
      <c r="AB451" s="128">
        <f>Table2[[#This Row],[ATA A TIMESLOT]]*24</f>
        <v>34.299999999871943</v>
      </c>
      <c r="AC451" s="127">
        <f t="shared" si="169"/>
        <v>0</v>
      </c>
      <c r="AD451" s="127" t="str">
        <f t="shared" si="170"/>
        <v>SI</v>
      </c>
      <c r="AE451" s="128">
        <f>Table2[[#This Row],[PUNTUALIDAD (H)]]*24</f>
        <v>0</v>
      </c>
      <c r="AF451" s="127">
        <f t="shared" si="171"/>
        <v>1.4104166666656965</v>
      </c>
      <c r="AG451" s="128">
        <f>Table2[[#This Row],[ATA TO UNLOADING]]*24</f>
        <v>33.849999999976717</v>
      </c>
      <c r="AH451" s="128" t="str">
        <f>IF(Table2[[#This Row],[ATA TO UNLOADING 2]]&lt;=48,"YES","NO")</f>
        <v>YES</v>
      </c>
      <c r="AJ451" s="129">
        <f t="shared" si="172"/>
        <v>0.66666666666424135</v>
      </c>
      <c r="AK451" s="2" t="s">
        <v>64</v>
      </c>
      <c r="AL451" s="2" t="str">
        <f t="shared" si="173"/>
        <v>10/26</v>
      </c>
      <c r="AM451" s="2" t="str">
        <f t="shared" si="174"/>
        <v>CAAU9871521</v>
      </c>
      <c r="AN451" s="130" t="str">
        <f t="shared" si="175"/>
        <v>MSI</v>
      </c>
      <c r="AO451" s="151">
        <f>IF($O451="TRUCK",
VLOOKUP($AU451,Invoicing!$A$16:$B$56,MATCH($AO$1,Invoicing!$A$16:$B$16,0),FALSE)+IF(OR($B451="DCD",$B451="HPD2"),23.5,0),
VLOOKUP($AU451,Invoicing!$N$15:$O$19,MATCH($AO$1,Invoicing!$N$15:$O$15,0),FALSE)+IF(OR($B451="DCD",$B451="HPD2"),23.5,0))</f>
        <v>480</v>
      </c>
      <c r="AP451" s="131" t="e">
        <f>VLOOKUP($E451,Invoicing!$A$1:$H$12,MATCH(TRACKER!$P451,Invoicing!$A$1:$H$1,0),FALSE)</f>
        <v>#N/A</v>
      </c>
      <c r="AQ451" s="131">
        <f>VLOOKUP($E451,Invoicing!$A$1:$H$12,MATCH(TRACKER!$Q$1,Invoicing!$A$1:$H$1,0),FALSE)</f>
        <v>50</v>
      </c>
      <c r="AR451" s="131">
        <f t="shared" si="176"/>
        <v>50</v>
      </c>
      <c r="AS451" s="2">
        <f t="shared" si="177"/>
        <v>3</v>
      </c>
      <c r="AT451" s="2" t="str">
        <f t="shared" ref="AT451:AT455" si="180">IF(AS451=7,"SUNDAY",IF(AS451=6,"SATURDAY",IF(AK451="NIGHT","NIGHT",IF(AS451&lt;=5,"WEEK","SUNDAY"))))</f>
        <v>WEEK</v>
      </c>
      <c r="AU451" s="2" t="str">
        <f t="shared" si="178"/>
        <v>MSIWEEK</v>
      </c>
      <c r="AV451" s="94">
        <f>(IF(ISNA(AP451),AO451+AR451,SUM($AO451,$AR451,IFERROR($AP451,"0"))))+Table2[[#This Row],[WAITING TIMES]]</f>
        <v>530</v>
      </c>
      <c r="AW451" s="48">
        <f>VLOOKUP(AN451,Invoicing!A:K,11,FALSE)</f>
        <v>20</v>
      </c>
      <c r="AY451" s="48"/>
      <c r="AZ451" s="48">
        <f t="shared" si="179"/>
        <v>550</v>
      </c>
      <c r="BA451" s="132">
        <f>VLOOKUP(AN451,Invoicing!A:J,10,FALSE)</f>
        <v>70</v>
      </c>
      <c r="BB451" s="132">
        <f>VLOOKUP(AN451,Invoicing!A:L,12,FALSE)</f>
        <v>1</v>
      </c>
      <c r="BC451" s="2"/>
    </row>
    <row r="452" spans="1:55">
      <c r="A452" s="38" t="s">
        <v>823</v>
      </c>
      <c r="B452" s="3" t="s">
        <v>56</v>
      </c>
      <c r="C452" s="11">
        <v>46084.237500000003</v>
      </c>
      <c r="D452" s="11">
        <v>46084.041666666664</v>
      </c>
      <c r="E452" s="11" t="s">
        <v>71</v>
      </c>
      <c r="F452" s="11" t="s">
        <v>829</v>
      </c>
      <c r="G452" s="11" t="s">
        <v>59</v>
      </c>
      <c r="H452" s="11" t="s">
        <v>60</v>
      </c>
      <c r="I452" s="86" t="s">
        <v>835</v>
      </c>
      <c r="J452" s="86" t="s">
        <v>100</v>
      </c>
      <c r="K452" s="11">
        <v>46085.541666666664</v>
      </c>
      <c r="L452" s="12">
        <v>46085.732638888891</v>
      </c>
      <c r="M452" s="12">
        <v>46085.791666666664</v>
      </c>
      <c r="N452" s="12">
        <v>46085.740277777775</v>
      </c>
      <c r="O452" s="12" t="s">
        <v>63</v>
      </c>
      <c r="P452" s="85" t="s">
        <v>64</v>
      </c>
      <c r="Q452" s="3">
        <v>2</v>
      </c>
      <c r="R452" s="1">
        <f t="shared" si="161"/>
        <v>10</v>
      </c>
      <c r="S452" s="1">
        <f t="shared" si="162"/>
        <v>3</v>
      </c>
      <c r="T452" s="126">
        <f t="shared" si="163"/>
        <v>46085.732638888891</v>
      </c>
      <c r="U452" s="127">
        <f t="shared" si="164"/>
        <v>1.304166666661331</v>
      </c>
      <c r="V452" s="128">
        <f>Table2[[#This Row],[ATA A OFRECIMIENTO]]*24</f>
        <v>31.299999999871943</v>
      </c>
      <c r="W452" s="1" t="str">
        <f t="shared" si="165"/>
        <v>YES</v>
      </c>
      <c r="X452" s="127">
        <f t="shared" si="166"/>
        <v>0.25</v>
      </c>
      <c r="Y452" s="128">
        <f>Table2[[#This Row],[DEL. AVAILABLE A SLOT]]*24</f>
        <v>6</v>
      </c>
      <c r="Z452" s="1" t="str">
        <f t="shared" si="167"/>
        <v>SI</v>
      </c>
      <c r="AA452" s="127">
        <f t="shared" si="168"/>
        <v>1.554166666661331</v>
      </c>
      <c r="AB452" s="128">
        <f>Table2[[#This Row],[ATA A TIMESLOT]]*24</f>
        <v>37.299999999871943</v>
      </c>
      <c r="AC452" s="127">
        <f t="shared" si="169"/>
        <v>0</v>
      </c>
      <c r="AD452" s="127" t="str">
        <f t="shared" si="170"/>
        <v>SI</v>
      </c>
      <c r="AE452" s="128">
        <f>Table2[[#This Row],[PUNTUALIDAD (H)]]*24</f>
        <v>0</v>
      </c>
      <c r="AF452" s="127">
        <f t="shared" si="171"/>
        <v>1.5027777777722804</v>
      </c>
      <c r="AG452" s="128">
        <f>Table2[[#This Row],[ATA TO UNLOADING]]*24</f>
        <v>36.066666666534729</v>
      </c>
      <c r="AH452" s="128" t="str">
        <f>IF(Table2[[#This Row],[ATA TO UNLOADING 2]]&lt;=48,"YES","NO")</f>
        <v>YES</v>
      </c>
      <c r="AJ452" s="129">
        <f t="shared" si="172"/>
        <v>0.79166666666424135</v>
      </c>
      <c r="AK452" s="2" t="s">
        <v>64</v>
      </c>
      <c r="AL452" s="2" t="str">
        <f t="shared" si="173"/>
        <v>10/26</v>
      </c>
      <c r="AM452" s="2" t="str">
        <f t="shared" si="174"/>
        <v>MSKU4703440</v>
      </c>
      <c r="AN452" s="130" t="str">
        <f t="shared" si="175"/>
        <v>LOGIX</v>
      </c>
      <c r="AO452" s="151">
        <f>IF($O452="TRUCK",
VLOOKUP($AU452,Invoicing!$A$16:$B$56,MATCH($AO$1,Invoicing!$A$16:$B$16,0),FALSE)+IF(OR($B452="DCD",$B452="HPD2"),23.5,0),
VLOOKUP($AU452,Invoicing!$N$15:$O$19,MATCH($AO$1,Invoicing!$N$15:$O$15,0),FALSE)+IF(OR($B452="DCD",$B452="HPD2"),23.5,0))</f>
        <v>550</v>
      </c>
      <c r="AP452" s="131" t="e">
        <f>VLOOKUP($E452,Invoicing!$A$1:$H$12,MATCH(TRACKER!$P452,Invoicing!$A$1:$H$1,0),FALSE)</f>
        <v>#N/A</v>
      </c>
      <c r="AQ452" s="131">
        <f>VLOOKUP($E452,Invoicing!$A$1:$H$12,MATCH(TRACKER!$Q$1,Invoicing!$A$1:$H$1,0),FALSE)</f>
        <v>50</v>
      </c>
      <c r="AR452" s="131">
        <f t="shared" si="176"/>
        <v>100</v>
      </c>
      <c r="AS452" s="2">
        <f t="shared" si="177"/>
        <v>3</v>
      </c>
      <c r="AT452" s="2" t="str">
        <f t="shared" si="180"/>
        <v>WEEK</v>
      </c>
      <c r="AU452" s="2" t="str">
        <f t="shared" si="178"/>
        <v>LOGIXWEEK</v>
      </c>
      <c r="AV452" s="94">
        <f>(IF(ISNA(AP452),AO452+AR452,SUM($AO452,$AR452,IFERROR($AP452,"0"))))+Table2[[#This Row],[WAITING TIMES]]</f>
        <v>650</v>
      </c>
      <c r="AW452" s="48">
        <f>VLOOKUP(AN452,Invoicing!A:K,11,FALSE)</f>
        <v>20</v>
      </c>
      <c r="AY452" s="48"/>
      <c r="AZ452" s="48">
        <f t="shared" si="179"/>
        <v>670</v>
      </c>
      <c r="BA452" s="132">
        <f>VLOOKUP(AN452,Invoicing!A:J,10,FALSE)</f>
        <v>70</v>
      </c>
      <c r="BB452" s="132">
        <f>VLOOKUP(AN452,Invoicing!A:L,12,FALSE)</f>
        <v>1</v>
      </c>
      <c r="BC452" s="2"/>
    </row>
    <row r="453" spans="1:55">
      <c r="A453" s="38" t="s">
        <v>823</v>
      </c>
      <c r="B453" s="3" t="s">
        <v>56</v>
      </c>
      <c r="C453" s="11">
        <v>46084.237500000003</v>
      </c>
      <c r="D453" s="11">
        <v>46084.041666666664</v>
      </c>
      <c r="E453" s="11" t="s">
        <v>98</v>
      </c>
      <c r="F453" s="11" t="s">
        <v>829</v>
      </c>
      <c r="G453" s="11" t="s">
        <v>59</v>
      </c>
      <c r="H453" s="11" t="s">
        <v>60</v>
      </c>
      <c r="I453" s="86" t="s">
        <v>836</v>
      </c>
      <c r="J453" s="86" t="s">
        <v>82</v>
      </c>
      <c r="K453" s="11">
        <v>46085.541666666664</v>
      </c>
      <c r="L453" s="12">
        <v>46086.077777777777</v>
      </c>
      <c r="M453" s="12">
        <v>46086.083333333336</v>
      </c>
      <c r="N453" s="12">
        <v>46086.104166666664</v>
      </c>
      <c r="O453" s="12" t="s">
        <v>63</v>
      </c>
      <c r="P453" s="85" t="s">
        <v>64</v>
      </c>
      <c r="Q453" s="3">
        <v>0</v>
      </c>
      <c r="R453" s="1">
        <f t="shared" si="161"/>
        <v>10</v>
      </c>
      <c r="S453" s="1">
        <f t="shared" si="162"/>
        <v>3</v>
      </c>
      <c r="T453" s="126">
        <f t="shared" si="163"/>
        <v>46086.077777777777</v>
      </c>
      <c r="U453" s="127">
        <f t="shared" si="164"/>
        <v>1.304166666661331</v>
      </c>
      <c r="V453" s="128">
        <f>Table2[[#This Row],[ATA A OFRECIMIENTO]]*24</f>
        <v>31.299999999871943</v>
      </c>
      <c r="W453" s="1" t="str">
        <f t="shared" si="165"/>
        <v>YES</v>
      </c>
      <c r="X453" s="127">
        <f t="shared" si="166"/>
        <v>0.54166666667151731</v>
      </c>
      <c r="Y453" s="128">
        <f>Table2[[#This Row],[DEL. AVAILABLE A SLOT]]*24</f>
        <v>13.000000000116415</v>
      </c>
      <c r="Z453" s="1" t="str">
        <f t="shared" si="167"/>
        <v>SI</v>
      </c>
      <c r="AA453" s="127">
        <f t="shared" si="168"/>
        <v>1.8458333333328483</v>
      </c>
      <c r="AB453" s="128">
        <f>Table2[[#This Row],[ATA A TIMESLOT]]*24</f>
        <v>44.299999999988358</v>
      </c>
      <c r="AC453" s="127">
        <f t="shared" si="169"/>
        <v>0</v>
      </c>
      <c r="AD453" s="127" t="str">
        <f t="shared" si="170"/>
        <v>SI</v>
      </c>
      <c r="AE453" s="128">
        <f>Table2[[#This Row],[PUNTUALIDAD (H)]]*24</f>
        <v>0</v>
      </c>
      <c r="AF453" s="127">
        <f t="shared" si="171"/>
        <v>1.866666666661331</v>
      </c>
      <c r="AG453" s="128">
        <f>Table2[[#This Row],[ATA TO UNLOADING]]*24</f>
        <v>44.799999999871943</v>
      </c>
      <c r="AH453" s="128" t="str">
        <f>IF(Table2[[#This Row],[ATA TO UNLOADING 2]]&lt;=48,"YES","NO")</f>
        <v>YES</v>
      </c>
      <c r="AJ453" s="129">
        <f t="shared" si="172"/>
        <v>8.3333333335758653E-2</v>
      </c>
      <c r="AK453" s="2" t="s">
        <v>36</v>
      </c>
      <c r="AL453" s="2" t="str">
        <f t="shared" si="173"/>
        <v>10/26</v>
      </c>
      <c r="AM453" s="2" t="str">
        <f t="shared" si="174"/>
        <v>CAIU5858946</v>
      </c>
      <c r="AN453" s="130" t="str">
        <f t="shared" si="175"/>
        <v>MSI</v>
      </c>
      <c r="AO453" s="151">
        <f>IF($O453="TRUCK",
VLOOKUP($AU453,Invoicing!$A$16:$B$56,MATCH($AO$1,Invoicing!$A$16:$B$16,0),FALSE)+IF(OR($B453="DCD",$B453="HPD2"),23.5,0),
VLOOKUP($AU453,Invoicing!$N$15:$O$19,MATCH($AO$1,Invoicing!$N$15:$O$15,0),FALSE)+IF(OR($B453="DCD",$B453="HPD2"),23.5,0))</f>
        <v>530</v>
      </c>
      <c r="AP453" s="131" t="e">
        <f>VLOOKUP($E453,Invoicing!$A$1:$H$12,MATCH(TRACKER!$P453,Invoicing!$A$1:$H$1,0),FALSE)</f>
        <v>#N/A</v>
      </c>
      <c r="AQ453" s="131">
        <f>VLOOKUP($E453,Invoicing!$A$1:$H$12,MATCH(TRACKER!$Q$1,Invoicing!$A$1:$H$1,0),FALSE)</f>
        <v>50</v>
      </c>
      <c r="AR453" s="131">
        <f t="shared" si="176"/>
        <v>0</v>
      </c>
      <c r="AS453" s="2">
        <f t="shared" si="177"/>
        <v>4</v>
      </c>
      <c r="AT453" s="2" t="str">
        <f t="shared" si="180"/>
        <v>NIGHT</v>
      </c>
      <c r="AU453" s="2" t="str">
        <f t="shared" si="178"/>
        <v>MSINIGHT</v>
      </c>
      <c r="AV453" s="94">
        <f>(IF(ISNA(AP453),AO453+AR453,SUM($AO453,$AR453,IFERROR($AP453,"0"))))+Table2[[#This Row],[WAITING TIMES]]</f>
        <v>530</v>
      </c>
      <c r="AW453" s="48">
        <f>VLOOKUP(AN453,Invoicing!A:K,11,FALSE)</f>
        <v>20</v>
      </c>
      <c r="AY453" s="48"/>
      <c r="AZ453" s="48">
        <f t="shared" si="179"/>
        <v>550</v>
      </c>
      <c r="BA453" s="132">
        <f>VLOOKUP(AN453,Invoicing!A:J,10,FALSE)</f>
        <v>70</v>
      </c>
      <c r="BB453" s="132">
        <f>VLOOKUP(AN453,Invoicing!A:L,12,FALSE)</f>
        <v>1</v>
      </c>
      <c r="BC453" s="2"/>
    </row>
    <row r="454" spans="1:55">
      <c r="A454" s="38" t="s">
        <v>823</v>
      </c>
      <c r="B454" s="3" t="s">
        <v>56</v>
      </c>
      <c r="C454" s="11">
        <v>46084.237500000003</v>
      </c>
      <c r="D454" s="11">
        <v>46084.041666666664</v>
      </c>
      <c r="E454" s="11" t="s">
        <v>98</v>
      </c>
      <c r="F454" s="11" t="s">
        <v>829</v>
      </c>
      <c r="G454" s="11" t="s">
        <v>59</v>
      </c>
      <c r="H454" s="11" t="s">
        <v>60</v>
      </c>
      <c r="I454" s="86" t="s">
        <v>837</v>
      </c>
      <c r="J454" s="86" t="s">
        <v>100</v>
      </c>
      <c r="K454" s="11">
        <v>46085.541666666664</v>
      </c>
      <c r="L454" s="12">
        <v>46086.253472222219</v>
      </c>
      <c r="M454" s="12">
        <v>46086.25</v>
      </c>
      <c r="N454" s="12">
        <v>46086.263888888891</v>
      </c>
      <c r="O454" s="12" t="s">
        <v>63</v>
      </c>
      <c r="P454" s="85" t="s">
        <v>64</v>
      </c>
      <c r="Q454" s="3">
        <v>2</v>
      </c>
      <c r="R454" s="1">
        <f t="shared" si="161"/>
        <v>10</v>
      </c>
      <c r="S454" s="1">
        <f t="shared" si="162"/>
        <v>3</v>
      </c>
      <c r="T454" s="126">
        <f t="shared" si="163"/>
        <v>46086.253472222219</v>
      </c>
      <c r="U454" s="127">
        <f t="shared" si="164"/>
        <v>1.304166666661331</v>
      </c>
      <c r="V454" s="128">
        <f>Table2[[#This Row],[ATA A OFRECIMIENTO]]*24</f>
        <v>31.299999999871943</v>
      </c>
      <c r="W454" s="1" t="str">
        <f t="shared" si="165"/>
        <v>YES</v>
      </c>
      <c r="X454" s="127">
        <f t="shared" si="166"/>
        <v>0.70833333333575865</v>
      </c>
      <c r="Y454" s="128">
        <f>Table2[[#This Row],[DEL. AVAILABLE A SLOT]]*24</f>
        <v>17.000000000058208</v>
      </c>
      <c r="Z454" s="1" t="str">
        <f t="shared" si="167"/>
        <v>SI</v>
      </c>
      <c r="AA454" s="127">
        <f t="shared" si="168"/>
        <v>2.0124999999970896</v>
      </c>
      <c r="AB454" s="128">
        <f>Table2[[#This Row],[ATA A TIMESLOT]]*24</f>
        <v>48.299999999930151</v>
      </c>
      <c r="AC454" s="127">
        <f t="shared" si="169"/>
        <v>3.4722222189884633E-3</v>
      </c>
      <c r="AD454" s="127" t="str">
        <f t="shared" si="170"/>
        <v>SI</v>
      </c>
      <c r="AE454" s="128">
        <f>Table2[[#This Row],[PUNTUALIDAD (H)]]*24</f>
        <v>8.3333333255723119E-2</v>
      </c>
      <c r="AF454" s="127">
        <f t="shared" si="171"/>
        <v>2.0263888888875954</v>
      </c>
      <c r="AG454" s="128">
        <f>Table2[[#This Row],[ATA TO UNLOADING]]*24</f>
        <v>48.633333333302289</v>
      </c>
      <c r="AH454" s="128" t="str">
        <f>IF(Table2[[#This Row],[ATA TO UNLOADING 2]]&lt;=48,"YES","NO")</f>
        <v>NO</v>
      </c>
      <c r="AJ454" s="129">
        <f t="shared" si="172"/>
        <v>0.25</v>
      </c>
      <c r="AK454" s="2" t="s">
        <v>64</v>
      </c>
      <c r="AL454" s="2" t="str">
        <f t="shared" si="173"/>
        <v>10/26</v>
      </c>
      <c r="AM454" s="2" t="str">
        <f t="shared" si="174"/>
        <v>MRKU0291764</v>
      </c>
      <c r="AN454" s="130" t="str">
        <f t="shared" si="175"/>
        <v>MSI</v>
      </c>
      <c r="AO454" s="151">
        <f>IF($O454="TRUCK",
VLOOKUP($AU454,Invoicing!$A$16:$B$56,MATCH($AO$1,Invoicing!$A$16:$B$16,0),FALSE)+IF(OR($B454="DCD",$B454="HPD2"),23.5,0),
VLOOKUP($AU454,Invoicing!$N$15:$O$19,MATCH($AO$1,Invoicing!$N$15:$O$15,0),FALSE)+IF(OR($B454="DCD",$B454="HPD2"),23.5,0))</f>
        <v>480</v>
      </c>
      <c r="AP454" s="131" t="e">
        <f>VLOOKUP($E454,Invoicing!$A$1:$H$12,MATCH(TRACKER!$P454,Invoicing!$A$1:$H$1,0),FALSE)</f>
        <v>#N/A</v>
      </c>
      <c r="AQ454" s="131">
        <f>VLOOKUP($E454,Invoicing!$A$1:$H$12,MATCH(TRACKER!$Q$1,Invoicing!$A$1:$H$1,0),FALSE)</f>
        <v>50</v>
      </c>
      <c r="AR454" s="131">
        <f t="shared" si="176"/>
        <v>100</v>
      </c>
      <c r="AS454" s="2">
        <f t="shared" si="177"/>
        <v>4</v>
      </c>
      <c r="AT454" s="2" t="str">
        <f t="shared" si="180"/>
        <v>WEEK</v>
      </c>
      <c r="AU454" s="2" t="str">
        <f t="shared" si="178"/>
        <v>MSIWEEK</v>
      </c>
      <c r="AV454" s="94">
        <f>(IF(ISNA(AP454),AO454+AR454,SUM($AO454,$AR454,IFERROR($AP454,"0"))))+Table2[[#This Row],[WAITING TIMES]]</f>
        <v>580</v>
      </c>
      <c r="AW454" s="48">
        <f>VLOOKUP(AN454,Invoicing!A:K,11,FALSE)</f>
        <v>20</v>
      </c>
      <c r="AY454" s="48"/>
      <c r="AZ454" s="48">
        <f t="shared" si="179"/>
        <v>600</v>
      </c>
      <c r="BA454" s="132">
        <f>VLOOKUP(AN454,Invoicing!A:J,10,FALSE)</f>
        <v>70</v>
      </c>
      <c r="BB454" s="132">
        <f>VLOOKUP(AN454,Invoicing!A:L,12,FALSE)</f>
        <v>1</v>
      </c>
      <c r="BC454" s="2"/>
    </row>
    <row r="455" spans="1:55">
      <c r="A455" s="87" t="s">
        <v>823</v>
      </c>
      <c r="B455" s="91" t="s">
        <v>56</v>
      </c>
      <c r="C455" s="89">
        <v>46084.237500000003</v>
      </c>
      <c r="D455" s="89">
        <v>46084.041666666664</v>
      </c>
      <c r="E455" s="89" t="s">
        <v>71</v>
      </c>
      <c r="F455" s="89" t="s">
        <v>824</v>
      </c>
      <c r="G455" s="89" t="s">
        <v>59</v>
      </c>
      <c r="H455" s="89" t="s">
        <v>68</v>
      </c>
      <c r="I455" s="88" t="s">
        <v>838</v>
      </c>
      <c r="J455" s="88" t="s">
        <v>100</v>
      </c>
      <c r="K455" s="89">
        <v>46085.541666666664</v>
      </c>
      <c r="L455" s="90">
        <v>46086.574305555558</v>
      </c>
      <c r="M455" s="90">
        <v>46086.583333333336</v>
      </c>
      <c r="N455" s="90">
        <v>46086.586805555555</v>
      </c>
      <c r="O455" s="90" t="s">
        <v>63</v>
      </c>
      <c r="P455" s="93" t="s">
        <v>64</v>
      </c>
      <c r="Q455" s="91">
        <v>3</v>
      </c>
      <c r="R455" s="1">
        <f t="shared" si="161"/>
        <v>10</v>
      </c>
      <c r="S455" s="1">
        <f t="shared" si="162"/>
        <v>3</v>
      </c>
      <c r="T455" s="126">
        <f t="shared" si="163"/>
        <v>46086.574305555558</v>
      </c>
      <c r="U455" s="127">
        <f t="shared" si="164"/>
        <v>1.304166666661331</v>
      </c>
      <c r="V455" s="128">
        <f>Table2[[#This Row],[ATA A OFRECIMIENTO]]*24</f>
        <v>31.299999999871943</v>
      </c>
      <c r="W455" s="1" t="str">
        <f t="shared" si="165"/>
        <v>YES</v>
      </c>
      <c r="X455" s="127">
        <f t="shared" si="166"/>
        <v>1.0416666666715173</v>
      </c>
      <c r="Y455" s="128">
        <f>Table2[[#This Row],[DEL. AVAILABLE A SLOT]]*24</f>
        <v>25.000000000116415</v>
      </c>
      <c r="Z455" s="1" t="str">
        <f t="shared" si="167"/>
        <v>NO</v>
      </c>
      <c r="AA455" s="127">
        <f t="shared" si="168"/>
        <v>2.3458333333328483</v>
      </c>
      <c r="AB455" s="128">
        <f>Table2[[#This Row],[ATA A TIMESLOT]]*24</f>
        <v>56.299999999988358</v>
      </c>
      <c r="AC455" s="127">
        <f t="shared" si="169"/>
        <v>0</v>
      </c>
      <c r="AD455" s="127" t="str">
        <f t="shared" si="170"/>
        <v>SI</v>
      </c>
      <c r="AE455" s="128">
        <f>Table2[[#This Row],[PUNTUALIDAD (H)]]*24</f>
        <v>0</v>
      </c>
      <c r="AF455" s="127">
        <f t="shared" si="171"/>
        <v>2.3493055555518367</v>
      </c>
      <c r="AG455" s="128">
        <f>Table2[[#This Row],[ATA TO UNLOADING]]*24</f>
        <v>56.383333333244082</v>
      </c>
      <c r="AH455" s="128" t="str">
        <f>IF(Table2[[#This Row],[ATA TO UNLOADING 2]]&lt;=48,"YES","NO")</f>
        <v>NO</v>
      </c>
      <c r="AJ455" s="129">
        <f t="shared" si="172"/>
        <v>0.58333333333575865</v>
      </c>
      <c r="AK455" s="2" t="s">
        <v>64</v>
      </c>
      <c r="AL455" s="2" t="str">
        <f t="shared" si="173"/>
        <v>10/26</v>
      </c>
      <c r="AM455" s="2" t="str">
        <f t="shared" si="174"/>
        <v>MAEU9244670</v>
      </c>
      <c r="AN455" s="130" t="str">
        <f t="shared" si="175"/>
        <v>LOGIX</v>
      </c>
      <c r="AO455" s="151">
        <f>IF($O455="TRUCK",
VLOOKUP($AU455,Invoicing!$A$16:$B$56,MATCH($AO$1,Invoicing!$A$16:$B$16,0),FALSE)+IF(OR($B455="DCD",$B455="HPD2"),23.5,0),
VLOOKUP($AU455,Invoicing!$N$15:$O$19,MATCH($AO$1,Invoicing!$N$15:$O$15,0),FALSE)+IF(OR($B455="DCD",$B455="HPD2"),23.5,0))</f>
        <v>550</v>
      </c>
      <c r="AP455" s="131" t="e">
        <f>VLOOKUP($E455,Invoicing!$A$1:$H$12,MATCH(TRACKER!$P455,Invoicing!$A$1:$H$1,0),FALSE)</f>
        <v>#N/A</v>
      </c>
      <c r="AQ455" s="131">
        <f>VLOOKUP($E455,Invoicing!$A$1:$H$12,MATCH(TRACKER!$Q$1,Invoicing!$A$1:$H$1,0),FALSE)</f>
        <v>50</v>
      </c>
      <c r="AR455" s="131">
        <f t="shared" si="176"/>
        <v>150</v>
      </c>
      <c r="AS455" s="2">
        <f t="shared" si="177"/>
        <v>4</v>
      </c>
      <c r="AT455" s="2" t="str">
        <f t="shared" si="180"/>
        <v>WEEK</v>
      </c>
      <c r="AU455" s="2" t="str">
        <f t="shared" si="178"/>
        <v>LOGIXWEEK</v>
      </c>
      <c r="AV455" s="94">
        <f>(IF(ISNA(AP455),AO455+AR455,SUM($AO455,$AR455,IFERROR($AP455,"0"))))+Table2[[#This Row],[WAITING TIMES]]</f>
        <v>700</v>
      </c>
      <c r="AW455" s="48">
        <f>VLOOKUP(AN455,Invoicing!A:K,11,FALSE)</f>
        <v>20</v>
      </c>
      <c r="AY455" s="48"/>
      <c r="AZ455" s="48">
        <f t="shared" si="179"/>
        <v>720</v>
      </c>
      <c r="BA455" s="132">
        <f>VLOOKUP(AN455,Invoicing!A:J,10,FALSE)</f>
        <v>70</v>
      </c>
      <c r="BB455" s="132">
        <f>VLOOKUP(AN455,Invoicing!A:L,12,FALSE)</f>
        <v>1</v>
      </c>
      <c r="BC455" s="2"/>
    </row>
  </sheetData>
  <phoneticPr fontId="7" type="noConversion"/>
  <conditionalFormatting sqref="I29:I99 I1 I148:I237 I321:I336 I456:I1048576">
    <cfRule type="duplicateValues" dxfId="183" priority="108"/>
  </conditionalFormatting>
  <conditionalFormatting sqref="I1:I1048576">
    <cfRule type="duplicateValues" dxfId="182" priority="18"/>
  </conditionalFormatting>
  <conditionalFormatting sqref="AC2:AC1048576">
    <cfRule type="cellIs" dxfId="181" priority="13" operator="greaterThan">
      <formula>0.0520833333333333</formula>
    </cfRule>
  </conditionalFormatting>
  <conditionalFormatting sqref="AF1:AF1048576">
    <cfRule type="cellIs" dxfId="180" priority="11" operator="between">
      <formula>0.000694444444444444</formula>
      <formula>2</formula>
    </cfRule>
  </conditionalFormatting>
  <conditionalFormatting sqref="AF2:AF1048576">
    <cfRule type="cellIs" dxfId="179" priority="12" operator="greaterThan">
      <formula>3</formula>
    </cfRule>
  </conditionalFormatting>
  <conditionalFormatting sqref="I2:I455">
    <cfRule type="duplicateValues" dxfId="178" priority="315"/>
  </conditionalFormatting>
  <pageMargins left="0.75" right="0.75" top="1" bottom="1" header="0.5" footer="0.5"/>
  <pageSetup orientation="portrait" horizontalDpi="300" verticalDpi="300" r:id="rId1"/>
  <headerFooter alignWithMargins="0">
    <oddFooter>&amp;L&amp;1#&amp;"Calibri"&amp;10&amp;K000000Classification: Internal</oddFooter>
  </headerFooter>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E90D-6B9F-4470-8273-0C7BF003D4F4}">
  <sheetPr codeName="Sheet3">
    <tabColor rgb="FF92D050"/>
  </sheetPr>
  <dimension ref="A1:AM80"/>
  <sheetViews>
    <sheetView zoomScale="70" zoomScaleNormal="70" workbookViewId="0">
      <selection activeCell="L54" sqref="L54"/>
    </sheetView>
  </sheetViews>
  <sheetFormatPr defaultColWidth="9.140625" defaultRowHeight="14.25"/>
  <cols>
    <col min="1" max="16384" width="9.140625" style="41"/>
  </cols>
  <sheetData>
    <row r="1" spans="1:39">
      <c r="A1" s="40"/>
      <c r="B1" s="40"/>
      <c r="C1" s="40"/>
      <c r="D1" s="40"/>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row>
    <row r="2" spans="1:39">
      <c r="A2" s="40"/>
      <c r="B2" s="40"/>
      <c r="C2" s="40"/>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row>
    <row r="3" spans="1:39">
      <c r="A3" s="40"/>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row>
    <row r="4" spans="1:39">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row>
    <row r="5" spans="1:39">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row>
    <row r="6" spans="1:39">
      <c r="A6" s="40"/>
      <c r="B6" s="40"/>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row>
    <row r="7" spans="1:39">
      <c r="A7" s="40"/>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row>
    <row r="8" spans="1:39">
      <c r="A8" s="40"/>
      <c r="B8" s="40"/>
      <c r="C8" s="40"/>
      <c r="D8" s="40"/>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row>
    <row r="9" spans="1:39">
      <c r="A9" s="40"/>
      <c r="B9" s="40"/>
      <c r="C9" s="40"/>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row>
    <row r="10" spans="1:39">
      <c r="A10" s="40"/>
      <c r="B10" s="40"/>
      <c r="C10" s="40"/>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row>
    <row r="11" spans="1:39">
      <c r="A11" s="40"/>
      <c r="B11" s="40"/>
      <c r="C11" s="40"/>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row>
    <row r="12" spans="1:39">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row>
    <row r="13" spans="1:39">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row>
    <row r="14" spans="1:39">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row>
    <row r="15" spans="1:39">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row>
    <row r="16" spans="1:39">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row>
    <row r="17" spans="1:39">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row>
    <row r="18" spans="1:39">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row>
    <row r="19" spans="1:39">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row>
    <row r="20" spans="1:39">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row>
    <row r="21" spans="1:39">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row>
    <row r="22" spans="1:39">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row>
    <row r="23" spans="1:39">
      <c r="A23" s="40"/>
      <c r="B23" s="40"/>
      <c r="C23" s="40"/>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row>
    <row r="24" spans="1:39">
      <c r="A24" s="40"/>
      <c r="B24" s="40"/>
      <c r="C24" s="40"/>
      <c r="D24" s="42"/>
      <c r="E24" s="44"/>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row>
    <row r="25" spans="1:39">
      <c r="A25" s="40"/>
      <c r="B25" s="40"/>
      <c r="C25" s="40"/>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row>
    <row r="26" spans="1:39">
      <c r="A26" s="40"/>
      <c r="B26" s="40"/>
      <c r="C26" s="40"/>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row>
    <row r="27" spans="1:39">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row>
    <row r="28" spans="1:39">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row>
    <row r="29" spans="1:39">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row>
    <row r="30" spans="1:39">
      <c r="A30" s="40"/>
      <c r="B30" s="40"/>
      <c r="C30" s="40"/>
      <c r="D30" s="40"/>
      <c r="E30" s="40"/>
      <c r="F30" s="40"/>
      <c r="G30" s="40"/>
      <c r="H30" s="40" t="s">
        <v>839</v>
      </c>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row>
    <row r="31" spans="1:39">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row>
    <row r="32" spans="1:39">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row>
    <row r="33" spans="1:39">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row>
    <row r="34" spans="1:39">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row>
    <row r="35" spans="1:39">
      <c r="A35" s="40"/>
      <c r="B35" s="40"/>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row>
    <row r="36" spans="1:39">
      <c r="A36" s="40"/>
      <c r="B36" s="40"/>
      <c r="C36" s="40"/>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row>
    <row r="37" spans="1:39">
      <c r="A37" s="40"/>
      <c r="B37" s="40"/>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row>
    <row r="38" spans="1:39">
      <c r="A38" s="40"/>
      <c r="B38" s="40"/>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row>
    <row r="39" spans="1:39">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row>
    <row r="40" spans="1:39">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row>
    <row r="41" spans="1:39">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row>
    <row r="42" spans="1:39">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row>
    <row r="43" spans="1:39">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row>
    <row r="44" spans="1:39">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row>
    <row r="45" spans="1:39">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row>
    <row r="46" spans="1:39">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row>
    <row r="47" spans="1:39">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row>
    <row r="48" spans="1:39">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row>
    <row r="49" spans="1:39">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row>
    <row r="50" spans="1:39">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row>
    <row r="51" spans="1:39">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row>
    <row r="52" spans="1:39">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row>
    <row r="53" spans="1:39">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row>
    <row r="54" spans="1:39">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row>
    <row r="55" spans="1:39">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row>
    <row r="56" spans="1:39">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row>
    <row r="57" spans="1:39">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row>
    <row r="58" spans="1:39">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row>
    <row r="59" spans="1:39">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row>
    <row r="60" spans="1:39">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row>
    <row r="61" spans="1:39">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row>
    <row r="62" spans="1:39">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row>
    <row r="63" spans="1:39">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row>
    <row r="64" spans="1:39">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row>
    <row r="65" spans="1:39">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row>
    <row r="66" spans="1:39">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row>
    <row r="67" spans="1:39">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row>
    <row r="68" spans="1:39">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row>
    <row r="69" spans="1:39">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row>
    <row r="70" spans="1:39">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row>
    <row r="71" spans="1:39">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row>
    <row r="72" spans="1:39">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row>
    <row r="73" spans="1:39">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row>
    <row r="74" spans="1:39">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row>
    <row r="75" spans="1:39">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row>
    <row r="76" spans="1:39">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row>
    <row r="77" spans="1:39">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row>
    <row r="78" spans="1:39">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row>
    <row r="79" spans="1:39">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row>
    <row r="80" spans="1:39">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8F4A1-009F-4A52-AB62-7AE4D441C400}">
  <sheetPr codeName="Sheet2">
    <tabColor rgb="FF00B0F0"/>
  </sheetPr>
  <dimension ref="A1:BB85"/>
  <sheetViews>
    <sheetView topLeftCell="AN53" zoomScale="80" zoomScaleNormal="80" workbookViewId="0">
      <selection activeCell="AX71" sqref="AX71"/>
    </sheetView>
  </sheetViews>
  <sheetFormatPr defaultColWidth="9.140625" defaultRowHeight="12.75"/>
  <cols>
    <col min="1" max="1" width="13.42578125" bestFit="1" customWidth="1"/>
    <col min="2" max="2" width="18.28515625" bestFit="1" customWidth="1"/>
    <col min="3" max="3" width="7.42578125" bestFit="1" customWidth="1"/>
    <col min="4" max="4" width="11.85546875" bestFit="1" customWidth="1"/>
    <col min="5" max="5" width="10.140625" bestFit="1" customWidth="1"/>
    <col min="6" max="6" width="7" bestFit="1" customWidth="1"/>
    <col min="7" max="7" width="6.7109375" customWidth="1"/>
    <col min="8" max="8" width="13.42578125" bestFit="1" customWidth="1"/>
    <col min="9" max="9" width="30.5703125" bestFit="1" customWidth="1"/>
    <col min="10" max="10" width="11" bestFit="1" customWidth="1"/>
    <col min="11" max="11" width="7.5703125" customWidth="1"/>
    <col min="12" max="12" width="8.140625" customWidth="1"/>
    <col min="13" max="13" width="13.42578125" bestFit="1" customWidth="1"/>
    <col min="14" max="14" width="32.5703125" bestFit="1" customWidth="1"/>
    <col min="15" max="15" width="13.85546875" bestFit="1" customWidth="1"/>
    <col min="16" max="17" width="8.42578125" customWidth="1"/>
    <col min="18" max="18" width="13.42578125" bestFit="1" customWidth="1"/>
    <col min="19" max="19" width="28.7109375" bestFit="1" customWidth="1"/>
    <col min="20" max="20" width="10.28515625" customWidth="1"/>
    <col min="21" max="21" width="7.7109375" customWidth="1"/>
    <col min="22" max="22" width="7.28515625" customWidth="1"/>
    <col min="23" max="23" width="15.140625" bestFit="1" customWidth="1"/>
    <col min="24" max="24" width="20.42578125" bestFit="1" customWidth="1"/>
    <col min="25" max="25" width="5.5703125" bestFit="1" customWidth="1"/>
    <col min="26" max="26" width="7.140625" customWidth="1"/>
    <col min="27" max="27" width="13.42578125" bestFit="1" customWidth="1"/>
    <col min="28" max="28" width="15.85546875" bestFit="1" customWidth="1"/>
    <col min="29" max="29" width="9.5703125" bestFit="1" customWidth="1"/>
    <col min="30" max="30" width="7.42578125" bestFit="1" customWidth="1"/>
    <col min="31" max="31" width="10.140625" bestFit="1" customWidth="1"/>
    <col min="32" max="32" width="7.42578125" bestFit="1" customWidth="1"/>
    <col min="33" max="33" width="10.140625" bestFit="1" customWidth="1"/>
    <col min="34" max="34" width="7.42578125" bestFit="1" customWidth="1"/>
    <col min="35" max="35" width="10.140625" bestFit="1" customWidth="1"/>
    <col min="36" max="36" width="7.42578125" bestFit="1" customWidth="1"/>
    <col min="37" max="37" width="10.140625" bestFit="1" customWidth="1"/>
    <col min="38" max="38" width="7.42578125" bestFit="1" customWidth="1"/>
    <col min="39" max="39" width="10.140625" bestFit="1" customWidth="1"/>
    <col min="40" max="40" width="10.7109375" bestFit="1" customWidth="1"/>
    <col min="41" max="41" width="11.7109375" bestFit="1" customWidth="1"/>
    <col min="42" max="42" width="17.42578125" bestFit="1" customWidth="1"/>
    <col min="43" max="43" width="12.42578125" bestFit="1" customWidth="1"/>
    <col min="47" max="47" width="17.28515625" bestFit="1" customWidth="1"/>
    <col min="48" max="48" width="15.140625" bestFit="1" customWidth="1"/>
    <col min="49" max="49" width="17.28515625" bestFit="1" customWidth="1"/>
    <col min="50" max="50" width="15.140625" bestFit="1" customWidth="1"/>
    <col min="51" max="51" width="22.7109375" bestFit="1" customWidth="1"/>
    <col min="52" max="52" width="20.140625" bestFit="1" customWidth="1"/>
    <col min="53" max="53" width="16.5703125" bestFit="1" customWidth="1"/>
    <col min="54" max="54" width="20.42578125" bestFit="1" customWidth="1"/>
    <col min="55" max="55" width="26.5703125" bestFit="1" customWidth="1"/>
    <col min="56" max="56" width="25.140625" bestFit="1" customWidth="1"/>
    <col min="57" max="57" width="26.5703125" bestFit="1" customWidth="1"/>
    <col min="58" max="58" width="25.140625" bestFit="1" customWidth="1"/>
    <col min="59" max="59" width="33.28515625" bestFit="1" customWidth="1"/>
    <col min="60" max="60" width="32" bestFit="1" customWidth="1"/>
    <col min="61" max="61" width="33.28515625" bestFit="1" customWidth="1"/>
    <col min="62" max="62" width="32" bestFit="1" customWidth="1"/>
    <col min="63" max="73" width="13.28515625" bestFit="1" customWidth="1"/>
    <col min="74" max="76" width="12.42578125" bestFit="1" customWidth="1"/>
    <col min="77" max="78" width="13.28515625" bestFit="1" customWidth="1"/>
    <col min="79" max="85" width="12.42578125" bestFit="1" customWidth="1"/>
    <col min="86" max="86" width="12.28515625" bestFit="1" customWidth="1"/>
    <col min="87" max="97" width="12.85546875" bestFit="1" customWidth="1"/>
    <col min="98" max="102" width="13.5703125" bestFit="1" customWidth="1"/>
    <col min="103" max="115" width="13.42578125" bestFit="1" customWidth="1"/>
    <col min="116" max="137" width="13.28515625" bestFit="1" customWidth="1"/>
    <col min="138" max="160" width="13.42578125" bestFit="1" customWidth="1"/>
    <col min="161" max="161" width="13.7109375" bestFit="1" customWidth="1"/>
    <col min="162" max="168" width="12.5703125" bestFit="1" customWidth="1"/>
    <col min="169" max="608" width="13.5703125" bestFit="1" customWidth="1"/>
    <col min="609" max="609" width="13.42578125" bestFit="1" customWidth="1"/>
    <col min="610" max="611" width="13.5703125" bestFit="1" customWidth="1"/>
    <col min="612" max="612" width="13.42578125" bestFit="1" customWidth="1"/>
    <col min="613" max="614" width="13.140625" bestFit="1" customWidth="1"/>
    <col min="615" max="616" width="12.85546875" bestFit="1" customWidth="1"/>
    <col min="617" max="641" width="13.28515625" bestFit="1" customWidth="1"/>
    <col min="642" max="663" width="13.140625" bestFit="1" customWidth="1"/>
    <col min="664" max="673" width="12.85546875" bestFit="1" customWidth="1"/>
    <col min="674" max="696" width="13.140625" bestFit="1" customWidth="1"/>
    <col min="697" max="708" width="13.28515625" bestFit="1" customWidth="1"/>
    <col min="709" max="713" width="11.5703125" bestFit="1" customWidth="1"/>
    <col min="714" max="719" width="12.7109375" bestFit="1" customWidth="1"/>
    <col min="720" max="734" width="13.140625" bestFit="1" customWidth="1"/>
    <col min="735" max="741" width="12.85546875" bestFit="1" customWidth="1"/>
    <col min="742" max="742" width="13.7109375" bestFit="1" customWidth="1"/>
    <col min="743" max="743" width="11.7109375" bestFit="1" customWidth="1"/>
  </cols>
  <sheetData>
    <row r="1" spans="1:54" ht="15">
      <c r="A1" s="69" t="s">
        <v>840</v>
      </c>
      <c r="B1" s="67"/>
      <c r="C1" s="67"/>
      <c r="D1" s="67"/>
      <c r="E1" s="39"/>
      <c r="F1" s="49"/>
      <c r="G1" s="49"/>
      <c r="H1" s="69" t="s">
        <v>841</v>
      </c>
      <c r="I1" s="68"/>
      <c r="J1" s="74"/>
      <c r="K1" s="49"/>
      <c r="L1" s="49"/>
      <c r="M1" s="69" t="s">
        <v>842</v>
      </c>
      <c r="N1" s="68"/>
      <c r="O1" s="74"/>
      <c r="P1" s="7"/>
      <c r="Q1" s="49"/>
      <c r="R1" s="69" t="s">
        <v>843</v>
      </c>
      <c r="S1" s="39"/>
      <c r="T1" s="68"/>
      <c r="V1" s="7"/>
      <c r="W1" s="69" t="s">
        <v>844</v>
      </c>
      <c r="X1" s="68"/>
      <c r="Y1" s="49"/>
      <c r="AA1" s="69" t="s">
        <v>845</v>
      </c>
      <c r="AB1" s="68"/>
      <c r="AC1" s="68"/>
      <c r="AD1" s="68"/>
      <c r="AE1" s="68"/>
      <c r="AF1" s="68"/>
      <c r="AG1" s="68"/>
      <c r="AH1" s="68"/>
      <c r="AI1" s="68"/>
      <c r="AJ1" s="68"/>
      <c r="AK1" s="68"/>
      <c r="AL1" s="68"/>
      <c r="AM1" s="74"/>
      <c r="AN1" s="74"/>
      <c r="AU1" s="49"/>
      <c r="AV1" s="59" t="s">
        <v>846</v>
      </c>
      <c r="AW1" s="59" t="s">
        <v>18</v>
      </c>
      <c r="AX1" s="59" t="s">
        <v>847</v>
      </c>
      <c r="AY1" s="59" t="s">
        <v>848</v>
      </c>
      <c r="BA1" s="10" t="s">
        <v>849</v>
      </c>
      <c r="BB1" t="s">
        <v>850</v>
      </c>
    </row>
    <row r="2" spans="1:54">
      <c r="AJ2" s="35" t="s">
        <v>851</v>
      </c>
      <c r="AL2" s="46" t="str">
        <f>TEXT(GETPIVOTDATA("PUNTUALIDAD 3",$AA$3)/24, "[h]:mm")</f>
        <v>0:19</v>
      </c>
      <c r="AV2" s="60">
        <v>2021</v>
      </c>
      <c r="AW2">
        <v>1</v>
      </c>
      <c r="AX2">
        <v>0</v>
      </c>
      <c r="AY2" t="s">
        <v>852</v>
      </c>
      <c r="BA2" s="9" t="s">
        <v>660</v>
      </c>
      <c r="BB2" s="95">
        <v>9.9255583126550868E-3</v>
      </c>
    </row>
    <row r="3" spans="1:54" ht="12.75" customHeight="1">
      <c r="A3" s="70" t="s">
        <v>850</v>
      </c>
      <c r="B3" s="41"/>
      <c r="C3" s="41"/>
      <c r="E3" s="71">
        <f>GETPIVOTDATA("CONTAINER",$A$3)</f>
        <v>231</v>
      </c>
      <c r="F3" s="35"/>
      <c r="G3" s="35"/>
      <c r="H3" s="70" t="s">
        <v>849</v>
      </c>
      <c r="I3" s="41" t="s">
        <v>853</v>
      </c>
      <c r="J3" s="73" t="str">
        <f>TEXT(GETPIVOTDATA("ATA A OFRECIMIENTO 2",$H$3)/24, "[h]:mm")</f>
        <v>27:31</v>
      </c>
      <c r="L3" s="35"/>
      <c r="M3" s="70" t="s">
        <v>849</v>
      </c>
      <c r="N3" s="41" t="s">
        <v>854</v>
      </c>
      <c r="O3" s="73" t="str">
        <f>TEXT(GETPIVOTDATA("DEL. AVAILABLE A SLOT 2",$M$3)/24, "[h]:mm")</f>
        <v>12:30</v>
      </c>
      <c r="R3" s="70" t="s">
        <v>849</v>
      </c>
      <c r="S3" s="41" t="s">
        <v>855</v>
      </c>
      <c r="T3" s="73" t="str">
        <f>TEXT(GETPIVOTDATA("ATA TO UNLOADING 2",$R$3)/24, "[h]:mm")</f>
        <v>39:56</v>
      </c>
      <c r="W3" s="70" t="s">
        <v>849</v>
      </c>
      <c r="X3" s="41" t="s">
        <v>850</v>
      </c>
      <c r="AA3" s="10" t="s">
        <v>856</v>
      </c>
      <c r="AB3" s="10" t="s">
        <v>857</v>
      </c>
      <c r="AV3" s="60">
        <v>2021</v>
      </c>
      <c r="AW3">
        <v>2</v>
      </c>
      <c r="AX3">
        <v>0</v>
      </c>
      <c r="AY3" t="s">
        <v>852</v>
      </c>
      <c r="BA3" s="9" t="s">
        <v>78</v>
      </c>
      <c r="BB3" s="95">
        <v>2.4813895781637717E-3</v>
      </c>
    </row>
    <row r="4" spans="1:54" ht="12.75" customHeight="1">
      <c r="A4" s="41"/>
      <c r="B4" s="41" t="s">
        <v>63</v>
      </c>
      <c r="C4" s="41" t="s">
        <v>858</v>
      </c>
      <c r="E4" s="41"/>
      <c r="H4" s="72">
        <v>5</v>
      </c>
      <c r="I4" s="75">
        <v>28.733333333395422</v>
      </c>
      <c r="L4" s="45"/>
      <c r="M4" s="72">
        <v>5</v>
      </c>
      <c r="N4" s="75">
        <v>15.3</v>
      </c>
      <c r="O4" s="41"/>
      <c r="R4" s="72">
        <v>5</v>
      </c>
      <c r="S4" s="75">
        <v>44.42333333339193</v>
      </c>
      <c r="T4" s="41"/>
      <c r="W4" s="72" t="s">
        <v>859</v>
      </c>
      <c r="X4" s="79">
        <v>0.10822510822510822</v>
      </c>
      <c r="Y4" s="13"/>
      <c r="AA4" s="10" t="s">
        <v>849</v>
      </c>
      <c r="AB4" t="s">
        <v>71</v>
      </c>
      <c r="AC4" t="s">
        <v>98</v>
      </c>
      <c r="AD4" t="s">
        <v>83</v>
      </c>
      <c r="AE4" t="s">
        <v>660</v>
      </c>
      <c r="AF4" t="s">
        <v>57</v>
      </c>
      <c r="AG4" t="s">
        <v>73</v>
      </c>
      <c r="AH4" t="s">
        <v>858</v>
      </c>
      <c r="AV4" s="60">
        <v>2021</v>
      </c>
      <c r="AW4">
        <v>3</v>
      </c>
      <c r="AX4">
        <v>0</v>
      </c>
      <c r="AY4" t="s">
        <v>852</v>
      </c>
      <c r="BA4" s="9" t="s">
        <v>57</v>
      </c>
      <c r="BB4" s="95">
        <v>7.4441687344913146E-2</v>
      </c>
    </row>
    <row r="5" spans="1:54" ht="14.25">
      <c r="A5" s="72" t="s">
        <v>860</v>
      </c>
      <c r="B5" s="41">
        <v>231</v>
      </c>
      <c r="C5" s="41">
        <v>231</v>
      </c>
      <c r="E5" s="41"/>
      <c r="H5" s="72">
        <v>6</v>
      </c>
      <c r="I5" s="75">
        <v>34.051923076970311</v>
      </c>
      <c r="M5" s="72">
        <v>6</v>
      </c>
      <c r="N5" s="75">
        <v>12.163461538430196</v>
      </c>
      <c r="O5" s="41"/>
      <c r="R5" s="72">
        <v>6</v>
      </c>
      <c r="S5" s="75">
        <v>46.613461538465344</v>
      </c>
      <c r="T5" s="41"/>
      <c r="W5" s="72" t="s">
        <v>191</v>
      </c>
      <c r="X5" s="79">
        <v>0.18181818181818182</v>
      </c>
      <c r="AA5" s="9">
        <v>2</v>
      </c>
      <c r="AB5" s="13">
        <v>0.47988505747594773</v>
      </c>
      <c r="AC5" s="13">
        <v>0.26690821256235486</v>
      </c>
      <c r="AD5" s="13">
        <v>8.602150538072531E-2</v>
      </c>
      <c r="AE5" s="13">
        <v>3.7499999991268851E-2</v>
      </c>
      <c r="AF5" s="13">
        <v>6.4285714283219678E-2</v>
      </c>
      <c r="AG5" s="13">
        <v>0.88124999999126885</v>
      </c>
      <c r="AH5" s="13">
        <v>0.3194083694100997</v>
      </c>
      <c r="AV5" s="60">
        <v>2021</v>
      </c>
      <c r="AW5">
        <v>4</v>
      </c>
      <c r="AX5">
        <v>0</v>
      </c>
      <c r="AY5" t="s">
        <v>852</v>
      </c>
      <c r="BA5" s="9" t="s">
        <v>71</v>
      </c>
      <c r="BB5" s="95">
        <v>0.24317617866004962</v>
      </c>
    </row>
    <row r="6" spans="1:54" ht="14.25">
      <c r="A6" s="72" t="s">
        <v>858</v>
      </c>
      <c r="B6" s="41">
        <v>231</v>
      </c>
      <c r="C6" s="41">
        <v>231</v>
      </c>
      <c r="E6" s="41"/>
      <c r="H6" s="72">
        <v>7</v>
      </c>
      <c r="I6" s="75">
        <v>27.073333333339541</v>
      </c>
      <c r="M6" s="72">
        <v>7</v>
      </c>
      <c r="N6" s="75">
        <v>15.649999999985448</v>
      </c>
      <c r="O6" s="41"/>
      <c r="R6" s="72">
        <v>7</v>
      </c>
      <c r="S6" s="75">
        <v>41.297222222192794</v>
      </c>
      <c r="T6" s="41"/>
      <c r="W6" s="72" t="s">
        <v>36</v>
      </c>
      <c r="X6" s="79">
        <v>0.14285714285714285</v>
      </c>
      <c r="AA6" s="9" t="s">
        <v>858</v>
      </c>
      <c r="AB6" s="13">
        <v>0.47988505747594773</v>
      </c>
      <c r="AC6" s="13">
        <v>0.26690821256235486</v>
      </c>
      <c r="AD6" s="13">
        <v>8.602150538072531E-2</v>
      </c>
      <c r="AE6" s="13">
        <v>3.7499999991268851E-2</v>
      </c>
      <c r="AF6" s="13">
        <v>6.4285714283219678E-2</v>
      </c>
      <c r="AG6" s="13">
        <v>0.88124999999126885</v>
      </c>
      <c r="AH6" s="13">
        <v>0.3194083694100997</v>
      </c>
      <c r="AV6" s="60">
        <v>2021</v>
      </c>
      <c r="AW6">
        <v>5</v>
      </c>
      <c r="AX6">
        <v>0</v>
      </c>
      <c r="AY6" t="s">
        <v>852</v>
      </c>
      <c r="BA6" s="9" t="s">
        <v>98</v>
      </c>
      <c r="BB6" s="95">
        <v>0.29032258064516131</v>
      </c>
    </row>
    <row r="7" spans="1:54" ht="14.25">
      <c r="E7" s="41"/>
      <c r="H7" s="72">
        <v>8</v>
      </c>
      <c r="I7" s="75">
        <v>31.799999999973807</v>
      </c>
      <c r="M7" s="72">
        <v>8</v>
      </c>
      <c r="N7" s="75">
        <v>7.8072916666969832</v>
      </c>
      <c r="O7" s="41"/>
      <c r="R7" s="72">
        <v>8</v>
      </c>
      <c r="S7" s="75">
        <v>39.810069444454712</v>
      </c>
      <c r="T7" s="41"/>
      <c r="W7" s="72" t="s">
        <v>17</v>
      </c>
      <c r="X7" s="79">
        <v>0.5670995670995671</v>
      </c>
      <c r="AV7" s="60">
        <v>2021</v>
      </c>
      <c r="AW7" s="60">
        <v>6</v>
      </c>
      <c r="AX7" s="60">
        <v>99</v>
      </c>
      <c r="AY7" t="s">
        <v>852</v>
      </c>
      <c r="BA7" s="9" t="s">
        <v>83</v>
      </c>
      <c r="BB7" s="95">
        <v>0.29032258064516131</v>
      </c>
    </row>
    <row r="8" spans="1:54" ht="14.25">
      <c r="E8" s="41"/>
      <c r="H8" s="72">
        <v>9</v>
      </c>
      <c r="I8" s="75">
        <v>16.872549019562189</v>
      </c>
      <c r="M8" s="72">
        <v>9</v>
      </c>
      <c r="N8" s="75">
        <v>12.504901960813989</v>
      </c>
      <c r="O8" s="41"/>
      <c r="Q8" s="13"/>
      <c r="R8" s="72">
        <v>9</v>
      </c>
      <c r="S8" s="75">
        <v>29.891503267972865</v>
      </c>
      <c r="T8" s="41"/>
      <c r="W8" s="72" t="s">
        <v>858</v>
      </c>
      <c r="X8" s="79">
        <v>1</v>
      </c>
      <c r="Y8" s="13"/>
      <c r="AV8" s="60">
        <v>2021</v>
      </c>
      <c r="AW8" s="60">
        <v>7</v>
      </c>
      <c r="AX8" s="60">
        <v>85</v>
      </c>
      <c r="AY8" t="s">
        <v>852</v>
      </c>
      <c r="BA8" s="9" t="s">
        <v>73</v>
      </c>
      <c r="BB8" s="95">
        <v>8.9330024813895778E-2</v>
      </c>
    </row>
    <row r="9" spans="1:54" ht="14.25">
      <c r="E9" s="41"/>
      <c r="H9" s="72" t="s">
        <v>858</v>
      </c>
      <c r="I9" s="75">
        <v>27.518037518039616</v>
      </c>
      <c r="M9" s="72" t="s">
        <v>858</v>
      </c>
      <c r="N9" s="75">
        <v>12.510822510824527</v>
      </c>
      <c r="O9" s="41"/>
      <c r="Q9" s="13"/>
      <c r="R9" s="72" t="s">
        <v>858</v>
      </c>
      <c r="S9" s="75">
        <v>39.937445887446088</v>
      </c>
      <c r="T9" s="41"/>
      <c r="W9" s="13"/>
      <c r="Y9" s="13"/>
      <c r="AV9" s="60">
        <v>2021</v>
      </c>
      <c r="AW9" s="60">
        <v>8</v>
      </c>
      <c r="AX9" s="60">
        <v>116</v>
      </c>
      <c r="AY9" t="s">
        <v>852</v>
      </c>
      <c r="BA9" s="9" t="s">
        <v>858</v>
      </c>
      <c r="BB9" s="95">
        <v>1</v>
      </c>
    </row>
    <row r="10" spans="1:54" ht="14.25">
      <c r="E10" s="41"/>
      <c r="O10" s="41"/>
      <c r="Q10" s="13"/>
      <c r="T10" s="41"/>
      <c r="W10" s="13"/>
      <c r="X10" s="13"/>
      <c r="Y10" s="13"/>
      <c r="AV10" s="60">
        <v>2021</v>
      </c>
      <c r="AW10" s="60">
        <v>9</v>
      </c>
      <c r="AX10" s="60">
        <v>393</v>
      </c>
      <c r="AY10" t="s">
        <v>852</v>
      </c>
    </row>
    <row r="11" spans="1:54" ht="14.25">
      <c r="E11" s="41"/>
      <c r="K11" s="13"/>
      <c r="L11" s="13"/>
      <c r="O11" s="41"/>
      <c r="Q11" s="13"/>
      <c r="T11" s="41"/>
      <c r="W11" s="13"/>
      <c r="X11" s="13"/>
      <c r="Y11" s="13"/>
      <c r="AV11" s="60">
        <v>2021</v>
      </c>
      <c r="AW11" s="60">
        <v>10</v>
      </c>
      <c r="AX11" s="60">
        <v>402</v>
      </c>
      <c r="AY11" t="s">
        <v>852</v>
      </c>
    </row>
    <row r="12" spans="1:54" ht="14.25">
      <c r="E12" s="41"/>
      <c r="K12" s="13"/>
      <c r="L12" s="13"/>
      <c r="O12" s="41"/>
      <c r="Q12" s="13"/>
      <c r="T12" s="41"/>
      <c r="W12" s="69" t="s">
        <v>861</v>
      </c>
      <c r="X12" s="68"/>
      <c r="Y12" s="13"/>
      <c r="AV12" s="60">
        <v>2021</v>
      </c>
      <c r="AW12" s="60">
        <v>11</v>
      </c>
      <c r="AX12" s="60">
        <v>218</v>
      </c>
      <c r="AY12" t="s">
        <v>852</v>
      </c>
    </row>
    <row r="13" spans="1:54" ht="14.25">
      <c r="E13" s="41"/>
      <c r="K13" s="13"/>
      <c r="L13" s="13"/>
      <c r="O13" s="41"/>
      <c r="Q13" s="13"/>
      <c r="T13" s="41"/>
      <c r="Y13" s="13"/>
      <c r="AV13" s="60">
        <v>2021</v>
      </c>
      <c r="AW13" s="60">
        <v>12</v>
      </c>
      <c r="AX13" s="60">
        <v>81</v>
      </c>
      <c r="AY13" t="s">
        <v>852</v>
      </c>
    </row>
    <row r="14" spans="1:54" ht="14.25">
      <c r="K14" s="13"/>
      <c r="L14" s="13"/>
      <c r="O14" s="41"/>
      <c r="Q14" s="13"/>
      <c r="T14" s="41"/>
      <c r="W14" s="70" t="s">
        <v>18</v>
      </c>
      <c r="X14" s="41" t="s">
        <v>862</v>
      </c>
      <c r="Y14" s="13"/>
      <c r="AV14" s="60">
        <v>2022</v>
      </c>
      <c r="AW14" s="60">
        <v>1</v>
      </c>
      <c r="AX14" s="60">
        <v>265</v>
      </c>
      <c r="AY14" t="s">
        <v>852</v>
      </c>
    </row>
    <row r="15" spans="1:54" ht="14.25">
      <c r="K15" s="13"/>
      <c r="L15" s="13"/>
      <c r="O15" s="41"/>
      <c r="Q15" s="13"/>
      <c r="T15" s="41"/>
      <c r="W15" s="41"/>
      <c r="X15" s="41"/>
      <c r="Y15" s="13"/>
      <c r="AV15" s="60">
        <v>2022</v>
      </c>
      <c r="AW15" s="60">
        <v>2</v>
      </c>
      <c r="AX15" s="60">
        <v>182</v>
      </c>
      <c r="AY15" t="s">
        <v>852</v>
      </c>
    </row>
    <row r="16" spans="1:54" ht="14.25">
      <c r="K16" s="13"/>
      <c r="L16" s="13"/>
      <c r="O16" s="41"/>
      <c r="Q16" s="13"/>
      <c r="T16" s="41"/>
      <c r="W16" s="70" t="s">
        <v>849</v>
      </c>
      <c r="X16" s="41" t="s">
        <v>863</v>
      </c>
      <c r="Y16" s="13"/>
      <c r="AV16" s="60">
        <v>2022</v>
      </c>
      <c r="AW16" s="60">
        <v>3</v>
      </c>
      <c r="AX16" s="60">
        <v>239</v>
      </c>
      <c r="AY16" t="s">
        <v>852</v>
      </c>
    </row>
    <row r="17" spans="1:51" ht="14.25">
      <c r="K17" s="13"/>
      <c r="L17" s="13"/>
      <c r="O17" s="41"/>
      <c r="Q17" s="13"/>
      <c r="T17" s="41"/>
      <c r="W17" s="72" t="s">
        <v>71</v>
      </c>
      <c r="X17" s="81">
        <v>605.52586206896547</v>
      </c>
      <c r="Y17" s="13"/>
      <c r="AV17" s="60">
        <v>2022</v>
      </c>
      <c r="AW17" s="60">
        <v>4</v>
      </c>
      <c r="AX17" s="60">
        <v>179</v>
      </c>
      <c r="AY17" t="s">
        <v>852</v>
      </c>
    </row>
    <row r="18" spans="1:51" ht="14.25">
      <c r="K18" s="13"/>
      <c r="L18" s="13"/>
      <c r="O18" s="41"/>
      <c r="Q18" s="13"/>
      <c r="T18" s="41"/>
      <c r="W18" s="72" t="s">
        <v>98</v>
      </c>
      <c r="X18" s="81">
        <v>658.28985507246375</v>
      </c>
      <c r="Y18" s="13"/>
      <c r="AV18" s="60">
        <v>2022</v>
      </c>
      <c r="AW18" s="60">
        <v>5</v>
      </c>
      <c r="AX18" s="60">
        <v>103</v>
      </c>
      <c r="AY18" t="s">
        <v>852</v>
      </c>
    </row>
    <row r="19" spans="1:51" ht="14.25">
      <c r="K19" s="13"/>
      <c r="L19" s="13"/>
      <c r="O19" s="41"/>
      <c r="Q19" s="13"/>
      <c r="T19" s="41"/>
      <c r="W19" s="72" t="s">
        <v>83</v>
      </c>
      <c r="X19" s="81">
        <v>612.82258064516134</v>
      </c>
      <c r="Y19" s="13"/>
      <c r="AV19" s="60">
        <v>2022</v>
      </c>
      <c r="AW19" s="60">
        <v>6</v>
      </c>
      <c r="AX19" s="60">
        <v>100</v>
      </c>
      <c r="AY19" t="s">
        <v>852</v>
      </c>
    </row>
    <row r="20" spans="1:51" ht="14.25">
      <c r="A20" s="69" t="s">
        <v>14</v>
      </c>
      <c r="B20" s="74"/>
      <c r="C20" s="74"/>
      <c r="D20" s="74"/>
      <c r="E20" s="74"/>
      <c r="K20" s="13"/>
      <c r="L20" s="13"/>
      <c r="O20" s="41"/>
      <c r="Q20" s="13"/>
      <c r="T20" s="41"/>
      <c r="W20" s="72" t="s">
        <v>660</v>
      </c>
      <c r="X20" s="81">
        <v>0</v>
      </c>
      <c r="Y20" s="13"/>
      <c r="AV20" s="60">
        <v>2022</v>
      </c>
      <c r="AW20" s="60">
        <v>7</v>
      </c>
      <c r="AX20" s="60">
        <v>295</v>
      </c>
      <c r="AY20" t="s">
        <v>852</v>
      </c>
    </row>
    <row r="21" spans="1:51" ht="14.25">
      <c r="A21" s="70" t="s">
        <v>18</v>
      </c>
      <c r="B21" s="41" t="s">
        <v>862</v>
      </c>
      <c r="C21" s="41"/>
      <c r="D21" s="41"/>
      <c r="E21" s="41"/>
      <c r="K21" s="13"/>
      <c r="L21" s="13"/>
      <c r="O21" s="41"/>
      <c r="Q21" s="13"/>
      <c r="T21" s="41"/>
      <c r="W21" s="72" t="s">
        <v>57</v>
      </c>
      <c r="X21" s="81">
        <v>673.96428571428567</v>
      </c>
      <c r="Y21" s="13"/>
      <c r="AA21" s="97" t="s">
        <v>864</v>
      </c>
      <c r="AB21" s="97"/>
      <c r="AC21" s="39"/>
      <c r="AD21" s="39"/>
      <c r="AE21" s="74"/>
      <c r="AF21" s="74"/>
      <c r="AG21" s="74"/>
      <c r="AH21" s="74"/>
      <c r="AI21" s="74"/>
      <c r="AJ21" s="74"/>
      <c r="AK21" s="74"/>
      <c r="AL21" s="74"/>
      <c r="AM21" s="74"/>
      <c r="AN21" s="74"/>
      <c r="AV21" s="60">
        <v>2022</v>
      </c>
      <c r="AW21" s="60">
        <v>8</v>
      </c>
      <c r="AX21" s="60">
        <v>394</v>
      </c>
      <c r="AY21" t="s">
        <v>852</v>
      </c>
    </row>
    <row r="22" spans="1:51" ht="14.25">
      <c r="A22" s="41"/>
      <c r="B22" s="41"/>
      <c r="C22" s="41"/>
      <c r="D22" s="41"/>
      <c r="E22" s="41"/>
      <c r="L22" s="13"/>
      <c r="O22" s="41"/>
      <c r="Q22" s="13"/>
      <c r="T22" s="41"/>
      <c r="W22" s="72" t="s">
        <v>73</v>
      </c>
      <c r="X22" s="81">
        <v>591.20833333333337</v>
      </c>
      <c r="Y22" s="13"/>
      <c r="AV22" s="60">
        <v>2022</v>
      </c>
      <c r="AW22" s="60">
        <v>9</v>
      </c>
      <c r="AX22" s="60">
        <v>705</v>
      </c>
      <c r="AY22" t="s">
        <v>852</v>
      </c>
    </row>
    <row r="23" spans="1:51" ht="14.25">
      <c r="A23" s="70" t="s">
        <v>849</v>
      </c>
      <c r="B23" s="41" t="s">
        <v>850</v>
      </c>
      <c r="C23" s="76">
        <f>IFERROR(GETPIVOTDATA("CONTAINER",$A$23,"TRANSPORT MODE","BARGE")/GETPIVOTDATA("CONTAINER",$A$23),0)</f>
        <v>0</v>
      </c>
      <c r="D23" s="41"/>
      <c r="E23" s="41"/>
      <c r="L23" s="13"/>
      <c r="O23" s="41"/>
      <c r="Q23" s="13"/>
      <c r="T23" s="41"/>
      <c r="W23" s="72" t="s">
        <v>858</v>
      </c>
      <c r="X23" s="81">
        <v>615.41991341991343</v>
      </c>
      <c r="Y23" s="13"/>
      <c r="AA23" s="70" t="s">
        <v>18</v>
      </c>
      <c r="AB23" s="41" t="s">
        <v>862</v>
      </c>
      <c r="AC23" s="73">
        <f>GETPIVOTDATA("Count of CONTAINER",$AA$25,"CLEANING","CLEANING")</f>
        <v>48</v>
      </c>
      <c r="AD23" s="41"/>
      <c r="AE23" s="41"/>
      <c r="AF23" s="41"/>
      <c r="AG23" s="41"/>
      <c r="AH23" s="41"/>
      <c r="AV23" s="60">
        <v>2022</v>
      </c>
      <c r="AW23" s="60">
        <v>10</v>
      </c>
      <c r="AX23" s="60">
        <v>700</v>
      </c>
      <c r="AY23" t="s">
        <v>852</v>
      </c>
    </row>
    <row r="24" spans="1:51" ht="14.25">
      <c r="A24" s="72" t="s">
        <v>63</v>
      </c>
      <c r="B24" s="77">
        <v>1</v>
      </c>
      <c r="C24" s="41"/>
      <c r="D24" s="41"/>
      <c r="E24" s="41"/>
      <c r="L24" s="13"/>
      <c r="O24" s="41"/>
      <c r="Q24" s="13"/>
      <c r="T24" s="41"/>
      <c r="Y24" s="13"/>
      <c r="AA24" s="41"/>
      <c r="AB24" s="41"/>
      <c r="AC24" s="41"/>
      <c r="AD24" s="41"/>
      <c r="AE24" s="41"/>
      <c r="AF24" s="41"/>
      <c r="AG24" s="41"/>
      <c r="AH24" s="41"/>
      <c r="AV24" s="60">
        <v>2022</v>
      </c>
      <c r="AW24" s="60">
        <v>11</v>
      </c>
      <c r="AX24" s="60">
        <v>299</v>
      </c>
      <c r="AY24" t="s">
        <v>852</v>
      </c>
    </row>
    <row r="25" spans="1:51" ht="14.25">
      <c r="A25" s="72" t="s">
        <v>858</v>
      </c>
      <c r="B25" s="77">
        <v>1</v>
      </c>
      <c r="C25" s="41"/>
      <c r="D25" s="41"/>
      <c r="E25" s="41"/>
      <c r="L25" s="13"/>
      <c r="O25" s="41"/>
      <c r="T25" s="41"/>
      <c r="Y25" s="13"/>
      <c r="AA25" s="41"/>
      <c r="AB25" s="70" t="s">
        <v>857</v>
      </c>
      <c r="AC25" s="41"/>
      <c r="AD25" s="41"/>
      <c r="AE25" s="41"/>
      <c r="AF25" s="41"/>
      <c r="AG25" s="41"/>
      <c r="AV25" s="60">
        <v>2022</v>
      </c>
      <c r="AW25" s="60">
        <v>12</v>
      </c>
      <c r="AX25" s="60">
        <v>143</v>
      </c>
      <c r="AY25" t="s">
        <v>852</v>
      </c>
    </row>
    <row r="26" spans="1:51" ht="14.25">
      <c r="C26" s="41"/>
      <c r="D26" s="41"/>
      <c r="E26" s="41"/>
      <c r="L26" s="13"/>
      <c r="O26" s="41"/>
      <c r="T26" s="41"/>
      <c r="Y26" s="13"/>
      <c r="AA26" s="41"/>
      <c r="AB26" s="41" t="s">
        <v>15</v>
      </c>
      <c r="AC26" s="41"/>
      <c r="AD26" s="41" t="s">
        <v>64</v>
      </c>
      <c r="AE26" s="41"/>
      <c r="AF26" s="41" t="s">
        <v>865</v>
      </c>
      <c r="AG26" s="41" t="s">
        <v>866</v>
      </c>
      <c r="AV26" s="60">
        <v>2023</v>
      </c>
      <c r="AW26" s="60">
        <v>1</v>
      </c>
      <c r="AX26" s="60">
        <v>225</v>
      </c>
      <c r="AY26" t="s">
        <v>852</v>
      </c>
    </row>
    <row r="27" spans="1:51" ht="14.25">
      <c r="A27" s="41"/>
      <c r="B27" s="41"/>
      <c r="C27" s="41"/>
      <c r="D27" s="41"/>
      <c r="E27" s="41"/>
      <c r="L27" s="13"/>
      <c r="O27" s="41"/>
      <c r="T27" s="41"/>
      <c r="Y27" s="13"/>
      <c r="AA27" s="70" t="s">
        <v>849</v>
      </c>
      <c r="AB27" s="41" t="s">
        <v>850</v>
      </c>
      <c r="AC27" s="41" t="s">
        <v>867</v>
      </c>
      <c r="AD27" s="41" t="s">
        <v>850</v>
      </c>
      <c r="AE27" s="41" t="s">
        <v>867</v>
      </c>
      <c r="AF27" s="41"/>
      <c r="AG27" s="41"/>
      <c r="AV27" s="60">
        <v>2023</v>
      </c>
      <c r="AW27" s="60">
        <v>2</v>
      </c>
      <c r="AX27" s="60">
        <v>224</v>
      </c>
      <c r="AY27" t="s">
        <v>852</v>
      </c>
    </row>
    <row r="28" spans="1:51" ht="14.25">
      <c r="A28" s="41"/>
      <c r="B28" s="41"/>
      <c r="C28" s="41"/>
      <c r="D28" s="41"/>
      <c r="E28" s="41"/>
      <c r="O28" s="41"/>
      <c r="T28" s="41"/>
      <c r="AA28" s="72" t="s">
        <v>71</v>
      </c>
      <c r="AB28" s="41"/>
      <c r="AC28" s="41"/>
      <c r="AD28" s="41">
        <v>58</v>
      </c>
      <c r="AE28" s="41">
        <v>21</v>
      </c>
      <c r="AF28" s="41">
        <v>58</v>
      </c>
      <c r="AG28" s="41">
        <v>21</v>
      </c>
      <c r="AV28" s="60">
        <v>2023</v>
      </c>
      <c r="AW28" s="60">
        <v>3</v>
      </c>
      <c r="AX28" s="60">
        <v>167</v>
      </c>
      <c r="AY28" t="s">
        <v>852</v>
      </c>
    </row>
    <row r="29" spans="1:51" ht="14.25">
      <c r="A29" s="69" t="s">
        <v>868</v>
      </c>
      <c r="B29" s="74"/>
      <c r="C29" s="74"/>
      <c r="D29" s="74"/>
      <c r="E29" s="74"/>
      <c r="O29" s="41"/>
      <c r="T29" s="41"/>
      <c r="AA29" s="72" t="s">
        <v>98</v>
      </c>
      <c r="AB29" s="41">
        <v>22</v>
      </c>
      <c r="AC29" s="41">
        <v>0</v>
      </c>
      <c r="AD29" s="41">
        <v>47</v>
      </c>
      <c r="AE29" s="41">
        <v>22</v>
      </c>
      <c r="AF29" s="41">
        <v>69</v>
      </c>
      <c r="AG29" s="41">
        <v>22</v>
      </c>
      <c r="AV29" s="60">
        <v>2023</v>
      </c>
      <c r="AW29" s="60">
        <v>4</v>
      </c>
      <c r="AX29" s="60">
        <v>157</v>
      </c>
      <c r="AY29" t="s">
        <v>852</v>
      </c>
    </row>
    <row r="30" spans="1:51" ht="14.25">
      <c r="A30" s="70" t="s">
        <v>18</v>
      </c>
      <c r="B30" s="41" t="s">
        <v>862</v>
      </c>
      <c r="C30" s="41"/>
      <c r="D30" s="41"/>
      <c r="E30" s="41"/>
      <c r="O30" s="41"/>
      <c r="T30" s="41"/>
      <c r="AA30" s="72" t="s">
        <v>83</v>
      </c>
      <c r="AB30" s="41">
        <v>25</v>
      </c>
      <c r="AC30" s="41">
        <v>0</v>
      </c>
      <c r="AD30" s="41">
        <v>37</v>
      </c>
      <c r="AE30" s="41">
        <v>11</v>
      </c>
      <c r="AF30" s="41">
        <v>62</v>
      </c>
      <c r="AG30" s="41">
        <v>11</v>
      </c>
      <c r="AV30" s="60">
        <v>2023</v>
      </c>
      <c r="AW30" s="60">
        <v>5</v>
      </c>
      <c r="AX30" s="60">
        <v>146</v>
      </c>
      <c r="AY30" t="s">
        <v>852</v>
      </c>
    </row>
    <row r="31" spans="1:51" ht="14.25">
      <c r="A31" s="41"/>
      <c r="B31" s="41"/>
      <c r="C31" s="41"/>
      <c r="D31" s="41"/>
      <c r="E31" s="41"/>
      <c r="O31" s="41"/>
      <c r="T31" s="41"/>
      <c r="AA31" s="72" t="s">
        <v>660</v>
      </c>
      <c r="AB31" s="41">
        <v>1</v>
      </c>
      <c r="AC31" s="41">
        <v>0</v>
      </c>
      <c r="AD31" s="41">
        <v>3</v>
      </c>
      <c r="AE31" s="41">
        <v>1</v>
      </c>
      <c r="AF31" s="41">
        <v>4</v>
      </c>
      <c r="AG31" s="41">
        <v>1</v>
      </c>
      <c r="AV31" s="60">
        <v>2023</v>
      </c>
      <c r="AW31" s="60">
        <v>6</v>
      </c>
      <c r="AX31" s="60">
        <v>98</v>
      </c>
      <c r="AY31" t="s">
        <v>852</v>
      </c>
    </row>
    <row r="32" spans="1:51" ht="14.25">
      <c r="A32" s="70" t="s">
        <v>849</v>
      </c>
      <c r="B32" s="41" t="s">
        <v>850</v>
      </c>
      <c r="C32" s="41"/>
      <c r="D32" s="41"/>
      <c r="E32" s="41"/>
      <c r="O32" s="41"/>
      <c r="T32" s="41"/>
      <c r="AA32" s="72" t="s">
        <v>57</v>
      </c>
      <c r="AB32" s="41"/>
      <c r="AC32" s="41"/>
      <c r="AD32" s="41">
        <v>14</v>
      </c>
      <c r="AE32" s="41">
        <v>5</v>
      </c>
      <c r="AF32" s="41">
        <v>14</v>
      </c>
      <c r="AG32" s="41">
        <v>5</v>
      </c>
      <c r="AV32" s="60">
        <v>2023</v>
      </c>
      <c r="AW32" s="60">
        <v>7</v>
      </c>
      <c r="AX32" s="60">
        <v>122</v>
      </c>
      <c r="AY32" t="s">
        <v>852</v>
      </c>
    </row>
    <row r="33" spans="1:51" ht="14.25">
      <c r="A33" s="72" t="s">
        <v>64</v>
      </c>
      <c r="B33" s="77">
        <v>1.7316017316017316E-2</v>
      </c>
      <c r="C33" s="41"/>
      <c r="D33" s="41"/>
      <c r="E33" s="41"/>
      <c r="O33" s="41"/>
      <c r="T33" s="41"/>
      <c r="AA33" s="72" t="s">
        <v>73</v>
      </c>
      <c r="AB33" s="41"/>
      <c r="AC33" s="41"/>
      <c r="AD33" s="41">
        <v>24</v>
      </c>
      <c r="AE33" s="41">
        <v>7</v>
      </c>
      <c r="AF33" s="41">
        <v>24</v>
      </c>
      <c r="AG33" s="41">
        <v>7</v>
      </c>
      <c r="AV33" s="60">
        <v>2023</v>
      </c>
      <c r="AW33" s="60">
        <v>8</v>
      </c>
      <c r="AX33" s="60">
        <v>227</v>
      </c>
      <c r="AY33" t="s">
        <v>852</v>
      </c>
    </row>
    <row r="34" spans="1:51" ht="14.25">
      <c r="A34" s="72" t="s">
        <v>869</v>
      </c>
      <c r="B34" s="77">
        <v>0.98268398268398272</v>
      </c>
      <c r="C34" s="41"/>
      <c r="D34" s="41"/>
      <c r="E34" s="41"/>
      <c r="O34" s="41"/>
      <c r="T34" s="41"/>
      <c r="AA34" s="72" t="s">
        <v>858</v>
      </c>
      <c r="AB34" s="41">
        <v>48</v>
      </c>
      <c r="AC34" s="41">
        <v>0</v>
      </c>
      <c r="AD34" s="41">
        <v>183</v>
      </c>
      <c r="AE34" s="41">
        <v>67</v>
      </c>
      <c r="AF34" s="41">
        <v>231</v>
      </c>
      <c r="AG34" s="41">
        <v>67</v>
      </c>
      <c r="AV34" s="60">
        <v>2023</v>
      </c>
      <c r="AW34" s="60">
        <v>9</v>
      </c>
      <c r="AX34" s="60">
        <v>497</v>
      </c>
      <c r="AY34" t="s">
        <v>852</v>
      </c>
    </row>
    <row r="35" spans="1:51" ht="14.25">
      <c r="A35" s="72" t="s">
        <v>858</v>
      </c>
      <c r="B35" s="77">
        <v>1</v>
      </c>
      <c r="C35" s="41"/>
      <c r="D35" s="41"/>
      <c r="E35" s="41"/>
      <c r="O35" s="41"/>
      <c r="T35" s="41"/>
      <c r="AV35" s="60">
        <v>2023</v>
      </c>
      <c r="AW35" s="60">
        <v>10</v>
      </c>
      <c r="AX35" s="60">
        <v>502</v>
      </c>
      <c r="AY35" t="s">
        <v>852</v>
      </c>
    </row>
    <row r="36" spans="1:51" ht="14.25">
      <c r="A36" s="41"/>
      <c r="B36" s="41"/>
      <c r="C36" s="41"/>
      <c r="D36" s="41"/>
      <c r="E36" s="41"/>
      <c r="O36" s="41"/>
      <c r="T36" s="41"/>
      <c r="AV36" s="60">
        <v>2023</v>
      </c>
      <c r="AW36" s="60">
        <v>11</v>
      </c>
      <c r="AX36" s="60">
        <v>356</v>
      </c>
      <c r="AY36" t="s">
        <v>852</v>
      </c>
    </row>
    <row r="37" spans="1:51" ht="14.25">
      <c r="C37" s="41"/>
      <c r="D37" s="41"/>
      <c r="E37" s="41"/>
      <c r="O37" s="41"/>
      <c r="T37" s="41"/>
      <c r="AV37" s="60">
        <v>2023</v>
      </c>
      <c r="AW37" s="60">
        <v>12</v>
      </c>
      <c r="AX37" s="60">
        <v>171</v>
      </c>
      <c r="AY37" t="s">
        <v>852</v>
      </c>
    </row>
    <row r="38" spans="1:51" ht="14.25">
      <c r="A38" s="69" t="s">
        <v>870</v>
      </c>
      <c r="B38" s="74"/>
      <c r="C38" s="80"/>
      <c r="D38" s="80"/>
      <c r="E38" s="80"/>
      <c r="W38" s="69" t="s">
        <v>871</v>
      </c>
      <c r="X38" s="69"/>
      <c r="AV38" s="60">
        <v>2024</v>
      </c>
      <c r="AW38" s="60">
        <v>1</v>
      </c>
      <c r="AX38" s="60">
        <v>172</v>
      </c>
      <c r="AY38" t="s">
        <v>852</v>
      </c>
    </row>
    <row r="39" spans="1:51" ht="14.25">
      <c r="A39" s="70" t="s">
        <v>18</v>
      </c>
      <c r="B39" s="41" t="s">
        <v>862</v>
      </c>
      <c r="C39" s="41"/>
      <c r="D39" s="41"/>
      <c r="E39" s="41"/>
      <c r="AV39" s="60">
        <v>2024</v>
      </c>
      <c r="AW39" s="60">
        <v>2</v>
      </c>
      <c r="AX39" s="60">
        <v>134</v>
      </c>
      <c r="AY39" t="s">
        <v>852</v>
      </c>
    </row>
    <row r="40" spans="1:51" ht="14.25">
      <c r="A40" s="41"/>
      <c r="B40" s="41"/>
      <c r="C40" s="41"/>
      <c r="D40" s="41"/>
      <c r="E40" s="41"/>
      <c r="W40" s="70" t="s">
        <v>18</v>
      </c>
      <c r="X40" s="41" t="s">
        <v>862</v>
      </c>
      <c r="AV40" s="60">
        <v>2024</v>
      </c>
      <c r="AW40" s="60">
        <v>3</v>
      </c>
      <c r="AX40" s="60">
        <v>260</v>
      </c>
      <c r="AY40" t="s">
        <v>852</v>
      </c>
    </row>
    <row r="41" spans="1:51" ht="14.25">
      <c r="A41" s="70" t="s">
        <v>849</v>
      </c>
      <c r="B41" s="41" t="s">
        <v>850</v>
      </c>
      <c r="C41" s="41"/>
      <c r="D41" s="41"/>
      <c r="E41" s="41"/>
      <c r="W41" s="41"/>
      <c r="X41" s="41"/>
      <c r="AV41" s="60">
        <v>2024</v>
      </c>
      <c r="AW41" s="60">
        <v>4</v>
      </c>
      <c r="AX41" s="60">
        <v>218</v>
      </c>
      <c r="AY41" t="s">
        <v>852</v>
      </c>
    </row>
    <row r="42" spans="1:51" ht="14.25">
      <c r="A42" s="72" t="s">
        <v>64</v>
      </c>
      <c r="B42" s="77">
        <v>0.26839826839826841</v>
      </c>
      <c r="C42" s="41"/>
      <c r="D42" s="41"/>
      <c r="E42" s="41"/>
      <c r="W42" s="70" t="s">
        <v>849</v>
      </c>
      <c r="X42" s="41" t="s">
        <v>872</v>
      </c>
      <c r="AV42" s="60">
        <v>2024</v>
      </c>
      <c r="AW42" s="60">
        <v>5</v>
      </c>
      <c r="AX42" s="60">
        <v>154</v>
      </c>
      <c r="AY42" t="s">
        <v>852</v>
      </c>
    </row>
    <row r="43" spans="1:51" ht="14.25">
      <c r="A43" s="72" t="s">
        <v>869</v>
      </c>
      <c r="B43" s="77">
        <v>0.73160173160173159</v>
      </c>
      <c r="C43" s="41"/>
      <c r="D43" s="41"/>
      <c r="E43" s="41"/>
      <c r="W43" s="72" t="s">
        <v>98</v>
      </c>
      <c r="X43" s="82">
        <v>5160</v>
      </c>
      <c r="AV43" s="60">
        <v>2024</v>
      </c>
      <c r="AW43" s="60">
        <v>6</v>
      </c>
      <c r="AX43" s="60">
        <v>79</v>
      </c>
      <c r="AY43" t="s">
        <v>852</v>
      </c>
    </row>
    <row r="44" spans="1:51" ht="14.25">
      <c r="A44" s="72" t="s">
        <v>858</v>
      </c>
      <c r="B44" s="77">
        <v>1</v>
      </c>
      <c r="C44" s="41"/>
      <c r="D44" s="41"/>
      <c r="E44" s="41"/>
      <c r="W44" s="72" t="s">
        <v>83</v>
      </c>
      <c r="X44" s="82">
        <v>1597.5</v>
      </c>
      <c r="AV44" s="60">
        <v>2024</v>
      </c>
      <c r="AW44" s="60">
        <v>7</v>
      </c>
      <c r="AX44" s="60">
        <v>123</v>
      </c>
      <c r="AY44" t="s">
        <v>852</v>
      </c>
    </row>
    <row r="45" spans="1:51" ht="14.25">
      <c r="C45" s="41"/>
      <c r="D45" s="41"/>
      <c r="E45" s="41"/>
      <c r="W45" s="72" t="s">
        <v>73</v>
      </c>
      <c r="X45" s="82">
        <v>240</v>
      </c>
      <c r="AA45" s="70" t="s">
        <v>873</v>
      </c>
      <c r="AB45" s="70" t="s">
        <v>857</v>
      </c>
      <c r="AC45" s="41"/>
      <c r="AD45" s="41"/>
      <c r="AE45" s="41"/>
      <c r="AF45" s="41"/>
      <c r="AG45" s="41"/>
      <c r="AH45" s="41"/>
      <c r="AI45" s="41"/>
      <c r="AJ45" s="41"/>
      <c r="AK45" s="41"/>
      <c r="AL45" s="41"/>
      <c r="AM45" s="41"/>
      <c r="AN45" s="41"/>
      <c r="AV45" s="60">
        <v>2024</v>
      </c>
      <c r="AW45" s="60">
        <v>8</v>
      </c>
      <c r="AX45" s="60">
        <v>213</v>
      </c>
      <c r="AY45" t="s">
        <v>852</v>
      </c>
    </row>
    <row r="46" spans="1:51" ht="14.25">
      <c r="C46" s="41"/>
      <c r="D46" s="41"/>
      <c r="E46" s="41"/>
      <c r="W46" s="72" t="s">
        <v>57</v>
      </c>
      <c r="X46" s="82">
        <v>225</v>
      </c>
      <c r="AA46" s="41"/>
      <c r="AB46" s="41">
        <v>2021</v>
      </c>
      <c r="AC46" s="41" t="s">
        <v>874</v>
      </c>
      <c r="AD46" s="41">
        <v>2022</v>
      </c>
      <c r="AE46" s="41" t="s">
        <v>875</v>
      </c>
      <c r="AF46" s="41">
        <v>2023</v>
      </c>
      <c r="AG46" s="41" t="s">
        <v>876</v>
      </c>
      <c r="AH46" s="41">
        <v>2024</v>
      </c>
      <c r="AI46" s="41" t="s">
        <v>877</v>
      </c>
      <c r="AJ46" s="41">
        <v>2025</v>
      </c>
      <c r="AK46" s="41" t="s">
        <v>878</v>
      </c>
      <c r="AL46" s="41">
        <v>2026</v>
      </c>
      <c r="AM46" s="41" t="s">
        <v>879</v>
      </c>
      <c r="AN46" s="41" t="s">
        <v>858</v>
      </c>
      <c r="AV46" s="60">
        <v>2024</v>
      </c>
      <c r="AW46">
        <v>9</v>
      </c>
      <c r="AX46">
        <v>284</v>
      </c>
      <c r="AY46" t="s">
        <v>852</v>
      </c>
    </row>
    <row r="47" spans="1:51" ht="14.25">
      <c r="A47" s="69" t="s">
        <v>870</v>
      </c>
      <c r="B47" s="74"/>
      <c r="C47" s="80"/>
      <c r="D47" s="80"/>
      <c r="E47" s="80"/>
      <c r="W47" s="72" t="s">
        <v>71</v>
      </c>
      <c r="X47" s="82"/>
      <c r="AA47" s="70" t="s">
        <v>849</v>
      </c>
      <c r="AB47" s="41" t="s">
        <v>852</v>
      </c>
      <c r="AC47" s="41"/>
      <c r="AD47" s="41" t="s">
        <v>852</v>
      </c>
      <c r="AE47" s="41"/>
      <c r="AF47" s="41" t="s">
        <v>852</v>
      </c>
      <c r="AG47" s="41"/>
      <c r="AH47" s="41" t="s">
        <v>852</v>
      </c>
      <c r="AI47" s="41"/>
      <c r="AJ47" s="41" t="s">
        <v>852</v>
      </c>
      <c r="AK47" s="41"/>
      <c r="AL47" s="41" t="s">
        <v>852</v>
      </c>
      <c r="AM47" s="41"/>
      <c r="AN47" s="41"/>
      <c r="AV47" s="60">
        <v>2024</v>
      </c>
      <c r="AW47" s="60">
        <v>10</v>
      </c>
      <c r="AX47" s="60">
        <v>540</v>
      </c>
      <c r="AY47" t="s">
        <v>852</v>
      </c>
    </row>
    <row r="48" spans="1:51" ht="14.25">
      <c r="A48" s="70" t="s">
        <v>849</v>
      </c>
      <c r="B48" s="41" t="s">
        <v>850</v>
      </c>
      <c r="C48" s="41"/>
      <c r="D48" s="41"/>
      <c r="E48" s="41"/>
      <c r="W48" s="72" t="s">
        <v>660</v>
      </c>
      <c r="X48" s="82"/>
      <c r="AA48" s="72">
        <v>1</v>
      </c>
      <c r="AB48" s="41">
        <v>0</v>
      </c>
      <c r="AC48" s="41">
        <v>0</v>
      </c>
      <c r="AD48" s="41">
        <v>265</v>
      </c>
      <c r="AE48" s="41">
        <v>265</v>
      </c>
      <c r="AF48" s="41">
        <v>225</v>
      </c>
      <c r="AG48" s="41">
        <v>225</v>
      </c>
      <c r="AH48" s="41">
        <v>172</v>
      </c>
      <c r="AI48" s="41">
        <v>172</v>
      </c>
      <c r="AJ48" s="41">
        <v>291</v>
      </c>
      <c r="AK48" s="41">
        <v>291</v>
      </c>
      <c r="AL48" s="41">
        <v>164</v>
      </c>
      <c r="AM48" s="41">
        <v>164</v>
      </c>
      <c r="AN48" s="41">
        <v>1117</v>
      </c>
      <c r="AV48">
        <v>2024</v>
      </c>
      <c r="AW48">
        <v>11</v>
      </c>
      <c r="AX48">
        <v>412</v>
      </c>
      <c r="AY48" t="s">
        <v>852</v>
      </c>
    </row>
    <row r="49" spans="1:51" ht="14.25">
      <c r="A49" s="72" t="s">
        <v>133</v>
      </c>
      <c r="B49" s="78">
        <v>8.6580086580086577E-2</v>
      </c>
      <c r="C49" s="41"/>
      <c r="D49" s="41"/>
      <c r="E49" s="41"/>
      <c r="W49" s="72" t="s">
        <v>858</v>
      </c>
      <c r="X49" s="82">
        <v>7222.5</v>
      </c>
      <c r="AA49" s="72">
        <v>2</v>
      </c>
      <c r="AB49" s="41">
        <v>0</v>
      </c>
      <c r="AC49" s="41">
        <v>0</v>
      </c>
      <c r="AD49" s="41">
        <v>182</v>
      </c>
      <c r="AE49" s="41">
        <v>182</v>
      </c>
      <c r="AF49" s="41">
        <v>224</v>
      </c>
      <c r="AG49" s="41">
        <v>224</v>
      </c>
      <c r="AH49" s="41">
        <v>134</v>
      </c>
      <c r="AI49" s="41">
        <v>134</v>
      </c>
      <c r="AJ49" s="41">
        <v>301</v>
      </c>
      <c r="AK49" s="41">
        <v>301</v>
      </c>
      <c r="AL49" s="41">
        <v>231</v>
      </c>
      <c r="AM49" s="41">
        <v>231</v>
      </c>
      <c r="AN49" s="41">
        <v>1072</v>
      </c>
      <c r="AV49">
        <v>2024</v>
      </c>
      <c r="AW49">
        <v>12</v>
      </c>
      <c r="AX49">
        <v>160</v>
      </c>
      <c r="AY49" t="s">
        <v>852</v>
      </c>
    </row>
    <row r="50" spans="1:51" ht="15">
      <c r="A50" s="72" t="s">
        <v>59</v>
      </c>
      <c r="B50" s="78">
        <v>0.91341991341991347</v>
      </c>
      <c r="C50" s="41"/>
      <c r="D50" s="41"/>
      <c r="E50" s="41"/>
      <c r="AA50" s="72">
        <v>3</v>
      </c>
      <c r="AB50" s="41">
        <v>0</v>
      </c>
      <c r="AC50" s="41">
        <v>0</v>
      </c>
      <c r="AD50" s="41">
        <v>239</v>
      </c>
      <c r="AE50" s="41">
        <v>239</v>
      </c>
      <c r="AF50" s="41">
        <v>167</v>
      </c>
      <c r="AG50" s="41">
        <v>167</v>
      </c>
      <c r="AH50" s="41">
        <v>260</v>
      </c>
      <c r="AI50" s="41">
        <v>260</v>
      </c>
      <c r="AJ50" s="41">
        <v>330</v>
      </c>
      <c r="AK50" s="41">
        <v>330</v>
      </c>
      <c r="AL50" s="41"/>
      <c r="AM50" s="41"/>
      <c r="AN50" s="41">
        <v>996</v>
      </c>
      <c r="AV50" s="60">
        <v>2025</v>
      </c>
      <c r="AW50">
        <v>1</v>
      </c>
      <c r="AX50" s="92">
        <v>291</v>
      </c>
      <c r="AY50" t="s">
        <v>852</v>
      </c>
    </row>
    <row r="51" spans="1:51" ht="15">
      <c r="A51" s="72" t="s">
        <v>858</v>
      </c>
      <c r="B51" s="79">
        <v>1</v>
      </c>
      <c r="C51" s="41"/>
      <c r="D51" s="41"/>
      <c r="E51" s="41"/>
      <c r="AA51" s="72">
        <v>4</v>
      </c>
      <c r="AB51" s="41">
        <v>0</v>
      </c>
      <c r="AC51" s="41">
        <v>0</v>
      </c>
      <c r="AD51" s="41">
        <v>179</v>
      </c>
      <c r="AE51" s="41">
        <v>179</v>
      </c>
      <c r="AF51" s="41">
        <v>157</v>
      </c>
      <c r="AG51" s="41">
        <v>157</v>
      </c>
      <c r="AH51" s="41">
        <v>218</v>
      </c>
      <c r="AI51" s="41">
        <v>218</v>
      </c>
      <c r="AJ51" s="41">
        <v>274</v>
      </c>
      <c r="AK51" s="41">
        <v>274</v>
      </c>
      <c r="AL51" s="41"/>
      <c r="AM51" s="41"/>
      <c r="AN51" s="41">
        <v>828</v>
      </c>
      <c r="AV51" s="60">
        <v>2025</v>
      </c>
      <c r="AW51">
        <v>2</v>
      </c>
      <c r="AX51" s="92">
        <v>301</v>
      </c>
      <c r="AY51" t="s">
        <v>852</v>
      </c>
    </row>
    <row r="52" spans="1:51" ht="14.25">
      <c r="AA52" s="72">
        <v>5</v>
      </c>
      <c r="AB52" s="41">
        <v>0</v>
      </c>
      <c r="AC52" s="41">
        <v>0</v>
      </c>
      <c r="AD52" s="41">
        <v>103</v>
      </c>
      <c r="AE52" s="41">
        <v>103</v>
      </c>
      <c r="AF52" s="41">
        <v>146</v>
      </c>
      <c r="AG52" s="41">
        <v>146</v>
      </c>
      <c r="AH52" s="41">
        <v>154</v>
      </c>
      <c r="AI52" s="41">
        <v>154</v>
      </c>
      <c r="AJ52" s="41">
        <v>171</v>
      </c>
      <c r="AK52" s="41">
        <v>171</v>
      </c>
      <c r="AL52" s="41"/>
      <c r="AM52" s="41"/>
      <c r="AN52" s="41">
        <v>574</v>
      </c>
      <c r="AV52" s="60">
        <v>2025</v>
      </c>
      <c r="AW52">
        <v>3</v>
      </c>
      <c r="AX52">
        <v>330</v>
      </c>
      <c r="AY52" t="s">
        <v>852</v>
      </c>
    </row>
    <row r="53" spans="1:51" ht="14.25">
      <c r="AA53" s="72">
        <v>6</v>
      </c>
      <c r="AB53" s="41">
        <v>99</v>
      </c>
      <c r="AC53" s="41">
        <v>99</v>
      </c>
      <c r="AD53" s="41">
        <v>100</v>
      </c>
      <c r="AE53" s="41">
        <v>100</v>
      </c>
      <c r="AF53" s="41">
        <v>98</v>
      </c>
      <c r="AG53" s="41">
        <v>98</v>
      </c>
      <c r="AH53" s="41">
        <v>79</v>
      </c>
      <c r="AI53" s="41">
        <v>79</v>
      </c>
      <c r="AJ53" s="41">
        <v>116</v>
      </c>
      <c r="AK53" s="41">
        <v>116</v>
      </c>
      <c r="AL53" s="41"/>
      <c r="AM53" s="41"/>
      <c r="AN53" s="41">
        <v>492</v>
      </c>
      <c r="AV53" s="60">
        <v>2025</v>
      </c>
      <c r="AW53">
        <v>4</v>
      </c>
      <c r="AX53">
        <v>274</v>
      </c>
      <c r="AY53" t="s">
        <v>852</v>
      </c>
    </row>
    <row r="54" spans="1:51" ht="14.25">
      <c r="AA54" s="72">
        <v>7</v>
      </c>
      <c r="AB54" s="41">
        <v>85</v>
      </c>
      <c r="AC54" s="41">
        <v>85</v>
      </c>
      <c r="AD54" s="41">
        <v>295</v>
      </c>
      <c r="AE54" s="41">
        <v>295</v>
      </c>
      <c r="AF54" s="41">
        <v>122</v>
      </c>
      <c r="AG54" s="41">
        <v>122</v>
      </c>
      <c r="AH54" s="41">
        <v>123</v>
      </c>
      <c r="AI54" s="41">
        <v>123</v>
      </c>
      <c r="AJ54" s="41">
        <v>117</v>
      </c>
      <c r="AK54" s="41">
        <v>117</v>
      </c>
      <c r="AL54" s="41"/>
      <c r="AM54" s="41"/>
      <c r="AN54" s="41">
        <v>742</v>
      </c>
      <c r="AV54" s="60">
        <v>2025</v>
      </c>
      <c r="AW54">
        <v>5</v>
      </c>
      <c r="AX54">
        <v>171</v>
      </c>
      <c r="AY54" t="s">
        <v>852</v>
      </c>
    </row>
    <row r="55" spans="1:51" ht="14.25">
      <c r="AA55" s="72">
        <v>8</v>
      </c>
      <c r="AB55" s="41">
        <v>116</v>
      </c>
      <c r="AC55" s="41">
        <v>116</v>
      </c>
      <c r="AD55" s="41">
        <v>394</v>
      </c>
      <c r="AE55" s="41">
        <v>394</v>
      </c>
      <c r="AF55" s="41">
        <v>227</v>
      </c>
      <c r="AG55" s="41">
        <v>227</v>
      </c>
      <c r="AH55" s="41">
        <v>213</v>
      </c>
      <c r="AI55" s="41">
        <v>213</v>
      </c>
      <c r="AJ55" s="41">
        <v>245</v>
      </c>
      <c r="AK55" s="41">
        <v>245</v>
      </c>
      <c r="AL55" s="41"/>
      <c r="AM55" s="41"/>
      <c r="AN55" s="41">
        <v>1195</v>
      </c>
      <c r="AV55" s="60">
        <v>2025</v>
      </c>
      <c r="AW55">
        <v>6</v>
      </c>
      <c r="AX55">
        <v>116</v>
      </c>
      <c r="AY55" t="s">
        <v>852</v>
      </c>
    </row>
    <row r="56" spans="1:51" ht="14.25">
      <c r="AA56" s="72">
        <v>9</v>
      </c>
      <c r="AB56" s="41">
        <v>393</v>
      </c>
      <c r="AC56" s="41">
        <v>393</v>
      </c>
      <c r="AD56" s="41">
        <v>705</v>
      </c>
      <c r="AE56" s="41">
        <v>705</v>
      </c>
      <c r="AF56" s="41">
        <v>497</v>
      </c>
      <c r="AG56" s="41">
        <v>497</v>
      </c>
      <c r="AH56" s="41">
        <v>284</v>
      </c>
      <c r="AI56" s="41">
        <v>284</v>
      </c>
      <c r="AJ56" s="41">
        <v>579</v>
      </c>
      <c r="AK56" s="41">
        <v>579</v>
      </c>
      <c r="AL56" s="41"/>
      <c r="AM56" s="41"/>
      <c r="AN56" s="41">
        <v>2458</v>
      </c>
      <c r="AV56" s="60">
        <v>2025</v>
      </c>
      <c r="AW56">
        <v>7</v>
      </c>
      <c r="AX56">
        <v>117</v>
      </c>
      <c r="AY56" s="7" t="s">
        <v>852</v>
      </c>
    </row>
    <row r="57" spans="1:51" ht="14.25">
      <c r="AA57" s="72">
        <v>10</v>
      </c>
      <c r="AB57" s="41">
        <v>402</v>
      </c>
      <c r="AC57" s="41">
        <v>402</v>
      </c>
      <c r="AD57" s="41">
        <v>700</v>
      </c>
      <c r="AE57" s="41">
        <v>700</v>
      </c>
      <c r="AF57" s="41">
        <v>502</v>
      </c>
      <c r="AG57" s="41">
        <v>502</v>
      </c>
      <c r="AH57" s="41">
        <v>540</v>
      </c>
      <c r="AI57" s="41">
        <v>540</v>
      </c>
      <c r="AJ57" s="41">
        <v>538</v>
      </c>
      <c r="AK57" s="41">
        <v>538</v>
      </c>
      <c r="AL57" s="41"/>
      <c r="AM57" s="41"/>
      <c r="AN57" s="41">
        <v>2682</v>
      </c>
      <c r="AV57" s="60">
        <v>2025</v>
      </c>
      <c r="AW57">
        <v>8</v>
      </c>
      <c r="AX57">
        <v>245</v>
      </c>
      <c r="AY57" t="s">
        <v>852</v>
      </c>
    </row>
    <row r="58" spans="1:51" ht="14.25">
      <c r="AA58" s="72">
        <v>11</v>
      </c>
      <c r="AB58" s="41">
        <v>218</v>
      </c>
      <c r="AC58" s="41">
        <v>218</v>
      </c>
      <c r="AD58" s="41">
        <v>299</v>
      </c>
      <c r="AE58" s="41">
        <v>299</v>
      </c>
      <c r="AF58" s="41">
        <v>356</v>
      </c>
      <c r="AG58" s="41">
        <v>356</v>
      </c>
      <c r="AH58" s="41">
        <v>412</v>
      </c>
      <c r="AI58" s="41">
        <v>412</v>
      </c>
      <c r="AJ58" s="41">
        <v>493</v>
      </c>
      <c r="AK58" s="41">
        <v>493</v>
      </c>
      <c r="AL58" s="41"/>
      <c r="AM58" s="41"/>
      <c r="AN58" s="41">
        <v>1778</v>
      </c>
      <c r="AV58" s="60">
        <v>2025</v>
      </c>
      <c r="AW58">
        <v>9</v>
      </c>
      <c r="AX58">
        <v>579</v>
      </c>
      <c r="AY58" t="s">
        <v>852</v>
      </c>
    </row>
    <row r="59" spans="1:51" ht="14.25">
      <c r="A59" s="69" t="s">
        <v>880</v>
      </c>
      <c r="B59" s="74"/>
      <c r="C59" s="80"/>
      <c r="D59" s="80"/>
      <c r="E59" s="80"/>
      <c r="AA59" s="72">
        <v>12</v>
      </c>
      <c r="AB59" s="41">
        <v>81</v>
      </c>
      <c r="AC59" s="41">
        <v>81</v>
      </c>
      <c r="AD59" s="41">
        <v>143</v>
      </c>
      <c r="AE59" s="41">
        <v>143</v>
      </c>
      <c r="AF59" s="41">
        <v>171</v>
      </c>
      <c r="AG59" s="41">
        <v>171</v>
      </c>
      <c r="AH59" s="41">
        <v>160</v>
      </c>
      <c r="AI59" s="41">
        <v>160</v>
      </c>
      <c r="AJ59" s="41">
        <v>153</v>
      </c>
      <c r="AK59" s="41">
        <v>153</v>
      </c>
      <c r="AL59" s="41"/>
      <c r="AM59" s="41"/>
      <c r="AN59" s="41">
        <v>708</v>
      </c>
      <c r="AV59" s="60">
        <v>2025</v>
      </c>
      <c r="AW59">
        <v>10</v>
      </c>
      <c r="AX59">
        <v>538</v>
      </c>
      <c r="AY59" t="s">
        <v>852</v>
      </c>
    </row>
    <row r="60" spans="1:51" ht="14.25">
      <c r="A60" s="10" t="s">
        <v>18</v>
      </c>
      <c r="B60" t="s">
        <v>862</v>
      </c>
      <c r="C60" s="96">
        <f>GETPIVOTDATA("CONTAINER",$A$62,"PUNTUALIDAD 2","SI")</f>
        <v>0.8441558441558441</v>
      </c>
      <c r="AA60" s="72" t="s">
        <v>858</v>
      </c>
      <c r="AB60" s="41">
        <v>1394</v>
      </c>
      <c r="AC60" s="41">
        <v>1394</v>
      </c>
      <c r="AD60" s="41">
        <v>3604</v>
      </c>
      <c r="AE60" s="41">
        <v>3604</v>
      </c>
      <c r="AF60" s="41">
        <v>2892</v>
      </c>
      <c r="AG60" s="41">
        <v>2892</v>
      </c>
      <c r="AH60" s="41">
        <v>2749</v>
      </c>
      <c r="AI60" s="41">
        <v>2749</v>
      </c>
      <c r="AJ60" s="41">
        <v>3608</v>
      </c>
      <c r="AK60" s="41">
        <v>3608</v>
      </c>
      <c r="AL60" s="41">
        <v>395</v>
      </c>
      <c r="AM60" s="41">
        <v>395</v>
      </c>
      <c r="AN60" s="41">
        <v>14642</v>
      </c>
      <c r="AV60" s="60">
        <v>2025</v>
      </c>
      <c r="AW60">
        <v>11</v>
      </c>
      <c r="AX60">
        <v>493</v>
      </c>
      <c r="AY60" t="s">
        <v>852</v>
      </c>
    </row>
    <row r="61" spans="1:51">
      <c r="AV61" s="60">
        <v>2025</v>
      </c>
      <c r="AW61">
        <v>12</v>
      </c>
      <c r="AX61">
        <v>153</v>
      </c>
      <c r="AY61" t="s">
        <v>852</v>
      </c>
    </row>
    <row r="62" spans="1:51">
      <c r="B62" s="10" t="s">
        <v>857</v>
      </c>
      <c r="AV62" s="60">
        <v>2026</v>
      </c>
      <c r="AW62">
        <v>1</v>
      </c>
      <c r="AX62">
        <v>164</v>
      </c>
      <c r="AY62" t="s">
        <v>852</v>
      </c>
    </row>
    <row r="63" spans="1:51">
      <c r="B63" t="s">
        <v>64</v>
      </c>
      <c r="C63" t="s">
        <v>881</v>
      </c>
      <c r="D63" t="s">
        <v>858</v>
      </c>
      <c r="AV63" s="60">
        <v>2026</v>
      </c>
      <c r="AW63">
        <v>2</v>
      </c>
      <c r="AX63">
        <v>231</v>
      </c>
      <c r="AY63" t="s">
        <v>852</v>
      </c>
    </row>
    <row r="64" spans="1:51">
      <c r="A64" t="s">
        <v>850</v>
      </c>
      <c r="B64" s="95">
        <v>0.15584415584415584</v>
      </c>
      <c r="C64" s="95">
        <v>0.8441558441558441</v>
      </c>
      <c r="D64" s="95">
        <v>1</v>
      </c>
      <c r="AV64" s="60">
        <v>2026</v>
      </c>
      <c r="AW64">
        <v>3</v>
      </c>
      <c r="AY64" t="s">
        <v>852</v>
      </c>
    </row>
    <row r="65" spans="48:51">
      <c r="AV65" s="60">
        <v>2026</v>
      </c>
      <c r="AW65">
        <v>4</v>
      </c>
      <c r="AY65" t="s">
        <v>852</v>
      </c>
    </row>
    <row r="66" spans="48:51">
      <c r="AV66" s="60">
        <v>2026</v>
      </c>
      <c r="AW66">
        <v>5</v>
      </c>
      <c r="AY66" t="s">
        <v>852</v>
      </c>
    </row>
    <row r="67" spans="48:51">
      <c r="AV67" s="60">
        <v>2026</v>
      </c>
      <c r="AW67">
        <v>6</v>
      </c>
      <c r="AY67" t="s">
        <v>852</v>
      </c>
    </row>
    <row r="68" spans="48:51">
      <c r="AV68" s="60">
        <v>2026</v>
      </c>
      <c r="AW68">
        <v>7</v>
      </c>
      <c r="AY68" t="s">
        <v>852</v>
      </c>
    </row>
    <row r="69" spans="48:51">
      <c r="AV69" s="60">
        <v>2026</v>
      </c>
      <c r="AW69">
        <v>8</v>
      </c>
      <c r="AY69" t="s">
        <v>852</v>
      </c>
    </row>
    <row r="70" spans="48:51">
      <c r="AV70" s="60">
        <v>2026</v>
      </c>
      <c r="AW70">
        <v>9</v>
      </c>
      <c r="AY70" t="s">
        <v>852</v>
      </c>
    </row>
    <row r="71" spans="48:51">
      <c r="AV71" s="60">
        <v>2026</v>
      </c>
      <c r="AW71">
        <v>10</v>
      </c>
      <c r="AY71" t="s">
        <v>852</v>
      </c>
    </row>
    <row r="72" spans="48:51">
      <c r="AV72" s="60">
        <v>2026</v>
      </c>
      <c r="AW72">
        <v>11</v>
      </c>
      <c r="AY72" t="s">
        <v>852</v>
      </c>
    </row>
    <row r="73" spans="48:51">
      <c r="AV73" s="60">
        <v>2026</v>
      </c>
      <c r="AW73">
        <v>12</v>
      </c>
      <c r="AY73" t="s">
        <v>852</v>
      </c>
    </row>
    <row r="85" spans="8:8">
      <c r="H85" s="120"/>
    </row>
  </sheetData>
  <pageMargins left="0.7" right="0.7" top="0.75" bottom="0.75" header="0.3" footer="0.3"/>
  <tableParts count="1">
    <tablePart r:id="rId1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3A4CD-2A16-402A-B160-08DFAEA15DD9}">
  <sheetPr codeName="Sheet5">
    <tabColor rgb="FFFF0000"/>
  </sheetPr>
  <dimension ref="A1:V56"/>
  <sheetViews>
    <sheetView tabSelected="1" workbookViewId="0">
      <selection activeCell="J23" sqref="J23"/>
    </sheetView>
  </sheetViews>
  <sheetFormatPr defaultColWidth="31.7109375" defaultRowHeight="12.75"/>
  <cols>
    <col min="1" max="1" width="31.42578125" bestFit="1" customWidth="1"/>
    <col min="2" max="2" width="9.7109375" bestFit="1" customWidth="1"/>
    <col min="3" max="3" width="14" bestFit="1" customWidth="1"/>
    <col min="4" max="4" width="13.140625" bestFit="1" customWidth="1"/>
    <col min="5" max="5" width="13.28515625" bestFit="1" customWidth="1"/>
    <col min="6" max="6" width="10.85546875" bestFit="1" customWidth="1"/>
    <col min="7" max="7" width="15.140625" bestFit="1" customWidth="1"/>
    <col min="8" max="8" width="12.7109375" bestFit="1" customWidth="1"/>
    <col min="9" max="9" width="15.42578125" bestFit="1" customWidth="1"/>
    <col min="10" max="10" width="22" bestFit="1" customWidth="1"/>
    <col min="11" max="11" width="20.7109375" bestFit="1" customWidth="1"/>
    <col min="12" max="12" width="8.7109375" bestFit="1" customWidth="1"/>
    <col min="13" max="13" width="2.85546875" customWidth="1"/>
    <col min="14" max="14" width="30.7109375" customWidth="1"/>
    <col min="15" max="15" width="9.5703125" customWidth="1"/>
    <col min="16" max="16" width="11.7109375" bestFit="1" customWidth="1"/>
    <col min="17" max="17" width="11.85546875" bestFit="1" customWidth="1"/>
    <col min="18" max="18" width="13.140625" customWidth="1"/>
    <col min="19" max="19" width="10.7109375" customWidth="1"/>
    <col min="20" max="20" width="15" customWidth="1"/>
    <col min="21" max="21" width="12.5703125" customWidth="1"/>
    <col min="22" max="22" width="15.140625" customWidth="1"/>
  </cols>
  <sheetData>
    <row r="1" spans="1:22">
      <c r="A1" s="114" t="s">
        <v>39</v>
      </c>
      <c r="B1" s="115" t="s">
        <v>882</v>
      </c>
      <c r="C1" s="115" t="s">
        <v>17</v>
      </c>
      <c r="D1" s="115" t="s">
        <v>36</v>
      </c>
      <c r="E1" s="115" t="s">
        <v>859</v>
      </c>
      <c r="F1" s="115" t="s">
        <v>191</v>
      </c>
      <c r="G1" s="115" t="s">
        <v>16</v>
      </c>
      <c r="H1" s="115" t="s">
        <v>15</v>
      </c>
      <c r="I1" s="115" t="s">
        <v>883</v>
      </c>
      <c r="J1" s="115" t="s">
        <v>884</v>
      </c>
      <c r="K1" s="115" t="s">
        <v>52</v>
      </c>
      <c r="L1" s="116" t="s">
        <v>53</v>
      </c>
      <c r="N1" s="4" t="s">
        <v>885</v>
      </c>
      <c r="O1" s="4" t="s">
        <v>882</v>
      </c>
      <c r="P1" s="4" t="s">
        <v>17</v>
      </c>
      <c r="Q1" s="4" t="s">
        <v>36</v>
      </c>
      <c r="R1" s="4" t="s">
        <v>859</v>
      </c>
      <c r="S1" s="4" t="s">
        <v>191</v>
      </c>
      <c r="T1" s="4" t="s">
        <v>16</v>
      </c>
      <c r="U1" s="4" t="s">
        <v>15</v>
      </c>
      <c r="V1" s="4" t="s">
        <v>883</v>
      </c>
    </row>
    <row r="2" spans="1:22">
      <c r="A2" s="98" t="s">
        <v>886</v>
      </c>
      <c r="B2" s="16" t="s">
        <v>64</v>
      </c>
      <c r="C2" s="17">
        <v>550</v>
      </c>
      <c r="D2" s="17">
        <v>550</v>
      </c>
      <c r="E2" s="17">
        <v>560</v>
      </c>
      <c r="F2" s="17">
        <v>560</v>
      </c>
      <c r="G2" s="17">
        <v>50</v>
      </c>
      <c r="H2" s="18">
        <v>0</v>
      </c>
      <c r="I2" s="17">
        <v>50</v>
      </c>
      <c r="J2" s="17">
        <v>70</v>
      </c>
      <c r="K2" s="17">
        <v>20</v>
      </c>
      <c r="L2" s="106">
        <v>1</v>
      </c>
      <c r="N2" s="36" t="s">
        <v>887</v>
      </c>
      <c r="O2" s="14" t="s">
        <v>869</v>
      </c>
      <c r="P2" s="15">
        <v>480</v>
      </c>
      <c r="Q2" s="15">
        <v>480</v>
      </c>
      <c r="R2" s="15">
        <v>525</v>
      </c>
      <c r="S2" s="15">
        <v>570</v>
      </c>
      <c r="T2" s="15">
        <v>60</v>
      </c>
      <c r="U2" s="15">
        <v>125</v>
      </c>
      <c r="V2" s="15">
        <v>50</v>
      </c>
    </row>
    <row r="3" spans="1:22">
      <c r="A3" s="99" t="s">
        <v>98</v>
      </c>
      <c r="B3" s="19" t="s">
        <v>64</v>
      </c>
      <c r="C3" s="20">
        <v>480</v>
      </c>
      <c r="D3" s="20">
        <v>530</v>
      </c>
      <c r="E3" s="20">
        <v>500</v>
      </c>
      <c r="F3" s="20">
        <v>500</v>
      </c>
      <c r="G3" s="20">
        <v>50</v>
      </c>
      <c r="H3" s="20">
        <v>120</v>
      </c>
      <c r="I3" s="20">
        <v>60</v>
      </c>
      <c r="J3" s="20">
        <v>70</v>
      </c>
      <c r="K3" s="20">
        <v>20</v>
      </c>
      <c r="L3" s="107">
        <v>1</v>
      </c>
      <c r="N3" s="117" t="s">
        <v>888</v>
      </c>
      <c r="O3" s="118" t="s">
        <v>869</v>
      </c>
      <c r="P3" s="119">
        <v>370</v>
      </c>
      <c r="Q3" s="119">
        <v>370</v>
      </c>
      <c r="R3" s="119">
        <v>420</v>
      </c>
      <c r="S3" s="119">
        <v>470</v>
      </c>
      <c r="T3" s="119">
        <v>35</v>
      </c>
      <c r="U3" s="119">
        <v>75</v>
      </c>
      <c r="V3" s="119">
        <v>52.5</v>
      </c>
    </row>
    <row r="4" spans="1:22">
      <c r="A4" s="100" t="s">
        <v>83</v>
      </c>
      <c r="B4" s="27" t="s">
        <v>64</v>
      </c>
      <c r="C4" s="28">
        <v>475</v>
      </c>
      <c r="D4" s="28">
        <v>475</v>
      </c>
      <c r="E4" s="28">
        <v>550</v>
      </c>
      <c r="F4" s="28">
        <v>550</v>
      </c>
      <c r="G4" s="28">
        <v>50</v>
      </c>
      <c r="H4" s="28">
        <v>110</v>
      </c>
      <c r="I4" s="28">
        <v>45</v>
      </c>
      <c r="J4" s="28">
        <v>70</v>
      </c>
      <c r="K4" s="28">
        <v>20</v>
      </c>
      <c r="L4" s="108">
        <v>1</v>
      </c>
      <c r="M4" s="37"/>
      <c r="N4" s="5"/>
      <c r="O4" s="5"/>
      <c r="P4" s="5"/>
      <c r="Q4" s="5"/>
      <c r="R4" s="5"/>
      <c r="S4" s="5"/>
      <c r="T4" s="5"/>
      <c r="U4" s="5"/>
    </row>
    <row r="5" spans="1:22">
      <c r="A5" s="101" t="s">
        <v>71</v>
      </c>
      <c r="B5" s="29" t="s">
        <v>64</v>
      </c>
      <c r="C5" s="30">
        <v>550</v>
      </c>
      <c r="D5" s="30">
        <v>550</v>
      </c>
      <c r="E5" s="30">
        <v>550</v>
      </c>
      <c r="F5" s="30">
        <v>550</v>
      </c>
      <c r="G5" s="30">
        <v>50</v>
      </c>
      <c r="H5" s="30">
        <v>100</v>
      </c>
      <c r="I5" s="30">
        <v>50</v>
      </c>
      <c r="J5" s="30">
        <v>70</v>
      </c>
      <c r="K5" s="30">
        <v>20</v>
      </c>
      <c r="L5" s="109">
        <v>1</v>
      </c>
      <c r="M5" s="37"/>
      <c r="N5" s="5"/>
      <c r="O5" s="5"/>
      <c r="P5" s="5"/>
      <c r="Q5" s="7" t="s">
        <v>889</v>
      </c>
      <c r="R5" s="5"/>
      <c r="S5" s="5"/>
      <c r="T5" s="5"/>
      <c r="U5" s="5"/>
    </row>
    <row r="6" spans="1:22">
      <c r="A6" s="102" t="s">
        <v>890</v>
      </c>
      <c r="B6" s="21" t="s">
        <v>64</v>
      </c>
      <c r="C6" s="22">
        <v>525</v>
      </c>
      <c r="D6" s="22">
        <v>550</v>
      </c>
      <c r="E6" s="22">
        <v>575</v>
      </c>
      <c r="F6" s="22">
        <v>575</v>
      </c>
      <c r="G6" s="22">
        <v>50</v>
      </c>
      <c r="H6" s="23">
        <v>0</v>
      </c>
      <c r="I6" s="22">
        <v>60</v>
      </c>
      <c r="J6" s="22">
        <v>70</v>
      </c>
      <c r="K6" s="22">
        <v>20</v>
      </c>
      <c r="L6" s="110">
        <v>1</v>
      </c>
      <c r="M6" s="37"/>
      <c r="N6" s="5"/>
      <c r="O6" s="5"/>
      <c r="P6" s="5"/>
      <c r="Q6" s="5"/>
      <c r="R6" s="5"/>
      <c r="S6" s="5"/>
      <c r="T6" s="5"/>
      <c r="U6" s="5"/>
    </row>
    <row r="7" spans="1:22">
      <c r="A7" s="103" t="s">
        <v>78</v>
      </c>
      <c r="B7" s="24" t="s">
        <v>64</v>
      </c>
      <c r="C7" s="25">
        <v>550</v>
      </c>
      <c r="D7" s="25">
        <v>550</v>
      </c>
      <c r="E7" s="25">
        <v>600</v>
      </c>
      <c r="F7" s="25">
        <v>600</v>
      </c>
      <c r="G7" s="25">
        <v>45</v>
      </c>
      <c r="H7" s="26">
        <v>0</v>
      </c>
      <c r="I7" s="25">
        <v>50</v>
      </c>
      <c r="J7" s="25">
        <v>70</v>
      </c>
      <c r="K7" s="25">
        <v>20</v>
      </c>
      <c r="L7" s="111">
        <v>1</v>
      </c>
      <c r="M7" s="37"/>
      <c r="N7" s="5"/>
      <c r="O7" s="5"/>
      <c r="P7" s="5"/>
      <c r="Q7" s="5"/>
      <c r="R7" s="5"/>
      <c r="S7" s="5"/>
      <c r="T7" s="5"/>
      <c r="U7" s="5"/>
    </row>
    <row r="8" spans="1:22">
      <c r="A8" s="104" t="s">
        <v>888</v>
      </c>
      <c r="B8" s="31" t="s">
        <v>64</v>
      </c>
      <c r="C8" s="32">
        <v>517</v>
      </c>
      <c r="D8" s="32">
        <v>517</v>
      </c>
      <c r="E8" s="32">
        <v>646.25</v>
      </c>
      <c r="F8" s="32">
        <v>775.5</v>
      </c>
      <c r="G8" s="32">
        <v>35</v>
      </c>
      <c r="H8" s="32">
        <v>100</v>
      </c>
      <c r="I8" s="32">
        <v>60</v>
      </c>
      <c r="J8" s="32">
        <v>70</v>
      </c>
      <c r="K8" s="32">
        <v>0</v>
      </c>
      <c r="L8" s="112">
        <v>0</v>
      </c>
      <c r="M8" s="37"/>
      <c r="N8" s="5"/>
      <c r="O8" s="5"/>
      <c r="P8" s="5"/>
      <c r="Q8" s="5"/>
      <c r="R8" s="5"/>
      <c r="S8" s="5"/>
      <c r="T8" s="5"/>
      <c r="U8" s="5"/>
    </row>
    <row r="9" spans="1:22">
      <c r="A9" s="105" t="s">
        <v>57</v>
      </c>
      <c r="B9" s="33" t="s">
        <v>64</v>
      </c>
      <c r="C9" s="34">
        <v>550</v>
      </c>
      <c r="D9" s="34">
        <v>600</v>
      </c>
      <c r="E9" s="34">
        <v>625</v>
      </c>
      <c r="F9" s="34">
        <v>625</v>
      </c>
      <c r="G9" s="34">
        <v>50</v>
      </c>
      <c r="H9" s="34">
        <v>125</v>
      </c>
      <c r="I9" s="34">
        <v>50</v>
      </c>
      <c r="J9" s="34">
        <v>70</v>
      </c>
      <c r="K9" s="34">
        <v>20</v>
      </c>
      <c r="L9" s="113">
        <v>1</v>
      </c>
    </row>
    <row r="10" spans="1:22">
      <c r="A10" s="122" t="s">
        <v>891</v>
      </c>
      <c r="B10" s="16" t="s">
        <v>64</v>
      </c>
      <c r="C10" s="17">
        <v>685</v>
      </c>
      <c r="D10" s="17">
        <v>685</v>
      </c>
      <c r="E10" s="18">
        <v>0</v>
      </c>
      <c r="F10" s="18">
        <v>0</v>
      </c>
      <c r="G10" s="17">
        <v>60</v>
      </c>
      <c r="H10" s="18">
        <v>0</v>
      </c>
      <c r="I10" s="17">
        <v>60</v>
      </c>
      <c r="J10" s="17">
        <v>70</v>
      </c>
      <c r="K10" s="17">
        <v>20</v>
      </c>
      <c r="L10" s="17">
        <v>1</v>
      </c>
    </row>
    <row r="11" spans="1:22">
      <c r="A11" s="121" t="s">
        <v>73</v>
      </c>
      <c r="B11" s="123" t="s">
        <v>64</v>
      </c>
      <c r="C11" s="124">
        <v>530</v>
      </c>
      <c r="D11" s="124">
        <v>530</v>
      </c>
      <c r="E11" s="125">
        <v>583</v>
      </c>
      <c r="F11" s="125">
        <v>689</v>
      </c>
      <c r="G11" s="124">
        <v>60</v>
      </c>
      <c r="H11" s="125">
        <v>0</v>
      </c>
      <c r="I11" s="124">
        <v>60</v>
      </c>
      <c r="J11" s="124">
        <v>70</v>
      </c>
      <c r="K11" s="124">
        <v>20</v>
      </c>
      <c r="L11" s="124">
        <v>1</v>
      </c>
    </row>
    <row r="12" spans="1:22">
      <c r="D12" s="7"/>
    </row>
    <row r="13" spans="1:22">
      <c r="D13" t="s">
        <v>892</v>
      </c>
    </row>
    <row r="15" spans="1:22">
      <c r="N15" s="35" t="s">
        <v>46</v>
      </c>
      <c r="O15" t="s">
        <v>40</v>
      </c>
    </row>
    <row r="16" spans="1:22">
      <c r="A16" s="35" t="s">
        <v>46</v>
      </c>
      <c r="B16" t="s">
        <v>40</v>
      </c>
      <c r="N16" t="s">
        <v>893</v>
      </c>
      <c r="O16">
        <v>473</v>
      </c>
    </row>
    <row r="17" spans="1:15">
      <c r="A17" t="s">
        <v>894</v>
      </c>
      <c r="B17">
        <v>480</v>
      </c>
      <c r="N17" t="s">
        <v>895</v>
      </c>
      <c r="O17">
        <v>473</v>
      </c>
    </row>
    <row r="18" spans="1:15">
      <c r="A18" t="s">
        <v>896</v>
      </c>
      <c r="B18">
        <v>530</v>
      </c>
      <c r="N18" t="s">
        <v>897</v>
      </c>
      <c r="O18">
        <v>528</v>
      </c>
    </row>
    <row r="19" spans="1:15">
      <c r="A19" t="s">
        <v>898</v>
      </c>
      <c r="B19">
        <v>500</v>
      </c>
      <c r="N19" t="s">
        <v>899</v>
      </c>
      <c r="O19">
        <v>583</v>
      </c>
    </row>
    <row r="20" spans="1:15">
      <c r="A20" s="7" t="s">
        <v>900</v>
      </c>
      <c r="B20">
        <v>500</v>
      </c>
    </row>
    <row r="21" spans="1:15">
      <c r="A21" s="7" t="s">
        <v>901</v>
      </c>
      <c r="B21">
        <v>550</v>
      </c>
    </row>
    <row r="22" spans="1:15">
      <c r="A22" s="7" t="s">
        <v>902</v>
      </c>
      <c r="B22">
        <v>550</v>
      </c>
    </row>
    <row r="23" spans="1:15">
      <c r="A23" s="7" t="s">
        <v>903</v>
      </c>
      <c r="B23">
        <v>560</v>
      </c>
    </row>
    <row r="24" spans="1:15">
      <c r="A24" s="7" t="s">
        <v>904</v>
      </c>
      <c r="B24">
        <v>560</v>
      </c>
    </row>
    <row r="25" spans="1:15">
      <c r="A25" s="7" t="s">
        <v>905</v>
      </c>
      <c r="B25">
        <v>475</v>
      </c>
    </row>
    <row r="26" spans="1:15">
      <c r="A26" s="7" t="s">
        <v>906</v>
      </c>
      <c r="B26">
        <v>475</v>
      </c>
    </row>
    <row r="27" spans="1:15">
      <c r="A27" s="7" t="s">
        <v>907</v>
      </c>
      <c r="B27">
        <v>550</v>
      </c>
    </row>
    <row r="28" spans="1:15">
      <c r="A28" s="7" t="s">
        <v>908</v>
      </c>
      <c r="B28">
        <v>550</v>
      </c>
    </row>
    <row r="29" spans="1:15">
      <c r="A29" s="7" t="s">
        <v>909</v>
      </c>
      <c r="B29">
        <v>550</v>
      </c>
    </row>
    <row r="30" spans="1:15">
      <c r="A30" s="7" t="s">
        <v>910</v>
      </c>
      <c r="B30">
        <v>550</v>
      </c>
    </row>
    <row r="31" spans="1:15">
      <c r="A31" s="7" t="s">
        <v>911</v>
      </c>
      <c r="B31">
        <v>550</v>
      </c>
    </row>
    <row r="32" spans="1:15">
      <c r="A32" s="7" t="s">
        <v>912</v>
      </c>
      <c r="B32">
        <v>550</v>
      </c>
    </row>
    <row r="33" spans="1:2">
      <c r="A33" s="7" t="s">
        <v>913</v>
      </c>
      <c r="B33">
        <v>525</v>
      </c>
    </row>
    <row r="34" spans="1:2">
      <c r="A34" s="7" t="s">
        <v>914</v>
      </c>
      <c r="B34">
        <v>550</v>
      </c>
    </row>
    <row r="35" spans="1:2">
      <c r="A35" s="7" t="s">
        <v>915</v>
      </c>
      <c r="B35">
        <v>575</v>
      </c>
    </row>
    <row r="36" spans="1:2">
      <c r="A36" s="7" t="s">
        <v>916</v>
      </c>
      <c r="B36">
        <v>575</v>
      </c>
    </row>
    <row r="37" spans="1:2">
      <c r="A37" s="7" t="s">
        <v>917</v>
      </c>
      <c r="B37">
        <v>550</v>
      </c>
    </row>
    <row r="38" spans="1:2">
      <c r="A38" s="7" t="s">
        <v>918</v>
      </c>
      <c r="B38">
        <v>550</v>
      </c>
    </row>
    <row r="39" spans="1:2">
      <c r="A39" t="s">
        <v>919</v>
      </c>
      <c r="B39">
        <v>600</v>
      </c>
    </row>
    <row r="40" spans="1:2">
      <c r="A40" t="s">
        <v>920</v>
      </c>
      <c r="B40">
        <v>600</v>
      </c>
    </row>
    <row r="41" spans="1:2">
      <c r="A41" s="7" t="s">
        <v>893</v>
      </c>
      <c r="B41">
        <v>517</v>
      </c>
    </row>
    <row r="42" spans="1:2">
      <c r="A42" s="7" t="s">
        <v>895</v>
      </c>
      <c r="B42">
        <v>517</v>
      </c>
    </row>
    <row r="43" spans="1:2">
      <c r="A43" s="7" t="s">
        <v>897</v>
      </c>
      <c r="B43">
        <v>646.25</v>
      </c>
    </row>
    <row r="44" spans="1:2">
      <c r="A44" s="7" t="s">
        <v>899</v>
      </c>
      <c r="B44">
        <v>775.5</v>
      </c>
    </row>
    <row r="45" spans="1:2">
      <c r="A45" s="7" t="s">
        <v>921</v>
      </c>
      <c r="B45">
        <v>550</v>
      </c>
    </row>
    <row r="46" spans="1:2">
      <c r="A46" s="7" t="s">
        <v>922</v>
      </c>
      <c r="B46">
        <v>600</v>
      </c>
    </row>
    <row r="47" spans="1:2">
      <c r="A47" t="s">
        <v>923</v>
      </c>
      <c r="B47">
        <v>625</v>
      </c>
    </row>
    <row r="48" spans="1:2">
      <c r="A48" t="s">
        <v>924</v>
      </c>
      <c r="B48">
        <v>625</v>
      </c>
    </row>
    <row r="49" spans="1:2">
      <c r="A49" s="7" t="s">
        <v>925</v>
      </c>
      <c r="B49">
        <v>685</v>
      </c>
    </row>
    <row r="50" spans="1:2">
      <c r="A50" s="7" t="s">
        <v>926</v>
      </c>
      <c r="B50">
        <v>685</v>
      </c>
    </row>
    <row r="51" spans="1:2">
      <c r="A51" s="7" t="s">
        <v>927</v>
      </c>
      <c r="B51">
        <v>0</v>
      </c>
    </row>
    <row r="52" spans="1:2">
      <c r="A52" s="7" t="s">
        <v>928</v>
      </c>
      <c r="B52">
        <v>0</v>
      </c>
    </row>
    <row r="53" spans="1:2">
      <c r="A53" s="7" t="s">
        <v>929</v>
      </c>
      <c r="B53">
        <v>530</v>
      </c>
    </row>
    <row r="54" spans="1:2">
      <c r="A54" s="7" t="s">
        <v>930</v>
      </c>
      <c r="B54">
        <v>530</v>
      </c>
    </row>
    <row r="55" spans="1:2">
      <c r="A55" s="7" t="s">
        <v>931</v>
      </c>
      <c r="B55">
        <v>583</v>
      </c>
    </row>
    <row r="56" spans="1:2">
      <c r="A56" s="7" t="s">
        <v>932</v>
      </c>
      <c r="B56">
        <v>689</v>
      </c>
    </row>
  </sheetData>
  <pageMargins left="0.7" right="0.7" top="0.75" bottom="0.75" header="0.3" footer="0.3"/>
  <pageSetup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FCE71-EB6E-4739-B3B2-614871D5944C}">
  <sheetPr codeName="Sheet4">
    <tabColor rgb="FFFF0000"/>
  </sheetPr>
  <dimension ref="A1:M37"/>
  <sheetViews>
    <sheetView workbookViewId="0">
      <selection activeCell="G19" sqref="G19"/>
    </sheetView>
  </sheetViews>
  <sheetFormatPr defaultColWidth="9.140625" defaultRowHeight="12.75"/>
  <cols>
    <col min="1" max="1" width="13.28515625" bestFit="1" customWidth="1"/>
    <col min="2" max="2" width="21.85546875" style="1" bestFit="1" customWidth="1"/>
    <col min="3" max="3" width="13.5703125" bestFit="1" customWidth="1"/>
    <col min="4" max="4" width="25" style="2" bestFit="1" customWidth="1"/>
    <col min="5" max="5" width="14.7109375" style="2" bestFit="1" customWidth="1"/>
    <col min="6" max="6" width="14.7109375" style="2" customWidth="1"/>
    <col min="7" max="7" width="29.7109375" bestFit="1" customWidth="1"/>
    <col min="8" max="8" width="34.28515625" style="2" bestFit="1" customWidth="1"/>
    <col min="9" max="9" width="16" style="2" bestFit="1" customWidth="1"/>
    <col min="10" max="10" width="28.5703125" bestFit="1" customWidth="1"/>
    <col min="11" max="11" width="36.42578125" style="9" customWidth="1"/>
    <col min="13" max="13" width="10.140625" bestFit="1" customWidth="1"/>
  </cols>
  <sheetData>
    <row r="1" spans="1:13">
      <c r="A1" s="61" t="s">
        <v>39</v>
      </c>
      <c r="B1" s="64" t="s">
        <v>933</v>
      </c>
      <c r="C1" s="61" t="s">
        <v>934</v>
      </c>
      <c r="D1" s="61" t="s">
        <v>935</v>
      </c>
      <c r="E1" s="61" t="s">
        <v>936</v>
      </c>
      <c r="F1" s="61" t="s">
        <v>937</v>
      </c>
      <c r="G1" s="61" t="s">
        <v>938</v>
      </c>
      <c r="H1" s="61" t="s">
        <v>939</v>
      </c>
      <c r="I1" s="61" t="s">
        <v>940</v>
      </c>
      <c r="J1" s="61" t="s">
        <v>941</v>
      </c>
      <c r="K1" s="66" t="s">
        <v>942</v>
      </c>
      <c r="M1" s="65">
        <f ca="1">TODAY()</f>
        <v>46090</v>
      </c>
    </row>
    <row r="2" spans="1:13">
      <c r="A2" s="142" t="s">
        <v>98</v>
      </c>
      <c r="B2" s="143">
        <v>20242466</v>
      </c>
      <c r="C2" s="144">
        <v>50011.5</v>
      </c>
      <c r="D2" s="145">
        <v>45967</v>
      </c>
      <c r="E2" s="145">
        <v>45997</v>
      </c>
      <c r="F2" s="146">
        <f t="shared" ref="F2:F20" ca="1" si="0">$M$1-E2</f>
        <v>93</v>
      </c>
      <c r="G2" s="146" t="s">
        <v>869</v>
      </c>
      <c r="H2" s="145">
        <v>45972</v>
      </c>
      <c r="I2" s="146" t="s">
        <v>943</v>
      </c>
      <c r="J2" s="142" t="s">
        <v>944</v>
      </c>
      <c r="K2" s="147"/>
    </row>
    <row r="3" spans="1:13">
      <c r="A3" s="142" t="s">
        <v>71</v>
      </c>
      <c r="B3" s="143">
        <v>25700299</v>
      </c>
      <c r="C3" s="144">
        <v>28900</v>
      </c>
      <c r="D3" s="145">
        <v>45978</v>
      </c>
      <c r="E3" s="145">
        <v>46008</v>
      </c>
      <c r="F3" s="146">
        <f t="shared" ca="1" si="0"/>
        <v>82</v>
      </c>
      <c r="G3" s="146" t="s">
        <v>869</v>
      </c>
      <c r="H3" s="145">
        <v>45978</v>
      </c>
      <c r="I3" s="146" t="s">
        <v>945</v>
      </c>
      <c r="J3" s="142" t="s">
        <v>946</v>
      </c>
      <c r="K3" s="148"/>
    </row>
    <row r="4" spans="1:13">
      <c r="A4" s="142" t="s">
        <v>947</v>
      </c>
      <c r="B4" s="143">
        <v>24199</v>
      </c>
      <c r="C4" s="144">
        <v>38780.25</v>
      </c>
      <c r="D4" s="145">
        <v>45978</v>
      </c>
      <c r="E4" s="145">
        <v>46008</v>
      </c>
      <c r="F4" s="146">
        <f t="shared" ca="1" si="0"/>
        <v>82</v>
      </c>
      <c r="G4" s="146" t="s">
        <v>869</v>
      </c>
      <c r="H4" s="145">
        <v>45978</v>
      </c>
      <c r="I4" s="146" t="s">
        <v>948</v>
      </c>
      <c r="J4" s="142" t="s">
        <v>946</v>
      </c>
      <c r="K4" s="148"/>
    </row>
    <row r="5" spans="1:13">
      <c r="A5" s="142" t="s">
        <v>949</v>
      </c>
      <c r="B5" s="143">
        <v>20256741</v>
      </c>
      <c r="C5" s="144">
        <v>30071</v>
      </c>
      <c r="D5" s="145">
        <v>45980</v>
      </c>
      <c r="E5" s="145">
        <v>46010</v>
      </c>
      <c r="F5" s="146">
        <f t="shared" ca="1" si="0"/>
        <v>80</v>
      </c>
      <c r="G5" s="146" t="s">
        <v>869</v>
      </c>
      <c r="H5" s="145">
        <v>45980</v>
      </c>
      <c r="I5" s="142" t="s">
        <v>950</v>
      </c>
      <c r="J5" s="142" t="s">
        <v>946</v>
      </c>
      <c r="K5" s="147"/>
    </row>
    <row r="6" spans="1:13">
      <c r="A6" s="142" t="s">
        <v>98</v>
      </c>
      <c r="B6" s="143">
        <v>20242518</v>
      </c>
      <c r="C6" s="144">
        <v>41329.5</v>
      </c>
      <c r="D6" s="145">
        <v>45981</v>
      </c>
      <c r="E6" s="145">
        <v>46011</v>
      </c>
      <c r="F6" s="146">
        <f t="shared" ca="1" si="0"/>
        <v>79</v>
      </c>
      <c r="G6" s="146" t="s">
        <v>869</v>
      </c>
      <c r="H6" s="145">
        <v>45985</v>
      </c>
      <c r="I6" s="146" t="s">
        <v>951</v>
      </c>
      <c r="J6" s="142" t="s">
        <v>946</v>
      </c>
      <c r="K6" s="147"/>
    </row>
    <row r="7" spans="1:13">
      <c r="A7" s="146" t="s">
        <v>952</v>
      </c>
      <c r="B7" s="143" t="s">
        <v>953</v>
      </c>
      <c r="C7" s="144">
        <v>1650</v>
      </c>
      <c r="D7" s="145">
        <v>45991</v>
      </c>
      <c r="E7" s="145">
        <v>46021</v>
      </c>
      <c r="F7" s="146">
        <f t="shared" ca="1" si="0"/>
        <v>69</v>
      </c>
      <c r="G7" s="142" t="s">
        <v>869</v>
      </c>
      <c r="H7" s="145">
        <v>45996</v>
      </c>
      <c r="I7" s="146" t="s">
        <v>954</v>
      </c>
      <c r="J7" s="146" t="s">
        <v>955</v>
      </c>
      <c r="K7" s="148"/>
    </row>
    <row r="8" spans="1:13">
      <c r="A8" s="142" t="s">
        <v>949</v>
      </c>
      <c r="B8" s="143">
        <v>20257027</v>
      </c>
      <c r="C8" s="144">
        <v>22610</v>
      </c>
      <c r="D8" s="145">
        <v>45992</v>
      </c>
      <c r="E8" s="145">
        <v>46023</v>
      </c>
      <c r="F8" s="146">
        <f t="shared" ca="1" si="0"/>
        <v>67</v>
      </c>
      <c r="G8" s="142" t="s">
        <v>869</v>
      </c>
      <c r="H8" s="145">
        <v>45992</v>
      </c>
      <c r="I8" s="142" t="s">
        <v>956</v>
      </c>
      <c r="J8" s="146" t="s">
        <v>955</v>
      </c>
      <c r="K8" s="148"/>
    </row>
    <row r="9" spans="1:13">
      <c r="A9" s="146" t="s">
        <v>98</v>
      </c>
      <c r="B9" s="143">
        <v>20242552</v>
      </c>
      <c r="C9" s="144">
        <v>29306</v>
      </c>
      <c r="D9" s="145">
        <v>45993</v>
      </c>
      <c r="E9" s="145">
        <v>46023</v>
      </c>
      <c r="F9" s="146">
        <f t="shared" ca="1" si="0"/>
        <v>67</v>
      </c>
      <c r="G9" s="146" t="s">
        <v>869</v>
      </c>
      <c r="H9" s="145">
        <v>46002</v>
      </c>
      <c r="I9" s="146" t="s">
        <v>957</v>
      </c>
      <c r="J9" s="146" t="s">
        <v>955</v>
      </c>
      <c r="K9" s="148"/>
    </row>
    <row r="10" spans="1:13">
      <c r="A10" s="142" t="s">
        <v>71</v>
      </c>
      <c r="B10" s="143">
        <v>25700309</v>
      </c>
      <c r="C10" s="144">
        <v>23100</v>
      </c>
      <c r="D10" s="145">
        <v>45993</v>
      </c>
      <c r="E10" s="145">
        <v>46024</v>
      </c>
      <c r="F10" s="146">
        <f t="shared" ca="1" si="0"/>
        <v>66</v>
      </c>
      <c r="G10" s="142" t="s">
        <v>869</v>
      </c>
      <c r="H10" s="145">
        <v>45993</v>
      </c>
      <c r="I10" s="146" t="s">
        <v>958</v>
      </c>
      <c r="J10" s="146" t="s">
        <v>955</v>
      </c>
      <c r="K10" s="148"/>
    </row>
    <row r="11" spans="1:13">
      <c r="A11" s="142" t="s">
        <v>947</v>
      </c>
      <c r="B11" s="143">
        <v>24237</v>
      </c>
      <c r="C11" s="144">
        <v>30099.75</v>
      </c>
      <c r="D11" s="145">
        <v>45994</v>
      </c>
      <c r="E11" s="145">
        <v>46025</v>
      </c>
      <c r="F11" s="146">
        <f t="shared" ca="1" si="0"/>
        <v>65</v>
      </c>
      <c r="G11" s="142" t="s">
        <v>869</v>
      </c>
      <c r="H11" s="145">
        <v>45994</v>
      </c>
      <c r="I11" s="146" t="s">
        <v>959</v>
      </c>
      <c r="J11" s="146" t="s">
        <v>955</v>
      </c>
      <c r="K11" s="148"/>
    </row>
    <row r="12" spans="1:13">
      <c r="A12" s="142" t="s">
        <v>71</v>
      </c>
      <c r="B12" s="143">
        <v>25700328</v>
      </c>
      <c r="C12" s="144">
        <v>9000</v>
      </c>
      <c r="D12" s="145">
        <v>46006</v>
      </c>
      <c r="E12" s="145">
        <v>46036</v>
      </c>
      <c r="F12" s="146">
        <f t="shared" ca="1" si="0"/>
        <v>54</v>
      </c>
      <c r="G12" s="146" t="s">
        <v>869</v>
      </c>
      <c r="H12" s="145">
        <v>46006</v>
      </c>
      <c r="I12" s="146" t="s">
        <v>960</v>
      </c>
      <c r="J12" s="142" t="s">
        <v>961</v>
      </c>
      <c r="K12" s="148"/>
    </row>
    <row r="13" spans="1:13">
      <c r="A13" s="142" t="s">
        <v>947</v>
      </c>
      <c r="B13" s="143">
        <v>24281</v>
      </c>
      <c r="C13" s="144">
        <v>11257.75</v>
      </c>
      <c r="D13" s="145">
        <v>46007</v>
      </c>
      <c r="E13" s="145">
        <v>46037</v>
      </c>
      <c r="F13" s="146">
        <f t="shared" ca="1" si="0"/>
        <v>53</v>
      </c>
      <c r="G13" s="146" t="s">
        <v>869</v>
      </c>
      <c r="H13" s="145">
        <v>46007</v>
      </c>
      <c r="I13" s="146" t="s">
        <v>962</v>
      </c>
      <c r="J13" s="142" t="s">
        <v>961</v>
      </c>
      <c r="K13" s="148"/>
    </row>
    <row r="14" spans="1:13">
      <c r="A14" s="142" t="s">
        <v>98</v>
      </c>
      <c r="B14" s="146">
        <v>20242617</v>
      </c>
      <c r="C14" s="144">
        <v>11404.5</v>
      </c>
      <c r="D14" s="145">
        <v>46008</v>
      </c>
      <c r="E14" s="145">
        <v>46038</v>
      </c>
      <c r="F14" s="146">
        <f t="shared" ca="1" si="0"/>
        <v>52</v>
      </c>
      <c r="G14" s="146" t="s">
        <v>869</v>
      </c>
      <c r="H14" s="145">
        <v>46008</v>
      </c>
      <c r="I14" s="146" t="s">
        <v>963</v>
      </c>
      <c r="J14" s="142" t="s">
        <v>961</v>
      </c>
      <c r="K14" s="148"/>
    </row>
    <row r="15" spans="1:13">
      <c r="A15" s="142" t="s">
        <v>952</v>
      </c>
      <c r="B15" s="149" t="s">
        <v>964</v>
      </c>
      <c r="C15" s="144">
        <v>1145</v>
      </c>
      <c r="D15" s="145">
        <v>46006</v>
      </c>
      <c r="E15" s="145">
        <v>46036</v>
      </c>
      <c r="F15" s="146">
        <f t="shared" ca="1" si="0"/>
        <v>54</v>
      </c>
      <c r="G15" s="146" t="s">
        <v>869</v>
      </c>
      <c r="H15" s="145">
        <v>46013</v>
      </c>
      <c r="I15" s="142" t="s">
        <v>965</v>
      </c>
      <c r="J15" s="142" t="s">
        <v>961</v>
      </c>
      <c r="K15" s="148"/>
    </row>
    <row r="16" spans="1:13">
      <c r="A16" s="142" t="s">
        <v>71</v>
      </c>
      <c r="B16" s="143">
        <v>25700357</v>
      </c>
      <c r="C16" s="144">
        <v>9550</v>
      </c>
      <c r="D16" s="145">
        <v>46022</v>
      </c>
      <c r="E16" s="145">
        <v>46052</v>
      </c>
      <c r="F16" s="146">
        <f t="shared" ca="1" si="0"/>
        <v>38</v>
      </c>
      <c r="G16" s="146" t="s">
        <v>869</v>
      </c>
      <c r="H16" s="145">
        <v>46023</v>
      </c>
      <c r="I16" s="146" t="s">
        <v>966</v>
      </c>
      <c r="J16" s="146" t="s">
        <v>967</v>
      </c>
      <c r="K16" s="148"/>
    </row>
    <row r="17" spans="1:11">
      <c r="A17" s="142" t="s">
        <v>947</v>
      </c>
      <c r="B17" s="143">
        <v>24295</v>
      </c>
      <c r="C17" s="144">
        <v>7189</v>
      </c>
      <c r="D17" s="145">
        <v>46022</v>
      </c>
      <c r="E17" s="145">
        <v>46052</v>
      </c>
      <c r="F17" s="146">
        <f t="shared" ca="1" si="0"/>
        <v>38</v>
      </c>
      <c r="G17" s="146" t="s">
        <v>869</v>
      </c>
      <c r="H17" s="145">
        <v>46023</v>
      </c>
      <c r="I17" s="146" t="s">
        <v>968</v>
      </c>
      <c r="J17" s="146" t="s">
        <v>967</v>
      </c>
      <c r="K17" s="148"/>
    </row>
    <row r="18" spans="1:11">
      <c r="A18" s="142" t="s">
        <v>949</v>
      </c>
      <c r="B18" s="143">
        <v>20257537</v>
      </c>
      <c r="C18" s="144">
        <v>5732</v>
      </c>
      <c r="D18" s="145">
        <v>46022</v>
      </c>
      <c r="E18" s="145">
        <v>46052</v>
      </c>
      <c r="F18" s="146">
        <f t="shared" ca="1" si="0"/>
        <v>38</v>
      </c>
      <c r="G18" s="146" t="s">
        <v>869</v>
      </c>
      <c r="H18" s="145">
        <v>44931</v>
      </c>
      <c r="I18" s="146" t="s">
        <v>969</v>
      </c>
      <c r="J18" s="142" t="s">
        <v>961</v>
      </c>
      <c r="K18" s="148"/>
    </row>
    <row r="19" spans="1:11">
      <c r="A19" s="142" t="s">
        <v>98</v>
      </c>
      <c r="B19" s="143">
        <v>20243005</v>
      </c>
      <c r="C19" s="144">
        <v>9483</v>
      </c>
      <c r="D19" s="145">
        <v>46031</v>
      </c>
      <c r="E19" s="145">
        <v>46061</v>
      </c>
      <c r="F19" s="146">
        <f t="shared" ca="1" si="0"/>
        <v>29</v>
      </c>
      <c r="G19" s="146" t="s">
        <v>869</v>
      </c>
      <c r="H19" s="145">
        <v>46034</v>
      </c>
      <c r="I19" s="146" t="s">
        <v>970</v>
      </c>
      <c r="J19" s="146" t="s">
        <v>967</v>
      </c>
      <c r="K19" s="148"/>
    </row>
    <row r="20" spans="1:11">
      <c r="A20" s="142" t="s">
        <v>952</v>
      </c>
      <c r="B20" s="143" t="s">
        <v>971</v>
      </c>
      <c r="C20" s="144">
        <v>1740</v>
      </c>
      <c r="D20" s="145">
        <v>46021</v>
      </c>
      <c r="E20" s="145">
        <v>46051</v>
      </c>
      <c r="F20" s="146">
        <f t="shared" ca="1" si="0"/>
        <v>39</v>
      </c>
      <c r="G20" s="146" t="s">
        <v>869</v>
      </c>
      <c r="H20" s="145">
        <v>46034</v>
      </c>
      <c r="I20" s="146" t="s">
        <v>972</v>
      </c>
      <c r="J20" s="146" t="s">
        <v>967</v>
      </c>
      <c r="K20" s="148"/>
    </row>
    <row r="21" spans="1:11">
      <c r="A21" s="142" t="s">
        <v>949</v>
      </c>
      <c r="B21" s="143">
        <v>20257543</v>
      </c>
      <c r="C21" s="144">
        <v>8410</v>
      </c>
      <c r="D21" s="145">
        <v>46022</v>
      </c>
      <c r="E21" s="145">
        <v>46052</v>
      </c>
      <c r="F21" s="146">
        <f t="shared" ref="F21:F25" ca="1" si="1">$M$1-E21</f>
        <v>38</v>
      </c>
      <c r="G21" s="146" t="s">
        <v>869</v>
      </c>
      <c r="H21" s="145">
        <v>46037</v>
      </c>
      <c r="I21" s="146" t="s">
        <v>973</v>
      </c>
      <c r="J21" s="146" t="s">
        <v>967</v>
      </c>
      <c r="K21" s="148"/>
    </row>
    <row r="22" spans="1:11">
      <c r="A22" s="142" t="s">
        <v>71</v>
      </c>
      <c r="B22" s="143" t="s">
        <v>974</v>
      </c>
      <c r="C22" s="144">
        <v>13525.5</v>
      </c>
      <c r="D22" s="145">
        <v>46037</v>
      </c>
      <c r="E22" s="145">
        <v>46068</v>
      </c>
      <c r="F22" s="146">
        <f t="shared" ca="1" si="1"/>
        <v>22</v>
      </c>
      <c r="G22" s="146" t="s">
        <v>869</v>
      </c>
      <c r="H22" s="145">
        <v>46037</v>
      </c>
      <c r="I22" s="146" t="s">
        <v>975</v>
      </c>
      <c r="J22" s="146" t="s">
        <v>976</v>
      </c>
      <c r="K22" s="148"/>
    </row>
    <row r="23" spans="1:11">
      <c r="A23" s="49" t="s">
        <v>947</v>
      </c>
      <c r="B23" s="1">
        <v>24310</v>
      </c>
      <c r="C23" s="63">
        <v>18768</v>
      </c>
      <c r="D23" s="62">
        <v>46041</v>
      </c>
      <c r="E23" s="62">
        <v>46072</v>
      </c>
      <c r="F23" s="2">
        <f t="shared" ca="1" si="1"/>
        <v>18</v>
      </c>
      <c r="G23" s="2" t="s">
        <v>869</v>
      </c>
      <c r="H23" s="62">
        <v>46041</v>
      </c>
      <c r="I23" s="2" t="s">
        <v>977</v>
      </c>
      <c r="J23" s="2" t="s">
        <v>976</v>
      </c>
      <c r="K23" s="9" t="s">
        <v>978</v>
      </c>
    </row>
    <row r="24" spans="1:11">
      <c r="A24" s="142" t="s">
        <v>952</v>
      </c>
      <c r="B24" s="149" t="s">
        <v>979</v>
      </c>
      <c r="C24" s="144">
        <v>600</v>
      </c>
      <c r="D24" s="145">
        <v>46037</v>
      </c>
      <c r="E24" s="145">
        <v>46067</v>
      </c>
      <c r="F24" s="146">
        <f t="shared" ca="1" si="1"/>
        <v>23</v>
      </c>
      <c r="G24" s="146" t="s">
        <v>869</v>
      </c>
      <c r="H24" s="145">
        <v>46043</v>
      </c>
      <c r="I24" s="146" t="s">
        <v>980</v>
      </c>
      <c r="J24" s="146" t="s">
        <v>976</v>
      </c>
      <c r="K24" s="148"/>
    </row>
    <row r="25" spans="1:11">
      <c r="A25" s="142" t="s">
        <v>949</v>
      </c>
      <c r="B25" s="143">
        <v>20260251</v>
      </c>
      <c r="C25" s="144">
        <v>4310</v>
      </c>
      <c r="D25" s="145">
        <v>46050</v>
      </c>
      <c r="E25" s="145">
        <v>46080</v>
      </c>
      <c r="F25" s="146">
        <f t="shared" ca="1" si="1"/>
        <v>10</v>
      </c>
      <c r="G25" s="146" t="s">
        <v>869</v>
      </c>
      <c r="H25" s="145">
        <v>46051</v>
      </c>
      <c r="I25" s="146" t="s">
        <v>981</v>
      </c>
      <c r="J25" s="146" t="s">
        <v>976</v>
      </c>
      <c r="K25" s="148"/>
    </row>
    <row r="26" spans="1:11">
      <c r="A26" s="142" t="s">
        <v>98</v>
      </c>
      <c r="B26" s="143">
        <v>20250173</v>
      </c>
      <c r="C26" s="144">
        <v>14578.5</v>
      </c>
      <c r="D26" s="145">
        <v>46049</v>
      </c>
      <c r="E26" s="145">
        <v>46079</v>
      </c>
      <c r="F26" s="146">
        <f t="shared" ref="F26:F37" ca="1" si="2">$M$1-E26</f>
        <v>11</v>
      </c>
      <c r="G26" s="146" t="s">
        <v>869</v>
      </c>
      <c r="H26" s="145">
        <v>46052</v>
      </c>
      <c r="I26" s="146" t="s">
        <v>982</v>
      </c>
      <c r="J26" s="146" t="s">
        <v>976</v>
      </c>
      <c r="K26" s="148"/>
    </row>
    <row r="27" spans="1:11">
      <c r="A27" s="142" t="s">
        <v>947</v>
      </c>
      <c r="B27" s="143">
        <v>24343</v>
      </c>
      <c r="C27" s="144">
        <v>11587.5</v>
      </c>
      <c r="D27" s="145">
        <v>46052</v>
      </c>
      <c r="E27" s="145">
        <v>46082</v>
      </c>
      <c r="F27" s="146">
        <f t="shared" ca="1" si="2"/>
        <v>8</v>
      </c>
      <c r="G27" s="146" t="s">
        <v>869</v>
      </c>
      <c r="H27" s="145">
        <v>46052</v>
      </c>
      <c r="I27" s="146" t="s">
        <v>983</v>
      </c>
      <c r="J27" s="146" t="s">
        <v>984</v>
      </c>
      <c r="K27" s="148"/>
    </row>
    <row r="28" spans="1:11">
      <c r="A28" s="142" t="s">
        <v>71</v>
      </c>
      <c r="B28" s="143">
        <v>26700048</v>
      </c>
      <c r="C28" s="144">
        <v>7944.5</v>
      </c>
      <c r="D28" s="145">
        <v>46053</v>
      </c>
      <c r="E28" s="145">
        <v>46083</v>
      </c>
      <c r="F28" s="146">
        <f t="shared" ca="1" si="2"/>
        <v>7</v>
      </c>
      <c r="G28" s="146" t="s">
        <v>869</v>
      </c>
      <c r="H28" s="145">
        <v>46055</v>
      </c>
      <c r="I28" s="146" t="s">
        <v>985</v>
      </c>
      <c r="J28" s="146" t="s">
        <v>984</v>
      </c>
      <c r="K28" s="148"/>
    </row>
    <row r="29" spans="1:11">
      <c r="A29" s="49" t="s">
        <v>98</v>
      </c>
      <c r="B29" s="1">
        <v>20250343</v>
      </c>
      <c r="C29" s="63">
        <v>13308.5</v>
      </c>
      <c r="D29" s="62">
        <v>46065</v>
      </c>
      <c r="E29" s="62">
        <v>46092</v>
      </c>
      <c r="F29" s="2">
        <f t="shared" ca="1" si="2"/>
        <v>-2</v>
      </c>
      <c r="G29" s="2" t="s">
        <v>869</v>
      </c>
      <c r="H29" s="62">
        <v>46065</v>
      </c>
      <c r="I29" s="2" t="s">
        <v>986</v>
      </c>
      <c r="J29" s="2" t="s">
        <v>984</v>
      </c>
    </row>
    <row r="30" spans="1:11">
      <c r="A30" s="49" t="s">
        <v>71</v>
      </c>
      <c r="B30" s="1">
        <v>26700057</v>
      </c>
      <c r="C30" s="63">
        <v>18817.5</v>
      </c>
      <c r="D30" s="62">
        <v>46069</v>
      </c>
      <c r="E30" s="62">
        <v>46099</v>
      </c>
      <c r="F30" s="2">
        <f t="shared" ca="1" si="2"/>
        <v>-9</v>
      </c>
      <c r="G30" s="2" t="s">
        <v>869</v>
      </c>
      <c r="H30" s="62">
        <v>46069</v>
      </c>
      <c r="I30" s="2" t="s">
        <v>987</v>
      </c>
      <c r="J30" s="2" t="s">
        <v>988</v>
      </c>
    </row>
    <row r="31" spans="1:11">
      <c r="A31" s="49" t="s">
        <v>949</v>
      </c>
      <c r="B31" s="1">
        <v>20260674</v>
      </c>
      <c r="C31" s="63">
        <v>5794</v>
      </c>
      <c r="D31" s="62">
        <v>46070</v>
      </c>
      <c r="E31" s="62">
        <v>46100</v>
      </c>
      <c r="F31" s="2">
        <f t="shared" ca="1" si="2"/>
        <v>-10</v>
      </c>
      <c r="G31" s="2" t="s">
        <v>869</v>
      </c>
      <c r="H31" s="62">
        <v>46070</v>
      </c>
      <c r="I31" s="2" t="s">
        <v>989</v>
      </c>
      <c r="J31" s="2" t="s">
        <v>984</v>
      </c>
    </row>
    <row r="32" spans="1:11">
      <c r="A32" s="49" t="s">
        <v>947</v>
      </c>
      <c r="B32" s="1">
        <v>24364</v>
      </c>
      <c r="C32" s="63">
        <v>20215.5</v>
      </c>
      <c r="D32" s="62">
        <v>46072</v>
      </c>
      <c r="E32" s="62">
        <v>46102</v>
      </c>
      <c r="F32" s="2">
        <f t="shared" ca="1" si="2"/>
        <v>-12</v>
      </c>
      <c r="G32" s="2" t="s">
        <v>869</v>
      </c>
      <c r="H32" s="62">
        <v>46072</v>
      </c>
      <c r="I32" s="2" t="s">
        <v>990</v>
      </c>
      <c r="J32" s="2" t="s">
        <v>988</v>
      </c>
    </row>
    <row r="33" spans="1:10">
      <c r="A33" s="49" t="s">
        <v>949</v>
      </c>
      <c r="B33" s="1">
        <v>20260676</v>
      </c>
      <c r="C33" s="63">
        <v>8432</v>
      </c>
      <c r="D33" s="62">
        <v>46073</v>
      </c>
      <c r="E33" s="62">
        <v>46103</v>
      </c>
      <c r="F33" s="2">
        <f t="shared" ca="1" si="2"/>
        <v>-13</v>
      </c>
      <c r="G33" s="2" t="s">
        <v>869</v>
      </c>
      <c r="H33" s="62">
        <v>46073</v>
      </c>
      <c r="I33" s="2" t="s">
        <v>991</v>
      </c>
      <c r="J33" s="2" t="s">
        <v>988</v>
      </c>
    </row>
    <row r="34" spans="1:10">
      <c r="A34" s="49" t="s">
        <v>71</v>
      </c>
      <c r="B34" s="1">
        <v>26700066</v>
      </c>
      <c r="C34" s="63">
        <v>14503</v>
      </c>
      <c r="D34" s="62">
        <v>46081</v>
      </c>
      <c r="E34" s="62">
        <v>46111</v>
      </c>
      <c r="F34" s="2">
        <f t="shared" ca="1" si="2"/>
        <v>-21</v>
      </c>
      <c r="G34" s="2" t="s">
        <v>869</v>
      </c>
      <c r="H34" s="62">
        <v>46083</v>
      </c>
      <c r="I34" s="2" t="s">
        <v>992</v>
      </c>
      <c r="J34" s="2" t="s">
        <v>993</v>
      </c>
    </row>
    <row r="35" spans="1:10">
      <c r="A35" s="49" t="s">
        <v>947</v>
      </c>
      <c r="B35" s="1">
        <v>24378</v>
      </c>
      <c r="C35" s="63">
        <v>18563.5</v>
      </c>
      <c r="D35" s="62">
        <v>46085</v>
      </c>
      <c r="E35" s="62">
        <v>46115</v>
      </c>
      <c r="F35" s="2">
        <f t="shared" ca="1" si="2"/>
        <v>-25</v>
      </c>
      <c r="G35" s="2" t="s">
        <v>869</v>
      </c>
      <c r="H35" s="62">
        <v>46085</v>
      </c>
      <c r="I35" s="2" t="s">
        <v>994</v>
      </c>
      <c r="J35" s="2" t="s">
        <v>993</v>
      </c>
    </row>
    <row r="36" spans="1:10">
      <c r="A36" s="49" t="s">
        <v>73</v>
      </c>
      <c r="B36" s="1">
        <v>202620804</v>
      </c>
      <c r="C36" s="63">
        <v>3527</v>
      </c>
      <c r="D36" s="62">
        <v>46081</v>
      </c>
      <c r="E36" s="62">
        <v>46111</v>
      </c>
      <c r="F36" s="2">
        <f t="shared" ca="1" si="2"/>
        <v>-21</v>
      </c>
      <c r="G36" s="2" t="s">
        <v>869</v>
      </c>
      <c r="H36" s="62">
        <v>46085</v>
      </c>
      <c r="I36" s="2" t="s">
        <v>995</v>
      </c>
      <c r="J36" s="2" t="s">
        <v>988</v>
      </c>
    </row>
    <row r="37" spans="1:10">
      <c r="A37" s="49" t="s">
        <v>73</v>
      </c>
      <c r="B37" s="1">
        <v>202620806</v>
      </c>
      <c r="C37" s="63">
        <v>4127.5</v>
      </c>
      <c r="D37" s="62">
        <v>46081</v>
      </c>
      <c r="E37" s="62">
        <v>46111</v>
      </c>
      <c r="F37" s="2">
        <f t="shared" ca="1" si="2"/>
        <v>-21</v>
      </c>
      <c r="G37" s="2" t="s">
        <v>869</v>
      </c>
      <c r="H37" s="62">
        <v>46085</v>
      </c>
      <c r="I37" s="2" t="s">
        <v>995</v>
      </c>
      <c r="J37" s="2" t="s">
        <v>993</v>
      </c>
    </row>
  </sheetData>
  <autoFilter ref="A1:K37" xr:uid="{77FFCE71-EB6E-4739-B3B2-614871D5944C}"/>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C842-7993-476A-91AB-C0C5314AE9A7}">
  <sheetPr codeName="Sheet7">
    <tabColor theme="2" tint="-9.9978637043366805E-2"/>
  </sheetPr>
  <dimension ref="B2:Q15"/>
  <sheetViews>
    <sheetView workbookViewId="0">
      <selection activeCell="D30" sqref="D30"/>
    </sheetView>
  </sheetViews>
  <sheetFormatPr defaultColWidth="9.140625" defaultRowHeight="12.75"/>
  <sheetData>
    <row r="2" spans="2:17">
      <c r="B2" s="83"/>
      <c r="C2" s="83"/>
      <c r="D2" s="83"/>
      <c r="E2" s="83"/>
      <c r="F2" s="83"/>
      <c r="G2" s="83"/>
      <c r="H2" s="83"/>
      <c r="I2" s="83"/>
      <c r="J2" s="83"/>
      <c r="K2" s="83"/>
      <c r="L2" s="83"/>
      <c r="M2" s="83"/>
      <c r="N2" s="83"/>
      <c r="O2" s="83"/>
      <c r="P2" s="83"/>
      <c r="Q2" s="83"/>
    </row>
    <row r="3" spans="2:17">
      <c r="B3" s="83"/>
      <c r="C3" s="83"/>
      <c r="D3" s="84" t="s">
        <v>996</v>
      </c>
      <c r="E3" s="83"/>
      <c r="F3" s="83"/>
      <c r="G3" s="83"/>
      <c r="H3" s="83"/>
      <c r="I3" s="83"/>
      <c r="J3" s="83"/>
      <c r="K3" s="83"/>
      <c r="L3" s="83"/>
      <c r="M3" s="83"/>
      <c r="N3" s="83"/>
      <c r="O3" s="83"/>
      <c r="P3" s="83"/>
      <c r="Q3" s="83"/>
    </row>
    <row r="4" spans="2:17">
      <c r="B4" s="83"/>
      <c r="C4" s="83"/>
      <c r="D4" s="84" t="s">
        <v>997</v>
      </c>
      <c r="E4" s="83"/>
      <c r="F4" s="83"/>
      <c r="G4" s="83"/>
      <c r="H4" s="83"/>
      <c r="I4" s="83"/>
      <c r="J4" s="83"/>
      <c r="K4" s="83"/>
      <c r="L4" s="83"/>
      <c r="M4" s="83"/>
      <c r="N4" s="83"/>
      <c r="O4" s="83"/>
      <c r="P4" s="83"/>
      <c r="Q4" s="83"/>
    </row>
    <row r="5" spans="2:17">
      <c r="B5" s="83"/>
      <c r="C5" s="83"/>
      <c r="D5" s="83"/>
      <c r="E5" s="83"/>
      <c r="F5" s="83"/>
      <c r="G5" s="83"/>
      <c r="H5" s="83"/>
      <c r="I5" s="83"/>
      <c r="J5" s="83"/>
      <c r="K5" s="83"/>
      <c r="L5" s="83"/>
      <c r="M5" s="83"/>
      <c r="N5" s="83"/>
      <c r="O5" s="83"/>
      <c r="P5" s="83"/>
      <c r="Q5" s="83"/>
    </row>
    <row r="6" spans="2:17">
      <c r="B6" s="83"/>
      <c r="C6" s="83"/>
      <c r="D6" s="83"/>
      <c r="E6" s="83"/>
      <c r="F6" s="83"/>
      <c r="G6" s="83"/>
      <c r="H6" s="83"/>
      <c r="I6" s="83"/>
      <c r="J6" s="83"/>
      <c r="K6" s="83"/>
      <c r="L6" s="83"/>
      <c r="M6" s="83"/>
      <c r="N6" s="83"/>
      <c r="O6" s="83"/>
      <c r="P6" s="83"/>
      <c r="Q6" s="83"/>
    </row>
    <row r="7" spans="2:17">
      <c r="B7" s="83"/>
      <c r="C7" s="83"/>
      <c r="D7" s="83"/>
      <c r="E7" s="83"/>
      <c r="F7" s="83"/>
      <c r="G7" s="83"/>
      <c r="H7" s="83"/>
      <c r="I7" s="83"/>
      <c r="J7" s="83"/>
      <c r="K7" s="83"/>
      <c r="L7" s="83"/>
      <c r="M7" s="83"/>
      <c r="N7" s="83"/>
      <c r="O7" s="83"/>
      <c r="P7" s="83"/>
      <c r="Q7" s="83"/>
    </row>
    <row r="10" spans="2:17">
      <c r="B10" s="83"/>
      <c r="C10" s="83"/>
      <c r="D10" s="83"/>
      <c r="E10" s="83"/>
      <c r="F10" s="83"/>
      <c r="G10" s="83"/>
      <c r="H10" s="83"/>
      <c r="I10" s="83"/>
      <c r="J10" s="83"/>
      <c r="K10" s="83"/>
      <c r="L10" s="83"/>
      <c r="M10" s="83"/>
      <c r="N10" s="83"/>
      <c r="O10" s="83"/>
      <c r="P10" s="83"/>
      <c r="Q10" s="83"/>
    </row>
    <row r="11" spans="2:17">
      <c r="B11" s="83"/>
      <c r="C11" s="83"/>
      <c r="D11" s="83"/>
      <c r="E11" s="83"/>
      <c r="F11" s="83"/>
      <c r="G11" s="83"/>
      <c r="H11" s="83"/>
      <c r="I11" s="83"/>
      <c r="J11" s="83"/>
      <c r="K11" s="83"/>
      <c r="L11" s="83"/>
      <c r="M11" s="83"/>
      <c r="N11" s="83"/>
      <c r="O11" s="83"/>
      <c r="P11" s="83"/>
      <c r="Q11" s="83"/>
    </row>
    <row r="12" spans="2:17">
      <c r="B12" s="83"/>
      <c r="C12" s="83"/>
      <c r="D12" s="83"/>
      <c r="E12" s="83"/>
      <c r="F12" s="83"/>
      <c r="G12" s="83"/>
      <c r="H12" s="83"/>
      <c r="I12" s="83"/>
      <c r="J12" s="83"/>
      <c r="K12" s="83"/>
      <c r="L12" s="83"/>
      <c r="M12" s="83"/>
      <c r="N12" s="83"/>
      <c r="O12" s="83"/>
      <c r="P12" s="83"/>
      <c r="Q12" s="83"/>
    </row>
    <row r="13" spans="2:17">
      <c r="B13" s="83"/>
      <c r="C13" s="83"/>
      <c r="D13" s="83"/>
      <c r="E13" s="83"/>
      <c r="F13" s="83"/>
      <c r="G13" s="83"/>
      <c r="H13" s="83"/>
      <c r="I13" s="83"/>
      <c r="J13" s="83"/>
      <c r="K13" s="83"/>
      <c r="L13" s="83"/>
      <c r="M13" s="83"/>
      <c r="N13" s="83"/>
      <c r="O13" s="83"/>
      <c r="P13" s="83"/>
      <c r="Q13" s="83"/>
    </row>
    <row r="14" spans="2:17">
      <c r="B14" s="83"/>
      <c r="C14" s="83"/>
      <c r="D14" s="83"/>
      <c r="E14" s="83"/>
      <c r="F14" s="83"/>
      <c r="G14" s="83"/>
      <c r="H14" s="83"/>
      <c r="I14" s="83"/>
      <c r="J14" s="83"/>
      <c r="K14" s="83"/>
      <c r="L14" s="83"/>
      <c r="M14" s="83"/>
      <c r="N14" s="83"/>
      <c r="O14" s="83"/>
      <c r="P14" s="83"/>
      <c r="Q14" s="83"/>
    </row>
    <row r="15" spans="2:17">
      <c r="B15" s="83"/>
      <c r="C15" s="83"/>
      <c r="D15" s="83"/>
      <c r="E15" s="83"/>
      <c r="F15" s="83"/>
      <c r="G15" s="83"/>
      <c r="H15" s="83"/>
      <c r="I15" s="83"/>
      <c r="J15" s="83"/>
      <c r="K15" s="83"/>
      <c r="L15" s="83"/>
      <c r="M15" s="83"/>
      <c r="N15" s="83"/>
      <c r="O15" s="83"/>
      <c r="P15" s="83"/>
      <c r="Q15" s="83"/>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4ab9404-7a50-478d-a17f-7448589c0c96">
      <Terms xmlns="http://schemas.microsoft.com/office/infopath/2007/PartnerControls"/>
    </lcf76f155ced4ddcb4097134ff3c332f>
    <TaxCatchAll xmlns="6c09688d-7dc8-45b7-a4d0-348b8350008f" xsi:nil="true"/>
    <_Flow_SignoffStatus xmlns="14ab9404-7a50-478d-a17f-7448589c0c96"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1DB043DB3F681B44984C3D7ADC99A341" ma:contentTypeVersion="18" ma:contentTypeDescription="Create a new document." ma:contentTypeScope="" ma:versionID="ef354c6f5fd35f3e9c81ca909f626bc2">
  <xsd:schema xmlns:xsd="http://www.w3.org/2001/XMLSchema" xmlns:xs="http://www.w3.org/2001/XMLSchema" xmlns:p="http://schemas.microsoft.com/office/2006/metadata/properties" xmlns:ns2="14ab9404-7a50-478d-a17f-7448589c0c96" xmlns:ns3="6c09688d-7dc8-45b7-a4d0-348b8350008f" targetNamespace="http://schemas.microsoft.com/office/2006/metadata/properties" ma:root="true" ma:fieldsID="d274b54e44caf81edd88097efbbe81e2" ns2:_="" ns3:_="">
    <xsd:import namespace="14ab9404-7a50-478d-a17f-7448589c0c96"/>
    <xsd:import namespace="6c09688d-7dc8-45b7-a4d0-348b8350008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_Flow_SignoffStatu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ab9404-7a50-478d-a17f-7448589c0c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c1972f45-99e4-4d95-9530-8f50712244b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_Flow_SignoffStatus" ma:index="24" nillable="true" ma:displayName="Sign-off status" ma:internalName="Sign_x002d_off_x0020_status">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09688d-7dc8-45b7-a4d0-348b8350008f"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6778c132-42bf-4d32-a3b2-597065f60638}" ma:internalName="TaxCatchAll" ma:showField="CatchAllData" ma:web="6c09688d-7dc8-45b7-a4d0-348b8350008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EDCF6F-DFDA-48CA-8405-F28F99EF908B}">
  <ds:schemaRefs>
    <ds:schemaRef ds:uri="http://schemas.microsoft.com/DataMashup"/>
  </ds:schemaRefs>
</ds:datastoreItem>
</file>

<file path=customXml/itemProps2.xml><?xml version="1.0" encoding="utf-8"?>
<ds:datastoreItem xmlns:ds="http://schemas.openxmlformats.org/officeDocument/2006/customXml" ds:itemID="{73099447-4DF9-4381-A6AC-3582B8A91BC1}">
  <ds:schemaRefs>
    <ds:schemaRef ds:uri="http://schemas.microsoft.com/sharepoint/v3/contenttype/forms"/>
  </ds:schemaRefs>
</ds:datastoreItem>
</file>

<file path=customXml/itemProps3.xml><?xml version="1.0" encoding="utf-8"?>
<ds:datastoreItem xmlns:ds="http://schemas.openxmlformats.org/officeDocument/2006/customXml" ds:itemID="{8B2D4E13-78B8-4659-8B47-08A6075FF466}">
  <ds:schemaRefs>
    <ds:schemaRef ds:uri="http://schemas.microsoft.com/office/2006/metadata/properties"/>
    <ds:schemaRef ds:uri="http://schemas.microsoft.com/office/infopath/2007/PartnerControls"/>
    <ds:schemaRef ds:uri="14ab9404-7a50-478d-a17f-7448589c0c96"/>
    <ds:schemaRef ds:uri="6c09688d-7dc8-45b7-a4d0-348b8350008f"/>
  </ds:schemaRefs>
</ds:datastoreItem>
</file>

<file path=customXml/itemProps4.xml><?xml version="1.0" encoding="utf-8"?>
<ds:datastoreItem xmlns:ds="http://schemas.openxmlformats.org/officeDocument/2006/customXml" ds:itemID="{B85092D5-EB16-460A-9BDB-883EA65DCA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ab9404-7a50-478d-a17f-7448589c0c96"/>
    <ds:schemaRef ds:uri="6c09688d-7dc8-45b7-a4d0-348b835000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TRACKER</vt:lpstr>
      <vt:lpstr>DASHBOARD</vt:lpstr>
      <vt:lpstr>PIVOTS</vt:lpstr>
      <vt:lpstr>Invoicing</vt:lpstr>
      <vt:lpstr>VENDOR PAYMENTS</vt:lpstr>
      <vt:lpstr>TASKS</vt:lpstr>
      <vt:lpstr>TRACKER!_FilterDatabase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Joan Martinez Codina</dc:creator>
  <cp:keywords/>
  <dc:description/>
  <cp:lastModifiedBy>Irene Lull Cerezo</cp:lastModifiedBy>
  <cp:revision/>
  <dcterms:created xsi:type="dcterms:W3CDTF">2022-01-12T15:13:12Z</dcterms:created>
  <dcterms:modified xsi:type="dcterms:W3CDTF">2026-03-09T15:53:05Z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0x0101001DB043DB3F681B44984C3D7ADC99A341</vt:lpwstr>
  </property>
  <property fmtid="{D5CDD505-2E9C-101B-9397-08002B2CF9AE}" pid="3" name="MediaServiceImageTags">
    <vt:lpwstr/>
  </property>
  <property fmtid="{D5CDD505-2E9C-101B-9397-08002B2CF9AE}" pid="4" name="MSIP_Label_71bba39d-4745-4e9d-97db-0c1927b54242_Enabled">
    <vt:lpwstr>true</vt:lpwstr>
  </property>
  <property fmtid="{D5CDD505-2E9C-101B-9397-08002B2CF9AE}" pid="5" name="MSIP_Label_71bba39d-4745-4e9d-97db-0c1927b54242_SetDate">
    <vt:lpwstr>2023-07-18T13:14:22Z</vt:lpwstr>
  </property>
  <property fmtid="{D5CDD505-2E9C-101B-9397-08002B2CF9AE}" pid="6" name="MSIP_Label_71bba39d-4745-4e9d-97db-0c1927b54242_Method">
    <vt:lpwstr>Privileged</vt:lpwstr>
  </property>
  <property fmtid="{D5CDD505-2E9C-101B-9397-08002B2CF9AE}" pid="7" name="MSIP_Label_71bba39d-4745-4e9d-97db-0c1927b54242_Name">
    <vt:lpwstr>Internal</vt:lpwstr>
  </property>
  <property fmtid="{D5CDD505-2E9C-101B-9397-08002B2CF9AE}" pid="8" name="MSIP_Label_71bba39d-4745-4e9d-97db-0c1927b54242_SiteId">
    <vt:lpwstr>05d75c05-fa1a-42e7-9cf1-eb416c396f2d</vt:lpwstr>
  </property>
  <property fmtid="{D5CDD505-2E9C-101B-9397-08002B2CF9AE}" pid="9" name="MSIP_Label_71bba39d-4745-4e9d-97db-0c1927b54242_ActionId">
    <vt:lpwstr>666903b5-ef5d-410b-aef5-3105491c6a69</vt:lpwstr>
  </property>
  <property fmtid="{D5CDD505-2E9C-101B-9397-08002B2CF9AE}" pid="10" name="MSIP_Label_71bba39d-4745-4e9d-97db-0c1927b54242_ContentBits">
    <vt:lpwstr>2</vt:lpwstr>
  </property>
</Properties>
</file>