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PPP\Documentacion\2 Planeacion\"/>
    </mc:Choice>
  </mc:AlternateContent>
  <xr:revisionPtr revIDLastSave="0" documentId="10_ncr:8100000_{472472E2-0EA9-416E-BA7E-99CFB1C03E46}" xr6:coauthVersionLast="34" xr6:coauthVersionMax="34" xr10:uidLastSave="{00000000-0000-0000-0000-000000000000}"/>
  <bookViews>
    <workbookView xWindow="0" yWindow="0" windowWidth="20490" windowHeight="8130" xr2:uid="{1B7383BE-45CC-4E2F-A610-FCE863D259E3}"/>
  </bookViews>
  <sheets>
    <sheet name="Presupuesto" sheetId="2" r:id="rId1"/>
    <sheet name="Sueld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  <c r="G24" i="2"/>
  <c r="D52" i="2"/>
  <c r="D48" i="2"/>
  <c r="G48" i="2" s="1"/>
  <c r="D47" i="2"/>
  <c r="D43" i="2"/>
  <c r="G43" i="2" s="1"/>
  <c r="D39" i="2"/>
  <c r="G39" i="2" s="1"/>
  <c r="D38" i="2"/>
  <c r="G38" i="2" s="1"/>
  <c r="D29" i="2"/>
  <c r="G29" i="2" s="1"/>
  <c r="G27" i="2" s="1"/>
  <c r="D14" i="2"/>
  <c r="G40" i="2"/>
  <c r="G41" i="2"/>
  <c r="G42" i="2"/>
  <c r="G44" i="2"/>
  <c r="D44" i="2"/>
  <c r="D42" i="2"/>
  <c r="D41" i="2"/>
  <c r="D40" i="2"/>
  <c r="G30" i="2"/>
  <c r="G31" i="2"/>
  <c r="G32" i="2"/>
  <c r="G33" i="2"/>
  <c r="G34" i="2"/>
  <c r="G35" i="2"/>
  <c r="G36" i="2"/>
  <c r="G28" i="2"/>
  <c r="D36" i="2"/>
  <c r="D35" i="2"/>
  <c r="D34" i="2"/>
  <c r="D33" i="2"/>
  <c r="D32" i="2"/>
  <c r="D31" i="2"/>
  <c r="D30" i="2"/>
  <c r="D28" i="2"/>
  <c r="G37" i="2" l="1"/>
  <c r="D55" i="2"/>
  <c r="D54" i="2"/>
  <c r="D51" i="2"/>
  <c r="D50" i="2"/>
  <c r="D46" i="2"/>
  <c r="D26" i="2"/>
  <c r="D25" i="2"/>
  <c r="D20" i="2"/>
  <c r="D23" i="2"/>
  <c r="D22" i="2"/>
  <c r="D21" i="2"/>
  <c r="D18" i="2"/>
  <c r="D17" i="2"/>
  <c r="D15" i="2"/>
  <c r="D16" i="2"/>
  <c r="D10" i="2"/>
  <c r="D9" i="2"/>
  <c r="D12" i="2"/>
  <c r="D11" i="2"/>
  <c r="D8" i="2"/>
  <c r="D7" i="2"/>
  <c r="G55" i="2" l="1"/>
  <c r="G54" i="2"/>
  <c r="G51" i="2"/>
  <c r="G52" i="2"/>
  <c r="G50" i="2"/>
  <c r="G47" i="2"/>
  <c r="G46" i="2"/>
  <c r="G26" i="2"/>
  <c r="G25" i="2"/>
  <c r="G21" i="2"/>
  <c r="G22" i="2"/>
  <c r="G23" i="2"/>
  <c r="G20" i="2"/>
  <c r="G15" i="2"/>
  <c r="G16" i="2"/>
  <c r="G17" i="2"/>
  <c r="G18" i="2"/>
  <c r="G14" i="2"/>
  <c r="G8" i="2"/>
  <c r="G9" i="2"/>
  <c r="G10" i="2"/>
  <c r="G11" i="2"/>
  <c r="G12" i="2"/>
  <c r="G7" i="2"/>
  <c r="G6" i="2" l="1"/>
  <c r="G53" i="2"/>
  <c r="G19" i="2"/>
  <c r="G49" i="2"/>
  <c r="G13" i="2"/>
  <c r="C10" i="1"/>
  <c r="G10" i="1" s="1"/>
  <c r="F9" i="1"/>
  <c r="C9" i="1"/>
  <c r="C8" i="1"/>
  <c r="C7" i="1"/>
  <c r="C6" i="1"/>
  <c r="C5" i="1"/>
  <c r="C4" i="1"/>
  <c r="C3" i="1"/>
  <c r="F8" i="1"/>
  <c r="F7" i="1"/>
  <c r="F6" i="1"/>
  <c r="F5" i="1"/>
  <c r="F4" i="1"/>
  <c r="F3" i="1"/>
  <c r="G9" i="1" l="1"/>
  <c r="G6" i="1"/>
  <c r="G5" i="1"/>
  <c r="G8" i="1"/>
  <c r="G7" i="1"/>
  <c r="G4" i="1"/>
  <c r="G3" i="1"/>
  <c r="D5" i="2" l="1"/>
  <c r="G5" i="2" s="1"/>
  <c r="G4" i="2" s="1"/>
  <c r="G3" i="2" s="1"/>
</calcChain>
</file>

<file path=xl/sharedStrings.xml><?xml version="1.0" encoding="utf-8"?>
<sst xmlns="http://schemas.openxmlformats.org/spreadsheetml/2006/main" count="175" uniqueCount="93">
  <si>
    <t>Sueldo del proyecto</t>
  </si>
  <si>
    <t>días x mes</t>
  </si>
  <si>
    <t>hrs *día</t>
  </si>
  <si>
    <t>hrs*mes</t>
  </si>
  <si>
    <t>Sueldo * hr</t>
  </si>
  <si>
    <t>Analista</t>
  </si>
  <si>
    <t>Diseñador</t>
  </si>
  <si>
    <t xml:space="preserve">Programador </t>
  </si>
  <si>
    <t>Tester</t>
  </si>
  <si>
    <t>Documentador</t>
  </si>
  <si>
    <t>Asegurador de la calidad</t>
  </si>
  <si>
    <t xml:space="preserve">Administrador de la configuraciòn </t>
  </si>
  <si>
    <t>Sueldos de cada rol</t>
  </si>
  <si>
    <t>Sueldo Guanajuato</t>
  </si>
  <si>
    <t>1.- Inicio</t>
  </si>
  <si>
    <t>2.- Planeacion</t>
  </si>
  <si>
    <t>3.- Análisis</t>
  </si>
  <si>
    <t>4.- Diseño</t>
  </si>
  <si>
    <t>Fase</t>
  </si>
  <si>
    <t>Actividad</t>
  </si>
  <si>
    <t>Responsable</t>
  </si>
  <si>
    <t>Costo</t>
  </si>
  <si>
    <t>Recursos</t>
  </si>
  <si>
    <t>Total</t>
  </si>
  <si>
    <t>Presupuesto del proyecto MEPPP</t>
  </si>
  <si>
    <t>Bolígrafo, Hojas de papel, Transporte, Computadora</t>
  </si>
  <si>
    <t>Computadora, Luz, Mobiliario</t>
  </si>
  <si>
    <t>Computadora, Luz, Mobiliario, Internet</t>
  </si>
  <si>
    <t>Bolígrafo, Computadora, Hojas de papel, Internet, Luz, Mobiliario</t>
  </si>
  <si>
    <t>Bolígrafo, Computadora, Hojas de papel, Luz, Mobiliario</t>
  </si>
  <si>
    <t>Bolígrafo, Hojas de papel, Transporte</t>
  </si>
  <si>
    <t>Bolígrafo, Hojas de papel</t>
  </si>
  <si>
    <t>Lider de proyecto</t>
  </si>
  <si>
    <t>Programador 4</t>
  </si>
  <si>
    <t>Programador 1</t>
  </si>
  <si>
    <t>Bolígrafo</t>
  </si>
  <si>
    <t>Hojas de papel</t>
  </si>
  <si>
    <t>Internet</t>
  </si>
  <si>
    <t>Luz</t>
  </si>
  <si>
    <t>Transporte</t>
  </si>
  <si>
    <t>Computadora</t>
  </si>
  <si>
    <t>Mobiliario</t>
  </si>
  <si>
    <t>Recursos materiales</t>
  </si>
  <si>
    <t>5.- Codificación</t>
  </si>
  <si>
    <t>6.- Pruebas</t>
  </si>
  <si>
    <t>7.- Implementación</t>
  </si>
  <si>
    <t>8.- Cierre de proyecto</t>
  </si>
  <si>
    <t>1.1 Acta de inicio</t>
  </si>
  <si>
    <t>2.1 Presupuesto</t>
  </si>
  <si>
    <t>2.2 Estudio de roles</t>
  </si>
  <si>
    <t>2.3 Selección del ciclo de vida</t>
  </si>
  <si>
    <t>2.4 Declaración del alcance</t>
  </si>
  <si>
    <t>2.5 Estructura de desglose de trabajo (EDT)</t>
  </si>
  <si>
    <t>2.6 Plan de comunicación</t>
  </si>
  <si>
    <t>3.1 Análisis de provedores</t>
  </si>
  <si>
    <t xml:space="preserve">3.2 Evaluar provedores de requerimientos </t>
  </si>
  <si>
    <t>3.3 Selección de la técnica de recolección de datos</t>
  </si>
  <si>
    <t>3.4 Aplicación de a técnica de recolección de datos seleccionada</t>
  </si>
  <si>
    <t>3.5 Especificación de requisitos de software (ERS)</t>
  </si>
  <si>
    <t xml:space="preserve">4.1 Diagramas UML </t>
  </si>
  <si>
    <t xml:space="preserve">4.2 Diagramas de la Base de datos </t>
  </si>
  <si>
    <t xml:space="preserve">4.3 Mapa de navegación </t>
  </si>
  <si>
    <t xml:space="preserve">4.4 Bocetos </t>
  </si>
  <si>
    <t xml:space="preserve">5.1 Base de datos </t>
  </si>
  <si>
    <t xml:space="preserve">5.2 Maquetación </t>
  </si>
  <si>
    <t xml:space="preserve">5.3 Frontend </t>
  </si>
  <si>
    <t xml:space="preserve">5.4 Backend </t>
  </si>
  <si>
    <t xml:space="preserve">6.1 Pruebas unitarias </t>
  </si>
  <si>
    <t xml:space="preserve">6.2 Pruebas de módulo </t>
  </si>
  <si>
    <t xml:space="preserve">7.1 Selección del hosting </t>
  </si>
  <si>
    <t xml:space="preserve">7.2 Subir el sitio web </t>
  </si>
  <si>
    <t xml:space="preserve">7.3 Pruebas de sistema </t>
  </si>
  <si>
    <t xml:space="preserve">8.1 Carta de aceptación </t>
  </si>
  <si>
    <t xml:space="preserve">8.2 Acta de cierre del proyecto </t>
  </si>
  <si>
    <t>5.3.1 Index</t>
  </si>
  <si>
    <t>5.3.2 Invernadero</t>
  </si>
  <si>
    <t>5.3.3 Campañas</t>
  </si>
  <si>
    <t>5.3.4 Socios</t>
  </si>
  <si>
    <t>5.3.5 Comentarios</t>
  </si>
  <si>
    <t>5.3.6 FAQs</t>
  </si>
  <si>
    <t>5.3.7 ¿Quiénes somos?</t>
  </si>
  <si>
    <t>5.3.8 Login/Registro</t>
  </si>
  <si>
    <t>5.3.9 Perfil</t>
  </si>
  <si>
    <t>5.4.1 Adopciones</t>
  </si>
  <si>
    <t>5.4.2 Invernaredo</t>
  </si>
  <si>
    <t>5.4.3 Campañas</t>
  </si>
  <si>
    <t>5.4.4 Comentarios</t>
  </si>
  <si>
    <t>5.4.5 FAQs</t>
  </si>
  <si>
    <t>5.4.6 Usuarios</t>
  </si>
  <si>
    <t>5.4.7 ¿Quiénes somos?</t>
  </si>
  <si>
    <t>6.3 Pruebas de validación</t>
  </si>
  <si>
    <t>Programador 2</t>
  </si>
  <si>
    <t>Programador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</si>
</sst>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"/>
    <numFmt numFmtId="165" formatCode="_-&quot;$&quot;* #,##0_-;\-&quot;$&quot;* #,##0_-;_-&quot;$&quot;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363636"/>
      <name val="Segoe UI"/>
      <family val="2"/>
    </font>
    <font>
      <sz val="9"/>
      <color theme="0"/>
      <name val="Segoe U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5" fontId="0" fillId="0" borderId="1" xfId="1" applyNumberFormat="1" applyFont="1" applyBorder="1"/>
    <xf numFmtId="0" fontId="0" fillId="0" borderId="0" xfId="0" applyAlignment="1">
      <alignment wrapText="1"/>
    </xf>
    <xf numFmtId="0" fontId="0" fillId="0" borderId="0" xfId="0" applyAlignment="1"/>
    <xf numFmtId="0" fontId="4" fillId="3" borderId="0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wrapText="1"/>
    </xf>
    <xf numFmtId="0" fontId="4" fillId="7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8" fontId="4" fillId="3" borderId="3" xfId="0" applyNumberFormat="1" applyFont="1" applyFill="1" applyBorder="1" applyAlignment="1">
      <alignment horizontal="right" vertical="center" wrapText="1"/>
    </xf>
    <xf numFmtId="0" fontId="0" fillId="0" borderId="1" xfId="0" applyBorder="1" applyAlignment="1"/>
    <xf numFmtId="8" fontId="4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2" fillId="2" borderId="1" xfId="0" applyFont="1" applyFill="1" applyBorder="1" applyAlignment="1">
      <alignment horizontal="center" vertical="center"/>
    </xf>
    <xf numFmtId="0" fontId="0" fillId="7" borderId="1" xfId="0" applyFill="1" applyBorder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6" fontId="0" fillId="0" borderId="0" xfId="1" applyNumberFormat="1" applyFont="1" applyAlignment="1">
      <alignment horizontal="right" vertical="center"/>
    </xf>
    <xf numFmtId="2" fontId="3" fillId="5" borderId="0" xfId="0" applyNumberFormat="1" applyFont="1" applyFill="1" applyAlignment="1">
      <alignment horizontal="center"/>
    </xf>
    <xf numFmtId="166" fontId="0" fillId="6" borderId="0" xfId="0" applyNumberFormat="1" applyFill="1" applyAlignment="1">
      <alignment horizontal="right" vertical="center"/>
    </xf>
    <xf numFmtId="166" fontId="0" fillId="8" borderId="0" xfId="0" applyNumberFormat="1" applyFill="1" applyAlignment="1">
      <alignment horizontal="right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44" fontId="0" fillId="0" borderId="1" xfId="1" applyNumberFormat="1" applyFont="1" applyBorder="1" applyAlignment="1"/>
    <xf numFmtId="44" fontId="0" fillId="0" borderId="1" xfId="1" applyNumberFormat="1" applyFont="1" applyBorder="1" applyAlignment="1">
      <alignment horizontal="center" vertical="center"/>
    </xf>
    <xf numFmtId="166" fontId="0" fillId="0" borderId="0" xfId="0" applyNumberFormat="1"/>
    <xf numFmtId="0" fontId="5" fillId="7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 indent="1"/>
    </xf>
    <xf numFmtId="0" fontId="4" fillId="10" borderId="1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99FF99"/>
      <color rgb="FF66FF66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BBF4-9154-4808-B240-AA9E19E178E7}">
  <dimension ref="A1:G55"/>
  <sheetViews>
    <sheetView tabSelected="1" zoomScale="90" zoomScaleNormal="90" workbookViewId="0">
      <selection sqref="A1:G1"/>
    </sheetView>
  </sheetViews>
  <sheetFormatPr baseColWidth="10" defaultRowHeight="15" x14ac:dyDescent="0.25"/>
  <cols>
    <col min="1" max="1" width="20.7109375" style="5" customWidth="1"/>
    <col min="2" max="2" width="55.7109375" style="5" customWidth="1"/>
    <col min="3" max="3" width="30.7109375" customWidth="1"/>
    <col min="4" max="4" width="9.7109375" style="19" customWidth="1"/>
    <col min="5" max="5" width="60.7109375" style="4" customWidth="1"/>
    <col min="6" max="6" width="9.7109375" customWidth="1"/>
    <col min="7" max="7" width="11.85546875" bestFit="1" customWidth="1"/>
  </cols>
  <sheetData>
    <row r="1" spans="1:7" ht="26.25" x14ac:dyDescent="0.4">
      <c r="A1" s="43" t="s">
        <v>24</v>
      </c>
      <c r="B1" s="43"/>
      <c r="C1" s="43"/>
      <c r="D1" s="43"/>
      <c r="E1" s="43"/>
      <c r="F1" s="43"/>
      <c r="G1" s="43"/>
    </row>
    <row r="2" spans="1:7" x14ac:dyDescent="0.25">
      <c r="A2" s="7" t="s">
        <v>18</v>
      </c>
      <c r="B2" s="7" t="s">
        <v>19</v>
      </c>
      <c r="C2" s="7" t="s">
        <v>20</v>
      </c>
      <c r="D2" s="34" t="s">
        <v>21</v>
      </c>
      <c r="E2" s="8" t="s">
        <v>22</v>
      </c>
      <c r="F2" s="7" t="s">
        <v>21</v>
      </c>
      <c r="G2" s="7" t="s">
        <v>23</v>
      </c>
    </row>
    <row r="3" spans="1:7" x14ac:dyDescent="0.25">
      <c r="G3" s="35">
        <f>SUM(G4,G6,G13,G19,G24,G45,G49,G53)</f>
        <v>87396.074006496478</v>
      </c>
    </row>
    <row r="4" spans="1:7" x14ac:dyDescent="0.25">
      <c r="A4" s="37" t="s">
        <v>14</v>
      </c>
      <c r="G4" s="36">
        <f>SUM(G5)</f>
        <v>222.11875000000001</v>
      </c>
    </row>
    <row r="5" spans="1:7" x14ac:dyDescent="0.25">
      <c r="A5" s="6"/>
      <c r="B5" s="9" t="s">
        <v>47</v>
      </c>
      <c r="C5" s="16" t="s">
        <v>32</v>
      </c>
      <c r="D5" s="20">
        <f>LOOKUP(C5,Sueldos!B3,Sueldos!G3)</f>
        <v>190.11875000000001</v>
      </c>
      <c r="E5" s="14" t="s">
        <v>25</v>
      </c>
      <c r="F5" s="31">
        <v>32</v>
      </c>
      <c r="G5" s="33">
        <f>D5+F5</f>
        <v>222.11875000000001</v>
      </c>
    </row>
    <row r="6" spans="1:7" x14ac:dyDescent="0.25">
      <c r="A6" s="38" t="s">
        <v>15</v>
      </c>
      <c r="C6" s="16"/>
      <c r="D6" s="20"/>
      <c r="E6" s="10"/>
      <c r="F6" s="31"/>
      <c r="G6" s="36">
        <f>SUM(G7:G12)</f>
        <v>6585.0375000000004</v>
      </c>
    </row>
    <row r="7" spans="1:7" x14ac:dyDescent="0.25">
      <c r="A7" s="6"/>
      <c r="B7" s="9" t="s">
        <v>48</v>
      </c>
      <c r="C7" s="16" t="s">
        <v>32</v>
      </c>
      <c r="D7" s="20">
        <f>LOOKUP(C7,Sueldos!B3,Sueldos!G3)*8</f>
        <v>1520.95</v>
      </c>
      <c r="E7" s="11" t="s">
        <v>26</v>
      </c>
      <c r="F7" s="31">
        <v>18</v>
      </c>
      <c r="G7" s="33">
        <f>D7+F7</f>
        <v>1538.95</v>
      </c>
    </row>
    <row r="8" spans="1:7" x14ac:dyDescent="0.25">
      <c r="A8" s="6"/>
      <c r="B8" s="9" t="s">
        <v>49</v>
      </c>
      <c r="C8" s="16" t="s">
        <v>32</v>
      </c>
      <c r="D8" s="20">
        <f>LOOKUP(C8,Sueldos!B3,Sueldos!G3)*8</f>
        <v>1520.95</v>
      </c>
      <c r="E8" s="11" t="s">
        <v>26</v>
      </c>
      <c r="F8" s="31">
        <v>18</v>
      </c>
      <c r="G8" s="33">
        <f t="shared" ref="G8:G12" si="0">D8+F8</f>
        <v>1538.95</v>
      </c>
    </row>
    <row r="9" spans="1:7" x14ac:dyDescent="0.25">
      <c r="A9" s="6"/>
      <c r="B9" s="9" t="s">
        <v>50</v>
      </c>
      <c r="C9" s="16" t="s">
        <v>32</v>
      </c>
      <c r="D9" s="20">
        <f>LOOKUP(C9,Sueldos!B3,Sueldos!G3)*2</f>
        <v>380.23750000000001</v>
      </c>
      <c r="E9" s="11" t="s">
        <v>26</v>
      </c>
      <c r="F9" s="31">
        <v>18</v>
      </c>
      <c r="G9" s="33">
        <f t="shared" si="0"/>
        <v>398.23750000000001</v>
      </c>
    </row>
    <row r="10" spans="1:7" x14ac:dyDescent="0.25">
      <c r="A10" s="6"/>
      <c r="B10" s="9" t="s">
        <v>51</v>
      </c>
      <c r="C10" s="16" t="s">
        <v>32</v>
      </c>
      <c r="D10" s="20">
        <f>LOOKUP(C10,Sueldos!B3,Sueldos!G3)*2</f>
        <v>380.23750000000001</v>
      </c>
      <c r="E10" s="11" t="s">
        <v>26</v>
      </c>
      <c r="F10" s="31">
        <v>18</v>
      </c>
      <c r="G10" s="33">
        <f t="shared" si="0"/>
        <v>398.23750000000001</v>
      </c>
    </row>
    <row r="11" spans="1:7" x14ac:dyDescent="0.25">
      <c r="A11" s="6"/>
      <c r="B11" s="9" t="s">
        <v>52</v>
      </c>
      <c r="C11" s="16" t="s">
        <v>32</v>
      </c>
      <c r="D11" s="20">
        <f>LOOKUP(C11,Sueldos!B3,Sueldos!G3)*8</f>
        <v>1520.95</v>
      </c>
      <c r="E11" s="11" t="s">
        <v>27</v>
      </c>
      <c r="F11" s="31">
        <v>31</v>
      </c>
      <c r="G11" s="33">
        <f t="shared" si="0"/>
        <v>1551.95</v>
      </c>
    </row>
    <row r="12" spans="1:7" x14ac:dyDescent="0.25">
      <c r="A12" s="6"/>
      <c r="B12" s="9" t="s">
        <v>53</v>
      </c>
      <c r="C12" s="16" t="s">
        <v>32</v>
      </c>
      <c r="D12" s="20">
        <f>LOOKUP(C12,Sueldos!B3,Sueldos!G3)*6</f>
        <v>1140.7125000000001</v>
      </c>
      <c r="E12" s="11" t="s">
        <v>26</v>
      </c>
      <c r="F12" s="31">
        <v>18</v>
      </c>
      <c r="G12" s="33">
        <f t="shared" si="0"/>
        <v>1158.7125000000001</v>
      </c>
    </row>
    <row r="13" spans="1:7" x14ac:dyDescent="0.25">
      <c r="A13" s="38" t="s">
        <v>16</v>
      </c>
      <c r="E13" s="12"/>
      <c r="F13" s="31"/>
      <c r="G13" s="36">
        <f>SUM(G14:G18)</f>
        <v>6046.9344002963535</v>
      </c>
    </row>
    <row r="14" spans="1:7" x14ac:dyDescent="0.25">
      <c r="A14" s="6"/>
      <c r="B14" s="9" t="s">
        <v>54</v>
      </c>
      <c r="C14" s="17" t="s">
        <v>5</v>
      </c>
      <c r="D14" s="20">
        <f>LOOKUP(C14,Sueldos!B4,Sueldos!G4)*16</f>
        <v>2358.280072990698</v>
      </c>
      <c r="E14" s="11" t="s">
        <v>27</v>
      </c>
      <c r="F14" s="31">
        <v>31</v>
      </c>
      <c r="G14" s="33">
        <f>D14+F14</f>
        <v>2389.280072990698</v>
      </c>
    </row>
    <row r="15" spans="1:7" x14ac:dyDescent="0.25">
      <c r="A15" s="6"/>
      <c r="B15" s="9" t="s">
        <v>55</v>
      </c>
      <c r="C15" s="17" t="s">
        <v>5</v>
      </c>
      <c r="D15" s="20">
        <f>LOOKUP(C15,Sueldos!B4,Sueldos!G4)*4</f>
        <v>589.57001824767451</v>
      </c>
      <c r="E15" s="11" t="s">
        <v>31</v>
      </c>
      <c r="F15" s="31">
        <v>4</v>
      </c>
      <c r="G15" s="33">
        <f t="shared" ref="G15:G18" si="1">D15+F15</f>
        <v>593.57001824767451</v>
      </c>
    </row>
    <row r="16" spans="1:7" x14ac:dyDescent="0.25">
      <c r="A16" s="6"/>
      <c r="B16" s="9" t="s">
        <v>56</v>
      </c>
      <c r="C16" s="17" t="s">
        <v>5</v>
      </c>
      <c r="D16" s="20">
        <f>LOOKUP(C16,Sueldos!B4,Sueldos!G4)*2</f>
        <v>294.78500912383726</v>
      </c>
      <c r="E16" s="11" t="s">
        <v>26</v>
      </c>
      <c r="F16" s="31">
        <v>18</v>
      </c>
      <c r="G16" s="33">
        <f t="shared" si="1"/>
        <v>312.78500912383726</v>
      </c>
    </row>
    <row r="17" spans="1:7" x14ac:dyDescent="0.25">
      <c r="A17" s="6"/>
      <c r="B17" s="9" t="s">
        <v>57</v>
      </c>
      <c r="C17" s="17" t="s">
        <v>5</v>
      </c>
      <c r="D17" s="20">
        <f>LOOKUP(C17,Sueldos!B4,Sueldos!G4)*2</f>
        <v>294.78500912383726</v>
      </c>
      <c r="E17" s="11" t="s">
        <v>28</v>
      </c>
      <c r="F17" s="31">
        <v>35</v>
      </c>
      <c r="G17" s="33">
        <f t="shared" si="1"/>
        <v>329.78500912383726</v>
      </c>
    </row>
    <row r="18" spans="1:7" x14ac:dyDescent="0.25">
      <c r="A18" s="6"/>
      <c r="B18" s="9" t="s">
        <v>58</v>
      </c>
      <c r="C18" s="17" t="s">
        <v>6</v>
      </c>
      <c r="D18" s="20">
        <f>LOOKUP(C18,Sueldos!B5,Sueldos!G5)*16</f>
        <v>2399.5142908103066</v>
      </c>
      <c r="E18" s="11" t="s">
        <v>29</v>
      </c>
      <c r="F18" s="31">
        <v>22</v>
      </c>
      <c r="G18" s="33">
        <f t="shared" si="1"/>
        <v>2421.5142908103066</v>
      </c>
    </row>
    <row r="19" spans="1:7" x14ac:dyDescent="0.25">
      <c r="A19" s="38" t="s">
        <v>17</v>
      </c>
      <c r="C19" s="17"/>
      <c r="E19" s="12"/>
      <c r="F19" s="31"/>
      <c r="G19" s="36">
        <f>SUM(G20:G23)</f>
        <v>7283.5428724309204</v>
      </c>
    </row>
    <row r="20" spans="1:7" x14ac:dyDescent="0.25">
      <c r="A20" s="6"/>
      <c r="B20" s="9" t="s">
        <v>59</v>
      </c>
      <c r="C20" s="17" t="s">
        <v>6</v>
      </c>
      <c r="D20" s="20">
        <f>LOOKUP(C20,Sueldos!B5,Sueldos!G5)*8</f>
        <v>1199.7571454051533</v>
      </c>
      <c r="E20" s="11" t="s">
        <v>26</v>
      </c>
      <c r="F20" s="31">
        <v>18</v>
      </c>
      <c r="G20" s="32">
        <f>D20+F20</f>
        <v>1217.7571454051533</v>
      </c>
    </row>
    <row r="21" spans="1:7" x14ac:dyDescent="0.25">
      <c r="A21" s="6"/>
      <c r="B21" s="9" t="s">
        <v>60</v>
      </c>
      <c r="C21" s="17" t="s">
        <v>6</v>
      </c>
      <c r="D21" s="20">
        <f>LOOKUP(C21,Sueldos!B5,Sueldos!G5)*20</f>
        <v>2999.3928635128832</v>
      </c>
      <c r="E21" s="11" t="s">
        <v>27</v>
      </c>
      <c r="F21" s="31">
        <v>31</v>
      </c>
      <c r="G21" s="32">
        <f t="shared" ref="G21:G23" si="2">D21+F21</f>
        <v>3030.3928635128832</v>
      </c>
    </row>
    <row r="22" spans="1:7" x14ac:dyDescent="0.25">
      <c r="A22" s="6"/>
      <c r="B22" s="9" t="s">
        <v>61</v>
      </c>
      <c r="C22" s="17" t="s">
        <v>6</v>
      </c>
      <c r="D22" s="20">
        <f>LOOKUP(C22,Sueldos!B5,Sueldos!G5)*4</f>
        <v>599.87857270257666</v>
      </c>
      <c r="E22" s="11" t="s">
        <v>26</v>
      </c>
      <c r="F22" s="31">
        <v>18</v>
      </c>
      <c r="G22" s="32">
        <f t="shared" si="2"/>
        <v>617.87857270257666</v>
      </c>
    </row>
    <row r="23" spans="1:7" x14ac:dyDescent="0.25">
      <c r="A23" s="6"/>
      <c r="B23" s="9" t="s">
        <v>62</v>
      </c>
      <c r="C23" s="17" t="s">
        <v>6</v>
      </c>
      <c r="D23" s="20">
        <f>LOOKUP(C23,Sueldos!B5,Sueldos!G5)*16</f>
        <v>2399.5142908103066</v>
      </c>
      <c r="E23" s="11" t="s">
        <v>26</v>
      </c>
      <c r="F23" s="31">
        <v>18</v>
      </c>
      <c r="G23" s="32">
        <f t="shared" si="2"/>
        <v>2417.5142908103066</v>
      </c>
    </row>
    <row r="24" spans="1:7" x14ac:dyDescent="0.25">
      <c r="A24" s="38" t="s">
        <v>43</v>
      </c>
      <c r="E24" s="13"/>
      <c r="F24" s="31"/>
      <c r="G24" s="36">
        <f>SUM(G25:G26,G28:G36,G38:G44)</f>
        <v>52877.711747111949</v>
      </c>
    </row>
    <row r="25" spans="1:7" x14ac:dyDescent="0.25">
      <c r="A25" s="6"/>
      <c r="B25" s="9" t="s">
        <v>63</v>
      </c>
      <c r="C25" s="15" t="s">
        <v>34</v>
      </c>
      <c r="D25" s="20">
        <f>LOOKUP(C25,Sueldos!B6,Sueldos!G6)*16</f>
        <v>2552.1810608347282</v>
      </c>
      <c r="E25" s="11" t="s">
        <v>27</v>
      </c>
      <c r="F25" s="31">
        <v>31</v>
      </c>
      <c r="G25" s="32">
        <f>D25+F25</f>
        <v>2583.1810608347282</v>
      </c>
    </row>
    <row r="26" spans="1:7" x14ac:dyDescent="0.25">
      <c r="A26" s="6"/>
      <c r="B26" s="9" t="s">
        <v>64</v>
      </c>
      <c r="C26" s="15" t="s">
        <v>33</v>
      </c>
      <c r="D26" s="20">
        <f>LOOKUP(C26,Sueldos!B6,Sueldos!G6)*16</f>
        <v>2552.1810608347282</v>
      </c>
      <c r="E26" s="11" t="s">
        <v>27</v>
      </c>
      <c r="F26" s="31">
        <v>31</v>
      </c>
      <c r="G26" s="32">
        <f t="shared" ref="G26:G37" si="3">D26+F26</f>
        <v>2583.1810608347282</v>
      </c>
    </row>
    <row r="27" spans="1:7" x14ac:dyDescent="0.25">
      <c r="A27" s="6"/>
      <c r="B27" s="51" t="s">
        <v>65</v>
      </c>
      <c r="C27" s="15"/>
      <c r="D27" s="20"/>
      <c r="E27" s="11"/>
      <c r="F27" s="31"/>
      <c r="G27" s="36">
        <f>SUM(G28:G36)</f>
        <v>25800.810608347285</v>
      </c>
    </row>
    <row r="28" spans="1:7" x14ac:dyDescent="0.25">
      <c r="A28" s="6"/>
      <c r="B28" s="50" t="s">
        <v>74</v>
      </c>
      <c r="C28" s="15" t="s">
        <v>91</v>
      </c>
      <c r="D28" s="20">
        <f>LOOKUP(C28,Sueldos!B6,Sueldos!G6)*24</f>
        <v>3828.2715912520925</v>
      </c>
      <c r="E28" s="11" t="s">
        <v>27</v>
      </c>
      <c r="F28" s="31">
        <v>31</v>
      </c>
      <c r="G28" s="32">
        <f>D28+F28</f>
        <v>3859.2715912520925</v>
      </c>
    </row>
    <row r="29" spans="1:7" x14ac:dyDescent="0.25">
      <c r="A29" s="6"/>
      <c r="B29" s="50" t="s">
        <v>75</v>
      </c>
      <c r="C29" s="15" t="s">
        <v>91</v>
      </c>
      <c r="D29" s="20">
        <f>LOOKUP(C29,Sueldos!B6,Sueldos!G6)*24</f>
        <v>3828.2715912520925</v>
      </c>
      <c r="E29" s="11" t="s">
        <v>27</v>
      </c>
      <c r="F29" s="31">
        <v>31</v>
      </c>
      <c r="G29" s="32">
        <f>D29+F29</f>
        <v>3859.2715912520925</v>
      </c>
    </row>
    <row r="30" spans="1:7" x14ac:dyDescent="0.25">
      <c r="A30" s="6"/>
      <c r="B30" s="50" t="s">
        <v>76</v>
      </c>
      <c r="C30" s="15" t="s">
        <v>34</v>
      </c>
      <c r="D30" s="20">
        <f>LOOKUP(C30,Sueldos!B6,Sueldos!G6)*16</f>
        <v>2552.1810608347282</v>
      </c>
      <c r="E30" s="11" t="s">
        <v>27</v>
      </c>
      <c r="F30" s="31">
        <v>31</v>
      </c>
      <c r="G30" s="32">
        <f>D30+F30</f>
        <v>2583.1810608347282</v>
      </c>
    </row>
    <row r="31" spans="1:7" x14ac:dyDescent="0.25">
      <c r="A31" s="6"/>
      <c r="B31" s="50" t="s">
        <v>77</v>
      </c>
      <c r="C31" s="15" t="s">
        <v>92</v>
      </c>
      <c r="D31" s="20">
        <f>LOOKUP(C31,Sueldos!B6,Sueldos!G6)*16</f>
        <v>2552.1810608347282</v>
      </c>
      <c r="E31" s="11" t="s">
        <v>27</v>
      </c>
      <c r="F31" s="31">
        <v>31</v>
      </c>
      <c r="G31" s="32">
        <f t="shared" ref="G29:G36" si="4">D31+F31</f>
        <v>2583.1810608347282</v>
      </c>
    </row>
    <row r="32" spans="1:7" x14ac:dyDescent="0.25">
      <c r="A32" s="6"/>
      <c r="B32" s="50" t="s">
        <v>78</v>
      </c>
      <c r="C32" s="15" t="s">
        <v>34</v>
      </c>
      <c r="D32" s="20">
        <f>LOOKUP(C32,Sueldos!B6,Sueldos!G6)*16</f>
        <v>2552.1810608347282</v>
      </c>
      <c r="E32" s="11" t="s">
        <v>27</v>
      </c>
      <c r="F32" s="31">
        <v>31</v>
      </c>
      <c r="G32" s="32">
        <f t="shared" si="4"/>
        <v>2583.1810608347282</v>
      </c>
    </row>
    <row r="33" spans="1:7" x14ac:dyDescent="0.25">
      <c r="A33" s="6"/>
      <c r="B33" s="50" t="s">
        <v>79</v>
      </c>
      <c r="C33" s="15" t="s">
        <v>91</v>
      </c>
      <c r="D33" s="20">
        <f>LOOKUP(C33,Sueldos!B6,Sueldos!G6)*16</f>
        <v>2552.1810608347282</v>
      </c>
      <c r="E33" s="11" t="s">
        <v>27</v>
      </c>
      <c r="F33" s="31">
        <v>31</v>
      </c>
      <c r="G33" s="32">
        <f t="shared" si="4"/>
        <v>2583.1810608347282</v>
      </c>
    </row>
    <row r="34" spans="1:7" x14ac:dyDescent="0.25">
      <c r="A34" s="6"/>
      <c r="B34" s="50" t="s">
        <v>80</v>
      </c>
      <c r="C34" s="15" t="s">
        <v>92</v>
      </c>
      <c r="D34" s="20">
        <f>LOOKUP(C34,Sueldos!B6,Sueldos!G6)*16</f>
        <v>2552.1810608347282</v>
      </c>
      <c r="E34" s="11" t="s">
        <v>27</v>
      </c>
      <c r="F34" s="31">
        <v>31</v>
      </c>
      <c r="G34" s="32">
        <f t="shared" si="4"/>
        <v>2583.1810608347282</v>
      </c>
    </row>
    <row r="35" spans="1:7" x14ac:dyDescent="0.25">
      <c r="A35" s="6"/>
      <c r="B35" s="50" t="s">
        <v>81</v>
      </c>
      <c r="C35" s="15" t="s">
        <v>33</v>
      </c>
      <c r="D35" s="20">
        <f>LOOKUP(C35,Sueldos!B6,Sueldos!G6)*16</f>
        <v>2552.1810608347282</v>
      </c>
      <c r="E35" s="11" t="s">
        <v>27</v>
      </c>
      <c r="F35" s="31">
        <v>31</v>
      </c>
      <c r="G35" s="32">
        <f t="shared" si="4"/>
        <v>2583.1810608347282</v>
      </c>
    </row>
    <row r="36" spans="1:7" x14ac:dyDescent="0.25">
      <c r="A36" s="6"/>
      <c r="B36" s="50" t="s">
        <v>82</v>
      </c>
      <c r="C36" s="15" t="s">
        <v>33</v>
      </c>
      <c r="D36" s="20">
        <f>LOOKUP(C36,Sueldos!B6,Sueldos!G6)*16</f>
        <v>2552.1810608347282</v>
      </c>
      <c r="E36" s="11" t="s">
        <v>27</v>
      </c>
      <c r="F36" s="31">
        <v>31</v>
      </c>
      <c r="G36" s="32">
        <f t="shared" si="4"/>
        <v>2583.1810608347282</v>
      </c>
    </row>
    <row r="37" spans="1:7" x14ac:dyDescent="0.25">
      <c r="A37" s="6"/>
      <c r="B37" s="51" t="s">
        <v>66</v>
      </c>
      <c r="C37" s="15"/>
      <c r="D37" s="20"/>
      <c r="E37" s="11"/>
      <c r="F37" s="31"/>
      <c r="G37" s="36">
        <f>SUM(G38:G44)</f>
        <v>21910.539017095191</v>
      </c>
    </row>
    <row r="38" spans="1:7" x14ac:dyDescent="0.25">
      <c r="A38" s="6"/>
      <c r="B38" s="50" t="s">
        <v>83</v>
      </c>
      <c r="C38" s="15" t="s">
        <v>34</v>
      </c>
      <c r="D38" s="20">
        <f>LOOKUP(C38,Sueldos!B6,Sueldos!G6)*24</f>
        <v>3828.2715912520925</v>
      </c>
      <c r="E38" s="11" t="s">
        <v>27</v>
      </c>
      <c r="F38" s="31">
        <v>31</v>
      </c>
      <c r="G38" s="32">
        <f>D38+F38</f>
        <v>3859.2715912520925</v>
      </c>
    </row>
    <row r="39" spans="1:7" x14ac:dyDescent="0.25">
      <c r="A39" s="6"/>
      <c r="B39" s="50" t="s">
        <v>84</v>
      </c>
      <c r="C39" s="15" t="s">
        <v>91</v>
      </c>
      <c r="D39" s="20">
        <f>LOOKUP(C39,Sueldos!B6,Sueldos!G6)*24</f>
        <v>3828.2715912520925</v>
      </c>
      <c r="E39" s="11" t="s">
        <v>27</v>
      </c>
      <c r="F39" s="31">
        <v>31</v>
      </c>
      <c r="G39" s="32">
        <f t="shared" ref="G39:G44" si="5">D39+F39</f>
        <v>3859.2715912520925</v>
      </c>
    </row>
    <row r="40" spans="1:7" x14ac:dyDescent="0.25">
      <c r="A40" s="6"/>
      <c r="B40" s="50" t="s">
        <v>85</v>
      </c>
      <c r="C40" s="15" t="s">
        <v>34</v>
      </c>
      <c r="D40" s="20">
        <f>LOOKUP(C40,Sueldos!B6,Sueldos!G6)*16</f>
        <v>2552.1810608347282</v>
      </c>
      <c r="E40" s="11" t="s">
        <v>27</v>
      </c>
      <c r="F40" s="31">
        <v>31</v>
      </c>
      <c r="G40" s="32">
        <f t="shared" si="5"/>
        <v>2583.1810608347282</v>
      </c>
    </row>
    <row r="41" spans="1:7" x14ac:dyDescent="0.25">
      <c r="A41" s="6"/>
      <c r="B41" s="50" t="s">
        <v>86</v>
      </c>
      <c r="C41" s="15" t="s">
        <v>34</v>
      </c>
      <c r="D41" s="20">
        <f>LOOKUP(C41,Sueldos!B6,Sueldos!G6)*16</f>
        <v>2552.1810608347282</v>
      </c>
      <c r="E41" s="11" t="s">
        <v>27</v>
      </c>
      <c r="F41" s="31">
        <v>31</v>
      </c>
      <c r="G41" s="32">
        <f t="shared" si="5"/>
        <v>2583.1810608347282</v>
      </c>
    </row>
    <row r="42" spans="1:7" x14ac:dyDescent="0.25">
      <c r="A42" s="6"/>
      <c r="B42" s="50" t="s">
        <v>87</v>
      </c>
      <c r="C42" s="15" t="s">
        <v>91</v>
      </c>
      <c r="D42" s="20">
        <f>LOOKUP(C42,Sueldos!B6,Sueldos!G6)*16</f>
        <v>2552.1810608347282</v>
      </c>
      <c r="E42" s="11" t="s">
        <v>27</v>
      </c>
      <c r="F42" s="31">
        <v>31</v>
      </c>
      <c r="G42" s="32">
        <f t="shared" si="5"/>
        <v>2583.1810608347282</v>
      </c>
    </row>
    <row r="43" spans="1:7" x14ac:dyDescent="0.25">
      <c r="A43" s="6"/>
      <c r="B43" s="50" t="s">
        <v>88</v>
      </c>
      <c r="C43" s="15" t="s">
        <v>92</v>
      </c>
      <c r="D43" s="20">
        <f>LOOKUP(C43,Sueldos!B6,Sueldos!G6)*24</f>
        <v>3828.2715912520925</v>
      </c>
      <c r="E43" s="11" t="s">
        <v>27</v>
      </c>
      <c r="F43" s="31">
        <v>31</v>
      </c>
      <c r="G43" s="32">
        <f t="shared" si="5"/>
        <v>3859.2715912520925</v>
      </c>
    </row>
    <row r="44" spans="1:7" x14ac:dyDescent="0.25">
      <c r="A44" s="6"/>
      <c r="B44" s="50" t="s">
        <v>89</v>
      </c>
      <c r="C44" s="15" t="s">
        <v>92</v>
      </c>
      <c r="D44" s="20">
        <f>LOOKUP(C44,Sueldos!B6,Sueldos!G6)*16</f>
        <v>2552.1810608347282</v>
      </c>
      <c r="E44" s="11" t="s">
        <v>27</v>
      </c>
      <c r="F44" s="31">
        <v>31</v>
      </c>
      <c r="G44" s="32">
        <f t="shared" si="5"/>
        <v>2583.1810608347282</v>
      </c>
    </row>
    <row r="45" spans="1:7" x14ac:dyDescent="0.25">
      <c r="A45" s="38" t="s">
        <v>44</v>
      </c>
      <c r="C45" s="15"/>
      <c r="E45" s="11"/>
      <c r="F45" s="31"/>
      <c r="G45" s="36">
        <f>SUM(G46:G48)</f>
        <v>9483.3836127651412</v>
      </c>
    </row>
    <row r="46" spans="1:7" x14ac:dyDescent="0.25">
      <c r="A46" s="6"/>
      <c r="B46" s="9" t="s">
        <v>67</v>
      </c>
      <c r="C46" s="18" t="s">
        <v>8</v>
      </c>
      <c r="D46" s="20">
        <f>LOOKUP(C46,Sueldos!B7,Sueldos!G7)*24</f>
        <v>3130.1278709217136</v>
      </c>
      <c r="E46" s="11" t="s">
        <v>27</v>
      </c>
      <c r="F46" s="31">
        <v>31</v>
      </c>
      <c r="G46" s="32">
        <f>D46+F46</f>
        <v>3161.1278709217136</v>
      </c>
    </row>
    <row r="47" spans="1:7" x14ac:dyDescent="0.25">
      <c r="A47" s="6"/>
      <c r="B47" s="9" t="s">
        <v>68</v>
      </c>
      <c r="C47" s="18" t="s">
        <v>8</v>
      </c>
      <c r="D47" s="20">
        <f>LOOKUP(C47,Sueldos!B7,Sueldos!G7)*32</f>
        <v>4173.5038278956181</v>
      </c>
      <c r="E47" s="11" t="s">
        <v>27</v>
      </c>
      <c r="F47" s="31">
        <v>31</v>
      </c>
      <c r="G47" s="32">
        <f>D47+F47</f>
        <v>4204.5038278956181</v>
      </c>
    </row>
    <row r="48" spans="1:7" x14ac:dyDescent="0.25">
      <c r="A48" s="6"/>
      <c r="B48" s="9" t="s">
        <v>90</v>
      </c>
      <c r="C48" s="18" t="s">
        <v>8</v>
      </c>
      <c r="D48" s="20">
        <f>LOOKUP(C48,Sueldos!B7,Sueldos!G7)*16</f>
        <v>2086.751913947809</v>
      </c>
      <c r="E48" s="11" t="s">
        <v>27</v>
      </c>
      <c r="F48" s="31">
        <v>31</v>
      </c>
      <c r="G48" s="32">
        <f>D48+F48</f>
        <v>2117.751913947809</v>
      </c>
    </row>
    <row r="49" spans="1:7" x14ac:dyDescent="0.25">
      <c r="A49" s="38" t="s">
        <v>45</v>
      </c>
      <c r="C49" s="18"/>
      <c r="E49" s="13"/>
      <c r="F49" s="31"/>
      <c r="G49" s="36">
        <f>SUM(G50:G52)</f>
        <v>4088.8701238921058</v>
      </c>
    </row>
    <row r="50" spans="1:7" x14ac:dyDescent="0.25">
      <c r="A50" s="6"/>
      <c r="B50" s="9" t="s">
        <v>69</v>
      </c>
      <c r="C50" s="18" t="s">
        <v>6</v>
      </c>
      <c r="D50" s="20">
        <f>LOOKUP(C50,Sueldos!B5,Sueldos!G5)*8</f>
        <v>1199.7571454051533</v>
      </c>
      <c r="E50" s="11" t="s">
        <v>27</v>
      </c>
      <c r="F50" s="31">
        <v>31</v>
      </c>
      <c r="G50" s="32">
        <f>D50+F50</f>
        <v>1230.7571454051533</v>
      </c>
    </row>
    <row r="51" spans="1:7" x14ac:dyDescent="0.25">
      <c r="A51" s="6"/>
      <c r="B51" s="9" t="s">
        <v>70</v>
      </c>
      <c r="C51" s="18" t="s">
        <v>8</v>
      </c>
      <c r="D51" s="20">
        <f>LOOKUP(C51,Sueldos!B7,Sueldos!G7)*4</f>
        <v>521.68797848695226</v>
      </c>
      <c r="E51" s="11" t="s">
        <v>27</v>
      </c>
      <c r="F51" s="31">
        <v>31</v>
      </c>
      <c r="G51" s="32">
        <f t="shared" ref="G51:G52" si="6">D51+F51</f>
        <v>552.68797848695226</v>
      </c>
    </row>
    <row r="52" spans="1:7" x14ac:dyDescent="0.25">
      <c r="A52" s="6"/>
      <c r="B52" s="9" t="s">
        <v>71</v>
      </c>
      <c r="C52" s="18" t="s">
        <v>32</v>
      </c>
      <c r="D52" s="20">
        <f>LOOKUP(C5,Sueldos!B3,Sueldos!G3)*12</f>
        <v>2281.4250000000002</v>
      </c>
      <c r="E52" s="11" t="s">
        <v>30</v>
      </c>
      <c r="F52" s="31">
        <v>24</v>
      </c>
      <c r="G52" s="32">
        <f t="shared" si="6"/>
        <v>2305.4250000000002</v>
      </c>
    </row>
    <row r="53" spans="1:7" x14ac:dyDescent="0.25">
      <c r="A53" s="38" t="s">
        <v>46</v>
      </c>
      <c r="C53" s="18"/>
      <c r="E53" s="11"/>
      <c r="F53" s="31"/>
      <c r="G53" s="36">
        <f>SUM(G54:G55)</f>
        <v>808.47500000000002</v>
      </c>
    </row>
    <row r="54" spans="1:7" x14ac:dyDescent="0.25">
      <c r="A54" s="6"/>
      <c r="B54" s="9" t="s">
        <v>72</v>
      </c>
      <c r="C54" s="18" t="s">
        <v>32</v>
      </c>
      <c r="D54" s="20">
        <f>LOOKUP(C5,Sueldos!B3,Sueldos!G3)*2</f>
        <v>380.23750000000001</v>
      </c>
      <c r="E54" s="11" t="s">
        <v>30</v>
      </c>
      <c r="F54" s="31">
        <v>24</v>
      </c>
      <c r="G54" s="32">
        <f>D54+F54</f>
        <v>404.23750000000001</v>
      </c>
    </row>
    <row r="55" spans="1:7" x14ac:dyDescent="0.25">
      <c r="A55" s="6"/>
      <c r="B55" s="9" t="s">
        <v>73</v>
      </c>
      <c r="C55" s="18" t="s">
        <v>32</v>
      </c>
      <c r="D55" s="20">
        <f>LOOKUP(C5,Sueldos!B3,Sueldos!G3)*2</f>
        <v>380.23750000000001</v>
      </c>
      <c r="E55" s="11" t="s">
        <v>30</v>
      </c>
      <c r="F55" s="31">
        <v>24</v>
      </c>
      <c r="G55" s="32">
        <f>D55+F55</f>
        <v>404.23750000000001</v>
      </c>
    </row>
  </sheetData>
  <mergeCells count="1">
    <mergeCell ref="A1:G1"/>
  </mergeCells>
  <pageMargins left="0.7" right="0.7" top="0.75" bottom="0.75" header="0.3" footer="0.3"/>
  <pageSetup paperSize="9" orientation="portrait" r:id="rId1"/>
  <ignoredErrors>
    <ignoredError sqref="D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50D1-9947-4085-83DD-C22782B01263}">
  <dimension ref="B2:J38"/>
  <sheetViews>
    <sheetView topLeftCell="B1" zoomScale="90" zoomScaleNormal="90" workbookViewId="0">
      <selection activeCell="C15" sqref="C15"/>
    </sheetView>
  </sheetViews>
  <sheetFormatPr baseColWidth="10" defaultRowHeight="15" x14ac:dyDescent="0.25"/>
  <cols>
    <col min="2" max="2" width="31.85546875" bestFit="1" customWidth="1"/>
    <col min="3" max="3" width="16.7109375" customWidth="1"/>
    <col min="8" max="8" width="15.28515625" customWidth="1"/>
  </cols>
  <sheetData>
    <row r="2" spans="2:10" x14ac:dyDescent="0.25">
      <c r="B2" s="44" t="s">
        <v>0</v>
      </c>
      <c r="C2" s="44"/>
      <c r="D2" s="24" t="s">
        <v>1</v>
      </c>
      <c r="E2" s="24" t="s">
        <v>2</v>
      </c>
      <c r="F2" s="24" t="s">
        <v>3</v>
      </c>
      <c r="G2" s="23" t="s">
        <v>4</v>
      </c>
      <c r="H2" s="1"/>
    </row>
    <row r="3" spans="2:10" x14ac:dyDescent="0.25">
      <c r="B3" s="30" t="s">
        <v>32</v>
      </c>
      <c r="C3" s="41">
        <f>(C15*C12)/C15</f>
        <v>30419</v>
      </c>
      <c r="D3" s="21">
        <v>20</v>
      </c>
      <c r="E3" s="22">
        <v>8</v>
      </c>
      <c r="F3" s="21">
        <f t="shared" ref="F3:F9" si="0">D3*E3</f>
        <v>160</v>
      </c>
      <c r="G3" s="39">
        <f t="shared" ref="G3:G10" si="1">C3/F3</f>
        <v>190.11875000000001</v>
      </c>
      <c r="H3" s="2"/>
      <c r="J3" s="42"/>
    </row>
    <row r="4" spans="2:10" x14ac:dyDescent="0.25">
      <c r="B4" s="30" t="s">
        <v>5</v>
      </c>
      <c r="C4" s="41">
        <f>(C16*C12)/C15</f>
        <v>23582.80072990698</v>
      </c>
      <c r="D4" s="21">
        <v>20</v>
      </c>
      <c r="E4" s="22">
        <v>8</v>
      </c>
      <c r="F4" s="21">
        <f t="shared" si="0"/>
        <v>160</v>
      </c>
      <c r="G4" s="39">
        <f t="shared" si="1"/>
        <v>147.39250456191863</v>
      </c>
      <c r="H4" s="2"/>
    </row>
    <row r="5" spans="2:10" x14ac:dyDescent="0.25">
      <c r="B5" s="30" t="s">
        <v>6</v>
      </c>
      <c r="C5" s="41">
        <f>(C17*C12)/C15</f>
        <v>23995.142908103066</v>
      </c>
      <c r="D5" s="21">
        <v>20</v>
      </c>
      <c r="E5" s="22">
        <v>8</v>
      </c>
      <c r="F5" s="21">
        <f t="shared" si="0"/>
        <v>160</v>
      </c>
      <c r="G5" s="39">
        <f t="shared" si="1"/>
        <v>149.96964317564417</v>
      </c>
      <c r="H5" s="2"/>
    </row>
    <row r="6" spans="2:10" x14ac:dyDescent="0.25">
      <c r="B6" s="30" t="s">
        <v>7</v>
      </c>
      <c r="C6" s="41">
        <f>(C18*C12)/C15</f>
        <v>25521.810608347281</v>
      </c>
      <c r="D6" s="21">
        <v>20</v>
      </c>
      <c r="E6" s="22">
        <v>8</v>
      </c>
      <c r="F6" s="21">
        <f t="shared" si="0"/>
        <v>160</v>
      </c>
      <c r="G6" s="39">
        <f t="shared" si="1"/>
        <v>159.51131630217051</v>
      </c>
      <c r="H6" s="2"/>
      <c r="J6" s="42"/>
    </row>
    <row r="7" spans="2:10" x14ac:dyDescent="0.25">
      <c r="B7" s="30" t="s">
        <v>8</v>
      </c>
      <c r="C7" s="41">
        <f>(C19*C12)/C15</f>
        <v>20867.519139478089</v>
      </c>
      <c r="D7" s="21">
        <v>20</v>
      </c>
      <c r="E7" s="22">
        <v>8</v>
      </c>
      <c r="F7" s="21">
        <f t="shared" si="0"/>
        <v>160</v>
      </c>
      <c r="G7" s="39">
        <f t="shared" si="1"/>
        <v>130.42199462173807</v>
      </c>
      <c r="H7" s="2"/>
    </row>
    <row r="8" spans="2:10" x14ac:dyDescent="0.25">
      <c r="B8" s="30" t="s">
        <v>9</v>
      </c>
      <c r="C8" s="41">
        <f>(C20*C12)/C15</f>
        <v>19661.376533216255</v>
      </c>
      <c r="D8" s="21">
        <v>20</v>
      </c>
      <c r="E8" s="22">
        <v>8</v>
      </c>
      <c r="F8" s="21">
        <f t="shared" si="0"/>
        <v>160</v>
      </c>
      <c r="G8" s="39">
        <f t="shared" si="1"/>
        <v>122.8836033326016</v>
      </c>
      <c r="H8" s="2"/>
    </row>
    <row r="9" spans="2:10" x14ac:dyDescent="0.25">
      <c r="B9" s="30" t="s">
        <v>10</v>
      </c>
      <c r="C9" s="41">
        <f>(C21*C12)/C15</f>
        <v>21986.018165354115</v>
      </c>
      <c r="D9" s="21">
        <v>20</v>
      </c>
      <c r="E9" s="21">
        <v>8</v>
      </c>
      <c r="F9" s="21">
        <f t="shared" si="0"/>
        <v>160</v>
      </c>
      <c r="G9" s="39">
        <f t="shared" si="1"/>
        <v>137.41261353346323</v>
      </c>
      <c r="H9" s="1"/>
    </row>
    <row r="10" spans="2:10" x14ac:dyDescent="0.25">
      <c r="B10" s="30" t="s">
        <v>11</v>
      </c>
      <c r="C10" s="41">
        <f>(C22*C12)/C15</f>
        <v>24247.222539307961</v>
      </c>
      <c r="D10" s="21">
        <v>20</v>
      </c>
      <c r="E10" s="21">
        <v>8</v>
      </c>
      <c r="F10" s="21">
        <v>160</v>
      </c>
      <c r="G10" s="39">
        <f t="shared" si="1"/>
        <v>151.54514087067474</v>
      </c>
      <c r="H10" s="1"/>
    </row>
    <row r="12" spans="2:10" x14ac:dyDescent="0.25">
      <c r="B12" s="29" t="s">
        <v>13</v>
      </c>
      <c r="C12" s="3">
        <v>30419</v>
      </c>
      <c r="I12" s="12"/>
    </row>
    <row r="13" spans="2:10" x14ac:dyDescent="0.25">
      <c r="I13" s="25"/>
    </row>
    <row r="14" spans="2:10" ht="15" customHeight="1" x14ac:dyDescent="0.25">
      <c r="B14" s="45" t="s">
        <v>12</v>
      </c>
      <c r="C14" s="46"/>
      <c r="D14" s="5"/>
      <c r="E14" s="45" t="s">
        <v>42</v>
      </c>
      <c r="F14" s="45"/>
      <c r="G14" s="45"/>
      <c r="I14" s="25"/>
    </row>
    <row r="15" spans="2:10" ht="15" customHeight="1" x14ac:dyDescent="0.25">
      <c r="B15" s="26" t="s">
        <v>32</v>
      </c>
      <c r="C15" s="40">
        <v>36443</v>
      </c>
      <c r="D15" s="5"/>
      <c r="E15" s="48" t="s">
        <v>35</v>
      </c>
      <c r="F15" s="49"/>
      <c r="G15" s="27">
        <v>3</v>
      </c>
      <c r="I15" s="25"/>
    </row>
    <row r="16" spans="2:10" x14ac:dyDescent="0.25">
      <c r="B16" s="26" t="s">
        <v>5</v>
      </c>
      <c r="C16" s="40">
        <v>28253</v>
      </c>
      <c r="D16" s="5"/>
      <c r="E16" s="48" t="s">
        <v>40</v>
      </c>
      <c r="F16" s="49"/>
      <c r="G16" s="27">
        <v>8</v>
      </c>
      <c r="I16" s="25"/>
    </row>
    <row r="17" spans="2:9" x14ac:dyDescent="0.25">
      <c r="B17" s="26" t="s">
        <v>6</v>
      </c>
      <c r="C17" s="40">
        <v>28747</v>
      </c>
      <c r="D17" s="5"/>
      <c r="E17" s="48" t="s">
        <v>36</v>
      </c>
      <c r="F17" s="49"/>
      <c r="G17" s="27">
        <v>1</v>
      </c>
      <c r="I17" s="25"/>
    </row>
    <row r="18" spans="2:9" x14ac:dyDescent="0.25">
      <c r="B18" s="26" t="s">
        <v>7</v>
      </c>
      <c r="C18" s="40">
        <v>30576</v>
      </c>
      <c r="D18" s="5"/>
      <c r="E18" s="48" t="s">
        <v>37</v>
      </c>
      <c r="F18" s="49"/>
      <c r="G18" s="27">
        <v>13</v>
      </c>
      <c r="I18" s="25"/>
    </row>
    <row r="19" spans="2:9" x14ac:dyDescent="0.25">
      <c r="B19" s="26" t="s">
        <v>8</v>
      </c>
      <c r="C19" s="40">
        <v>25000</v>
      </c>
      <c r="D19" s="5"/>
      <c r="E19" s="48" t="s">
        <v>38</v>
      </c>
      <c r="F19" s="49"/>
      <c r="G19" s="27">
        <v>5</v>
      </c>
      <c r="I19" s="25"/>
    </row>
    <row r="20" spans="2:9" x14ac:dyDescent="0.25">
      <c r="B20" s="28" t="s">
        <v>9</v>
      </c>
      <c r="C20" s="40">
        <v>23555</v>
      </c>
      <c r="D20" s="5"/>
      <c r="E20" s="48" t="s">
        <v>41</v>
      </c>
      <c r="F20" s="49"/>
      <c r="G20" s="27">
        <v>5</v>
      </c>
    </row>
    <row r="21" spans="2:9" x14ac:dyDescent="0.25">
      <c r="B21" s="28" t="s">
        <v>10</v>
      </c>
      <c r="C21" s="40">
        <v>26340</v>
      </c>
      <c r="D21" s="5"/>
      <c r="E21" s="48" t="s">
        <v>39</v>
      </c>
      <c r="F21" s="49"/>
      <c r="G21" s="27">
        <v>20</v>
      </c>
    </row>
    <row r="22" spans="2:9" x14ac:dyDescent="0.25">
      <c r="B22" s="28" t="s">
        <v>11</v>
      </c>
      <c r="C22" s="40">
        <v>29049</v>
      </c>
      <c r="D22" s="5"/>
      <c r="E22" s="5"/>
      <c r="F22" s="5"/>
      <c r="G22" s="5"/>
    </row>
    <row r="23" spans="2:9" x14ac:dyDescent="0.25">
      <c r="B23" s="5"/>
      <c r="C23" s="5"/>
      <c r="D23" s="5"/>
      <c r="E23" s="5"/>
      <c r="F23" s="5"/>
      <c r="G23" s="5"/>
    </row>
    <row r="38" spans="2:3" x14ac:dyDescent="0.25">
      <c r="B38" s="47"/>
      <c r="C38" s="47"/>
    </row>
  </sheetData>
  <mergeCells count="11">
    <mergeCell ref="B2:C2"/>
    <mergeCell ref="B14:C14"/>
    <mergeCell ref="B38:C38"/>
    <mergeCell ref="E14:G14"/>
    <mergeCell ref="E15:F15"/>
    <mergeCell ref="E16:F16"/>
    <mergeCell ref="E17:F17"/>
    <mergeCell ref="E18:F18"/>
    <mergeCell ref="E19:F19"/>
    <mergeCell ref="E20:F20"/>
    <mergeCell ref="E21:F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Sueldos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MCCB</dc:creator>
  <cp:lastModifiedBy>GIOVANNI</cp:lastModifiedBy>
  <dcterms:created xsi:type="dcterms:W3CDTF">2018-06-28T00:57:47Z</dcterms:created>
  <dcterms:modified xsi:type="dcterms:W3CDTF">2018-08-03T23:46:32Z</dcterms:modified>
</cp:coreProperties>
</file>