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 formulas" sheetId="1" r:id="rId4"/>
    <sheet state="visible" name="Dashboard" sheetId="2" r:id="rId5"/>
    <sheet state="visible" name="History" sheetId="3" r:id="rId6"/>
    <sheet state="visible" name="Positions" sheetId="4" r:id="rId7"/>
    <sheet state="visible" name="Breakdown" sheetId="5" r:id="rId8"/>
  </sheets>
  <definedNames/>
  <calcPr/>
</workbook>
</file>

<file path=xl/sharedStrings.xml><?xml version="1.0" encoding="utf-8"?>
<sst xmlns="http://schemas.openxmlformats.org/spreadsheetml/2006/main" count="144" uniqueCount="78">
  <si>
    <t>Cash</t>
  </si>
  <si>
    <t>Day Change</t>
  </si>
  <si>
    <t>Unrealized Gains</t>
  </si>
  <si>
    <t>Portfolio Balances</t>
  </si>
  <si>
    <t>12 month Trend</t>
  </si>
  <si>
    <t>Stock Quote</t>
  </si>
  <si>
    <t>GOOGL</t>
  </si>
  <si>
    <t>Account Value</t>
  </si>
  <si>
    <t>Stock Price</t>
  </si>
  <si>
    <t>Positions</t>
  </si>
  <si>
    <t>Change%</t>
  </si>
  <si>
    <t>Change $</t>
  </si>
  <si>
    <t>Volume</t>
  </si>
  <si>
    <t>Market Cap</t>
  </si>
  <si>
    <t>Realized Gains</t>
  </si>
  <si>
    <t>52 Week High</t>
  </si>
  <si>
    <t>Portfolio Stats</t>
  </si>
  <si>
    <t>52 Week Low</t>
  </si>
  <si>
    <t>Number of Trades</t>
  </si>
  <si>
    <t>Beta</t>
  </si>
  <si>
    <t>Shares Owned</t>
  </si>
  <si>
    <t>PE</t>
  </si>
  <si>
    <t>Average Share Cost</t>
  </si>
  <si>
    <t>EPS</t>
  </si>
  <si>
    <t>Number of Cash Deposits</t>
  </si>
  <si>
    <t>Money Hourly Salary</t>
  </si>
  <si>
    <t>Dividend Income</t>
  </si>
  <si>
    <t>Transactions</t>
  </si>
  <si>
    <t>Date</t>
  </si>
  <si>
    <t>Secuity</t>
  </si>
  <si>
    <t>Action</t>
  </si>
  <si>
    <t>Quantity</t>
  </si>
  <si>
    <t>Price</t>
  </si>
  <si>
    <t>Total</t>
  </si>
  <si>
    <t>12/23/2019</t>
  </si>
  <si>
    <t>Deposit</t>
  </si>
  <si>
    <t>12/30/2019</t>
  </si>
  <si>
    <t>12/31/2019</t>
  </si>
  <si>
    <t>APHA</t>
  </si>
  <si>
    <t>Buy</t>
  </si>
  <si>
    <t>ACB</t>
  </si>
  <si>
    <t>AAPL</t>
  </si>
  <si>
    <t>CVS</t>
  </si>
  <si>
    <t>PYPL</t>
  </si>
  <si>
    <t>NVDA</t>
  </si>
  <si>
    <t>FB</t>
  </si>
  <si>
    <t>NFLX</t>
  </si>
  <si>
    <t>SHOP</t>
  </si>
  <si>
    <t>Sell</t>
  </si>
  <si>
    <t>ETSY</t>
  </si>
  <si>
    <t>SQ</t>
  </si>
  <si>
    <t>AKAM</t>
  </si>
  <si>
    <t>BA</t>
  </si>
  <si>
    <t>1/13/2020</t>
  </si>
  <si>
    <t>1/16/2020</t>
  </si>
  <si>
    <t>SPYD</t>
  </si>
  <si>
    <t>APTV</t>
  </si>
  <si>
    <t>2/14/2020</t>
  </si>
  <si>
    <t>DRIP</t>
  </si>
  <si>
    <t>2/20/2020</t>
  </si>
  <si>
    <t>COLM</t>
  </si>
  <si>
    <t>ADBE</t>
  </si>
  <si>
    <t>V</t>
  </si>
  <si>
    <t>INTU</t>
  </si>
  <si>
    <t>12/14/2020</t>
  </si>
  <si>
    <t>SPGI</t>
  </si>
  <si>
    <t>12/18/2020</t>
  </si>
  <si>
    <t>MSFT</t>
  </si>
  <si>
    <t>12/21/2020</t>
  </si>
  <si>
    <t>Portfolio Positions</t>
  </si>
  <si>
    <t>Tickers</t>
  </si>
  <si>
    <t>Shares</t>
  </si>
  <si>
    <t>Purchase</t>
  </si>
  <si>
    <t>Change$</t>
  </si>
  <si>
    <t>Cost</t>
  </si>
  <si>
    <t>Value</t>
  </si>
  <si>
    <t>Gain %</t>
  </si>
  <si>
    <t>Gain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</si>
</sst>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/m/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  <font>
      <b/>
      <color rgb="FFFFFFFF"/>
      <name val="Arial"/>
      <scheme val="minor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b/>
      <color rgb="FFF3F3F3"/>
      <name val="Arial"/>
      <scheme val="minor"/>
    </font>
    <font>
      <color rgb="FFFF0000"/>
      <name val="Arial"/>
      <scheme val="minor"/>
    </font>
    <font>
      <b/>
      <sz val="10.0"/>
      <color theme="1"/>
      <name val="Arial"/>
      <scheme val="minor"/>
    </font>
    <font>
      <b/>
      <sz val="9.0"/>
      <color rgb="FF000000"/>
      <name val="&quot;Google Sans Mono&quot;"/>
    </font>
    <font>
      <sz val="9.0"/>
      <color rgb="FF008000"/>
      <name val="&quot;Google Sans Mono&quot;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3" fontId="3" numFmtId="0" xfId="0" applyAlignment="1" applyFill="1" applyFont="1">
      <alignment readingOrder="0"/>
    </xf>
    <xf borderId="0" fillId="0" fontId="1" numFmtId="0" xfId="0" applyFont="1"/>
    <xf borderId="0" fillId="4" fontId="4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right" readingOrder="0"/>
    </xf>
    <xf borderId="0" fillId="5" fontId="5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6" fontId="7" numFmtId="0" xfId="0" applyAlignment="1" applyFont="1">
      <alignment horizontal="center" readingOrder="0"/>
    </xf>
    <xf borderId="0" fillId="7" fontId="3" numFmtId="164" xfId="0" applyFill="1" applyFont="1" applyNumberFormat="1"/>
    <xf borderId="0" fillId="8" fontId="8" numFmtId="0" xfId="0" applyFill="1" applyFont="1"/>
    <xf borderId="0" fillId="7" fontId="9" numFmtId="0" xfId="0" applyAlignment="1" applyFont="1">
      <alignment readingOrder="0"/>
    </xf>
    <xf borderId="0" fillId="7" fontId="3" numFmtId="0" xfId="0" applyFont="1"/>
    <xf borderId="0" fillId="9" fontId="3" numFmtId="0" xfId="0" applyAlignment="1" applyFill="1" applyFont="1">
      <alignment readingOrder="0"/>
    </xf>
    <xf borderId="0" fillId="7" fontId="3" numFmtId="10" xfId="0" applyFont="1" applyNumberFormat="1"/>
    <xf borderId="0" fillId="7" fontId="3" numFmtId="164" xfId="0" applyAlignment="1" applyFont="1" applyNumberFormat="1">
      <alignment readingOrder="0"/>
    </xf>
    <xf borderId="0" fillId="7" fontId="10" numFmtId="0" xfId="0" applyFont="1"/>
    <xf borderId="0" fillId="7" fontId="3" numFmtId="0" xfId="0" applyAlignment="1" applyFont="1">
      <alignment horizontal="right"/>
    </xf>
    <xf borderId="0" fillId="8" fontId="3" numFmtId="0" xfId="0" applyAlignment="1" applyFont="1">
      <alignment readingOrder="0"/>
    </xf>
    <xf borderId="0" fillId="8" fontId="3" numFmtId="2" xfId="0" applyFont="1" applyNumberFormat="1"/>
    <xf borderId="0" fillId="8" fontId="10" numFmtId="0" xfId="0" applyFont="1"/>
    <xf borderId="0" fillId="7" fontId="3" numFmtId="0" xfId="0" applyAlignment="1" applyFont="1">
      <alignment readingOrder="0"/>
    </xf>
    <xf borderId="0" fillId="8" fontId="3" numFmtId="0" xfId="0" applyFont="1"/>
    <xf borderId="0" fillId="7" fontId="1" numFmtId="0" xfId="0" applyFont="1"/>
    <xf borderId="0" fillId="10" fontId="1" numFmtId="0" xfId="0" applyFill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horizontal="left" readingOrder="0"/>
    </xf>
    <xf borderId="0" fillId="4" fontId="1" numFmtId="0" xfId="0" applyFont="1"/>
    <xf borderId="0" fillId="7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2" xfId="0" applyAlignment="1" applyFont="1" applyNumberFormat="1">
      <alignment readingOrder="0"/>
    </xf>
    <xf borderId="0" fillId="3" fontId="1" numFmtId="0" xfId="0" applyFont="1"/>
    <xf borderId="0" fillId="8" fontId="1" numFmtId="0" xfId="0" applyFont="1"/>
    <xf borderId="0" fillId="8" fontId="1" numFmtId="10" xfId="0" applyFont="1" applyNumberFormat="1"/>
    <xf borderId="0" fillId="8" fontId="2" numFmtId="10" xfId="0" applyFont="1" applyNumberFormat="1"/>
    <xf borderId="0" fillId="8" fontId="2" numFmtId="0" xfId="0" applyFont="1"/>
    <xf borderId="0" fillId="8" fontId="11" numFmtId="0" xfId="0" applyFont="1"/>
    <xf borderId="0" fillId="8" fontId="11" numFmtId="10" xfId="0" applyFont="1" applyNumberFormat="1"/>
    <xf borderId="0" fillId="8" fontId="11" numFmtId="0" xfId="0" applyFont="1"/>
    <xf borderId="0" fillId="2" fontId="2" numFmtId="10" xfId="0" applyFont="1" applyNumberFormat="1"/>
    <xf borderId="0" fillId="2" fontId="11" numFmtId="0" xfId="0" applyFont="1"/>
  </cellXfs>
  <cellStyles count="1">
    <cellStyle xfId="0" name="Normal" builtinId="0"/>
  </cellStyles>
  <dxfs count="5">
    <dxf>
      <font>
        <color rgb="FF274E13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134F5C"/>
      </font>
      <fill>
        <patternFill patternType="solid">
          <fgColor rgb="FFFFE599"/>
          <bgColor rgb="FFFFE599"/>
        </patternFill>
      </fill>
      <border/>
    </dxf>
    <dxf>
      <font>
        <color rgb="FFCC4125"/>
      </font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chemeClr val="dk1"/>
                </a:solidFill>
                <a:latin typeface="+mn-lt"/>
              </a:defRPr>
            </a:pPr>
            <a:r>
              <a:rPr b="1" sz="1800">
                <a:solidFill>
                  <a:schemeClr val="dk1"/>
                </a:solidFill>
                <a:latin typeface="+mn-lt"/>
              </a:rPr>
              <a:t>Balance Breakdown</a:t>
            </a:r>
          </a:p>
        </c:rich>
      </c:tx>
      <c:layout>
        <c:manualLayout>
          <c:xMode val="edge"/>
          <c:yMode val="edge"/>
          <c:x val="0.03591666666666666"/>
          <c:y val="0.044609164420485174"/>
        </c:manualLayout>
      </c:layout>
      <c:overlay val="0"/>
    </c:title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dk1"/>
                </a:solidFill>
                <a:latin typeface="Arial"/>
              </a:defRPr>
            </a:pPr>
            <a:r>
              <a:rPr b="1" sz="2400">
                <a:solidFill>
                  <a:schemeClr val="dk1"/>
                </a:solidFill>
                <a:latin typeface="Arial"/>
              </a:rPr>
              <a:t>Portolio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Positions!$A$3:$A$16</c:f>
            </c:strRef>
          </c:cat>
          <c:val>
            <c:numRef>
              <c:f>Positions!$I$3:$I$16</c:f>
              <c:numCache/>
            </c:numRef>
          </c:val>
        </c:ser>
        <c:axId val="63103986"/>
        <c:axId val="1681232237"/>
      </c:barChart>
      <c:catAx>
        <c:axId val="63103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81232237"/>
      </c:catAx>
      <c:valAx>
        <c:axId val="1681232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3103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9FC5E8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Portfolio Breakdown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Positions!$H$3:$H$4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Positions!$A$5:$A$16</c:f>
            </c:strRef>
          </c:cat>
          <c:val>
            <c:numRef>
              <c:f>Positions!$H$5:$H$16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190500</xdr:rowOff>
    </xdr:from>
    <xdr:ext cx="2752725" cy="1962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942975</xdr:colOff>
      <xdr:row>11</xdr:row>
      <xdr:rowOff>133350</xdr:rowOff>
    </xdr:from>
    <xdr:ext cx="8401050" cy="2505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420600" cy="3448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0</v>
      </c>
      <c r="B1" s="2">
        <f>SUMIF(History!C:C,"Deposit",History!F:F)+SUMIF(History!C:C,"Sell",History!F:F)-Sumif(History!C:C,"Buy",History!F:F)</f>
        <v>-22908.1</v>
      </c>
    </row>
    <row r="2">
      <c r="A2" s="1" t="s">
        <v>1</v>
      </c>
      <c r="B2" s="3">
        <f>SUM(Positions!F:F)</f>
        <v>-121.4568</v>
      </c>
    </row>
    <row r="3">
      <c r="A3" s="4" t="s">
        <v>2</v>
      </c>
      <c r="B3" s="5">
        <v>-316497.8543617469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9" max="9" width="17.25"/>
    <col customWidth="1" min="10" max="10" width="17.38"/>
  </cols>
  <sheetData>
    <row r="1">
      <c r="A1" s="6" t="s">
        <v>3</v>
      </c>
      <c r="C1" s="7" t="str">
        <f>IFERROR(__xludf.DUMMYFUNCTION("GOOGLEFINANCE(J1,""Name"")"),"Alphabet Inc Class A")</f>
        <v>Alphabet Inc Class A</v>
      </c>
      <c r="F1" s="8" t="s">
        <v>4</v>
      </c>
      <c r="G1" s="8"/>
      <c r="H1" s="8"/>
      <c r="I1" s="9" t="s">
        <v>5</v>
      </c>
      <c r="J1" s="10" t="s">
        <v>6</v>
      </c>
    </row>
    <row r="2">
      <c r="A2" s="11" t="s">
        <v>7</v>
      </c>
      <c r="B2" s="12">
        <f>B3+B4</f>
        <v>71522.2406</v>
      </c>
      <c r="C2" s="13" t="str">
        <f>IFERROR(__xludf.DUMMYFUNCTION("SPARKLINE(GOOGLEFINANCE(J1,""Price"",TODAY()-364,TODAY()))"),"")</f>
        <v/>
      </c>
      <c r="I2" s="14" t="s">
        <v>8</v>
      </c>
      <c r="J2" s="15">
        <f>IFERROR(__xludf.DUMMYFUNCTION("GOOGLEFINANCE(J1,""Price"")"),131.51)</f>
        <v>131.51</v>
      </c>
    </row>
    <row r="3">
      <c r="A3" s="16" t="s">
        <v>9</v>
      </c>
      <c r="B3" s="12">
        <f>SUM(Positions!H:H)</f>
        <v>48614.1406</v>
      </c>
      <c r="I3" s="14" t="s">
        <v>10</v>
      </c>
      <c r="J3" s="17">
        <f>IFERROR(__xludf.DUMMYFUNCTION("GOOGLEFINANCE(J1,""Changepct"")/100"),-0.0033)</f>
        <v>-0.0033</v>
      </c>
    </row>
    <row r="4">
      <c r="A4" s="16" t="s">
        <v>0</v>
      </c>
      <c r="B4" s="18">
        <v>22908.1</v>
      </c>
      <c r="I4" s="14" t="s">
        <v>11</v>
      </c>
      <c r="J4" s="15">
        <f>IFERROR(__xludf.DUMMYFUNCTION("GOOGLEFINANCE(J1,""Change"")"),-0.43)</f>
        <v>-0.43</v>
      </c>
    </row>
    <row r="5">
      <c r="A5" s="16" t="s">
        <v>1</v>
      </c>
      <c r="B5" s="18">
        <v>503.5317</v>
      </c>
      <c r="I5" s="14" t="s">
        <v>12</v>
      </c>
      <c r="J5" s="19">
        <f>IFERROR(__xludf.DUMMYFUNCTION("GOOGLEFINANCE(J1,""volume"")"),2.0428611E7)</f>
        <v>20428611</v>
      </c>
    </row>
    <row r="6">
      <c r="A6" s="16" t="s">
        <v>2</v>
      </c>
      <c r="B6" s="18">
        <v>316497.854</v>
      </c>
      <c r="I6" s="14" t="s">
        <v>13</v>
      </c>
      <c r="J6" s="20" t="str">
        <f>IFERROR(__xludf.DUMMYFUNCTION("""$""&amp;Trunc(GOOGLEFINANCE(J1,""Marketcap"")/1000000000)&amp;""B"""),"$1653B")</f>
        <v>$1653B</v>
      </c>
    </row>
    <row r="7">
      <c r="A7" s="16" t="s">
        <v>14</v>
      </c>
      <c r="B7" s="12">
        <f>SUMIF(History!C:C,"Sell",History!F:F)-SUMIF(History!C:C,"Buy",History!F:F)-sumif(History!C:C,"DRIP",History!F:F)+SUM(Positions!G:G)</f>
        <v>307330.9776</v>
      </c>
      <c r="I7" s="14" t="s">
        <v>15</v>
      </c>
      <c r="J7" s="15">
        <f>IFERROR(__xludf.DUMMYFUNCTION("GOOGLEFINANCE(J1,""High52"")"),141.22)</f>
        <v>141.22</v>
      </c>
    </row>
    <row r="8" ht="18.75" customHeight="1">
      <c r="A8" s="6" t="s">
        <v>16</v>
      </c>
      <c r="I8" s="14" t="s">
        <v>17</v>
      </c>
      <c r="J8" s="15">
        <f>IFERROR(__xludf.DUMMYFUNCTION("GOOGLEFINANCE(J1,""low52"")"),84.86)</f>
        <v>84.86</v>
      </c>
    </row>
    <row r="9">
      <c r="A9" s="16" t="s">
        <v>18</v>
      </c>
      <c r="B9" s="21">
        <f>countif(History!C:C,"Buy")+countif(History!C:C,"Sell")</f>
        <v>24</v>
      </c>
      <c r="I9" s="14" t="s">
        <v>19</v>
      </c>
      <c r="J9" s="15">
        <f>IFERROR(__xludf.DUMMYFUNCTION("GOOGLEFINANCE(J1,""Beta"")"),1.03)</f>
        <v>1.03</v>
      </c>
    </row>
    <row r="10">
      <c r="A10" s="16" t="s">
        <v>20</v>
      </c>
      <c r="B10" s="22">
        <f>sum(Positions!B3:B20)</f>
        <v>228.23</v>
      </c>
      <c r="I10" s="14" t="s">
        <v>21</v>
      </c>
      <c r="J10" s="15">
        <f>IFERROR(__xludf.DUMMYFUNCTION("GOOGLEFINANCE(J1,""pe"")"),25.2)</f>
        <v>25.2</v>
      </c>
    </row>
    <row r="11">
      <c r="A11" s="16" t="s">
        <v>22</v>
      </c>
      <c r="B11" s="23">
        <f>(sum(Positions!B3:B20))/B10</f>
        <v>1</v>
      </c>
      <c r="I11" s="24" t="s">
        <v>23</v>
      </c>
      <c r="J11" s="15">
        <f>IFERROR(__xludf.DUMMYFUNCTION("GOOGLEFINANCE(J1,""EPS"")"),5.22)</f>
        <v>5.22</v>
      </c>
    </row>
    <row r="12">
      <c r="A12" s="16" t="s">
        <v>24</v>
      </c>
      <c r="B12" s="25">
        <f>countif(History!C:C,"Deposit")</f>
        <v>4</v>
      </c>
      <c r="I12" s="26"/>
      <c r="J12" s="26"/>
    </row>
    <row r="13">
      <c r="A13" s="16" t="s">
        <v>25</v>
      </c>
      <c r="B13" s="25">
        <f>(B6-3444.01=+B7)/2080</f>
        <v>0</v>
      </c>
    </row>
    <row r="14">
      <c r="A14" s="16" t="s">
        <v>26</v>
      </c>
      <c r="B14" s="25">
        <f>sumif(History!C:C,"DRIP",History!F:F)</f>
        <v>489.69318</v>
      </c>
    </row>
    <row r="15">
      <c r="B15" s="27"/>
    </row>
  </sheetData>
  <mergeCells count="4">
    <mergeCell ref="A1:B1"/>
    <mergeCell ref="C1:E1"/>
    <mergeCell ref="C2:H19"/>
    <mergeCell ref="A8:B8"/>
  </mergeCells>
  <conditionalFormatting sqref="B6">
    <cfRule type="cellIs" dxfId="0" priority="1" operator="greaterThan">
      <formula>0</formula>
    </cfRule>
  </conditionalFormatting>
  <dataValidations>
    <dataValidation type="list" allowBlank="1" showErrorMessage="1" sqref="J1">
      <formula1>Positions!$A$3:$A$16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27</v>
      </c>
    </row>
    <row r="2">
      <c r="A2" s="29" t="s">
        <v>28</v>
      </c>
      <c r="B2" s="29" t="s">
        <v>29</v>
      </c>
      <c r="C2" s="29" t="s">
        <v>30</v>
      </c>
      <c r="D2" s="29" t="s">
        <v>31</v>
      </c>
      <c r="E2" s="29" t="s">
        <v>32</v>
      </c>
      <c r="F2" s="29" t="s">
        <v>33</v>
      </c>
    </row>
    <row r="3">
      <c r="A3" s="1" t="s">
        <v>34</v>
      </c>
      <c r="B3" s="1" t="s">
        <v>0</v>
      </c>
      <c r="C3" s="1" t="s">
        <v>35</v>
      </c>
      <c r="D3" s="1">
        <v>1.0</v>
      </c>
      <c r="E3" s="2">
        <v>8482.83</v>
      </c>
      <c r="F3" s="30">
        <f t="shared" ref="F3:F26" si="1">(if(ISBLANK(B3),"",ABS(E3*D3)))</f>
        <v>8482.83</v>
      </c>
    </row>
    <row r="4">
      <c r="A4" s="1" t="s">
        <v>34</v>
      </c>
      <c r="B4" s="1" t="s">
        <v>0</v>
      </c>
      <c r="C4" s="1" t="s">
        <v>35</v>
      </c>
      <c r="D4" s="1">
        <v>1.0</v>
      </c>
      <c r="E4" s="2">
        <v>20000.04</v>
      </c>
      <c r="F4" s="30">
        <f t="shared" si="1"/>
        <v>20000.04</v>
      </c>
    </row>
    <row r="5">
      <c r="A5" s="1" t="s">
        <v>36</v>
      </c>
      <c r="B5" s="1" t="s">
        <v>0</v>
      </c>
      <c r="C5" s="1" t="s">
        <v>35</v>
      </c>
      <c r="D5" s="1">
        <v>1.0</v>
      </c>
      <c r="E5" s="2">
        <v>21.58</v>
      </c>
      <c r="F5" s="30">
        <f t="shared" si="1"/>
        <v>21.58</v>
      </c>
    </row>
    <row r="6">
      <c r="A6" s="1" t="s">
        <v>36</v>
      </c>
      <c r="B6" s="1" t="s">
        <v>0</v>
      </c>
      <c r="C6" s="1" t="s">
        <v>35</v>
      </c>
      <c r="D6" s="1">
        <v>1.0</v>
      </c>
      <c r="E6" s="2">
        <v>5999.96</v>
      </c>
      <c r="F6" s="30">
        <f t="shared" si="1"/>
        <v>5999.96</v>
      </c>
    </row>
    <row r="7">
      <c r="A7" s="1" t="s">
        <v>37</v>
      </c>
      <c r="B7" s="1" t="s">
        <v>38</v>
      </c>
      <c r="C7" s="1" t="s">
        <v>39</v>
      </c>
      <c r="D7" s="1">
        <v>64.0</v>
      </c>
      <c r="E7" s="2">
        <v>5.36</v>
      </c>
      <c r="F7" s="30">
        <f t="shared" si="1"/>
        <v>343.04</v>
      </c>
    </row>
    <row r="8">
      <c r="A8" s="1" t="s">
        <v>37</v>
      </c>
      <c r="B8" s="1" t="s">
        <v>40</v>
      </c>
      <c r="C8" s="1" t="s">
        <v>39</v>
      </c>
      <c r="D8" s="1">
        <v>15.0</v>
      </c>
      <c r="E8" s="2">
        <v>11.33</v>
      </c>
      <c r="F8" s="30">
        <f t="shared" si="1"/>
        <v>169.95</v>
      </c>
    </row>
    <row r="9">
      <c r="A9" s="1" t="s">
        <v>37</v>
      </c>
      <c r="B9" s="1" t="s">
        <v>41</v>
      </c>
      <c r="C9" s="1" t="s">
        <v>39</v>
      </c>
      <c r="D9" s="1">
        <v>12.0</v>
      </c>
      <c r="E9" s="2">
        <v>39.98</v>
      </c>
      <c r="F9" s="30">
        <f t="shared" si="1"/>
        <v>479.76</v>
      </c>
    </row>
    <row r="10">
      <c r="A10" s="1" t="s">
        <v>37</v>
      </c>
      <c r="B10" s="1" t="s">
        <v>42</v>
      </c>
      <c r="C10" s="1" t="s">
        <v>39</v>
      </c>
      <c r="D10" s="1">
        <v>8.0</v>
      </c>
      <c r="E10" s="2">
        <v>62.86</v>
      </c>
      <c r="F10" s="30">
        <f t="shared" si="1"/>
        <v>502.88</v>
      </c>
    </row>
    <row r="11">
      <c r="A11" s="1" t="s">
        <v>37</v>
      </c>
      <c r="B11" s="1" t="s">
        <v>43</v>
      </c>
      <c r="C11" s="1" t="s">
        <v>39</v>
      </c>
      <c r="D11" s="1">
        <v>36.0</v>
      </c>
      <c r="E11" s="2">
        <v>80.57</v>
      </c>
      <c r="F11" s="30">
        <f t="shared" si="1"/>
        <v>2900.52</v>
      </c>
    </row>
    <row r="12">
      <c r="A12" s="1" t="s">
        <v>37</v>
      </c>
      <c r="B12" s="1" t="s">
        <v>44</v>
      </c>
      <c r="C12" s="1" t="s">
        <v>39</v>
      </c>
      <c r="D12" s="1">
        <v>2.0</v>
      </c>
      <c r="E12" s="2">
        <v>157.12</v>
      </c>
      <c r="F12" s="30">
        <f t="shared" si="1"/>
        <v>314.24</v>
      </c>
    </row>
    <row r="13">
      <c r="A13" s="1" t="s">
        <v>37</v>
      </c>
      <c r="B13" s="1" t="s">
        <v>45</v>
      </c>
      <c r="C13" s="1" t="s">
        <v>39</v>
      </c>
      <c r="D13" s="1">
        <v>6.0</v>
      </c>
      <c r="E13" s="2">
        <v>172.46</v>
      </c>
      <c r="F13" s="30">
        <f t="shared" si="1"/>
        <v>1034.76</v>
      </c>
    </row>
    <row r="14">
      <c r="A14" s="1" t="s">
        <v>37</v>
      </c>
      <c r="B14" s="1" t="s">
        <v>46</v>
      </c>
      <c r="C14" s="1" t="s">
        <v>39</v>
      </c>
      <c r="D14" s="1">
        <v>8.0</v>
      </c>
      <c r="E14" s="2">
        <v>300.09</v>
      </c>
      <c r="F14" s="30">
        <f t="shared" si="1"/>
        <v>2400.72</v>
      </c>
    </row>
    <row r="15">
      <c r="A15" s="1" t="s">
        <v>37</v>
      </c>
      <c r="B15" s="1" t="s">
        <v>47</v>
      </c>
      <c r="C15" s="1" t="s">
        <v>39</v>
      </c>
      <c r="D15" s="1">
        <v>3.0</v>
      </c>
      <c r="E15" s="2">
        <v>112.32</v>
      </c>
      <c r="F15" s="30">
        <f t="shared" si="1"/>
        <v>336.96</v>
      </c>
    </row>
    <row r="16">
      <c r="A16" s="31">
        <v>43873.0</v>
      </c>
      <c r="B16" s="1" t="s">
        <v>40</v>
      </c>
      <c r="C16" s="1" t="s">
        <v>48</v>
      </c>
      <c r="D16" s="1">
        <v>-15.0</v>
      </c>
      <c r="E16" s="2">
        <v>2.04</v>
      </c>
      <c r="F16" s="30">
        <f t="shared" si="1"/>
        <v>30.6</v>
      </c>
    </row>
    <row r="17">
      <c r="A17" s="31">
        <v>43873.0</v>
      </c>
      <c r="B17" s="1" t="s">
        <v>49</v>
      </c>
      <c r="C17" s="1" t="s">
        <v>39</v>
      </c>
      <c r="D17" s="1">
        <v>22.0</v>
      </c>
      <c r="E17" s="2">
        <v>45.11</v>
      </c>
      <c r="F17" s="30">
        <f t="shared" si="1"/>
        <v>992.42</v>
      </c>
    </row>
    <row r="18">
      <c r="A18" s="31">
        <v>43873.0</v>
      </c>
      <c r="B18" s="1" t="s">
        <v>50</v>
      </c>
      <c r="C18" s="1" t="s">
        <v>39</v>
      </c>
      <c r="D18" s="1">
        <v>15.0</v>
      </c>
      <c r="E18" s="2">
        <v>63.65</v>
      </c>
      <c r="F18" s="30">
        <f t="shared" si="1"/>
        <v>954.75</v>
      </c>
    </row>
    <row r="19">
      <c r="A19" s="31">
        <v>43873.0</v>
      </c>
      <c r="B19" s="1" t="s">
        <v>51</v>
      </c>
      <c r="C19" s="1" t="s">
        <v>39</v>
      </c>
      <c r="D19" s="1">
        <v>11.0</v>
      </c>
      <c r="E19" s="2">
        <v>87.09</v>
      </c>
      <c r="F19" s="30">
        <f t="shared" si="1"/>
        <v>957.99</v>
      </c>
    </row>
    <row r="20">
      <c r="A20" s="31">
        <v>43873.0</v>
      </c>
      <c r="B20" s="1" t="s">
        <v>43</v>
      </c>
      <c r="C20" s="1" t="s">
        <v>39</v>
      </c>
      <c r="D20" s="1">
        <v>11.0</v>
      </c>
      <c r="E20" s="2">
        <v>110.84</v>
      </c>
      <c r="F20" s="30">
        <f t="shared" si="1"/>
        <v>1219.24</v>
      </c>
    </row>
    <row r="21">
      <c r="A21" s="31">
        <v>43873.0</v>
      </c>
      <c r="B21" s="1" t="s">
        <v>52</v>
      </c>
      <c r="C21" s="1" t="s">
        <v>39</v>
      </c>
      <c r="D21" s="1">
        <v>9.0</v>
      </c>
      <c r="E21" s="2">
        <v>330.88</v>
      </c>
      <c r="F21" s="30">
        <f t="shared" si="1"/>
        <v>2977.92</v>
      </c>
    </row>
    <row r="22">
      <c r="A22" s="1" t="s">
        <v>53</v>
      </c>
      <c r="B22" s="1" t="s">
        <v>38</v>
      </c>
      <c r="C22" s="1" t="s">
        <v>48</v>
      </c>
      <c r="D22" s="1">
        <v>3.0</v>
      </c>
      <c r="E22" s="2">
        <v>5.02</v>
      </c>
      <c r="F22" s="30">
        <f t="shared" si="1"/>
        <v>15.06</v>
      </c>
    </row>
    <row r="23">
      <c r="A23" s="1" t="s">
        <v>54</v>
      </c>
      <c r="B23" s="1" t="s">
        <v>55</v>
      </c>
      <c r="C23" s="1" t="s">
        <v>39</v>
      </c>
      <c r="D23" s="1">
        <v>-64.0</v>
      </c>
      <c r="E23" s="2">
        <v>5.02</v>
      </c>
      <c r="F23" s="30">
        <f t="shared" si="1"/>
        <v>321.28</v>
      </c>
    </row>
    <row r="24">
      <c r="A24" s="31">
        <v>43923.0</v>
      </c>
      <c r="B24" s="1" t="s">
        <v>56</v>
      </c>
      <c r="C24" s="1" t="s">
        <v>39</v>
      </c>
      <c r="D24" s="1">
        <v>30.0</v>
      </c>
      <c r="E24" s="2">
        <v>39.13</v>
      </c>
      <c r="F24" s="30">
        <f t="shared" si="1"/>
        <v>1173.9</v>
      </c>
    </row>
    <row r="25">
      <c r="A25" s="1" t="s">
        <v>57</v>
      </c>
      <c r="B25" s="1" t="s">
        <v>42</v>
      </c>
      <c r="C25" s="1" t="s">
        <v>58</v>
      </c>
      <c r="D25" s="1">
        <v>3.0</v>
      </c>
      <c r="E25" s="2">
        <v>90.16</v>
      </c>
      <c r="F25" s="30">
        <f t="shared" si="1"/>
        <v>270.48</v>
      </c>
    </row>
    <row r="26">
      <c r="A26" s="1" t="s">
        <v>59</v>
      </c>
      <c r="B26" s="1" t="s">
        <v>41</v>
      </c>
      <c r="C26" s="1" t="s">
        <v>58</v>
      </c>
      <c r="D26" s="1">
        <v>0.059</v>
      </c>
      <c r="E26" s="2">
        <v>68.02</v>
      </c>
      <c r="F26" s="30">
        <f t="shared" si="1"/>
        <v>4.01318</v>
      </c>
    </row>
    <row r="27">
      <c r="A27" s="31">
        <v>43924.0</v>
      </c>
      <c r="B27" s="1" t="s">
        <v>60</v>
      </c>
      <c r="C27" s="1" t="s">
        <v>39</v>
      </c>
      <c r="D27" s="1">
        <v>1.0</v>
      </c>
      <c r="E27" s="2">
        <v>90.69</v>
      </c>
      <c r="F27" s="2">
        <v>90.69</v>
      </c>
    </row>
    <row r="28">
      <c r="A28" s="31">
        <v>44024.0</v>
      </c>
      <c r="B28" s="1" t="s">
        <v>61</v>
      </c>
      <c r="C28" s="1" t="s">
        <v>39</v>
      </c>
      <c r="D28" s="1">
        <v>1.0</v>
      </c>
      <c r="E28" s="2">
        <v>492.4</v>
      </c>
      <c r="F28" s="2">
        <v>492.4</v>
      </c>
    </row>
    <row r="29">
      <c r="A29" s="31">
        <v>44024.0</v>
      </c>
      <c r="B29" s="1" t="s">
        <v>62</v>
      </c>
      <c r="C29" s="1" t="s">
        <v>39</v>
      </c>
      <c r="D29" s="1">
        <v>2.0</v>
      </c>
      <c r="E29" s="2">
        <v>207.2</v>
      </c>
      <c r="F29" s="2">
        <v>415.6</v>
      </c>
    </row>
    <row r="30">
      <c r="A30" s="31">
        <v>44024.0</v>
      </c>
      <c r="B30" s="1" t="s">
        <v>63</v>
      </c>
      <c r="C30" s="1" t="s">
        <v>39</v>
      </c>
      <c r="D30" s="1">
        <v>1.0</v>
      </c>
      <c r="E30" s="2">
        <v>37015.0</v>
      </c>
      <c r="F30" s="2">
        <v>37015.0</v>
      </c>
    </row>
    <row r="31">
      <c r="A31" s="1" t="s">
        <v>64</v>
      </c>
      <c r="B31" s="1" t="s">
        <v>65</v>
      </c>
      <c r="C31" s="1" t="s">
        <v>39</v>
      </c>
      <c r="D31" s="1">
        <v>2.0</v>
      </c>
      <c r="E31" s="2">
        <v>322.44</v>
      </c>
      <c r="F31" s="2">
        <v>644.88</v>
      </c>
    </row>
    <row r="32">
      <c r="A32" s="1" t="s">
        <v>66</v>
      </c>
      <c r="B32" s="1" t="s">
        <v>67</v>
      </c>
      <c r="C32" s="1" t="s">
        <v>58</v>
      </c>
      <c r="D32" s="1">
        <v>1.0</v>
      </c>
      <c r="E32" s="2">
        <v>215.2</v>
      </c>
      <c r="F32" s="2">
        <v>215.2</v>
      </c>
    </row>
    <row r="33">
      <c r="A33" s="1" t="s">
        <v>68</v>
      </c>
      <c r="B33" s="1" t="s">
        <v>6</v>
      </c>
      <c r="C33" s="1" t="s">
        <v>39</v>
      </c>
      <c r="D33" s="1">
        <v>1.0</v>
      </c>
      <c r="E33" s="2">
        <v>1719.27</v>
      </c>
      <c r="F33" s="2">
        <v>1719.27</v>
      </c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>
      <c r="A1" s="6" t="s">
        <v>69</v>
      </c>
      <c r="J1" s="32"/>
    </row>
    <row r="2">
      <c r="A2" s="33" t="s">
        <v>70</v>
      </c>
      <c r="B2" s="24" t="s">
        <v>71</v>
      </c>
      <c r="C2" s="24" t="s">
        <v>72</v>
      </c>
      <c r="D2" s="24" t="s">
        <v>32</v>
      </c>
      <c r="E2" s="24" t="s">
        <v>10</v>
      </c>
      <c r="F2" s="24" t="s">
        <v>73</v>
      </c>
      <c r="G2" s="24" t="s">
        <v>74</v>
      </c>
      <c r="H2" s="24" t="s">
        <v>75</v>
      </c>
      <c r="I2" s="24" t="s">
        <v>76</v>
      </c>
      <c r="J2" s="24" t="s">
        <v>77</v>
      </c>
    </row>
    <row r="3">
      <c r="A3" s="34" t="s">
        <v>41</v>
      </c>
      <c r="B3" s="35">
        <v>27.1</v>
      </c>
      <c r="C3" s="36">
        <f>IFERROR(__xludf.DUMMYFUNCTION("(if(isblank(A3),"""",AVERAGE.WEIGHTED(filter(History!E:E,History!B:B=A3,History!D:D&gt;0),Filter(History!D:D,History!B:B=A3,History!D:D&gt;0))))"),40.117188821626996)</f>
        <v>40.11718882</v>
      </c>
      <c r="D3" s="37">
        <f>IFERROR(__xludf.DUMMYFUNCTION("IF(ISBLANK(A3),"""",GOOGLEFINANCE(A3,""Price""))"),197.28)</f>
        <v>197.28</v>
      </c>
      <c r="E3" s="38">
        <f>IFERROR(__xludf.DUMMYFUNCTION("IF(ISBLANK(A3),"""",GOOGLEFINANCE(A3,""Changepct"")/100)"),-0.0042)</f>
        <v>-0.0042</v>
      </c>
      <c r="F3" s="39">
        <f>IFERROR(__xludf.DUMMYFUNCTION("IF(ISBLANK(A3),"""",GOOGLEFINANCE(A3,""Change"")*B3)"),-22.764)</f>
        <v>-22.764</v>
      </c>
      <c r="G3" s="40">
        <f t="shared" ref="G3:G16" si="1">IF(ISBLANK(A3),"",C3*B3)</f>
        <v>1087.175817</v>
      </c>
      <c r="H3" s="41">
        <f t="shared" ref="H3:H16" si="2">IF(ISBLANK(A3),"",D3*B3)</f>
        <v>5346.288</v>
      </c>
      <c r="I3" s="42">
        <f t="shared" ref="I3:I16" si="3">IF(ISBLANK(A3),"",((D3-C3)/C3))</f>
        <v>3.917592827</v>
      </c>
      <c r="J3" s="43">
        <f t="shared" ref="J3:J16" si="4">IF(ISBLANK(A3),"",H3-G3)</f>
        <v>4259.112183</v>
      </c>
    </row>
    <row r="4">
      <c r="A4" s="34" t="s">
        <v>43</v>
      </c>
      <c r="B4" s="35">
        <v>55.0</v>
      </c>
      <c r="C4" s="36">
        <f>IFERROR(__xludf.DUMMYFUNCTION("(if(isblank(A4),"""",AVERAGE.WEIGHTED(filter(History!E:E,History!B:B=A4,History!D:D&gt;0),Filter(History!D:D,History!B:B=A4,History!D:D&gt;0))))"),87.65446808510637)</f>
        <v>87.65446809</v>
      </c>
      <c r="D4" s="37">
        <f>IFERROR(__xludf.DUMMYFUNCTION("IF(ISBLANK(A4),"""",GOOGLEFINANCE(A4,""Price""))"),61.0)</f>
        <v>61</v>
      </c>
      <c r="E4" s="38">
        <f>IFERROR(__xludf.DUMMYFUNCTION("IF(ISBLANK(A4),"""",GOOGLEFINANCE(A4,""Changepct"")/100)"),-0.0141)</f>
        <v>-0.0141</v>
      </c>
      <c r="F4" s="39">
        <f>IFERROR(__xludf.DUMMYFUNCTION("IF(ISBLANK(A4),"""",GOOGLEFINANCE(A4,""Change"")*B4)"),-47.85)</f>
        <v>-47.85</v>
      </c>
      <c r="G4" s="40">
        <f t="shared" si="1"/>
        <v>4820.995745</v>
      </c>
      <c r="H4" s="41">
        <f t="shared" si="2"/>
        <v>3355</v>
      </c>
      <c r="I4" s="42">
        <f t="shared" si="3"/>
        <v>-0.3040856749</v>
      </c>
      <c r="J4" s="43">
        <f t="shared" si="4"/>
        <v>-1465.995745</v>
      </c>
    </row>
    <row r="5">
      <c r="A5" s="34" t="s">
        <v>44</v>
      </c>
      <c r="B5" s="35">
        <v>7.0</v>
      </c>
      <c r="C5" s="36">
        <f>IFERROR(__xludf.DUMMYFUNCTION("(if(isblank(A5),"""",AVERAGE.WEIGHTED(filter(History!E:E,History!B:B=A5,History!D:D&gt;0),Filter(History!D:D,History!B:B=A5,History!D:D&gt;0))))"),157.12)</f>
        <v>157.12</v>
      </c>
      <c r="D5" s="37">
        <f>IFERROR(__xludf.DUMMYFUNCTION("IF(ISBLANK(A5),"""",GOOGLEFINANCE(A5,""Price""))"),490.14)</f>
        <v>490.14</v>
      </c>
      <c r="E5" s="38">
        <f>IFERROR(__xludf.DUMMYFUNCTION("IF(ISBLANK(A5),"""",GOOGLEFINANCE(A5,""Changepct"")/100)"),0.0137)</f>
        <v>0.0137</v>
      </c>
      <c r="F5" s="39">
        <f>IFERROR(__xludf.DUMMYFUNCTION("IF(ISBLANK(A5),"""",GOOGLEFINANCE(A5,""Change"")*B5)"),46.48)</f>
        <v>46.48</v>
      </c>
      <c r="G5" s="40">
        <f t="shared" si="1"/>
        <v>1099.84</v>
      </c>
      <c r="H5" s="41">
        <f t="shared" si="2"/>
        <v>3430.98</v>
      </c>
      <c r="I5" s="42">
        <f t="shared" si="3"/>
        <v>2.119526477</v>
      </c>
      <c r="J5" s="43">
        <f t="shared" si="4"/>
        <v>2331.14</v>
      </c>
    </row>
    <row r="6">
      <c r="A6" s="34" t="s">
        <v>45</v>
      </c>
      <c r="B6" s="35">
        <v>13.0</v>
      </c>
      <c r="C6" s="36">
        <f>IFERROR(__xludf.DUMMYFUNCTION("(if(isblank(A6),"""",AVERAGE.WEIGHTED(filter(History!E:E,History!B:B=A6,History!D:D&gt;0),Filter(History!D:D,History!B:B=A6,History!D:D&gt;0))))"),172.46)</f>
        <v>172.46</v>
      </c>
      <c r="D6" s="37">
        <f>IFERROR(__xludf.DUMMYFUNCTION("IF(ISBLANK(A6),"""",GOOGLEFINANCE(A6,""Price""))"),185.26)</f>
        <v>185.26</v>
      </c>
      <c r="E6" s="38">
        <f>IFERROR(__xludf.DUMMYFUNCTION("IF(ISBLANK(A6),"""",GOOGLEFINANCE(A6,""Changepct"")/100)"),0.0)</f>
        <v>0</v>
      </c>
      <c r="F6" s="39">
        <f>IFERROR(__xludf.DUMMYFUNCTION("IF(ISBLANK(A6),"""",GOOGLEFINANCE(A6,""Change"")*B6)"),0.0)</f>
        <v>0</v>
      </c>
      <c r="G6" s="40">
        <f t="shared" si="1"/>
        <v>2241.98</v>
      </c>
      <c r="H6" s="41">
        <f t="shared" si="2"/>
        <v>2408.38</v>
      </c>
      <c r="I6" s="42">
        <f t="shared" si="3"/>
        <v>0.07422010901</v>
      </c>
      <c r="J6" s="43">
        <f t="shared" si="4"/>
        <v>166.4</v>
      </c>
    </row>
    <row r="7">
      <c r="A7" s="34" t="s">
        <v>46</v>
      </c>
      <c r="B7" s="35">
        <v>9.0</v>
      </c>
      <c r="C7" s="36">
        <f>IFERROR(__xludf.DUMMYFUNCTION("(if(isblank(A7),"""",AVERAGE.WEIGHTED(filter(History!E:E,History!B:B=A7,History!D:D&gt;0),Filter(History!D:D,History!B:B=A7,History!D:D&gt;0))))"),300.09)</f>
        <v>300.09</v>
      </c>
      <c r="D7" s="37">
        <f>IFERROR(__xludf.DUMMYFUNCTION("IF(ISBLANK(A7),"""",GOOGLEFINANCE(A7,""Price""))"),468.5)</f>
        <v>468.5</v>
      </c>
      <c r="E7" s="38">
        <f>IFERROR(__xludf.DUMMYFUNCTION("IF(ISBLANK(A7),"""",GOOGLEFINANCE(A7,""Changepct"")/100)"),-0.0028000000000000004)</f>
        <v>-0.0028</v>
      </c>
      <c r="F7" s="39">
        <f>IFERROR(__xludf.DUMMYFUNCTION("IF(ISBLANK(A7),"""",GOOGLEFINANCE(A7,""Change"")*B7)"),-11.97)</f>
        <v>-11.97</v>
      </c>
      <c r="G7" s="40">
        <f t="shared" si="1"/>
        <v>2700.81</v>
      </c>
      <c r="H7" s="41">
        <f t="shared" si="2"/>
        <v>4216.5</v>
      </c>
      <c r="I7" s="42">
        <f t="shared" si="3"/>
        <v>0.5611983072</v>
      </c>
      <c r="J7" s="43">
        <f t="shared" si="4"/>
        <v>1515.69</v>
      </c>
    </row>
    <row r="8">
      <c r="A8" s="34" t="s">
        <v>47</v>
      </c>
      <c r="B8" s="35">
        <v>4.0</v>
      </c>
      <c r="C8" s="36">
        <f>IFERROR(__xludf.DUMMYFUNCTION("(if(isblank(A8),"""",AVERAGE.WEIGHTED(filter(History!E:E,History!B:B=A8,History!D:D&gt;0),Filter(History!D:D,History!B:B=A8,History!D:D&gt;0))))"),112.32)</f>
        <v>112.32</v>
      </c>
      <c r="D8" s="37">
        <f>IFERROR(__xludf.DUMMYFUNCTION("IF(ISBLANK(A8),"""",GOOGLEFINANCE(A8,""Price""))"),76.56)</f>
        <v>76.56</v>
      </c>
      <c r="E8" s="38">
        <f>IFERROR(__xludf.DUMMYFUNCTION("IF(ISBLANK(A8),"""",GOOGLEFINANCE(A8,""Changepct"")/100)"),-0.0126)</f>
        <v>-0.0126</v>
      </c>
      <c r="F8" s="39">
        <f>IFERROR(__xludf.DUMMYFUNCTION("IF(ISBLANK(A8),"""",GOOGLEFINANCE(A8,""Change"")*B8)"),-3.92)</f>
        <v>-3.92</v>
      </c>
      <c r="G8" s="40">
        <f t="shared" si="1"/>
        <v>449.28</v>
      </c>
      <c r="H8" s="41">
        <f t="shared" si="2"/>
        <v>306.24</v>
      </c>
      <c r="I8" s="42">
        <f t="shared" si="3"/>
        <v>-0.3183760684</v>
      </c>
      <c r="J8" s="43">
        <f t="shared" si="4"/>
        <v>-143.04</v>
      </c>
    </row>
    <row r="9">
      <c r="A9" s="34" t="s">
        <v>49</v>
      </c>
      <c r="B9" s="35">
        <v>31.0</v>
      </c>
      <c r="C9" s="36">
        <f>IFERROR(__xludf.DUMMYFUNCTION("(if(isblank(A9),"""",AVERAGE.WEIGHTED(filter(History!E:E,History!B:B=A9,History!D:D&gt;0),Filter(History!D:D,History!B:B=A9,History!D:D&gt;0))))"),45.11)</f>
        <v>45.11</v>
      </c>
      <c r="D9" s="37">
        <f>IFERROR(__xludf.DUMMYFUNCTION("IF(ISBLANK(A9),"""",GOOGLEFINANCE(A9,""Price""))"),80.65)</f>
        <v>80.65</v>
      </c>
      <c r="E9" s="38">
        <f>IFERROR(__xludf.DUMMYFUNCTION("IF(ISBLANK(A9),"""",GOOGLEFINANCE(A9,""Changepct"")/100)"),-0.0313)</f>
        <v>-0.0313</v>
      </c>
      <c r="F9" s="39">
        <f>IFERROR(__xludf.DUMMYFUNCTION("IF(ISBLANK(A9),"""",GOOGLEFINANCE(A9,""Change"")*B9)"),-80.91)</f>
        <v>-80.91</v>
      </c>
      <c r="G9" s="40">
        <f t="shared" si="1"/>
        <v>1398.41</v>
      </c>
      <c r="H9" s="41">
        <f t="shared" si="2"/>
        <v>2500.15</v>
      </c>
      <c r="I9" s="42">
        <f t="shared" si="3"/>
        <v>0.7878519175</v>
      </c>
      <c r="J9" s="43">
        <f t="shared" si="4"/>
        <v>1101.74</v>
      </c>
    </row>
    <row r="10">
      <c r="A10" s="34" t="s">
        <v>50</v>
      </c>
      <c r="B10" s="35">
        <v>19.0</v>
      </c>
      <c r="C10" s="36">
        <f>IFERROR(__xludf.DUMMYFUNCTION("(if(isblank(A10),"""",AVERAGE.WEIGHTED(filter(History!E:E,History!B:B=A10,History!D:D&gt;0),Filter(History!D:D,History!B:B=A10,History!D:D&gt;0))))"),63.65)</f>
        <v>63.65</v>
      </c>
      <c r="D10" s="37">
        <f>IFERROR(__xludf.DUMMYFUNCTION("IF(ISBLANK(A10),"""",GOOGLEFINANCE(A10,""Price""))"),73.78)</f>
        <v>73.78</v>
      </c>
      <c r="E10" s="38">
        <f>IFERROR(__xludf.DUMMYFUNCTION("IF(ISBLANK(A10),"""",GOOGLEFINANCE(A10,""Changepct"")/100)"),-0.0131)</f>
        <v>-0.0131</v>
      </c>
      <c r="F10" s="39">
        <f>IFERROR(__xludf.DUMMYFUNCTION("IF(ISBLANK(A10),"""",GOOGLEFINANCE(A10,""Change"")*B10)"),-18.62)</f>
        <v>-18.62</v>
      </c>
      <c r="G10" s="40">
        <f t="shared" si="1"/>
        <v>1209.35</v>
      </c>
      <c r="H10" s="41">
        <f t="shared" si="2"/>
        <v>1401.82</v>
      </c>
      <c r="I10" s="42">
        <f t="shared" si="3"/>
        <v>0.1591516104</v>
      </c>
      <c r="J10" s="43">
        <f t="shared" si="4"/>
        <v>192.47</v>
      </c>
    </row>
    <row r="11">
      <c r="A11" s="34" t="s">
        <v>61</v>
      </c>
      <c r="B11" s="35">
        <v>7.0</v>
      </c>
      <c r="C11" s="36">
        <f>IFERROR(__xludf.DUMMYFUNCTION("(if(isblank(A11),"""",AVERAGE.WEIGHTED(filter(History!E:E,History!B:B=A11,History!D:D&gt;0),Filter(History!D:D,History!B:B=A11,History!D:D&gt;0))))"),492.4)</f>
        <v>492.4</v>
      </c>
      <c r="D11" s="37">
        <f>IFERROR(__xludf.DUMMYFUNCTION("IF(ISBLANK(A11),"""",GOOGLEFINANCE(A11,""Price""))"),580.61)</f>
        <v>580.61</v>
      </c>
      <c r="E11" s="38">
        <f>IFERROR(__xludf.DUMMYFUNCTION("IF(ISBLANK(A11),"""",GOOGLEFINANCE(A11,""Changepct"")/100)"),-0.0069)</f>
        <v>-0.0069</v>
      </c>
      <c r="F11" s="39">
        <f>IFERROR(__xludf.DUMMYFUNCTION("IF(ISBLANK(A11),"""",GOOGLEFINANCE(A11,""Change"")*B11)"),-28.21)</f>
        <v>-28.21</v>
      </c>
      <c r="G11" s="40">
        <f t="shared" si="1"/>
        <v>3446.8</v>
      </c>
      <c r="H11" s="41">
        <f t="shared" si="2"/>
        <v>4064.27</v>
      </c>
      <c r="I11" s="42">
        <f t="shared" si="3"/>
        <v>0.1791429732</v>
      </c>
      <c r="J11" s="43">
        <f t="shared" si="4"/>
        <v>617.47</v>
      </c>
    </row>
    <row r="12">
      <c r="A12" s="34" t="s">
        <v>62</v>
      </c>
      <c r="B12" s="35">
        <v>17.03</v>
      </c>
      <c r="C12" s="36">
        <f>IFERROR(__xludf.DUMMYFUNCTION("(if(isblank(A12),"""",AVERAGE.WEIGHTED(filter(History!E:E,History!B:B=A12,History!D:D&gt;0),Filter(History!D:D,History!B:B=A12,History!D:D&gt;0))))"),207.2)</f>
        <v>207.2</v>
      </c>
      <c r="D12" s="37">
        <f>IFERROR(__xludf.DUMMYFUNCTION("IF(ISBLANK(A12),"""",GOOGLEFINANCE(A12,""Price""))"),257.22)</f>
        <v>257.22</v>
      </c>
      <c r="E12" s="38">
        <f>IFERROR(__xludf.DUMMYFUNCTION("IF(ISBLANK(A12),"""",GOOGLEFINANCE(A12,""Changepct"")/100)"),-0.0058)</f>
        <v>-0.0058</v>
      </c>
      <c r="F12" s="39">
        <f>IFERROR(__xludf.DUMMYFUNCTION("IF(ISBLANK(A12),"""",GOOGLEFINANCE(A12,""Change"")*B12)"),-25.715300000000003)</f>
        <v>-25.7153</v>
      </c>
      <c r="G12" s="40">
        <f t="shared" si="1"/>
        <v>3528.616</v>
      </c>
      <c r="H12" s="41">
        <f t="shared" si="2"/>
        <v>4380.4566</v>
      </c>
      <c r="I12" s="42">
        <f t="shared" si="3"/>
        <v>0.2414092664</v>
      </c>
      <c r="J12" s="43">
        <f t="shared" si="4"/>
        <v>851.8406</v>
      </c>
    </row>
    <row r="13">
      <c r="A13" s="34" t="s">
        <v>63</v>
      </c>
      <c r="B13" s="35">
        <v>9.02</v>
      </c>
      <c r="C13" s="36">
        <f>IFERROR(__xludf.DUMMYFUNCTION("(if(isblank(A13),"""",AVERAGE.WEIGHTED(filter(History!E:E,History!B:B=A13,History!D:D&gt;0),Filter(History!D:D,History!B:B=A13,History!D:D&gt;0))))"),37015.0)</f>
        <v>37015</v>
      </c>
      <c r="D13" s="37">
        <f>IFERROR(__xludf.DUMMYFUNCTION("IF(ISBLANK(A13),"""",GOOGLEFINANCE(A13,""Price""))"),606.42)</f>
        <v>606.42</v>
      </c>
      <c r="E13" s="38">
        <f>IFERROR(__xludf.DUMMYFUNCTION("IF(ISBLANK(A13),"""",GOOGLEFINANCE(A13,""Changepct"")/100)"),0.0087)</f>
        <v>0.0087</v>
      </c>
      <c r="F13" s="39">
        <f>IFERROR(__xludf.DUMMYFUNCTION("IF(ISBLANK(A13),"""",GOOGLEFINANCE(A13,""Change"")*B13)"),47.2648)</f>
        <v>47.2648</v>
      </c>
      <c r="G13" s="40">
        <f t="shared" si="1"/>
        <v>333875.3</v>
      </c>
      <c r="H13" s="41">
        <f t="shared" si="2"/>
        <v>5469.9084</v>
      </c>
      <c r="I13" s="42">
        <f t="shared" si="3"/>
        <v>-0.9836169121</v>
      </c>
      <c r="J13" s="43">
        <f t="shared" si="4"/>
        <v>-328405.3916</v>
      </c>
    </row>
    <row r="14">
      <c r="A14" s="34" t="s">
        <v>65</v>
      </c>
      <c r="B14" s="35">
        <v>13.03</v>
      </c>
      <c r="C14" s="36">
        <f>IFERROR(__xludf.DUMMYFUNCTION("(if(isblank(A14),"""",AVERAGE.WEIGHTED(filter(History!E:E,History!B:B=A14,History!D:D&gt;0),Filter(History!D:D,History!B:B=A14,History!D:D&gt;0))))"),322.44)</f>
        <v>322.44</v>
      </c>
      <c r="D14" s="37">
        <f>IFERROR(__xludf.DUMMYFUNCTION("IF(ISBLANK(A14),"""",GOOGLEFINANCE(A14,""Price""))"),435.02)</f>
        <v>435.02</v>
      </c>
      <c r="E14" s="38">
        <f>IFERROR(__xludf.DUMMYFUNCTION("IF(ISBLANK(A14),"""",GOOGLEFINANCE(A14,""Changepct"")/100)"),-0.0063)</f>
        <v>-0.0063</v>
      </c>
      <c r="F14" s="39">
        <f>IFERROR(__xludf.DUMMYFUNCTION("IF(ISBLANK(A14),"""",GOOGLEFINANCE(A14,""Change"")*B14)"),-35.962799999999994)</f>
        <v>-35.9628</v>
      </c>
      <c r="G14" s="40">
        <f t="shared" si="1"/>
        <v>4201.3932</v>
      </c>
      <c r="H14" s="41">
        <f t="shared" si="2"/>
        <v>5668.3106</v>
      </c>
      <c r="I14" s="42">
        <f t="shared" si="3"/>
        <v>0.3491502295</v>
      </c>
      <c r="J14" s="43">
        <f t="shared" si="4"/>
        <v>1466.9174</v>
      </c>
    </row>
    <row r="15">
      <c r="A15" s="34" t="s">
        <v>67</v>
      </c>
      <c r="B15" s="35">
        <v>16.05</v>
      </c>
      <c r="C15" s="36">
        <f>IFERROR(__xludf.DUMMYFUNCTION("(if(isblank(A15),"""",AVERAGE.WEIGHTED(filter(History!E:E,History!B:B=A15,History!D:D&gt;0),Filter(History!D:D,History!B:B=A15,History!D:D&gt;0))))"),215.2)</f>
        <v>215.2</v>
      </c>
      <c r="D15" s="37">
        <f>IFERROR(__xludf.DUMMYFUNCTION("IF(ISBLANK(A15),"""",GOOGLEFINANCE(A15,""Price""))"),369.74)</f>
        <v>369.74</v>
      </c>
      <c r="E15" s="38">
        <f>IFERROR(__xludf.DUMMYFUNCTION("IF(ISBLANK(A15),"""",GOOGLEFINANCE(A15,""Changepct"")/100)"),0.0104)</f>
        <v>0.0104</v>
      </c>
      <c r="F15" s="39">
        <f>IFERROR(__xludf.DUMMYFUNCTION("IF(ISBLANK(A15),"""",GOOGLEFINANCE(A15,""Change"")*B15)"),61.1505)</f>
        <v>61.1505</v>
      </c>
      <c r="G15" s="40">
        <f t="shared" si="1"/>
        <v>3453.96</v>
      </c>
      <c r="H15" s="41">
        <f t="shared" si="2"/>
        <v>5934.327</v>
      </c>
      <c r="I15" s="42">
        <f t="shared" si="3"/>
        <v>0.7181226766</v>
      </c>
      <c r="J15" s="43">
        <f t="shared" si="4"/>
        <v>2480.367</v>
      </c>
    </row>
    <row r="16">
      <c r="A16" s="34" t="s">
        <v>6</v>
      </c>
      <c r="B16" s="35">
        <v>1.0</v>
      </c>
      <c r="C16" s="36">
        <f>IFERROR(__xludf.DUMMYFUNCTION("(if(isblank(A16),"""",AVERAGE.WEIGHTED(filter(History!E:E,History!B:B=A16,History!D:D&gt;0),Filter(History!D:D,History!B:B=A16,History!D:D&gt;0))))"),1719.27)</f>
        <v>1719.27</v>
      </c>
      <c r="D16" s="37">
        <f>IFERROR(__xludf.DUMMYFUNCTION("IF(ISBLANK(A16),"""",GOOGLEFINANCE(A16,""Price""))"),131.51)</f>
        <v>131.51</v>
      </c>
      <c r="E16" s="38">
        <f>IFERROR(__xludf.DUMMYFUNCTION("IF(ISBLANK(A16),"""",GOOGLEFINANCE(A16,""Changepct"")/100)"),-0.0033)</f>
        <v>-0.0033</v>
      </c>
      <c r="F16" s="39">
        <f>IFERROR(__xludf.DUMMYFUNCTION("IF(ISBLANK(A16),"""",GOOGLEFINANCE(A16,""Change"")*B16)"),-0.43)</f>
        <v>-0.43</v>
      </c>
      <c r="G16" s="40">
        <f t="shared" si="1"/>
        <v>1719.27</v>
      </c>
      <c r="H16" s="41">
        <f t="shared" si="2"/>
        <v>131.51</v>
      </c>
      <c r="I16" s="42">
        <f t="shared" si="3"/>
        <v>-0.9235082331</v>
      </c>
      <c r="J16" s="43">
        <f t="shared" si="4"/>
        <v>-1587.76</v>
      </c>
    </row>
    <row r="17">
      <c r="F17" s="44" t="str">
        <f>IFERROR(__xludf.DUMMYFUNCTION("IF(ISBLANK(A17),"""",GOOGLEFINANCE(A17,""Change"")*B17)"),"")</f>
        <v/>
      </c>
    </row>
  </sheetData>
  <mergeCells count="1">
    <mergeCell ref="A1:I1"/>
  </mergeCells>
  <conditionalFormatting sqref="A3:C16">
    <cfRule type="notContainsBlanks" dxfId="1" priority="1">
      <formula>LEN(TRIM(A3))&gt;0</formula>
    </cfRule>
  </conditionalFormatting>
  <conditionalFormatting sqref="E1:E1000">
    <cfRule type="cellIs" dxfId="2" priority="2" operator="lessThan">
      <formula>0</formula>
    </cfRule>
  </conditionalFormatting>
  <conditionalFormatting sqref="E1:E1000">
    <cfRule type="cellIs" dxfId="3" priority="3" operator="greaterThan">
      <formula>0</formula>
    </cfRule>
  </conditionalFormatting>
  <conditionalFormatting sqref="D3:J16">
    <cfRule type="notContainsBlanks" dxfId="4" priority="4">
      <formula>LEN(TRIM(D3))&gt;0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D8" s="45"/>
    </row>
  </sheetData>
  <drawing r:id="rId1"/>
</worksheet>
</file>