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blolopezescamilla/Desktop/Tesis/cache/variables/"/>
    </mc:Choice>
  </mc:AlternateContent>
  <xr:revisionPtr revIDLastSave="0" documentId="13_ncr:1_{3FA36181-3173-154A-81A3-722973CB9EEA}" xr6:coauthVersionLast="47" xr6:coauthVersionMax="47" xr10:uidLastSave="{00000000-0000-0000-0000-000000000000}"/>
  <bookViews>
    <workbookView xWindow="0" yWindow="0" windowWidth="28800" windowHeight="18000" activeTab="1" xr2:uid="{0826A72E-9C85-0D48-94C8-A2A8B261856B}"/>
  </bookViews>
  <sheets>
    <sheet name="historicos" sheetId="1" r:id="rId1"/>
    <sheet name="prons Banx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2" i="2" l="1"/>
  <c r="C533" i="2"/>
  <c r="C534" i="2"/>
  <c r="C531" i="2"/>
  <c r="C519" i="2"/>
  <c r="D538" i="2"/>
  <c r="D537" i="2"/>
  <c r="D536" i="2"/>
  <c r="D535" i="2"/>
  <c r="D534" i="2"/>
  <c r="D533" i="2"/>
  <c r="D532" i="2"/>
  <c r="D531" i="2"/>
  <c r="C520" i="2"/>
  <c r="C521" i="2"/>
  <c r="C522" i="2"/>
  <c r="C507" i="2"/>
  <c r="D526" i="2"/>
  <c r="D525" i="2"/>
  <c r="D524" i="2"/>
  <c r="D523" i="2"/>
  <c r="D522" i="2"/>
  <c r="D521" i="2"/>
  <c r="D520" i="2"/>
  <c r="D519" i="2"/>
  <c r="C508" i="2"/>
  <c r="C509" i="2"/>
  <c r="C510" i="2"/>
  <c r="C495" i="2"/>
  <c r="D514" i="2"/>
  <c r="D513" i="2"/>
  <c r="D512" i="2"/>
  <c r="D511" i="2"/>
  <c r="D510" i="2"/>
  <c r="D509" i="2"/>
  <c r="D508" i="2"/>
  <c r="D507" i="2"/>
  <c r="C538" i="2"/>
  <c r="C537" i="2"/>
  <c r="C536" i="2"/>
  <c r="C535" i="2"/>
  <c r="C496" i="2"/>
  <c r="C497" i="2"/>
  <c r="C498" i="2"/>
  <c r="C483" i="2"/>
  <c r="D502" i="2"/>
  <c r="D501" i="2"/>
  <c r="D500" i="2"/>
  <c r="D499" i="2"/>
  <c r="D498" i="2"/>
  <c r="D497" i="2"/>
  <c r="D496" i="2"/>
  <c r="D495" i="2"/>
  <c r="C484" i="2"/>
  <c r="C485" i="2"/>
  <c r="C486" i="2"/>
  <c r="C471" i="2"/>
  <c r="D490" i="2"/>
  <c r="D489" i="2"/>
  <c r="D488" i="2"/>
  <c r="D487" i="2"/>
  <c r="D486" i="2"/>
  <c r="D485" i="2"/>
  <c r="D484" i="2"/>
  <c r="D483" i="2"/>
  <c r="C472" i="2"/>
  <c r="C473" i="2"/>
  <c r="C474" i="2"/>
  <c r="C459" i="2"/>
  <c r="D478" i="2"/>
  <c r="D477" i="2"/>
  <c r="D476" i="2"/>
  <c r="D475" i="2"/>
  <c r="D474" i="2"/>
  <c r="D473" i="2"/>
  <c r="D472" i="2"/>
  <c r="D471" i="2"/>
  <c r="C460" i="2"/>
  <c r="C461" i="2"/>
  <c r="C462" i="2"/>
  <c r="C466" i="2" s="1"/>
  <c r="C463" i="2"/>
  <c r="C447" i="2"/>
  <c r="D466" i="2"/>
  <c r="D465" i="2"/>
  <c r="D464" i="2"/>
  <c r="D463" i="2"/>
  <c r="D462" i="2"/>
  <c r="D461" i="2"/>
  <c r="D460" i="2"/>
  <c r="D459" i="2"/>
  <c r="C448" i="2"/>
  <c r="C449" i="2"/>
  <c r="C450" i="2"/>
  <c r="C454" i="2" s="1"/>
  <c r="C435" i="2"/>
  <c r="D454" i="2"/>
  <c r="D453" i="2"/>
  <c r="D452" i="2"/>
  <c r="D451" i="2"/>
  <c r="D450" i="2"/>
  <c r="D449" i="2"/>
  <c r="D448" i="2"/>
  <c r="D447" i="2"/>
  <c r="C436" i="2"/>
  <c r="C437" i="2"/>
  <c r="C438" i="2"/>
  <c r="C442" i="2" s="1"/>
  <c r="C423" i="2"/>
  <c r="C427" i="2" s="1"/>
  <c r="D442" i="2"/>
  <c r="D441" i="2"/>
  <c r="D440" i="2"/>
  <c r="D439" i="2"/>
  <c r="D438" i="2"/>
  <c r="D437" i="2"/>
  <c r="D436" i="2"/>
  <c r="D435" i="2"/>
  <c r="C424" i="2"/>
  <c r="C425" i="2"/>
  <c r="C426" i="2"/>
  <c r="C430" i="2" s="1"/>
  <c r="C411" i="2"/>
  <c r="D430" i="2"/>
  <c r="D429" i="2"/>
  <c r="D428" i="2"/>
  <c r="D427" i="2"/>
  <c r="D426" i="2"/>
  <c r="D425" i="2"/>
  <c r="D424" i="2"/>
  <c r="D423" i="2"/>
  <c r="C412" i="2"/>
  <c r="C413" i="2"/>
  <c r="C414" i="2"/>
  <c r="C399" i="2"/>
  <c r="D418" i="2"/>
  <c r="D417" i="2"/>
  <c r="D416" i="2"/>
  <c r="D415" i="2"/>
  <c r="D414" i="2"/>
  <c r="D413" i="2"/>
  <c r="D412" i="2"/>
  <c r="D411" i="2"/>
  <c r="C526" i="2"/>
  <c r="C525" i="2"/>
  <c r="C524" i="2"/>
  <c r="C523" i="2"/>
  <c r="C514" i="2"/>
  <c r="C513" i="2"/>
  <c r="C512" i="2"/>
  <c r="C511" i="2"/>
  <c r="C502" i="2"/>
  <c r="C501" i="2"/>
  <c r="C500" i="2"/>
  <c r="C499" i="2"/>
  <c r="C490" i="2"/>
  <c r="C489" i="2"/>
  <c r="C488" i="2"/>
  <c r="C487" i="2"/>
  <c r="C478" i="2"/>
  <c r="C477" i="2"/>
  <c r="C476" i="2"/>
  <c r="C475" i="2"/>
  <c r="C465" i="2"/>
  <c r="C464" i="2"/>
  <c r="C453" i="2"/>
  <c r="C452" i="2"/>
  <c r="C451" i="2"/>
  <c r="C441" i="2"/>
  <c r="C440" i="2"/>
  <c r="C439" i="2"/>
  <c r="C429" i="2"/>
  <c r="C428" i="2"/>
  <c r="C416" i="2"/>
  <c r="C417" i="2"/>
  <c r="C418" i="2"/>
  <c r="C415" i="2"/>
  <c r="C400" i="2"/>
  <c r="C401" i="2"/>
  <c r="C402" i="2"/>
  <c r="C387" i="2"/>
  <c r="D405" i="2"/>
  <c r="D404" i="2"/>
  <c r="D403" i="2"/>
  <c r="D402" i="2"/>
  <c r="D401" i="2"/>
  <c r="D400" i="2"/>
  <c r="D399" i="2"/>
  <c r="C388" i="2"/>
  <c r="C389" i="2"/>
  <c r="C390" i="2"/>
  <c r="C375" i="2"/>
  <c r="D394" i="2"/>
  <c r="D393" i="2"/>
  <c r="D392" i="2"/>
  <c r="D391" i="2"/>
  <c r="D390" i="2"/>
  <c r="D389" i="2"/>
  <c r="D388" i="2"/>
  <c r="D387" i="2"/>
  <c r="C376" i="2"/>
  <c r="C377" i="2"/>
  <c r="C378" i="2"/>
  <c r="C382" i="2" s="1"/>
  <c r="C363" i="2"/>
  <c r="D382" i="2"/>
  <c r="D381" i="2"/>
  <c r="D380" i="2"/>
  <c r="D379" i="2"/>
  <c r="D378" i="2"/>
  <c r="D377" i="2"/>
  <c r="D376" i="2"/>
  <c r="D375" i="2"/>
  <c r="C391" i="2"/>
  <c r="C370" i="2"/>
  <c r="C369" i="2"/>
  <c r="C368" i="2"/>
  <c r="C367" i="2"/>
  <c r="C358" i="2"/>
  <c r="C357" i="2"/>
  <c r="C356" i="2"/>
  <c r="C355" i="2"/>
  <c r="C346" i="2"/>
  <c r="C345" i="2"/>
  <c r="C344" i="2"/>
  <c r="C343" i="2"/>
  <c r="C334" i="2"/>
  <c r="C333" i="2"/>
  <c r="C332" i="2"/>
  <c r="C331" i="2"/>
  <c r="C322" i="2"/>
  <c r="C321" i="2"/>
  <c r="C320" i="2"/>
  <c r="C319" i="2"/>
  <c r="C310" i="2"/>
  <c r="C309" i="2"/>
  <c r="C308" i="2"/>
  <c r="C307" i="2"/>
  <c r="C298" i="2"/>
  <c r="C297" i="2"/>
  <c r="C296" i="2"/>
  <c r="C295" i="2"/>
  <c r="C286" i="2"/>
  <c r="C285" i="2"/>
  <c r="C284" i="2"/>
  <c r="C283" i="2"/>
  <c r="C274" i="2"/>
  <c r="C273" i="2"/>
  <c r="C272" i="2"/>
  <c r="C271" i="2"/>
  <c r="C262" i="2"/>
  <c r="C261" i="2"/>
  <c r="C260" i="2"/>
  <c r="C259" i="2"/>
  <c r="C250" i="2"/>
  <c r="C249" i="2"/>
  <c r="C248" i="2"/>
  <c r="C247" i="2"/>
  <c r="C238" i="2"/>
  <c r="C237" i="2"/>
  <c r="C236" i="2"/>
  <c r="C235" i="2"/>
  <c r="C226" i="2"/>
  <c r="C225" i="2"/>
  <c r="C224" i="2"/>
  <c r="C223" i="2"/>
  <c r="C214" i="2"/>
  <c r="C213" i="2"/>
  <c r="C212" i="2"/>
  <c r="C211" i="2"/>
  <c r="C202" i="2"/>
  <c r="C201" i="2"/>
  <c r="C200" i="2"/>
  <c r="C199" i="2"/>
  <c r="C190" i="2"/>
  <c r="C189" i="2"/>
  <c r="C188" i="2"/>
  <c r="C187" i="2"/>
  <c r="C178" i="2"/>
  <c r="C177" i="2"/>
  <c r="C176" i="2"/>
  <c r="C175" i="2"/>
  <c r="C166" i="2"/>
  <c r="C165" i="2"/>
  <c r="C164" i="2"/>
  <c r="C163" i="2"/>
  <c r="C154" i="2"/>
  <c r="C153" i="2"/>
  <c r="C152" i="2"/>
  <c r="C151" i="2"/>
  <c r="C142" i="2"/>
  <c r="C141" i="2"/>
  <c r="C140" i="2"/>
  <c r="C139" i="2"/>
  <c r="C130" i="2"/>
  <c r="C129" i="2"/>
  <c r="C128" i="2"/>
  <c r="C127" i="2"/>
  <c r="C118" i="2"/>
  <c r="C117" i="2"/>
  <c r="C116" i="2"/>
  <c r="C115" i="2"/>
  <c r="C106" i="2"/>
  <c r="C105" i="2"/>
  <c r="C104" i="2"/>
  <c r="C103" i="2"/>
  <c r="C94" i="2"/>
  <c r="C93" i="2"/>
  <c r="C92" i="2"/>
  <c r="C91" i="2"/>
  <c r="C82" i="2"/>
  <c r="C81" i="2"/>
  <c r="C80" i="2"/>
  <c r="C79" i="2"/>
  <c r="C70" i="2"/>
  <c r="C69" i="2"/>
  <c r="C68" i="2"/>
  <c r="C67" i="2"/>
  <c r="C58" i="2"/>
  <c r="C57" i="2"/>
  <c r="C56" i="2"/>
  <c r="C55" i="2"/>
  <c r="C46" i="2"/>
  <c r="C45" i="2"/>
  <c r="C44" i="2"/>
  <c r="C43" i="2"/>
  <c r="C34" i="2"/>
  <c r="C33" i="2"/>
  <c r="C32" i="2"/>
  <c r="C31" i="2"/>
  <c r="C22" i="2"/>
  <c r="C21" i="2"/>
  <c r="C20" i="2"/>
  <c r="C19" i="2"/>
  <c r="C10" i="2"/>
  <c r="C8" i="2"/>
  <c r="C9" i="2"/>
  <c r="C7" i="2"/>
  <c r="C364" i="2"/>
  <c r="C365" i="2"/>
  <c r="C366" i="2"/>
  <c r="C351" i="2"/>
  <c r="D370" i="2"/>
  <c r="D369" i="2"/>
  <c r="D368" i="2"/>
  <c r="D367" i="2"/>
  <c r="D366" i="2"/>
  <c r="D365" i="2"/>
  <c r="D364" i="2"/>
  <c r="D363" i="2"/>
  <c r="C352" i="2"/>
  <c r="C353" i="2"/>
  <c r="C354" i="2"/>
  <c r="C339" i="2"/>
  <c r="D358" i="2"/>
  <c r="D357" i="2"/>
  <c r="D356" i="2"/>
  <c r="D355" i="2"/>
  <c r="D354" i="2"/>
  <c r="D353" i="2"/>
  <c r="D352" i="2"/>
  <c r="D351" i="2"/>
  <c r="C340" i="2"/>
  <c r="C341" i="2"/>
  <c r="C342" i="2"/>
  <c r="C327" i="2"/>
  <c r="D346" i="2"/>
  <c r="D345" i="2"/>
  <c r="D344" i="2"/>
  <c r="D343" i="2"/>
  <c r="D342" i="2"/>
  <c r="D341" i="2"/>
  <c r="D340" i="2"/>
  <c r="D339" i="2"/>
  <c r="C328" i="2"/>
  <c r="C329" i="2"/>
  <c r="C330" i="2"/>
  <c r="C315" i="2"/>
  <c r="D334" i="2"/>
  <c r="D333" i="2"/>
  <c r="D332" i="2"/>
  <c r="D331" i="2"/>
  <c r="D330" i="2"/>
  <c r="D329" i="2"/>
  <c r="D328" i="2"/>
  <c r="D327" i="2"/>
  <c r="C316" i="2"/>
  <c r="C317" i="2"/>
  <c r="C318" i="2"/>
  <c r="C303" i="2"/>
  <c r="D322" i="2"/>
  <c r="D321" i="2"/>
  <c r="D320" i="2"/>
  <c r="D319" i="2"/>
  <c r="D318" i="2"/>
  <c r="D317" i="2"/>
  <c r="D316" i="2"/>
  <c r="D315" i="2"/>
  <c r="C304" i="2"/>
  <c r="C305" i="2"/>
  <c r="C306" i="2"/>
  <c r="C291" i="2"/>
  <c r="D310" i="2"/>
  <c r="D309" i="2"/>
  <c r="D308" i="2"/>
  <c r="D307" i="2"/>
  <c r="D306" i="2"/>
  <c r="D305" i="2"/>
  <c r="D304" i="2"/>
  <c r="D303" i="2"/>
  <c r="C292" i="2"/>
  <c r="C293" i="2"/>
  <c r="C294" i="2"/>
  <c r="C279" i="2"/>
  <c r="D298" i="2"/>
  <c r="D297" i="2"/>
  <c r="D296" i="2"/>
  <c r="D295" i="2"/>
  <c r="D294" i="2"/>
  <c r="D293" i="2"/>
  <c r="D292" i="2"/>
  <c r="D291" i="2"/>
  <c r="C280" i="2"/>
  <c r="C281" i="2"/>
  <c r="C282" i="2"/>
  <c r="C267" i="2"/>
  <c r="D286" i="2"/>
  <c r="D285" i="2"/>
  <c r="D284" i="2"/>
  <c r="D283" i="2"/>
  <c r="D282" i="2"/>
  <c r="D281" i="2"/>
  <c r="D280" i="2"/>
  <c r="D279" i="2"/>
  <c r="C268" i="2"/>
  <c r="C269" i="2"/>
  <c r="C270" i="2"/>
  <c r="C255" i="2"/>
  <c r="D274" i="2"/>
  <c r="D273" i="2"/>
  <c r="D272" i="2"/>
  <c r="D271" i="2"/>
  <c r="D270" i="2"/>
  <c r="D269" i="2"/>
  <c r="D268" i="2"/>
  <c r="D267" i="2"/>
  <c r="C256" i="2"/>
  <c r="C257" i="2"/>
  <c r="C258" i="2"/>
  <c r="C243" i="2"/>
  <c r="D262" i="2"/>
  <c r="D261" i="2"/>
  <c r="D260" i="2"/>
  <c r="D259" i="2"/>
  <c r="D258" i="2"/>
  <c r="D257" i="2"/>
  <c r="D256" i="2"/>
  <c r="D255" i="2"/>
  <c r="C244" i="2"/>
  <c r="C245" i="2"/>
  <c r="C246" i="2"/>
  <c r="C231" i="2"/>
  <c r="D250" i="2"/>
  <c r="D249" i="2"/>
  <c r="D248" i="2"/>
  <c r="D247" i="2"/>
  <c r="D246" i="2"/>
  <c r="D245" i="2"/>
  <c r="D244" i="2"/>
  <c r="D243" i="2"/>
  <c r="C232" i="2"/>
  <c r="C233" i="2"/>
  <c r="C234" i="2"/>
  <c r="C219" i="2"/>
  <c r="D238" i="2"/>
  <c r="D237" i="2"/>
  <c r="D236" i="2"/>
  <c r="D235" i="2"/>
  <c r="D234" i="2"/>
  <c r="D233" i="2"/>
  <c r="D232" i="2"/>
  <c r="D231" i="2"/>
  <c r="D406" i="2"/>
  <c r="C406" i="2"/>
  <c r="C405" i="2"/>
  <c r="C404" i="2"/>
  <c r="C403" i="2"/>
  <c r="C394" i="2"/>
  <c r="C393" i="2"/>
  <c r="C392" i="2"/>
  <c r="C381" i="2"/>
  <c r="C380" i="2"/>
  <c r="C379" i="2"/>
  <c r="C220" i="2"/>
  <c r="C221" i="2"/>
  <c r="C222" i="2"/>
  <c r="C207" i="2"/>
  <c r="D226" i="2"/>
  <c r="D225" i="2"/>
  <c r="D224" i="2"/>
  <c r="D223" i="2"/>
  <c r="D222" i="2"/>
  <c r="D221" i="2"/>
  <c r="D220" i="2"/>
  <c r="D219" i="2"/>
  <c r="C208" i="2"/>
  <c r="C209" i="2"/>
  <c r="C210" i="2"/>
  <c r="C195" i="2"/>
  <c r="D214" i="2"/>
  <c r="D213" i="2"/>
  <c r="D212" i="2"/>
  <c r="D211" i="2"/>
  <c r="D210" i="2"/>
  <c r="D209" i="2"/>
  <c r="D208" i="2"/>
  <c r="D207" i="2"/>
  <c r="C196" i="2"/>
  <c r="C197" i="2"/>
  <c r="C198" i="2"/>
  <c r="C183" i="2"/>
  <c r="D202" i="2"/>
  <c r="D201" i="2"/>
  <c r="D200" i="2"/>
  <c r="D199" i="2"/>
  <c r="D198" i="2"/>
  <c r="D197" i="2"/>
  <c r="D196" i="2"/>
  <c r="D195" i="2"/>
  <c r="C184" i="2"/>
  <c r="C185" i="2"/>
  <c r="C186" i="2"/>
  <c r="C171" i="2"/>
  <c r="D190" i="2"/>
  <c r="D189" i="2"/>
  <c r="D188" i="2"/>
  <c r="D187" i="2"/>
  <c r="D186" i="2"/>
  <c r="D185" i="2"/>
  <c r="D184" i="2"/>
  <c r="D183" i="2"/>
  <c r="C172" i="2"/>
  <c r="C173" i="2"/>
  <c r="C174" i="2"/>
  <c r="C159" i="2"/>
  <c r="D178" i="2"/>
  <c r="D177" i="2"/>
  <c r="D176" i="2"/>
  <c r="D175" i="2"/>
  <c r="D174" i="2"/>
  <c r="D173" i="2"/>
  <c r="D172" i="2"/>
  <c r="D171" i="2"/>
  <c r="C160" i="2"/>
  <c r="C161" i="2"/>
  <c r="C162" i="2"/>
  <c r="C147" i="2"/>
  <c r="D166" i="2"/>
  <c r="D165" i="2"/>
  <c r="D164" i="2"/>
  <c r="D163" i="2"/>
  <c r="D162" i="2"/>
  <c r="D161" i="2"/>
  <c r="D160" i="2"/>
  <c r="D159" i="2"/>
  <c r="C148" i="2"/>
  <c r="C149" i="2"/>
  <c r="C150" i="2"/>
  <c r="C135" i="2"/>
  <c r="D152" i="2"/>
  <c r="D153" i="2"/>
  <c r="D154" i="2"/>
  <c r="D151" i="2"/>
  <c r="D150" i="2"/>
  <c r="D149" i="2"/>
  <c r="D148" i="2"/>
  <c r="D147" i="2"/>
  <c r="C136" i="2"/>
  <c r="C137" i="2"/>
  <c r="C138" i="2"/>
  <c r="C123" i="2"/>
  <c r="D141" i="2"/>
  <c r="D142" i="2"/>
  <c r="D140" i="2"/>
  <c r="D139" i="2"/>
  <c r="D138" i="2"/>
  <c r="D137" i="2"/>
  <c r="D136" i="2"/>
  <c r="D135" i="2"/>
  <c r="C124" i="2"/>
  <c r="C125" i="2"/>
  <c r="C126" i="2"/>
  <c r="C111" i="2"/>
  <c r="D130" i="2"/>
  <c r="D129" i="2"/>
  <c r="D128" i="2"/>
  <c r="D127" i="2"/>
  <c r="D126" i="2"/>
  <c r="D125" i="2"/>
  <c r="D124" i="2"/>
  <c r="D123" i="2"/>
  <c r="C112" i="2"/>
  <c r="C113" i="2"/>
  <c r="C114" i="2"/>
  <c r="C99" i="2"/>
  <c r="D118" i="2"/>
  <c r="D117" i="2"/>
  <c r="D116" i="2"/>
  <c r="D115" i="2"/>
  <c r="D114" i="2"/>
  <c r="D113" i="2"/>
  <c r="D112" i="2"/>
  <c r="D111" i="2"/>
  <c r="C100" i="2"/>
  <c r="C101" i="2"/>
  <c r="C102" i="2"/>
  <c r="C87" i="2"/>
  <c r="C88" i="2"/>
  <c r="C89" i="2"/>
  <c r="C90" i="2"/>
  <c r="C75" i="2"/>
  <c r="D106" i="2"/>
  <c r="D105" i="2"/>
  <c r="D104" i="2"/>
  <c r="D103" i="2"/>
  <c r="D102" i="2"/>
  <c r="D101" i="2"/>
  <c r="D100" i="2"/>
  <c r="D99" i="2"/>
  <c r="D94" i="2"/>
  <c r="D93" i="2"/>
  <c r="D92" i="2"/>
  <c r="D91" i="2"/>
  <c r="D90" i="2"/>
  <c r="D89" i="2"/>
  <c r="D88" i="2"/>
  <c r="D87" i="2"/>
  <c r="C76" i="2"/>
  <c r="C77" i="2"/>
  <c r="C78" i="2"/>
  <c r="C63" i="2"/>
  <c r="D82" i="2"/>
  <c r="D81" i="2"/>
  <c r="D80" i="2"/>
  <c r="D79" i="2"/>
  <c r="D78" i="2"/>
  <c r="D77" i="2"/>
  <c r="D76" i="2"/>
  <c r="D75" i="2"/>
  <c r="C64" i="2"/>
  <c r="C65" i="2"/>
  <c r="C66" i="2"/>
  <c r="C51" i="2"/>
  <c r="D70" i="2"/>
  <c r="D68" i="2"/>
  <c r="D69" i="2"/>
  <c r="D67" i="2"/>
  <c r="D66" i="2"/>
  <c r="D65" i="2"/>
  <c r="D64" i="2"/>
  <c r="D63" i="2"/>
  <c r="C52" i="2"/>
  <c r="C53" i="2"/>
  <c r="C54" i="2"/>
  <c r="C39" i="2"/>
  <c r="D56" i="2"/>
  <c r="D57" i="2"/>
  <c r="D58" i="2"/>
  <c r="D55" i="2"/>
  <c r="D54" i="2"/>
  <c r="D53" i="2"/>
  <c r="D52" i="2"/>
  <c r="D51" i="2"/>
  <c r="C40" i="2"/>
  <c r="C41" i="2"/>
  <c r="C42" i="2"/>
  <c r="D45" i="2"/>
  <c r="D46" i="2"/>
  <c r="D44" i="2"/>
  <c r="D43" i="2"/>
  <c r="D42" i="2"/>
  <c r="D41" i="2"/>
  <c r="D40" i="2"/>
  <c r="D39" i="2"/>
  <c r="C28" i="2"/>
  <c r="C29" i="2"/>
  <c r="C30" i="2"/>
  <c r="C27" i="2"/>
  <c r="D33" i="2"/>
  <c r="D34" i="2"/>
  <c r="D32" i="2"/>
  <c r="D31" i="2"/>
  <c r="D30" i="2"/>
  <c r="D29" i="2"/>
  <c r="D28" i="2"/>
  <c r="D27" i="2"/>
  <c r="D22" i="2"/>
  <c r="D21" i="2"/>
  <c r="D20" i="2"/>
  <c r="D19" i="2"/>
  <c r="D7" i="2"/>
  <c r="D18" i="2"/>
  <c r="D17" i="2"/>
  <c r="D16" i="2"/>
  <c r="D15" i="2"/>
  <c r="C16" i="2"/>
  <c r="C17" i="2"/>
  <c r="C18" i="2"/>
  <c r="C15" i="2"/>
  <c r="C3" i="2"/>
  <c r="C4" i="2"/>
  <c r="C5" i="2"/>
  <c r="C6" i="2"/>
  <c r="D10" i="2"/>
  <c r="D9" i="2"/>
  <c r="D8" i="2"/>
  <c r="D6" i="2"/>
  <c r="D5" i="2"/>
  <c r="D4" i="2"/>
  <c r="D3" i="2"/>
</calcChain>
</file>

<file path=xl/sharedStrings.xml><?xml version="1.0" encoding="utf-8"?>
<sst xmlns="http://schemas.openxmlformats.org/spreadsheetml/2006/main" count="679" uniqueCount="148">
  <si>
    <t>fecha</t>
  </si>
  <si>
    <t>pib</t>
  </si>
  <si>
    <t>inpc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</si>
  <si>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</si>
  <si>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</si>
  <si>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</si>
  <si>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</si>
  <si>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</si>
  <si>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</si>
  <si>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</si>
  <si>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</si>
  <si>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</si>
  <si>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</si>
  <si>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</si>
  <si>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</si>
  <si>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</si>
  <si>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</si>
  <si>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</si>
  <si>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</si>
  <si>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</si>
  <si>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</si>
  <si>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</si>
  <si>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</si>
  <si>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</si>
  <si>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</si>
  <si>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</si>
  <si>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</si>
  <si>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</si>
  <si>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</si>
  <si>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</si>
  <si>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</si>
  <si>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</si>
  <si>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</si>
  <si>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</si>
  <si>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</si>
  <si>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</si>
  <si>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</si>
  <si>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</si>
  <si>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</si>
  <si>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</si>
  <si>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</si>
  <si>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</si>
  <si>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</si>
  <si>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</si>
  <si>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</si>
  <si>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</si>
  <si>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</si>
  <si>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</si>
  <si>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</si>
  <si>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</si>
  <si>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</si>
  <si>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</si>
  <si>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</si>
  <si>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</si>
  <si>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</si>
  <si>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</si>
  <si>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</si>
  <si>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</si>
  <si>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</si>
  <si>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</si>
  <si>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</si>
  <si>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</si>
  <si>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</si>
  <si>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</si>
  <si>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</si>
  <si>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</si>
  <si>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</si>
  <si>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</si>
  <si>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</si>
  <si>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</si>
  <si>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</si>
  <si>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</si>
  <si>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</si>
  <si>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</si>
  <si>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</si>
  <si>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</si>
  <si>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</si>
  <si>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</si>
  <si>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</si>
  <si>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</si>
  <si>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</si>
  <si>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</si>
  <si>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</si>
  <si>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</si>
  <si>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</si>
  <si>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</si>
  <si>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</si>
  <si>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</si>
  <si>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</si>
  <si>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</si>
  <si>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</si>
  <si>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Los pronósticos de Banxico de la inflación incluyen el detalle mensual para los doce meses futuros inmediatos, para los meses a más de un año solo se presenta el pronóstico de la inflación para ese año</t>
  </si>
  <si>
    <t>1. Diciembre 2011 (1)</t>
  </si>
  <si>
    <t>(1) Los pronósticos de Banxico del PIB incluyen únicamente el pronóstico anual</t>
  </si>
  <si>
    <t>pib_dif</t>
  </si>
  <si>
    <t>2. Marzo 2012 (2)</t>
  </si>
  <si>
    <t>(2) Los pronósticos de Banxico del PIB incluyen el detalle trimestral del año en curso, y el anual del año siguiente</t>
  </si>
  <si>
    <t>3. Junio 2012 (2)</t>
  </si>
  <si>
    <t>4. Septiembre 2012 (2)</t>
  </si>
  <si>
    <t>5. Diciembre 2012 (2)</t>
  </si>
  <si>
    <t>6. Marzo 2013</t>
  </si>
  <si>
    <t>7. Junio 2013</t>
  </si>
  <si>
    <t>8. Septiembre 2013</t>
  </si>
  <si>
    <t>9. December 2013</t>
  </si>
  <si>
    <t>10. March 2014</t>
  </si>
  <si>
    <t>11. Junio 2014</t>
  </si>
  <si>
    <t>12. Septiembre 2014</t>
  </si>
  <si>
    <t>13. Diciembre 2014</t>
  </si>
  <si>
    <t>14. March 2015</t>
  </si>
  <si>
    <t>15. Junio 2015</t>
  </si>
  <si>
    <t>16. Septiembre 2015</t>
  </si>
  <si>
    <t>17. Diciembre 2015</t>
  </si>
  <si>
    <t>18. Marzo 2016</t>
  </si>
  <si>
    <t>19. Junio 2016</t>
  </si>
  <si>
    <t>20. Septiembre 2016</t>
  </si>
  <si>
    <t>21. Diciembre 2016</t>
  </si>
  <si>
    <t>22. Marzo 2017</t>
  </si>
  <si>
    <t>23. Junio 2017</t>
  </si>
  <si>
    <t>24. Septiembre 2017</t>
  </si>
  <si>
    <t>25. Diciembre 2017</t>
  </si>
  <si>
    <t>26. Marzo 2018</t>
  </si>
  <si>
    <t>27. Junio 2018</t>
  </si>
  <si>
    <t>28. Septiembre 2018</t>
  </si>
  <si>
    <t>29. Diciembre 2018</t>
  </si>
  <si>
    <t>30. Marzo 2019</t>
  </si>
  <si>
    <t>31. Junio 2019</t>
  </si>
  <si>
    <t>32. September 2019</t>
  </si>
  <si>
    <t>33. December 2019</t>
  </si>
  <si>
    <t>34. Marzo 2020</t>
  </si>
  <si>
    <t>35. Junio 2020</t>
  </si>
  <si>
    <t>36. Septiembre 2020</t>
  </si>
  <si>
    <t>37. Diciembre 2020</t>
  </si>
  <si>
    <t>38. Marzo 2021</t>
  </si>
  <si>
    <t>2023 Q1</t>
  </si>
  <si>
    <t>39. Junio 2021</t>
  </si>
  <si>
    <t>2023 Q2</t>
  </si>
  <si>
    <t>40. Septiembre 2021</t>
  </si>
  <si>
    <t>2023 Q3</t>
  </si>
  <si>
    <t>41. Diciembre 2021</t>
  </si>
  <si>
    <t>2023 Q4</t>
  </si>
  <si>
    <t>42. Marzo 2022</t>
  </si>
  <si>
    <t>2024 Q1</t>
  </si>
  <si>
    <t>43. Junio 2022</t>
  </si>
  <si>
    <t>2024 Q2</t>
  </si>
  <si>
    <t>44. Septiembre 2022</t>
  </si>
  <si>
    <t>45. Diciembre 2022</t>
  </si>
  <si>
    <t>2024 Q3</t>
  </si>
  <si>
    <t>2024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</si>
</sst>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BD5F-0892-5E45-9137-0D648E0E0A65}">
  <dimension ref="A1:C89"/>
  <sheetViews>
    <sheetView topLeftCell="A58" workbookViewId="0">
      <selection activeCell="B85" sqref="B8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12796.119499</v>
      </c>
      <c r="C2">
        <v>1.1126365745</v>
      </c>
    </row>
    <row r="3" spans="1:3" x14ac:dyDescent="0.2">
      <c r="A3" t="s">
        <v>4</v>
      </c>
      <c r="B3">
        <v>12967.530185</v>
      </c>
      <c r="C3">
        <v>0.97290475999998205</v>
      </c>
    </row>
    <row r="4" spans="1:3" x14ac:dyDescent="0.2">
      <c r="A4" t="s">
        <v>5</v>
      </c>
      <c r="B4">
        <v>12857.408646</v>
      </c>
      <c r="C4">
        <v>1.2615207338000101</v>
      </c>
    </row>
    <row r="5" spans="1:3" x14ac:dyDescent="0.2">
      <c r="A5" t="s">
        <v>6</v>
      </c>
      <c r="B5">
        <v>12901.42921</v>
      </c>
      <c r="C5">
        <v>0.97287439400000097</v>
      </c>
    </row>
    <row r="6" spans="1:3" x14ac:dyDescent="0.2">
      <c r="A6" t="s">
        <v>7</v>
      </c>
      <c r="B6">
        <v>12415.541447</v>
      </c>
      <c r="C6">
        <v>1.37383118480001</v>
      </c>
    </row>
    <row r="7" spans="1:3" x14ac:dyDescent="0.2">
      <c r="A7" t="s">
        <v>8</v>
      </c>
      <c r="B7">
        <v>13112.362762000001</v>
      </c>
      <c r="C7">
        <v>1.2447803900000001</v>
      </c>
    </row>
    <row r="8" spans="1:3" x14ac:dyDescent="0.2">
      <c r="A8" t="s">
        <v>9</v>
      </c>
      <c r="B8">
        <v>12889.950083</v>
      </c>
      <c r="C8">
        <v>1.27512861200001</v>
      </c>
    </row>
    <row r="9" spans="1:3" x14ac:dyDescent="0.2">
      <c r="A9" t="s">
        <v>10</v>
      </c>
      <c r="B9">
        <v>13084.104380000001</v>
      </c>
      <c r="C9">
        <v>1.69907968159999</v>
      </c>
    </row>
    <row r="10" spans="1:3" x14ac:dyDescent="0.2">
      <c r="A10" t="s">
        <v>11</v>
      </c>
      <c r="B10">
        <v>12803.323689999999</v>
      </c>
      <c r="C10">
        <v>1.3154110559999901</v>
      </c>
    </row>
    <row r="11" spans="1:3" x14ac:dyDescent="0.2">
      <c r="A11" t="s">
        <v>12</v>
      </c>
      <c r="B11">
        <v>13182.930047</v>
      </c>
      <c r="C11">
        <v>-7.0664435200007397E-2</v>
      </c>
    </row>
    <row r="12" spans="1:3" x14ac:dyDescent="0.2">
      <c r="A12" t="s">
        <v>13</v>
      </c>
      <c r="B12">
        <v>12954.91294</v>
      </c>
      <c r="C12">
        <v>1.0430625199999899</v>
      </c>
    </row>
    <row r="13" spans="1:3" x14ac:dyDescent="0.2">
      <c r="A13" t="s">
        <v>14</v>
      </c>
      <c r="B13">
        <v>13305.707408</v>
      </c>
      <c r="C13">
        <v>1.6382442053000099</v>
      </c>
    </row>
    <row r="14" spans="1:3" x14ac:dyDescent="0.2">
      <c r="A14" t="s">
        <v>15</v>
      </c>
      <c r="B14">
        <v>13252.629580999999</v>
      </c>
      <c r="C14">
        <v>1.567880648</v>
      </c>
    </row>
    <row r="15" spans="1:3" x14ac:dyDescent="0.2">
      <c r="A15" t="s">
        <v>16</v>
      </c>
      <c r="B15">
        <v>13732.335999999999</v>
      </c>
      <c r="C15">
        <v>5.9464400000019998E-2</v>
      </c>
    </row>
    <row r="16" spans="1:3" x14ac:dyDescent="0.2">
      <c r="A16" t="s">
        <v>17</v>
      </c>
      <c r="B16">
        <v>13438.260098000001</v>
      </c>
      <c r="C16">
        <v>1.71892937959999</v>
      </c>
    </row>
    <row r="17" spans="1:3" x14ac:dyDescent="0.2">
      <c r="A17" t="s">
        <v>18</v>
      </c>
      <c r="B17">
        <v>13872.034549</v>
      </c>
      <c r="C17">
        <v>1.7591113164999701</v>
      </c>
    </row>
    <row r="18" spans="1:3" x14ac:dyDescent="0.2">
      <c r="A18" t="s">
        <v>19</v>
      </c>
      <c r="B18">
        <v>13354.787872999999</v>
      </c>
      <c r="C18">
        <v>0.78148499999999299</v>
      </c>
    </row>
    <row r="19" spans="1:3" x14ac:dyDescent="0.2">
      <c r="A19" t="s">
        <v>20</v>
      </c>
      <c r="B19">
        <v>14104.833946000001</v>
      </c>
      <c r="C19">
        <v>8.9909000000165697E-3</v>
      </c>
    </row>
    <row r="20" spans="1:3" x14ac:dyDescent="0.2">
      <c r="A20" t="s">
        <v>21</v>
      </c>
      <c r="B20">
        <v>13782.144436</v>
      </c>
      <c r="C20">
        <v>0.912509872</v>
      </c>
    </row>
    <row r="21" spans="1:3" x14ac:dyDescent="0.2">
      <c r="A21" t="s">
        <v>22</v>
      </c>
      <c r="B21">
        <v>14306.523825</v>
      </c>
      <c r="C21">
        <v>1.5877279800000199</v>
      </c>
    </row>
    <row r="22" spans="1:3" x14ac:dyDescent="0.2">
      <c r="A22" t="s">
        <v>23</v>
      </c>
      <c r="B22">
        <v>14107.960023</v>
      </c>
      <c r="C22">
        <v>0.87184815050000997</v>
      </c>
    </row>
    <row r="23" spans="1:3" x14ac:dyDescent="0.2">
      <c r="A23" t="s">
        <v>24</v>
      </c>
      <c r="B23">
        <v>14700.503916</v>
      </c>
      <c r="C23">
        <v>-0.21094560750000199</v>
      </c>
    </row>
    <row r="24" spans="1:3" x14ac:dyDescent="0.2">
      <c r="A24" t="s">
        <v>25</v>
      </c>
      <c r="B24">
        <v>14435.867706000001</v>
      </c>
      <c r="C24">
        <v>1.7992689077000099</v>
      </c>
    </row>
    <row r="25" spans="1:3" x14ac:dyDescent="0.2">
      <c r="A25" t="s">
        <v>26</v>
      </c>
      <c r="B25">
        <v>14800.897343000001</v>
      </c>
      <c r="C25">
        <v>1.5478692704000001</v>
      </c>
    </row>
    <row r="26" spans="1:3" x14ac:dyDescent="0.2">
      <c r="A26" t="s">
        <v>27</v>
      </c>
      <c r="B26">
        <v>14393.727371000001</v>
      </c>
      <c r="C26">
        <v>1.02321920320001</v>
      </c>
    </row>
    <row r="27" spans="1:3" x14ac:dyDescent="0.2">
      <c r="A27" t="s">
        <v>28</v>
      </c>
      <c r="B27">
        <v>14993.339386</v>
      </c>
      <c r="C27">
        <v>-0.43036564719999298</v>
      </c>
    </row>
    <row r="28" spans="1:3" x14ac:dyDescent="0.2">
      <c r="A28" t="s">
        <v>29</v>
      </c>
      <c r="B28">
        <v>14783.298235</v>
      </c>
      <c r="C28">
        <v>1.6182094316</v>
      </c>
    </row>
    <row r="29" spans="1:3" x14ac:dyDescent="0.2">
      <c r="A29" t="s">
        <v>30</v>
      </c>
      <c r="B29">
        <v>15204.938908</v>
      </c>
      <c r="C29">
        <v>1.5172903529000199</v>
      </c>
    </row>
    <row r="30" spans="1:3" x14ac:dyDescent="0.2">
      <c r="A30" t="s">
        <v>31</v>
      </c>
      <c r="B30">
        <v>14563.428384999999</v>
      </c>
      <c r="C30">
        <v>1.4868619360000099</v>
      </c>
    </row>
    <row r="31" spans="1:3" x14ac:dyDescent="0.2">
      <c r="A31" t="s">
        <v>32</v>
      </c>
      <c r="B31">
        <v>15386.334054999999</v>
      </c>
      <c r="C31">
        <v>0.53023796269999801</v>
      </c>
    </row>
    <row r="32" spans="1:3" x14ac:dyDescent="0.2">
      <c r="A32" t="s">
        <v>33</v>
      </c>
      <c r="B32">
        <v>14979.494720999999</v>
      </c>
      <c r="C32">
        <v>1.8310220864</v>
      </c>
    </row>
    <row r="33" spans="1:3" x14ac:dyDescent="0.2">
      <c r="A33" t="s">
        <v>34</v>
      </c>
      <c r="B33">
        <v>15125.053561999999</v>
      </c>
      <c r="C33">
        <v>2.5303634887999999</v>
      </c>
    </row>
    <row r="34" spans="1:3" x14ac:dyDescent="0.2">
      <c r="A34" t="s">
        <v>35</v>
      </c>
      <c r="B34">
        <v>13752.148809</v>
      </c>
      <c r="C34">
        <v>1.0331189347999801</v>
      </c>
    </row>
    <row r="35" spans="1:3" x14ac:dyDescent="0.2">
      <c r="A35" t="s">
        <v>36</v>
      </c>
      <c r="B35">
        <v>14012.937558</v>
      </c>
      <c r="C35">
        <v>0.23909117300000601</v>
      </c>
    </row>
    <row r="36" spans="1:3" x14ac:dyDescent="0.2">
      <c r="A36" t="s">
        <v>37</v>
      </c>
      <c r="B36">
        <v>14231.941444</v>
      </c>
      <c r="C36">
        <v>1.0132012399999699</v>
      </c>
    </row>
    <row r="37" spans="1:3" x14ac:dyDescent="0.2">
      <c r="A37" t="s">
        <v>38</v>
      </c>
      <c r="B37">
        <v>14882.965704</v>
      </c>
      <c r="C37">
        <v>1.2349283959999899</v>
      </c>
    </row>
    <row r="38" spans="1:3" x14ac:dyDescent="0.2">
      <c r="A38" t="s">
        <v>39</v>
      </c>
      <c r="B38">
        <v>14371.721497</v>
      </c>
      <c r="C38">
        <v>2.3982238861999901</v>
      </c>
    </row>
    <row r="39" spans="1:3" x14ac:dyDescent="0.2">
      <c r="A39" t="s">
        <v>40</v>
      </c>
      <c r="B39">
        <v>14998.399353000001</v>
      </c>
      <c r="C39">
        <v>-0.97769960479998597</v>
      </c>
    </row>
    <row r="40" spans="1:3" x14ac:dyDescent="0.2">
      <c r="A40" t="s">
        <v>41</v>
      </c>
      <c r="B40">
        <v>14921.452810000001</v>
      </c>
      <c r="C40">
        <v>1.02321920320001</v>
      </c>
    </row>
    <row r="41" spans="1:3" x14ac:dyDescent="0.2">
      <c r="A41" t="s">
        <v>42</v>
      </c>
      <c r="B41">
        <v>15499.605124</v>
      </c>
      <c r="C41">
        <v>1.9320847999999999</v>
      </c>
    </row>
    <row r="42" spans="1:3" x14ac:dyDescent="0.2">
      <c r="A42" t="s">
        <v>43</v>
      </c>
      <c r="B42">
        <v>14902.733064</v>
      </c>
      <c r="C42">
        <v>1.0635185378000001</v>
      </c>
    </row>
    <row r="43" spans="1:3" x14ac:dyDescent="0.2">
      <c r="A43" t="s">
        <v>44</v>
      </c>
      <c r="B43">
        <v>15413.046345999999</v>
      </c>
      <c r="C43">
        <v>-0.74992599999998999</v>
      </c>
    </row>
    <row r="44" spans="1:3" x14ac:dyDescent="0.2">
      <c r="A44" t="s">
        <v>45</v>
      </c>
      <c r="B44">
        <v>15526.015342999999</v>
      </c>
      <c r="C44">
        <v>0.89236991999999105</v>
      </c>
    </row>
    <row r="45" spans="1:3" x14ac:dyDescent="0.2">
      <c r="A45" t="s">
        <v>46</v>
      </c>
      <c r="B45">
        <v>16139.539650999999</v>
      </c>
      <c r="C45">
        <v>2.5916453352</v>
      </c>
    </row>
    <row r="46" spans="1:3" x14ac:dyDescent="0.2">
      <c r="A46" t="s">
        <v>47</v>
      </c>
      <c r="B46">
        <v>15619.753022999999</v>
      </c>
      <c r="C46">
        <v>0.97196685200000599</v>
      </c>
    </row>
    <row r="47" spans="1:3" x14ac:dyDescent="0.2">
      <c r="A47" t="s">
        <v>48</v>
      </c>
      <c r="B47">
        <v>16027.465754000001</v>
      </c>
      <c r="C47">
        <v>-0.171901436800004</v>
      </c>
    </row>
    <row r="48" spans="1:3" x14ac:dyDescent="0.2">
      <c r="A48" t="s">
        <v>49</v>
      </c>
      <c r="B48">
        <v>15952.811255000001</v>
      </c>
      <c r="C48">
        <v>1.3054713919999901</v>
      </c>
    </row>
    <row r="49" spans="1:3" x14ac:dyDescent="0.2">
      <c r="A49" t="s">
        <v>50</v>
      </c>
      <c r="B49">
        <v>16638.864571999999</v>
      </c>
      <c r="C49">
        <v>1.4262129764</v>
      </c>
    </row>
    <row r="50" spans="1:3" x14ac:dyDescent="0.2">
      <c r="A50" t="s">
        <v>51</v>
      </c>
      <c r="B50">
        <v>15719.785760999999</v>
      </c>
      <c r="C50">
        <v>1.62847130799999</v>
      </c>
    </row>
    <row r="51" spans="1:3" x14ac:dyDescent="0.2">
      <c r="A51" t="s">
        <v>52</v>
      </c>
      <c r="B51">
        <v>16361.862085999999</v>
      </c>
      <c r="C51">
        <v>-0.32007486139999902</v>
      </c>
    </row>
    <row r="52" spans="1:3" x14ac:dyDescent="0.2">
      <c r="A52" t="s">
        <v>53</v>
      </c>
      <c r="B52">
        <v>16186.109</v>
      </c>
      <c r="C52">
        <v>0.63086568079999705</v>
      </c>
    </row>
    <row r="53" spans="1:3" x14ac:dyDescent="0.2">
      <c r="A53" t="s">
        <v>54</v>
      </c>
      <c r="B53">
        <v>16840.991464999999</v>
      </c>
      <c r="C53">
        <v>1.99252644480001</v>
      </c>
    </row>
    <row r="54" spans="1:3" x14ac:dyDescent="0.2">
      <c r="A54" t="s">
        <v>55</v>
      </c>
      <c r="B54">
        <v>16162.075206</v>
      </c>
      <c r="C54">
        <v>1.4153090074999799</v>
      </c>
    </row>
    <row r="55" spans="1:3" x14ac:dyDescent="0.2">
      <c r="A55" t="s">
        <v>56</v>
      </c>
      <c r="B55">
        <v>16743.451763000001</v>
      </c>
      <c r="C55">
        <v>-0.34025796639999301</v>
      </c>
    </row>
    <row r="56" spans="1:3" x14ac:dyDescent="0.2">
      <c r="A56" t="s">
        <v>57</v>
      </c>
      <c r="B56">
        <v>16649.895251999998</v>
      </c>
      <c r="C56">
        <v>1.0838284351999801</v>
      </c>
    </row>
    <row r="57" spans="1:3" x14ac:dyDescent="0.2">
      <c r="A57" t="s">
        <v>58</v>
      </c>
      <c r="B57">
        <v>17408.777786999999</v>
      </c>
      <c r="C57">
        <v>1.8611408295</v>
      </c>
    </row>
    <row r="58" spans="1:3" x14ac:dyDescent="0.2">
      <c r="A58" t="s">
        <v>59</v>
      </c>
      <c r="B58">
        <v>16710.198934</v>
      </c>
      <c r="C58">
        <v>0.51023829890000105</v>
      </c>
    </row>
    <row r="59" spans="1:3" x14ac:dyDescent="0.2">
      <c r="A59" t="s">
        <v>60</v>
      </c>
      <c r="B59">
        <v>17261.204474999999</v>
      </c>
      <c r="C59">
        <v>-0.58998979000000096</v>
      </c>
    </row>
    <row r="60" spans="1:3" x14ac:dyDescent="0.2">
      <c r="A60" t="s">
        <v>61</v>
      </c>
      <c r="B60">
        <v>17331.653266000001</v>
      </c>
      <c r="C60">
        <v>0.731648165499998</v>
      </c>
    </row>
    <row r="61" spans="1:3" x14ac:dyDescent="0.2">
      <c r="A61" t="s">
        <v>62</v>
      </c>
      <c r="B61">
        <v>17866.375908999999</v>
      </c>
      <c r="C61">
        <v>1.47716250050003</v>
      </c>
    </row>
    <row r="62" spans="1:3" x14ac:dyDescent="0.2">
      <c r="A62" t="s">
        <v>63</v>
      </c>
      <c r="B62">
        <v>17166.386055999999</v>
      </c>
      <c r="C62">
        <v>0.97290450800000505</v>
      </c>
    </row>
    <row r="63" spans="1:3" x14ac:dyDescent="0.2">
      <c r="A63" t="s">
        <v>64</v>
      </c>
      <c r="B63">
        <v>17781.120938</v>
      </c>
      <c r="C63">
        <v>-0.65940541599998104</v>
      </c>
    </row>
    <row r="64" spans="1:3" x14ac:dyDescent="0.2">
      <c r="A64" t="s">
        <v>65</v>
      </c>
      <c r="B64">
        <v>17625.642291</v>
      </c>
      <c r="C64">
        <v>1.1540264407999801</v>
      </c>
    </row>
    <row r="65" spans="1:3" x14ac:dyDescent="0.2">
      <c r="A65" t="s">
        <v>66</v>
      </c>
      <c r="B65">
        <v>18415.807650999999</v>
      </c>
      <c r="C65">
        <v>1.8611738867999801</v>
      </c>
    </row>
    <row r="66" spans="1:3" x14ac:dyDescent="0.2">
      <c r="A66" t="s">
        <v>67</v>
      </c>
      <c r="B66">
        <v>17757.592060999999</v>
      </c>
      <c r="C66">
        <v>2.9138281460000099</v>
      </c>
    </row>
    <row r="67" spans="1:3" x14ac:dyDescent="0.2">
      <c r="A67" t="s">
        <v>68</v>
      </c>
      <c r="B67">
        <v>18084.813681</v>
      </c>
      <c r="C67">
        <v>0.24985563999999599</v>
      </c>
    </row>
    <row r="68" spans="1:3" x14ac:dyDescent="0.2">
      <c r="A68" t="s">
        <v>69</v>
      </c>
      <c r="B68">
        <v>17900.722435</v>
      </c>
      <c r="C68">
        <v>1.1845647722000101</v>
      </c>
    </row>
    <row r="69" spans="1:3" x14ac:dyDescent="0.2">
      <c r="A69" t="s">
        <v>70</v>
      </c>
      <c r="B69">
        <v>18745.917090999999</v>
      </c>
      <c r="C69">
        <v>2.2663212851000001</v>
      </c>
    </row>
    <row r="70" spans="1:3" x14ac:dyDescent="0.2">
      <c r="A70" t="s">
        <v>71</v>
      </c>
      <c r="B70">
        <v>18018.663574999999</v>
      </c>
      <c r="C70">
        <v>1.2349324448000201</v>
      </c>
    </row>
    <row r="71" spans="1:3" x14ac:dyDescent="0.2">
      <c r="A71" t="s">
        <v>72</v>
      </c>
      <c r="B71">
        <v>18670.352478000001</v>
      </c>
      <c r="C71">
        <v>-0.11140387839999601</v>
      </c>
    </row>
    <row r="72" spans="1:3" x14ac:dyDescent="0.2">
      <c r="A72" t="s">
        <v>73</v>
      </c>
      <c r="B72">
        <v>18405.820507</v>
      </c>
      <c r="C72">
        <v>1.5478491543999999</v>
      </c>
    </row>
    <row r="73" spans="1:3" x14ac:dyDescent="0.2">
      <c r="A73" t="s">
        <v>74</v>
      </c>
      <c r="B73">
        <v>18985.339427999999</v>
      </c>
      <c r="C73">
        <v>2.0840409400000102</v>
      </c>
    </row>
    <row r="74" spans="1:3" x14ac:dyDescent="0.2">
      <c r="A74" t="s">
        <v>75</v>
      </c>
      <c r="B74">
        <v>18240.968712999998</v>
      </c>
      <c r="C74">
        <v>0.45020689470001202</v>
      </c>
    </row>
    <row r="75" spans="1:3" x14ac:dyDescent="0.2">
      <c r="A75" t="s">
        <v>76</v>
      </c>
      <c r="B75">
        <v>18464.189906</v>
      </c>
      <c r="C75">
        <v>-0.18028908700000701</v>
      </c>
    </row>
    <row r="76" spans="1:3" x14ac:dyDescent="0.2">
      <c r="A76" t="s">
        <v>77</v>
      </c>
      <c r="B76">
        <v>18371.400495000002</v>
      </c>
      <c r="C76">
        <v>0.62085980239998695</v>
      </c>
    </row>
    <row r="77" spans="1:3" x14ac:dyDescent="0.2">
      <c r="A77" t="s">
        <v>78</v>
      </c>
      <c r="B77">
        <v>18856.161934</v>
      </c>
      <c r="C77">
        <v>1.9219584944000001</v>
      </c>
    </row>
    <row r="78" spans="1:3" x14ac:dyDescent="0.2">
      <c r="A78" t="s">
        <v>79</v>
      </c>
      <c r="B78">
        <v>18069.681095</v>
      </c>
      <c r="C78">
        <v>0.85156499200000901</v>
      </c>
    </row>
    <row r="79" spans="1:3" x14ac:dyDescent="0.2">
      <c r="A79" t="s">
        <v>80</v>
      </c>
      <c r="B79">
        <v>15028.758104</v>
      </c>
      <c r="C79">
        <v>-8.7324108999986494E-2</v>
      </c>
    </row>
    <row r="80" spans="1:3" x14ac:dyDescent="0.2">
      <c r="A80" t="s">
        <v>81</v>
      </c>
      <c r="B80">
        <v>16839.487567</v>
      </c>
      <c r="C80">
        <v>1.2849949201999999</v>
      </c>
    </row>
    <row r="81" spans="1:3" x14ac:dyDescent="0.2">
      <c r="A81" t="s">
        <v>82</v>
      </c>
      <c r="B81">
        <v>18089.113334000001</v>
      </c>
      <c r="C81">
        <v>1.0731118544</v>
      </c>
    </row>
    <row r="82" spans="1:3" x14ac:dyDescent="0.2">
      <c r="A82" t="s">
        <v>83</v>
      </c>
      <c r="B82">
        <v>17433.940123</v>
      </c>
      <c r="C82">
        <v>2.3378299694</v>
      </c>
    </row>
    <row r="83" spans="1:3" x14ac:dyDescent="0.2">
      <c r="A83" t="s">
        <v>84</v>
      </c>
      <c r="B83">
        <v>17967.574259000001</v>
      </c>
      <c r="C83">
        <v>1.0634724980000301</v>
      </c>
    </row>
    <row r="84" spans="1:3" x14ac:dyDescent="0.2">
      <c r="A84" t="s">
        <v>85</v>
      </c>
      <c r="B84">
        <v>17563.657321999999</v>
      </c>
      <c r="C84">
        <v>1.4059639502000101</v>
      </c>
    </row>
    <row r="85" spans="1:3" x14ac:dyDescent="0.2">
      <c r="A85" t="s">
        <v>86</v>
      </c>
      <c r="B85">
        <v>18273.129244</v>
      </c>
      <c r="C85">
        <v>2.3567384736000099</v>
      </c>
    </row>
    <row r="86" spans="1:3" x14ac:dyDescent="0.2">
      <c r="A86" t="s">
        <v>87</v>
      </c>
      <c r="B86">
        <v>17761.376902</v>
      </c>
      <c r="C86">
        <v>2.4290034803</v>
      </c>
    </row>
    <row r="87" spans="1:3" x14ac:dyDescent="0.2">
      <c r="A87" t="s">
        <v>88</v>
      </c>
      <c r="B87">
        <v>18402.501433000001</v>
      </c>
      <c r="C87">
        <v>1.5670281648000099</v>
      </c>
    </row>
    <row r="88" spans="1:3" x14ac:dyDescent="0.2">
      <c r="A88" t="s">
        <v>89</v>
      </c>
      <c r="B88">
        <v>18330.898163999998</v>
      </c>
      <c r="C88">
        <v>2.0741401160000001</v>
      </c>
    </row>
    <row r="89" spans="1:3" x14ac:dyDescent="0.2">
      <c r="A89" t="s">
        <v>90</v>
      </c>
      <c r="B89">
        <v>18925.112066999998</v>
      </c>
      <c r="C89">
        <v>1.5376885628000101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92B7-DC16-BE4B-B2A1-18BDE89AB6B9}">
  <dimension ref="A1:G538"/>
  <sheetViews>
    <sheetView tabSelected="1" workbookViewId="0">
      <selection activeCell="C540" sqref="C540"/>
    </sheetView>
  </sheetViews>
  <sheetFormatPr baseColWidth="10" defaultRowHeight="16" x14ac:dyDescent="0.2"/>
  <cols>
    <col min="3" max="3" width="12.1640625" bestFit="1" customWidth="1"/>
  </cols>
  <sheetData>
    <row r="1" spans="1:7" x14ac:dyDescent="0.2">
      <c r="A1" s="6" t="s">
        <v>92</v>
      </c>
      <c r="B1" s="6"/>
      <c r="C1" s="6"/>
      <c r="D1" s="6"/>
      <c r="F1" t="s">
        <v>91</v>
      </c>
    </row>
    <row r="2" spans="1:7" x14ac:dyDescent="0.2">
      <c r="A2" t="s">
        <v>0</v>
      </c>
      <c r="B2" t="s">
        <v>94</v>
      </c>
      <c r="C2" t="s">
        <v>1</v>
      </c>
      <c r="D2" t="s">
        <v>2</v>
      </c>
      <c r="F2" t="s">
        <v>93</v>
      </c>
    </row>
    <row r="3" spans="1:7" x14ac:dyDescent="0.2">
      <c r="A3" t="s">
        <v>47</v>
      </c>
      <c r="B3" s="2">
        <v>3.2300000000000002E-2</v>
      </c>
      <c r="C3" s="5">
        <f>historicos!B42*(1+'prons Banxico'!B3)</f>
        <v>15384.0913419672</v>
      </c>
      <c r="D3" s="3">
        <f>((1+0.46/100)*(1+0.33/100)*(1+0.32/100)-1)*100</f>
        <v>1.1140508575999908</v>
      </c>
      <c r="F3" t="s">
        <v>96</v>
      </c>
    </row>
    <row r="4" spans="1:7" x14ac:dyDescent="0.2">
      <c r="A4" t="s">
        <v>48</v>
      </c>
      <c r="B4" s="2">
        <v>3.2300000000000002E-2</v>
      </c>
      <c r="C4" s="5">
        <f>historicos!B43*(1+'prons Banxico'!B4)</f>
        <v>15910.887742975799</v>
      </c>
      <c r="D4" s="5">
        <f>((1 + 0.04/100)* (1-0.38/100)*(1+ 0.13/100)-1)*100</f>
        <v>-0.21059419760000031</v>
      </c>
    </row>
    <row r="5" spans="1:7" x14ac:dyDescent="0.2">
      <c r="A5" t="s">
        <v>49</v>
      </c>
      <c r="B5" s="2">
        <v>3.2300000000000002E-2</v>
      </c>
      <c r="C5" s="5">
        <f>historicos!B44*(1+'prons Banxico'!B5)</f>
        <v>16027.505638578899</v>
      </c>
      <c r="D5" s="5">
        <f>((1 + 0.31/100)* (1+0.27/100)*(1+ 0.44/100)-1)*100</f>
        <v>1.0233926828000062</v>
      </c>
    </row>
    <row r="6" spans="1:7" x14ac:dyDescent="0.2">
      <c r="A6" t="s">
        <v>50</v>
      </c>
      <c r="B6" s="2">
        <v>3.2300000000000002E-2</v>
      </c>
      <c r="C6" s="5">
        <f>historicos!B45*(1+'prons Banxico'!B6)</f>
        <v>16660.846781727298</v>
      </c>
      <c r="D6" s="5">
        <f>((1 + 0.49/100)* (1+0.73/100)*(1+ 0.47/100)-1)*100</f>
        <v>1.6993278118999866</v>
      </c>
    </row>
    <row r="7" spans="1:7" x14ac:dyDescent="0.2">
      <c r="A7" t="s">
        <v>51</v>
      </c>
      <c r="B7" s="1">
        <v>3.44E-2</v>
      </c>
      <c r="C7" s="5">
        <f>C3*(1+'prons Banxico'!B7)</f>
        <v>15913.30408413087</v>
      </c>
      <c r="D7" s="5">
        <f>((1+3.57/100)^(1/4)-1)*100</f>
        <v>0.88079453245544226</v>
      </c>
    </row>
    <row r="8" spans="1:7" x14ac:dyDescent="0.2">
      <c r="A8" t="s">
        <v>52</v>
      </c>
      <c r="B8" s="1">
        <v>3.44E-2</v>
      </c>
      <c r="C8" s="5">
        <f>C4*(1+'prons Banxico'!B8)</f>
        <v>16458.222281334165</v>
      </c>
      <c r="D8" s="5">
        <f>((1+3.57/100)^(1/4)-1)*100</f>
        <v>0.88079453245544226</v>
      </c>
      <c r="F8" s="4"/>
    </row>
    <row r="9" spans="1:7" x14ac:dyDescent="0.2">
      <c r="A9" t="s">
        <v>53</v>
      </c>
      <c r="B9" s="1">
        <v>3.44E-2</v>
      </c>
      <c r="C9" s="5">
        <f>C5*(1+'prons Banxico'!B9)</f>
        <v>16578.851832546014</v>
      </c>
      <c r="D9" s="5">
        <f>((1+3.57/100)^(1/4)-1)*100</f>
        <v>0.88079453245544226</v>
      </c>
    </row>
    <row r="10" spans="1:7" x14ac:dyDescent="0.2">
      <c r="A10" t="s">
        <v>54</v>
      </c>
      <c r="B10" s="1">
        <v>3.44E-2</v>
      </c>
      <c r="C10" s="5">
        <f>C6*(1+'prons Banxico'!B10)</f>
        <v>17233.979911018716</v>
      </c>
      <c r="D10" s="5">
        <f>((1+3.57/100)^(1/4)-1)*100</f>
        <v>0.88079453245544226</v>
      </c>
    </row>
    <row r="13" spans="1:7" x14ac:dyDescent="0.2">
      <c r="A13" s="7" t="s">
        <v>95</v>
      </c>
      <c r="B13" s="7"/>
      <c r="C13" s="7"/>
      <c r="D13" s="7"/>
    </row>
    <row r="14" spans="1:7" x14ac:dyDescent="0.2">
      <c r="A14" t="s">
        <v>0</v>
      </c>
      <c r="B14" t="s">
        <v>94</v>
      </c>
      <c r="C14" t="s">
        <v>1</v>
      </c>
      <c r="D14" t="s">
        <v>2</v>
      </c>
    </row>
    <row r="15" spans="1:7" x14ac:dyDescent="0.2">
      <c r="A15" t="s">
        <v>48</v>
      </c>
      <c r="B15" s="1">
        <v>3.5999999999999997E-2</v>
      </c>
      <c r="C15" s="5">
        <f>historicos!B43*(1+'prons Banxico'!B15)</f>
        <v>15967.916014455999</v>
      </c>
      <c r="D15" s="3">
        <f>((1+0.06/100)*(1-0.47/100)*(1+0.13/100)-1)*100</f>
        <v>-0.28081536659999573</v>
      </c>
      <c r="G15" s="3"/>
    </row>
    <row r="16" spans="1:7" x14ac:dyDescent="0.2">
      <c r="A16" t="s">
        <v>49</v>
      </c>
      <c r="B16" s="1">
        <v>3.1699999999999999E-2</v>
      </c>
      <c r="C16" s="5">
        <f>historicos!B44*(1+'prons Banxico'!B16)</f>
        <v>16018.1900293731</v>
      </c>
      <c r="D16" s="3">
        <f>((1+0.32/100)*(1+0.27/100)*(1+0.42/100)-1)*100</f>
        <v>1.0133456287999998</v>
      </c>
    </row>
    <row r="17" spans="1:4" x14ac:dyDescent="0.2">
      <c r="A17" t="s">
        <v>50</v>
      </c>
      <c r="B17" s="1">
        <v>3.32E-2</v>
      </c>
      <c r="C17" s="5">
        <f>historicos!B45*(1+'prons Banxico'!B17)</f>
        <v>16675.372367413198</v>
      </c>
      <c r="D17" s="3">
        <f>((1+0.54/100)*(1+0.8/100)*(1+0.56/100)-1)*100</f>
        <v>1.9118481920000097</v>
      </c>
    </row>
    <row r="18" spans="1:4" x14ac:dyDescent="0.2">
      <c r="A18" t="s">
        <v>51</v>
      </c>
      <c r="B18" s="1">
        <v>3.5000000000000003E-2</v>
      </c>
      <c r="C18" s="5">
        <f>historicos!B46*(1+'prons Banxico'!B18)</f>
        <v>16166.444378804998</v>
      </c>
      <c r="D18" s="3">
        <f>((1+0.53/100)*(1+0.31/100)*(1+0.3/100)-1)*100</f>
        <v>1.1441679290000062</v>
      </c>
    </row>
    <row r="19" spans="1:4" x14ac:dyDescent="0.2">
      <c r="A19" t="s">
        <v>52</v>
      </c>
      <c r="B19" s="1">
        <v>3.5000000000000003E-2</v>
      </c>
      <c r="C19" s="5">
        <f>C15*(1+'prons Banxico'!B19)</f>
        <v>16526.793074961959</v>
      </c>
      <c r="D19" s="5">
        <f>((1+3.65/100)^(1/4)-1)*100</f>
        <v>0.90026959022215802</v>
      </c>
    </row>
    <row r="20" spans="1:4" x14ac:dyDescent="0.2">
      <c r="A20" t="s">
        <v>53</v>
      </c>
      <c r="B20" s="2">
        <v>3.5000000000000003E-2</v>
      </c>
      <c r="C20" s="5">
        <f>C16*(1+'prons Banxico'!B20)</f>
        <v>16578.826680401158</v>
      </c>
      <c r="D20" s="5">
        <f>((1+3.65/100)^(1/4)-1)*100</f>
        <v>0.90026959022215802</v>
      </c>
    </row>
    <row r="21" spans="1:4" x14ac:dyDescent="0.2">
      <c r="A21" t="s">
        <v>54</v>
      </c>
      <c r="B21" s="2">
        <v>3.5000000000000003E-2</v>
      </c>
      <c r="C21" s="5">
        <f>C17*(1+'prons Banxico'!B21)</f>
        <v>17259.010400272658</v>
      </c>
      <c r="D21" s="5">
        <f>((1+3.65/100)^(1/4)-1)*100</f>
        <v>0.90026959022215802</v>
      </c>
    </row>
    <row r="22" spans="1:4" x14ac:dyDescent="0.2">
      <c r="A22" t="s">
        <v>55</v>
      </c>
      <c r="B22" s="2">
        <v>3.5000000000000003E-2</v>
      </c>
      <c r="C22" s="5">
        <f>C18*(1+'prons Banxico'!B22)</f>
        <v>16732.269932063173</v>
      </c>
      <c r="D22" s="5">
        <f>((1+3.65/100)^(1/4)-1)*100</f>
        <v>0.90026959022215802</v>
      </c>
    </row>
    <row r="25" spans="1:4" x14ac:dyDescent="0.2">
      <c r="A25" s="7" t="s">
        <v>97</v>
      </c>
      <c r="B25" s="7"/>
      <c r="C25" s="7"/>
      <c r="D25" s="7"/>
    </row>
    <row r="26" spans="1:4" x14ac:dyDescent="0.2">
      <c r="A26" t="s">
        <v>0</v>
      </c>
      <c r="B26" t="s">
        <v>94</v>
      </c>
      <c r="C26" t="s">
        <v>1</v>
      </c>
      <c r="D26" t="s">
        <v>2</v>
      </c>
    </row>
    <row r="27" spans="1:4" x14ac:dyDescent="0.2">
      <c r="A27" t="s">
        <v>49</v>
      </c>
      <c r="B27" s="1">
        <v>3.3399999999999999E-2</v>
      </c>
      <c r="C27" s="5">
        <f>historicos!B44*(1+'prons Banxico'!B27)</f>
        <v>16044.5842554562</v>
      </c>
      <c r="D27" s="3">
        <f>((1+0.34/100)*(1+0.28/100)*(1+0.43/100)-1)*100</f>
        <v>1.053622093600004</v>
      </c>
    </row>
    <row r="28" spans="1:4" x14ac:dyDescent="0.2">
      <c r="A28" t="s">
        <v>50</v>
      </c>
      <c r="B28" s="1">
        <v>3.1800000000000002E-2</v>
      </c>
      <c r="C28" s="5">
        <f>historicos!B45*(1+'prons Banxico'!B28)</f>
        <v>16652.777011901799</v>
      </c>
      <c r="D28" s="3">
        <f>((1+0.58/100)*(1+0.88/100)*(1+0.59/100)-1)*100</f>
        <v>2.0637481135999947</v>
      </c>
    </row>
    <row r="29" spans="1:4" x14ac:dyDescent="0.2">
      <c r="A29" t="s">
        <v>51</v>
      </c>
      <c r="B29" s="1">
        <v>3.4200000000000001E-2</v>
      </c>
      <c r="C29" s="5">
        <f>historicos!B46*(1+'prons Banxico'!B29)</f>
        <v>16153.9485763866</v>
      </c>
      <c r="D29" s="3">
        <f>((1+0.56/100)*(1+0.31/100)*(1+0.27/100)-1)*100</f>
        <v>1.1440896872000117</v>
      </c>
    </row>
    <row r="30" spans="1:4" x14ac:dyDescent="0.2">
      <c r="A30" t="s">
        <v>52</v>
      </c>
      <c r="B30" s="1">
        <v>3.4200000000000001E-2</v>
      </c>
      <c r="C30" s="5">
        <f>historicos!B47*(1+'prons Banxico'!B30)</f>
        <v>16575.605082786802</v>
      </c>
      <c r="D30" s="3">
        <f>((1-0.08/100)*(1-0.37/100)*(1+0.17/100)-1)*100</f>
        <v>-0.28046849680000152</v>
      </c>
    </row>
    <row r="31" spans="1:4" x14ac:dyDescent="0.2">
      <c r="A31" t="s">
        <v>53</v>
      </c>
      <c r="B31" s="1">
        <v>3.4200000000000001E-2</v>
      </c>
      <c r="C31" s="5">
        <f>C27*(1+'prons Banxico'!B31)</f>
        <v>16593.309036992803</v>
      </c>
      <c r="D31" s="5">
        <f>((1+3.69/100)^(1/4)-1)*100</f>
        <v>0.91000289179585803</v>
      </c>
    </row>
    <row r="32" spans="1:4" x14ac:dyDescent="0.2">
      <c r="A32" t="s">
        <v>54</v>
      </c>
      <c r="B32" s="1">
        <v>3.4200000000000001E-2</v>
      </c>
      <c r="C32" s="5">
        <f>C28*(1+'prons Banxico'!B32)</f>
        <v>17222.30198570884</v>
      </c>
      <c r="D32" s="5">
        <f>((1+3.69/100)^(1/4)-1)*100</f>
        <v>0.91000289179585803</v>
      </c>
    </row>
    <row r="33" spans="1:4" x14ac:dyDescent="0.2">
      <c r="A33" t="s">
        <v>55</v>
      </c>
      <c r="B33" s="1">
        <v>3.4200000000000001E-2</v>
      </c>
      <c r="C33" s="5">
        <f>C29*(1+'prons Banxico'!B33)</f>
        <v>16706.413617699021</v>
      </c>
      <c r="D33" s="5">
        <f>((1+3.69/100)^(1/4)-1)*100</f>
        <v>0.91000289179585803</v>
      </c>
    </row>
    <row r="34" spans="1:4" x14ac:dyDescent="0.2">
      <c r="A34" t="s">
        <v>56</v>
      </c>
      <c r="B34" s="1">
        <v>3.4200000000000001E-2</v>
      </c>
      <c r="C34" s="5">
        <f>C30*(1+'prons Banxico'!B34)</f>
        <v>17142.49077661811</v>
      </c>
      <c r="D34" s="5">
        <f>((1+3.69/100)^(1/4)-1)*100</f>
        <v>0.91000289179585803</v>
      </c>
    </row>
    <row r="37" spans="1:4" x14ac:dyDescent="0.2">
      <c r="A37" s="7" t="s">
        <v>98</v>
      </c>
      <c r="B37" s="7"/>
      <c r="C37" s="7"/>
      <c r="D37" s="7"/>
    </row>
    <row r="38" spans="1:4" x14ac:dyDescent="0.2">
      <c r="A38" t="s">
        <v>0</v>
      </c>
      <c r="B38" t="s">
        <v>94</v>
      </c>
      <c r="C38" t="s">
        <v>1</v>
      </c>
      <c r="D38" t="s">
        <v>2</v>
      </c>
    </row>
    <row r="39" spans="1:4" x14ac:dyDescent="0.2">
      <c r="A39" t="s">
        <v>50</v>
      </c>
      <c r="B39" s="2">
        <v>3.3399999999999999E-2</v>
      </c>
      <c r="C39" s="5">
        <f>historicos!B45*(1+'prons Banxico'!B39)</f>
        <v>16678.6002753434</v>
      </c>
      <c r="D39" s="3">
        <f>((1+0.52/100)*(1+0.82/100)*(1+0.55/100)-1)*100</f>
        <v>1.9016574520000162</v>
      </c>
    </row>
    <row r="40" spans="1:4" x14ac:dyDescent="0.2">
      <c r="A40" t="s">
        <v>51</v>
      </c>
      <c r="B40" s="1">
        <v>3.5299999999999998E-2</v>
      </c>
      <c r="C40" s="5">
        <f>historicos!B46*(1+'prons Banxico'!B40)</f>
        <v>16171.130304711898</v>
      </c>
      <c r="D40" s="3">
        <f>((1+0.51/100)*(1+0.3/100)*(1+0.27/100)-1)*100</f>
        <v>1.0837211309999928</v>
      </c>
    </row>
    <row r="41" spans="1:4" x14ac:dyDescent="0.2">
      <c r="A41" t="s">
        <v>52</v>
      </c>
      <c r="B41" s="1">
        <v>3.5299999999999998E-2</v>
      </c>
      <c r="C41" s="5">
        <f>historicos!B47*(1+'prons Banxico'!B41)</f>
        <v>16593.235295116199</v>
      </c>
      <c r="D41" s="3">
        <f>((1-0.05/100)*(1-0.35/100)*(1+0.16/100)-1)*100</f>
        <v>-0.24046471999997765</v>
      </c>
    </row>
    <row r="42" spans="1:4" x14ac:dyDescent="0.2">
      <c r="A42" t="s">
        <v>53</v>
      </c>
      <c r="B42" s="1">
        <v>3.5299999999999998E-2</v>
      </c>
      <c r="C42" s="5">
        <f>historicos!B48*(1+'prons Banxico'!B42)</f>
        <v>16515.9454923015</v>
      </c>
      <c r="D42" s="3">
        <f>((1+0.33/100)*(1+0.27/100)*(1+0.46/100)-1)*100</f>
        <v>1.0636550986000026</v>
      </c>
    </row>
    <row r="43" spans="1:4" x14ac:dyDescent="0.2">
      <c r="A43" t="s">
        <v>54</v>
      </c>
      <c r="B43" s="1">
        <v>3.5299999999999998E-2</v>
      </c>
      <c r="C43" s="5">
        <f>C39*(1+'prons Banxico'!B43)</f>
        <v>17267.354865063022</v>
      </c>
      <c r="D43" s="5">
        <f>((1+3.76/100)^(1/4)-1)*100</f>
        <v>0.92702939548690022</v>
      </c>
    </row>
    <row r="44" spans="1:4" x14ac:dyDescent="0.2">
      <c r="A44" t="s">
        <v>55</v>
      </c>
      <c r="B44" s="1">
        <v>3.5299999999999998E-2</v>
      </c>
      <c r="C44" s="5">
        <f>C40*(1+'prons Banxico'!B44)</f>
        <v>16741.971204468227</v>
      </c>
      <c r="D44" s="5">
        <f>((1+3.62/100)^(1/4)-1)*100</f>
        <v>0.89296776511444964</v>
      </c>
    </row>
    <row r="45" spans="1:4" x14ac:dyDescent="0.2">
      <c r="A45" t="s">
        <v>56</v>
      </c>
      <c r="B45" s="1">
        <v>3.5299999999999998E-2</v>
      </c>
      <c r="C45" s="5">
        <f>C41*(1+'prons Banxico'!B45)</f>
        <v>17178.976501033798</v>
      </c>
      <c r="D45" s="5">
        <f t="shared" ref="D45:D46" si="0">((1+3.62/100)^(1/4)-1)*100</f>
        <v>0.89296776511444964</v>
      </c>
    </row>
    <row r="46" spans="1:4" x14ac:dyDescent="0.2">
      <c r="A46" t="s">
        <v>57</v>
      </c>
      <c r="B46" s="1">
        <v>3.5299999999999998E-2</v>
      </c>
      <c r="C46" s="5">
        <f>C42*(1+'prons Banxico'!B46)</f>
        <v>17098.958368179741</v>
      </c>
      <c r="D46" s="5">
        <f t="shared" si="0"/>
        <v>0.89296776511444964</v>
      </c>
    </row>
    <row r="49" spans="1:4" x14ac:dyDescent="0.2">
      <c r="A49" s="7" t="s">
        <v>99</v>
      </c>
      <c r="B49" s="7"/>
      <c r="C49" s="7"/>
      <c r="D49" s="7"/>
    </row>
    <row r="50" spans="1:4" x14ac:dyDescent="0.2">
      <c r="A50" t="s">
        <v>0</v>
      </c>
      <c r="B50" t="s">
        <v>94</v>
      </c>
      <c r="C50" t="s">
        <v>1</v>
      </c>
      <c r="D50" t="s">
        <v>2</v>
      </c>
    </row>
    <row r="51" spans="1:4" x14ac:dyDescent="0.2">
      <c r="A51" t="s">
        <v>51</v>
      </c>
      <c r="B51" s="2">
        <v>3.4500000000000003E-2</v>
      </c>
      <c r="C51" s="5">
        <f>historicos!B46*(1+'prons Banxico'!B51)</f>
        <v>16158.634502293498</v>
      </c>
      <c r="D51" s="3">
        <f>((1+0.58/100)*(1+0.32/100)*(1+0.27/100)-1)*100</f>
        <v>1.1742910112000127</v>
      </c>
    </row>
    <row r="52" spans="1:4" x14ac:dyDescent="0.2">
      <c r="A52" t="s">
        <v>52</v>
      </c>
      <c r="B52" s="2">
        <v>3.4500000000000003E-2</v>
      </c>
      <c r="C52" s="5">
        <f>historicos!B47*(1+'prons Banxico'!B52)</f>
        <v>16580.413322512999</v>
      </c>
      <c r="D52" s="3">
        <f>((1-0.08/100)*(1-0.31/100)*(1+0.18/100)-1)*100</f>
        <v>-0.21045355359999851</v>
      </c>
    </row>
    <row r="53" spans="1:4" x14ac:dyDescent="0.2">
      <c r="A53" t="s">
        <v>53</v>
      </c>
      <c r="B53" s="2">
        <v>3.4500000000000003E-2</v>
      </c>
      <c r="C53" s="5">
        <f>historicos!B48*(1+'prons Banxico'!B53)</f>
        <v>16503.183243297499</v>
      </c>
      <c r="D53" s="3">
        <f>((1+0.32/100)*(1+0.23/100)*(1+0.38/100)-1)*100</f>
        <v>0.93282879679998931</v>
      </c>
    </row>
    <row r="54" spans="1:4" x14ac:dyDescent="0.2">
      <c r="A54" t="s">
        <v>54</v>
      </c>
      <c r="B54" s="2">
        <v>3.4500000000000003E-2</v>
      </c>
      <c r="C54" s="5">
        <f>historicos!B49*(1+'prons Banxico'!B54)</f>
        <v>17212.905399733998</v>
      </c>
      <c r="D54" s="3">
        <f>((1+0.45/100)*(1+0.72/100)*(1+0.53/100)-1)*100</f>
        <v>1.7094581720000113</v>
      </c>
    </row>
    <row r="55" spans="1:4" x14ac:dyDescent="0.2">
      <c r="A55" t="s">
        <v>55</v>
      </c>
      <c r="B55" s="2">
        <v>3.4500000000000003E-2</v>
      </c>
      <c r="C55" s="5">
        <f>C51*(1+'prons Banxico'!B55)</f>
        <v>16716.107392622624</v>
      </c>
      <c r="D55" s="5">
        <f>((1+3.52/100)^(1/4)-1)*100</f>
        <v>0.8686168913875969</v>
      </c>
    </row>
    <row r="56" spans="1:4" x14ac:dyDescent="0.2">
      <c r="A56" t="s">
        <v>56</v>
      </c>
      <c r="B56" s="2">
        <v>3.4500000000000003E-2</v>
      </c>
      <c r="C56" s="5">
        <f>C52*(1+'prons Banxico'!B56)</f>
        <v>17152.437582139697</v>
      </c>
      <c r="D56" s="5">
        <f t="shared" ref="D56:D58" si="1">((1+3.52/100)^(1/4)-1)*100</f>
        <v>0.8686168913875969</v>
      </c>
    </row>
    <row r="57" spans="1:4" x14ac:dyDescent="0.2">
      <c r="A57" t="s">
        <v>57</v>
      </c>
      <c r="B57" s="2">
        <v>3.4500000000000003E-2</v>
      </c>
      <c r="C57" s="5">
        <f>C53*(1+'prons Banxico'!B57)</f>
        <v>17072.543065191261</v>
      </c>
      <c r="D57" s="5">
        <f t="shared" si="1"/>
        <v>0.8686168913875969</v>
      </c>
    </row>
    <row r="58" spans="1:4" x14ac:dyDescent="0.2">
      <c r="A58" t="s">
        <v>58</v>
      </c>
      <c r="B58" s="2">
        <v>3.4500000000000003E-2</v>
      </c>
      <c r="C58" s="5">
        <f>C54*(1+'prons Banxico'!B58)</f>
        <v>17806.750636024819</v>
      </c>
      <c r="D58" s="5">
        <f t="shared" si="1"/>
        <v>0.8686168913875969</v>
      </c>
    </row>
    <row r="61" spans="1:4" x14ac:dyDescent="0.2">
      <c r="A61" s="7" t="s">
        <v>100</v>
      </c>
      <c r="B61" s="7"/>
      <c r="C61" s="7"/>
      <c r="D61" s="7"/>
    </row>
    <row r="62" spans="1:4" x14ac:dyDescent="0.2">
      <c r="A62" t="s">
        <v>0</v>
      </c>
      <c r="B62" t="s">
        <v>94</v>
      </c>
      <c r="C62" t="s">
        <v>1</v>
      </c>
      <c r="D62" t="s">
        <v>2</v>
      </c>
    </row>
    <row r="63" spans="1:4" x14ac:dyDescent="0.2">
      <c r="A63" t="s">
        <v>52</v>
      </c>
      <c r="B63" s="2">
        <v>3.61E-2</v>
      </c>
      <c r="C63" s="5">
        <f>historicos!B47*(1+'prons Banxico'!B63)</f>
        <v>16606.0572677194</v>
      </c>
      <c r="D63" s="3">
        <f>((1+0.06/100)*(1-0.17/100)*(1+0.32/100)-1)*100</f>
        <v>0.20954567359998677</v>
      </c>
    </row>
    <row r="64" spans="1:4" x14ac:dyDescent="0.2">
      <c r="A64" t="s">
        <v>53</v>
      </c>
      <c r="B64" s="1">
        <v>3.61E-2</v>
      </c>
      <c r="C64" s="5">
        <f>historicos!B48*(1+'prons Banxico'!B64)</f>
        <v>16528.707741305501</v>
      </c>
      <c r="D64" s="3">
        <f>((1+0.35/100)*(1+0.27/100)*(1+0.42/100)-1)*100</f>
        <v>1.0435529690000056</v>
      </c>
    </row>
    <row r="65" spans="1:4" x14ac:dyDescent="0.2">
      <c r="A65" t="s">
        <v>54</v>
      </c>
      <c r="B65" s="1">
        <v>3.7499999999999999E-2</v>
      </c>
      <c r="C65" s="5">
        <f>historicos!B49*(1+'prons Banxico'!B65)</f>
        <v>17262.821993450001</v>
      </c>
      <c r="D65" s="3">
        <f>((1+0.49/100)*(1+0.71/100)*(1+0.42/100)-1)*100</f>
        <v>1.6285336117999982</v>
      </c>
    </row>
    <row r="66" spans="1:4" x14ac:dyDescent="0.2">
      <c r="A66" t="s">
        <v>55</v>
      </c>
      <c r="B66" s="1">
        <v>4.0800000000000003E-2</v>
      </c>
      <c r="C66" s="5">
        <f>historicos!B50*(1+'prons Banxico'!B66)</f>
        <v>16361.153020048798</v>
      </c>
      <c r="D66" s="3">
        <f>((1+0.53/100)*(1+0.33/100)*(1+0.25/100)-1)*100</f>
        <v>1.1139033725000136</v>
      </c>
    </row>
    <row r="67" spans="1:4" x14ac:dyDescent="0.2">
      <c r="A67" t="s">
        <v>56</v>
      </c>
      <c r="B67" s="1">
        <v>3.7600000000000001E-2</v>
      </c>
      <c r="C67" s="5">
        <f>C63*(1+'prons Banxico'!B67)</f>
        <v>17230.445020985651</v>
      </c>
      <c r="D67" s="5">
        <f>((1+3.39/100)^(1/4)-1)*100</f>
        <v>0.83693436649967534</v>
      </c>
    </row>
    <row r="68" spans="1:4" x14ac:dyDescent="0.2">
      <c r="A68" t="s">
        <v>57</v>
      </c>
      <c r="B68" s="2">
        <v>3.9100000000000003E-2</v>
      </c>
      <c r="C68" s="5">
        <f>C64*(1+'prons Banxico'!B68)</f>
        <v>17174.980213990544</v>
      </c>
      <c r="D68" s="5">
        <f t="shared" ref="D68:D69" si="2">((1+3.39/100)^(1/4)-1)*100</f>
        <v>0.83693436649967534</v>
      </c>
    </row>
    <row r="69" spans="1:4" x14ac:dyDescent="0.2">
      <c r="A69" t="s">
        <v>58</v>
      </c>
      <c r="B69" s="2">
        <v>3.95E-2</v>
      </c>
      <c r="C69" s="5">
        <f>C65*(1+'prons Banxico'!B69)</f>
        <v>17944.703462191279</v>
      </c>
      <c r="D69" s="5">
        <f t="shared" si="2"/>
        <v>0.83693436649967534</v>
      </c>
    </row>
    <row r="70" spans="1:4" x14ac:dyDescent="0.2">
      <c r="A70" t="s">
        <v>59</v>
      </c>
      <c r="B70" s="2">
        <v>3.9399999999999998E-2</v>
      </c>
      <c r="C70" s="5">
        <f>C66*(1+'prons Banxico'!B70)</f>
        <v>17005.782449038721</v>
      </c>
      <c r="D70" s="5">
        <f>((1+3.3/100)^(1/4)-1)*100</f>
        <v>0.81498280423168978</v>
      </c>
    </row>
    <row r="73" spans="1:4" x14ac:dyDescent="0.2">
      <c r="A73" s="7" t="s">
        <v>101</v>
      </c>
      <c r="B73" s="7"/>
      <c r="C73" s="7"/>
      <c r="D73" s="7"/>
    </row>
    <row r="74" spans="1:4" x14ac:dyDescent="0.2">
      <c r="A74" t="s">
        <v>0</v>
      </c>
      <c r="B74" t="s">
        <v>94</v>
      </c>
      <c r="C74" t="s">
        <v>1</v>
      </c>
      <c r="D74" t="s">
        <v>2</v>
      </c>
    </row>
    <row r="75" spans="1:4" x14ac:dyDescent="0.2">
      <c r="A75" t="s">
        <v>53</v>
      </c>
      <c r="B75" s="2">
        <v>3.4000000000000002E-2</v>
      </c>
      <c r="C75" s="5">
        <f>historicos!B48*(1+'prons Banxico'!B75)</f>
        <v>16495.206837670001</v>
      </c>
      <c r="D75" s="3">
        <f>((1+0.3/100)*(1+0.24/100)*(1+0.35/100)-1)*100</f>
        <v>0.89261251999999125</v>
      </c>
    </row>
    <row r="76" spans="1:4" x14ac:dyDescent="0.2">
      <c r="A76" t="s">
        <v>54</v>
      </c>
      <c r="B76" s="1">
        <v>3.73E-2</v>
      </c>
      <c r="C76" s="5">
        <f>historicos!B49*(1+'prons Banxico'!B76)</f>
        <v>17259.494220535602</v>
      </c>
      <c r="D76" s="3">
        <f>((1+0.46/100)*(1+0.63/100)*(1+0.34/100)-1)*100</f>
        <v>1.4366138531999972</v>
      </c>
    </row>
    <row r="77" spans="1:4" x14ac:dyDescent="0.2">
      <c r="A77" t="s">
        <v>55</v>
      </c>
      <c r="B77" s="1">
        <v>4.2700000000000002E-2</v>
      </c>
      <c r="C77" s="5">
        <f>historicos!B50*(1+'prons Banxico'!B77)</f>
        <v>16391.0206129947</v>
      </c>
      <c r="D77" s="3">
        <f>((1+0.51/100)*(1+0.34/100)*(1+0.35/100)-1)*100</f>
        <v>1.2047150690000397</v>
      </c>
    </row>
    <row r="78" spans="1:4" x14ac:dyDescent="0.2">
      <c r="A78" t="s">
        <v>56</v>
      </c>
      <c r="B78" s="1">
        <v>3.7600000000000001E-2</v>
      </c>
      <c r="C78" s="5">
        <f>historicos!B51*(1+'prons Banxico'!B78)</f>
        <v>16977.0681004336</v>
      </c>
      <c r="D78" s="3">
        <f>((1+0/100)*(1-0.29/100)*(1+0.17/100)-1)*100</f>
        <v>-0.1204929999999993</v>
      </c>
    </row>
    <row r="79" spans="1:4" x14ac:dyDescent="0.2">
      <c r="A79" t="s">
        <v>57</v>
      </c>
      <c r="B79" s="1">
        <v>3.85E-2</v>
      </c>
      <c r="C79" s="5">
        <f>C75*(1+'prons Banxico'!B79)</f>
        <v>17130.272300920296</v>
      </c>
      <c r="D79" s="5">
        <f>((1+3.25/100)^(1/4)-1)*100</f>
        <v>0.80278129323012593</v>
      </c>
    </row>
    <row r="80" spans="1:4" x14ac:dyDescent="0.2">
      <c r="A80" t="s">
        <v>58</v>
      </c>
      <c r="B80" s="2">
        <v>3.8699999999999998E-2</v>
      </c>
      <c r="C80" s="5">
        <f>C76*(1+'prons Banxico'!B80)</f>
        <v>17927.43664687033</v>
      </c>
      <c r="D80" s="5">
        <f>((1+3.25/100)^(1/4)-1)*100</f>
        <v>0.80278129323012593</v>
      </c>
    </row>
    <row r="81" spans="1:4" x14ac:dyDescent="0.2">
      <c r="A81" t="s">
        <v>59</v>
      </c>
      <c r="B81" s="2">
        <v>0.04</v>
      </c>
      <c r="C81" s="5">
        <f>C77*(1+'prons Banxico'!B81)</f>
        <v>17046.661437514489</v>
      </c>
      <c r="D81" s="5">
        <f>((1+3.27/100)^(1/4)-1)*100</f>
        <v>0.80766242930203624</v>
      </c>
    </row>
    <row r="82" spans="1:4" x14ac:dyDescent="0.2">
      <c r="A82" t="s">
        <v>60</v>
      </c>
      <c r="B82" s="2">
        <v>0.04</v>
      </c>
      <c r="C82" s="5">
        <f>C78*(1+'prons Banxico'!B82)</f>
        <v>17656.150824450946</v>
      </c>
      <c r="D82" s="5">
        <f>((1+3.27/100)^(1/4)-1)*100</f>
        <v>0.80766242930203624</v>
      </c>
    </row>
    <row r="85" spans="1:4" x14ac:dyDescent="0.2">
      <c r="A85" s="7" t="s">
        <v>102</v>
      </c>
      <c r="B85" s="7"/>
      <c r="C85" s="7"/>
      <c r="D85" s="7"/>
    </row>
    <row r="86" spans="1:4" x14ac:dyDescent="0.2">
      <c r="A86" t="s">
        <v>0</v>
      </c>
      <c r="B86" t="s">
        <v>94</v>
      </c>
      <c r="C86" t="s">
        <v>1</v>
      </c>
      <c r="D86" t="s">
        <v>2</v>
      </c>
    </row>
    <row r="87" spans="1:4" x14ac:dyDescent="0.2">
      <c r="A87" t="s">
        <v>54</v>
      </c>
      <c r="B87" s="2">
        <v>2.2200000000000001E-2</v>
      </c>
      <c r="C87" s="5">
        <f>historicos!B49*(1+'prons Banxico'!B87)</f>
        <v>17008.247365498399</v>
      </c>
      <c r="D87" s="3">
        <f>((1+0.49/100)*(1+0.68/100)*(1+0.38/100)-1)*100</f>
        <v>1.5577906615999781</v>
      </c>
    </row>
    <row r="88" spans="1:4" x14ac:dyDescent="0.2">
      <c r="A88" t="s">
        <v>55</v>
      </c>
      <c r="B88" s="1">
        <v>3.5900000000000001E-2</v>
      </c>
      <c r="C88" s="5">
        <f>historicos!B50*(1+'prons Banxico'!B88)</f>
        <v>16284.1260698199</v>
      </c>
      <c r="D88" s="3">
        <f>((1+0.59/100)*(1+0.36/100)*(1+0.34/100)-1)*100</f>
        <v>1.295361221600011</v>
      </c>
    </row>
    <row r="89" spans="1:4" x14ac:dyDescent="0.2">
      <c r="A89" t="s">
        <v>56</v>
      </c>
      <c r="B89" s="1">
        <v>3.3799999999999997E-2</v>
      </c>
      <c r="C89" s="5">
        <f>historicos!B51*(1+'prons Banxico'!B89)</f>
        <v>16914.8930245068</v>
      </c>
      <c r="D89" s="3">
        <f>((1-0.04/100)*(1-0.29/100)*(1+0.2/100)-1)*100</f>
        <v>-0.13054376800000211</v>
      </c>
    </row>
    <row r="90" spans="1:4" x14ac:dyDescent="0.2">
      <c r="A90" t="s">
        <v>57</v>
      </c>
      <c r="B90" s="1">
        <v>3.7100000000000001E-2</v>
      </c>
      <c r="C90" s="5">
        <f>historicos!B52*(1+'prons Banxico'!B90)</f>
        <v>16786.6136439</v>
      </c>
      <c r="D90" s="3">
        <f>((1+0.31/100)*(1+0.28/100)*(1+0.42/100)-1)*100</f>
        <v>1.0133496456000035</v>
      </c>
    </row>
    <row r="91" spans="1:4" x14ac:dyDescent="0.2">
      <c r="A91" t="s">
        <v>58</v>
      </c>
      <c r="B91" s="1">
        <v>3.6900000000000002E-2</v>
      </c>
      <c r="C91" s="5">
        <f>C87*(1+'prons Banxico'!B91)</f>
        <v>17635.851693285287</v>
      </c>
      <c r="D91" s="5">
        <f>((1+3.82/100)^(1/4)-1)*100</f>
        <v>0.94161668602683601</v>
      </c>
    </row>
    <row r="92" spans="1:4" x14ac:dyDescent="0.2">
      <c r="A92" t="s">
        <v>59</v>
      </c>
      <c r="B92" s="1">
        <v>4.0800000000000003E-2</v>
      </c>
      <c r="C92" s="5">
        <f>C88*(1+'prons Banxico'!B92)</f>
        <v>16948.518413468551</v>
      </c>
      <c r="D92" s="5">
        <f>((1+3.49/100)^(1/4)-1)*100</f>
        <v>0.86130818916048124</v>
      </c>
    </row>
    <row r="93" spans="1:4" x14ac:dyDescent="0.2">
      <c r="A93" t="s">
        <v>60</v>
      </c>
      <c r="B93" s="1">
        <v>4.0800000000000003E-2</v>
      </c>
      <c r="C93" s="5">
        <f>C89*(1+'prons Banxico'!B93)</f>
        <v>17605.020659906677</v>
      </c>
      <c r="D93" s="5">
        <f>((1+3.49/100)^(1/4)-1)*100</f>
        <v>0.86130818916048124</v>
      </c>
    </row>
    <row r="94" spans="1:4" x14ac:dyDescent="0.2">
      <c r="A94" t="s">
        <v>61</v>
      </c>
      <c r="B94" s="1">
        <v>4.0800000000000003E-2</v>
      </c>
      <c r="C94" s="5">
        <f>C90*(1+'prons Banxico'!B94)</f>
        <v>17471.507480571119</v>
      </c>
      <c r="D94" s="5">
        <f>((1+3.49/100)^(1/4)-1)*100</f>
        <v>0.86130818916048124</v>
      </c>
    </row>
    <row r="97" spans="1:4" x14ac:dyDescent="0.2">
      <c r="A97" s="7" t="s">
        <v>103</v>
      </c>
      <c r="B97" s="7"/>
      <c r="C97" s="7"/>
      <c r="D97" s="7"/>
    </row>
    <row r="98" spans="1:4" x14ac:dyDescent="0.2">
      <c r="A98" t="s">
        <v>0</v>
      </c>
      <c r="B98" t="s">
        <v>94</v>
      </c>
      <c r="C98" t="s">
        <v>1</v>
      </c>
      <c r="D98" t="s">
        <v>2</v>
      </c>
    </row>
    <row r="99" spans="1:4" x14ac:dyDescent="0.2">
      <c r="A99" t="s">
        <v>55</v>
      </c>
      <c r="B99" s="2">
        <v>2.9700000000000001E-2</v>
      </c>
      <c r="C99" s="5">
        <f>historicos!B50*(1+'prons Banxico'!B99)</f>
        <v>16186.6633981017</v>
      </c>
      <c r="D99" s="3">
        <f>((1+0.72/100)*(1+0.38/100)*(1+0.34/100)-1)*100</f>
        <v>1.4464853024000135</v>
      </c>
    </row>
    <row r="100" spans="1:4" x14ac:dyDescent="0.2">
      <c r="A100" t="s">
        <v>56</v>
      </c>
      <c r="B100" s="1">
        <v>3.2300000000000002E-2</v>
      </c>
      <c r="C100" s="5">
        <f>historicos!B51*(1+'prons Banxico'!B100)</f>
        <v>16890.350231377801</v>
      </c>
      <c r="D100" s="3">
        <f>((1-0.02/100)*(1-0.27/100)*(1+0.16/100)-1)*100</f>
        <v>-0.13040991359999365</v>
      </c>
    </row>
    <row r="101" spans="1:4" x14ac:dyDescent="0.2">
      <c r="A101" t="s">
        <v>57</v>
      </c>
      <c r="B101" s="1">
        <v>3.61E-2</v>
      </c>
      <c r="C101" s="5">
        <f>historicos!B52*(1+'prons Banxico'!B101)</f>
        <v>16770.427534900002</v>
      </c>
      <c r="D101" s="3">
        <f>((1+0.28/100)*(1+0.27/100)*(1+0.39/100)-1)*100</f>
        <v>0.94290394839999792</v>
      </c>
    </row>
    <row r="102" spans="1:4" x14ac:dyDescent="0.2">
      <c r="A102" t="s">
        <v>58</v>
      </c>
      <c r="B102" s="1">
        <v>3.7199999999999997E-2</v>
      </c>
      <c r="C102" s="5">
        <f>historicos!B53*(1+'prons Banxico'!B102)</f>
        <v>17467.476347497999</v>
      </c>
      <c r="D102" s="3">
        <f>((1+0.49/100)*(1+0.69/100)*(1+0.42/100)-1)*100</f>
        <v>1.6083512001999756</v>
      </c>
    </row>
    <row r="103" spans="1:4" x14ac:dyDescent="0.2">
      <c r="A103" t="s">
        <v>59</v>
      </c>
      <c r="B103" s="1">
        <v>3.8300000000000001E-2</v>
      </c>
      <c r="C103" s="5">
        <f>C99*(1+'prons Banxico'!B103)</f>
        <v>16806.612606248997</v>
      </c>
      <c r="D103" s="5">
        <f>((1+3.19/100)^(1/4)-1)*100</f>
        <v>0.78813362900005401</v>
      </c>
    </row>
    <row r="104" spans="1:4" x14ac:dyDescent="0.2">
      <c r="A104" t="s">
        <v>60</v>
      </c>
      <c r="B104" s="2">
        <v>3.9699999999999999E-2</v>
      </c>
      <c r="C104" s="5">
        <f>C100*(1+'prons Banxico'!B104)</f>
        <v>17560.8971355635</v>
      </c>
      <c r="D104" s="5">
        <f>((1+3.19/100)^(1/4)-1)*100</f>
        <v>0.78813362900005401</v>
      </c>
    </row>
    <row r="105" spans="1:4" x14ac:dyDescent="0.2">
      <c r="A105" t="s">
        <v>61</v>
      </c>
      <c r="B105" s="2">
        <v>3.9100000000000003E-2</v>
      </c>
      <c r="C105" s="5">
        <f>C101*(1+'prons Banxico'!B105)</f>
        <v>17426.151251514591</v>
      </c>
      <c r="D105" s="5">
        <f>((1+3.19/100)^(1/4)-1)*100</f>
        <v>0.78813362900005401</v>
      </c>
    </row>
    <row r="106" spans="1:4" x14ac:dyDescent="0.2">
      <c r="A106" t="s">
        <v>62</v>
      </c>
      <c r="B106" s="2">
        <v>4.0599999999999997E-2</v>
      </c>
      <c r="C106" s="5">
        <f>C102*(1+'prons Banxico'!B106)</f>
        <v>18176.655887206416</v>
      </c>
      <c r="D106" s="5">
        <f>((1+3.19/100)^(1/4)-1)*100</f>
        <v>0.78813362900005401</v>
      </c>
    </row>
    <row r="109" spans="1:4" x14ac:dyDescent="0.2">
      <c r="A109" s="7" t="s">
        <v>104</v>
      </c>
      <c r="B109" s="7"/>
      <c r="C109" s="7"/>
      <c r="D109" s="7"/>
    </row>
    <row r="110" spans="1:4" x14ac:dyDescent="0.2">
      <c r="A110" t="s">
        <v>0</v>
      </c>
      <c r="B110" t="s">
        <v>94</v>
      </c>
      <c r="C110" t="s">
        <v>1</v>
      </c>
      <c r="D110" t="s">
        <v>2</v>
      </c>
    </row>
    <row r="111" spans="1:4" x14ac:dyDescent="0.2">
      <c r="A111" t="s">
        <v>56</v>
      </c>
      <c r="B111" s="2">
        <v>2.75E-2</v>
      </c>
      <c r="C111" s="5">
        <f>historicos!B51*(1+'prons Banxico'!B111)</f>
        <v>16811.813293365001</v>
      </c>
      <c r="D111" s="3">
        <f>((1-0.02/100)*(1-0.27/100)*(1+0.14/100)-1)*100</f>
        <v>-0.15035192439999401</v>
      </c>
    </row>
    <row r="112" spans="1:4" x14ac:dyDescent="0.2">
      <c r="A112" t="s">
        <v>57</v>
      </c>
      <c r="B112" s="1">
        <v>3.49E-2</v>
      </c>
      <c r="C112" s="5">
        <f>historicos!B52*(1+'prons Banxico'!B112)</f>
        <v>16751.004204099998</v>
      </c>
      <c r="D112" s="3">
        <f>((1+0.24/100)*(1+0.27/100)*(1+0.38/100)-1)*100</f>
        <v>0.89258846239999023</v>
      </c>
    </row>
    <row r="113" spans="1:4" x14ac:dyDescent="0.2">
      <c r="A113" t="s">
        <v>58</v>
      </c>
      <c r="B113" s="1">
        <v>3.95E-2</v>
      </c>
      <c r="C113" s="5">
        <f>historicos!B53*(1+'prons Banxico'!B113)</f>
        <v>17506.210627867502</v>
      </c>
      <c r="D113" s="3">
        <f>((1+0.48/100)*(1+0.72/100)*(1+0.48/100)-1)*100</f>
        <v>1.6892325888000048</v>
      </c>
    </row>
    <row r="114" spans="1:4" x14ac:dyDescent="0.2">
      <c r="A114" t="s">
        <v>59</v>
      </c>
      <c r="B114" s="1">
        <v>3.9899999999999998E-2</v>
      </c>
      <c r="C114" s="5">
        <f>historicos!B54*(1+'prons Banxico'!B114)</f>
        <v>16806.942006719401</v>
      </c>
      <c r="D114" s="3">
        <f>((1+0.5/100)*(1+0.29/100)*(1+0.31/100)-1)*100</f>
        <v>1.1039034950000026</v>
      </c>
    </row>
    <row r="115" spans="1:4" x14ac:dyDescent="0.2">
      <c r="A115" t="s">
        <v>60</v>
      </c>
      <c r="B115" s="1">
        <v>3.9899999999999998E-2</v>
      </c>
      <c r="C115" s="5">
        <f>C111*(1+'prons Banxico'!B115)</f>
        <v>17482.604643770264</v>
      </c>
      <c r="D115" s="5">
        <f>((1+3.57/100)^(1/4)-1)*100</f>
        <v>0.88079453245544226</v>
      </c>
    </row>
    <row r="116" spans="1:4" x14ac:dyDescent="0.2">
      <c r="A116" t="s">
        <v>61</v>
      </c>
      <c r="B116" s="2">
        <v>3.85E-2</v>
      </c>
      <c r="C116" s="5">
        <f>C112*(1+'prons Banxico'!B116)</f>
        <v>17395.917865957847</v>
      </c>
      <c r="D116" s="5">
        <f>((1+3.57/100)^(1/4)-1)*100</f>
        <v>0.88079453245544226</v>
      </c>
    </row>
    <row r="117" spans="1:4" x14ac:dyDescent="0.2">
      <c r="A117" t="s">
        <v>62</v>
      </c>
      <c r="B117" s="2">
        <v>3.8600000000000002E-2</v>
      </c>
      <c r="C117" s="5">
        <f>C113*(1+'prons Banxico'!B117)</f>
        <v>18181.950358103186</v>
      </c>
      <c r="D117" s="5">
        <f>((1+3.57/100)^(1/4)-1)*100</f>
        <v>0.88079453245544226</v>
      </c>
    </row>
    <row r="118" spans="1:4" x14ac:dyDescent="0.2">
      <c r="A118" t="s">
        <v>63</v>
      </c>
      <c r="B118" s="2">
        <v>4.0800000000000003E-2</v>
      </c>
      <c r="C118" s="5">
        <f>C114*(1+'prons Banxico'!B118)</f>
        <v>17492.665240593553</v>
      </c>
      <c r="D118" s="5">
        <f>((1+3.52/100)^(1/4)-1)*100</f>
        <v>0.8686168913875969</v>
      </c>
    </row>
    <row r="121" spans="1:4" x14ac:dyDescent="0.2">
      <c r="A121" s="7" t="s">
        <v>105</v>
      </c>
      <c r="B121" s="7"/>
      <c r="C121" s="7"/>
      <c r="D121" s="7"/>
    </row>
    <row r="122" spans="1:4" x14ac:dyDescent="0.2">
      <c r="A122" t="s">
        <v>0</v>
      </c>
      <c r="B122" t="s">
        <v>94</v>
      </c>
      <c r="C122" t="s">
        <v>1</v>
      </c>
      <c r="D122" t="s">
        <v>2</v>
      </c>
    </row>
    <row r="123" spans="1:4" x14ac:dyDescent="0.2">
      <c r="A123" t="s">
        <v>57</v>
      </c>
      <c r="B123" s="2">
        <v>3.0499999999999999E-2</v>
      </c>
      <c r="C123" s="5">
        <f>historicos!B52*(1+'prons Banxico'!B123)</f>
        <v>16679.785324500001</v>
      </c>
      <c r="D123" s="3">
        <f>((1+0.25/100)*(1+0.26/100)*(1+0.37/100)-1)*100</f>
        <v>0.88253940500000461</v>
      </c>
    </row>
    <row r="124" spans="1:4" x14ac:dyDescent="0.2">
      <c r="A124" t="s">
        <v>58</v>
      </c>
      <c r="B124" s="1">
        <v>3.6700000000000003E-2</v>
      </c>
      <c r="C124" s="5">
        <f>historicos!B53*(1+'prons Banxico'!B124)</f>
        <v>17459.055851765497</v>
      </c>
      <c r="D124" s="3">
        <f>((1+0.49/100)*(1+0.76/100)*(1+0.48/100)-1)*100</f>
        <v>1.7397418751999849</v>
      </c>
    </row>
    <row r="125" spans="1:4" x14ac:dyDescent="0.2">
      <c r="A125" t="s">
        <v>59</v>
      </c>
      <c r="B125" s="1">
        <v>3.8600000000000002E-2</v>
      </c>
      <c r="C125" s="5">
        <f>historicos!B54*(1+'prons Banxico'!B125)</f>
        <v>16785.9313089516</v>
      </c>
      <c r="D125" s="3">
        <f>((1+0.49/100)*(1+0.28/100)*(1+0.29/100)-1)*100</f>
        <v>1.0636089787999792</v>
      </c>
    </row>
    <row r="126" spans="1:4" x14ac:dyDescent="0.2">
      <c r="A126" t="s">
        <v>60</v>
      </c>
      <c r="B126" s="1">
        <v>3.9E-2</v>
      </c>
      <c r="C126" s="5">
        <f>historicos!B55*(1+'prons Banxico'!B126)</f>
        <v>17396.446381756999</v>
      </c>
      <c r="D126" s="3">
        <f>((1-0.01/100)*(1-0.29/100)*(1+0.15/100)-1)*100</f>
        <v>-0.15042095649999698</v>
      </c>
    </row>
    <row r="127" spans="1:4" x14ac:dyDescent="0.2">
      <c r="A127" t="s">
        <v>61</v>
      </c>
      <c r="B127" s="1">
        <v>3.8100000000000002E-2</v>
      </c>
      <c r="C127" s="5">
        <f>C123*(1+'prons Banxico'!B127)</f>
        <v>17315.28514536345</v>
      </c>
      <c r="D127" s="5">
        <f>((1+3.2/100)^(1/4)-1)*100</f>
        <v>0.79057534988196121</v>
      </c>
    </row>
    <row r="128" spans="1:4" x14ac:dyDescent="0.2">
      <c r="A128" t="s">
        <v>62</v>
      </c>
      <c r="B128" s="2">
        <v>3.7699999999999997E-2</v>
      </c>
      <c r="C128" s="5">
        <f>C124*(1+'prons Banxico'!B128)</f>
        <v>18117.262257377057</v>
      </c>
      <c r="D128" s="5">
        <f>((1+3.2/100)^(1/4)-1)*100</f>
        <v>0.79057534988196121</v>
      </c>
    </row>
    <row r="129" spans="1:4" x14ac:dyDescent="0.2">
      <c r="A129" t="s">
        <v>63</v>
      </c>
      <c r="B129" s="2">
        <v>4.1000000000000002E-2</v>
      </c>
      <c r="C129" s="5">
        <f>C125*(1+'prons Banxico'!B129)</f>
        <v>17474.154492618614</v>
      </c>
      <c r="D129" s="5">
        <f>((1+3.19/100)^(1/4)-1)*100</f>
        <v>0.78813362900005401</v>
      </c>
    </row>
    <row r="130" spans="1:4" x14ac:dyDescent="0.2">
      <c r="A130" t="s">
        <v>64</v>
      </c>
      <c r="B130" s="2">
        <v>4.1000000000000002E-2</v>
      </c>
      <c r="C130" s="5">
        <f>C126*(1+'prons Banxico'!B130)</f>
        <v>18109.700683409035</v>
      </c>
      <c r="D130" s="5">
        <f>((1+3.19/100)^(1/4)-1)*100</f>
        <v>0.78813362900005401</v>
      </c>
    </row>
    <row r="133" spans="1:4" x14ac:dyDescent="0.2">
      <c r="A133" s="7" t="s">
        <v>106</v>
      </c>
      <c r="B133" s="7"/>
      <c r="C133" s="7"/>
      <c r="D133" s="7"/>
    </row>
    <row r="134" spans="1:4" x14ac:dyDescent="0.2">
      <c r="A134" t="s">
        <v>0</v>
      </c>
      <c r="B134" t="s">
        <v>94</v>
      </c>
      <c r="C134" t="s">
        <v>1</v>
      </c>
      <c r="D134" t="s">
        <v>2</v>
      </c>
    </row>
    <row r="135" spans="1:4" x14ac:dyDescent="0.2">
      <c r="A135" t="s">
        <v>58</v>
      </c>
      <c r="B135" s="2">
        <v>3.5799999999999998E-2</v>
      </c>
      <c r="C135" s="5">
        <f>historicos!B53*(1+'prons Banxico'!B135)</f>
        <v>17443.898959447</v>
      </c>
      <c r="D135" s="3">
        <f>((1+0.48/100)*(1+0.77/100)*(1+0.48/100)-1)*100</f>
        <v>1.7397137407999974</v>
      </c>
    </row>
    <row r="136" spans="1:4" x14ac:dyDescent="0.2">
      <c r="A136" t="s">
        <v>59</v>
      </c>
      <c r="B136" s="1">
        <v>3.9E-2</v>
      </c>
      <c r="C136" s="5">
        <f>historicos!B54*(1+'prons Banxico'!B136)</f>
        <v>16792.396139033997</v>
      </c>
      <c r="D136" s="3">
        <f>((1+0.49/100)*(1+0.28/100)*(1+0.28/100)-1)*100</f>
        <v>1.053531841599975</v>
      </c>
    </row>
    <row r="137" spans="1:4" x14ac:dyDescent="0.2">
      <c r="A137" t="s">
        <v>60</v>
      </c>
      <c r="B137" s="1">
        <v>3.9699999999999999E-2</v>
      </c>
      <c r="C137" s="5">
        <f>historicos!B55*(1+'prons Banxico'!B137)</f>
        <v>17408.166797991104</v>
      </c>
      <c r="D137" s="3">
        <f>((1-0.05/100)*(1-0.34/100)*(1+0.14/100)-1)*100</f>
        <v>-0.25037576199998801</v>
      </c>
    </row>
    <row r="138" spans="1:4" x14ac:dyDescent="0.2">
      <c r="A138" t="s">
        <v>61</v>
      </c>
      <c r="B138" s="1">
        <v>3.73E-2</v>
      </c>
      <c r="C138" s="5">
        <f>historicos!B56*(1+'prons Banxico'!B138)</f>
        <v>17270.936344899601</v>
      </c>
      <c r="D138" s="3">
        <f>((1+0.27/100)*(1+0.26/100)*(1+0.39/100)-1)*100</f>
        <v>0.92277173779997668</v>
      </c>
    </row>
    <row r="139" spans="1:4" x14ac:dyDescent="0.2">
      <c r="A139" t="s">
        <v>62</v>
      </c>
      <c r="B139" s="1">
        <v>3.6700000000000003E-2</v>
      </c>
      <c r="C139" s="5">
        <f>C135*(1+'prons Banxico'!B139)</f>
        <v>18084.090051258703</v>
      </c>
      <c r="D139" s="5">
        <f>((1+3.47/100)^(1/4)-1)*100</f>
        <v>0.85643483818407251</v>
      </c>
    </row>
    <row r="140" spans="1:4" x14ac:dyDescent="0.2">
      <c r="A140" t="s">
        <v>63</v>
      </c>
      <c r="B140" s="1">
        <v>4.1200000000000001E-2</v>
      </c>
      <c r="C140" s="5">
        <f>C136*(1+'prons Banxico'!B140)</f>
        <v>17484.242859962196</v>
      </c>
      <c r="D140" s="5">
        <f>((1+3.49/100)^(1/4)-1)*100</f>
        <v>0.86130818916048124</v>
      </c>
    </row>
    <row r="141" spans="1:4" x14ac:dyDescent="0.2">
      <c r="A141" t="s">
        <v>64</v>
      </c>
      <c r="B141" s="1">
        <v>4.1200000000000001E-2</v>
      </c>
      <c r="C141" s="5">
        <f>C137*(1+'prons Banxico'!B141)</f>
        <v>18125.383270068334</v>
      </c>
      <c r="D141" s="5">
        <f t="shared" ref="D141:D142" si="3">((1+3.49/100)^(1/4)-1)*100</f>
        <v>0.86130818916048124</v>
      </c>
    </row>
    <row r="142" spans="1:4" x14ac:dyDescent="0.2">
      <c r="A142" t="s">
        <v>65</v>
      </c>
      <c r="B142" s="1">
        <v>4.1200000000000001E-2</v>
      </c>
      <c r="C142" s="5">
        <f>C138*(1+'prons Banxico'!B142)</f>
        <v>17982.498922309464</v>
      </c>
      <c r="D142" s="5">
        <f t="shared" si="3"/>
        <v>0.86130818916048124</v>
      </c>
    </row>
    <row r="145" spans="1:4" x14ac:dyDescent="0.2">
      <c r="A145" s="7" t="s">
        <v>107</v>
      </c>
      <c r="B145" s="7"/>
      <c r="C145" s="7"/>
      <c r="D145" s="7"/>
    </row>
    <row r="146" spans="1:4" x14ac:dyDescent="0.2">
      <c r="A146" t="s">
        <v>0</v>
      </c>
      <c r="B146" t="s">
        <v>94</v>
      </c>
      <c r="C146" t="s">
        <v>1</v>
      </c>
      <c r="D146" t="s">
        <v>2</v>
      </c>
    </row>
    <row r="147" spans="1:4" x14ac:dyDescent="0.2">
      <c r="A147" t="s">
        <v>59</v>
      </c>
      <c r="B147" s="2">
        <v>3.4099999999999998E-2</v>
      </c>
      <c r="C147" s="5">
        <f>historicos!B54*(1+'prons Banxico'!B147)</f>
        <v>16713.201970524598</v>
      </c>
      <c r="D147" s="3">
        <f>((1+0.53/100)*(1+0.26/100)*(1+0.27/100)-1)*100</f>
        <v>1.0635147206000006</v>
      </c>
    </row>
    <row r="148" spans="1:4" x14ac:dyDescent="0.2">
      <c r="A148" t="s">
        <v>60</v>
      </c>
      <c r="B148" s="1">
        <v>3.5299999999999998E-2</v>
      </c>
      <c r="C148" s="5">
        <f>historicos!B55*(1+'prons Banxico'!B148)</f>
        <v>17334.495610233898</v>
      </c>
      <c r="D148" s="3">
        <f>((1-0.06/100)*(1-0.33/100)*(1-0.14/100)-1)*100</f>
        <v>-0.52925627719999646</v>
      </c>
    </row>
    <row r="149" spans="1:4" x14ac:dyDescent="0.2">
      <c r="A149" t="s">
        <v>61</v>
      </c>
      <c r="B149" s="1">
        <v>3.5200000000000002E-2</v>
      </c>
      <c r="C149" s="5">
        <f>historicos!B56*(1+'prons Banxico'!B149)</f>
        <v>17235.971564870397</v>
      </c>
      <c r="D149" s="3">
        <f>((1+0.27/100)*(1+0.27/100)*(1+0.38/100)-1)*100</f>
        <v>0.92278377020000857</v>
      </c>
    </row>
    <row r="150" spans="1:4" x14ac:dyDescent="0.2">
      <c r="A150" t="s">
        <v>62</v>
      </c>
      <c r="B150" s="1">
        <v>3.4599999999999999E-2</v>
      </c>
      <c r="C150" s="5">
        <f>historicos!B57*(1+'prons Banxico'!B150)</f>
        <v>18011.121498430199</v>
      </c>
      <c r="D150" s="3">
        <f>((1+0.47/100)*(1+0.77/100)*(1+0.5/100)-1)*100</f>
        <v>1.7498370950000064</v>
      </c>
    </row>
    <row r="151" spans="1:4" x14ac:dyDescent="0.2">
      <c r="A151" t="s">
        <v>63</v>
      </c>
      <c r="B151" s="1">
        <v>3.7100000000000001E-2</v>
      </c>
      <c r="C151" s="5">
        <f>C147*(1+'prons Banxico'!B151)</f>
        <v>17333.261763631061</v>
      </c>
      <c r="D151" s="5">
        <f>((1+3.24/100)^(1/4)-1)*100</f>
        <v>0.80034045926844488</v>
      </c>
    </row>
    <row r="152" spans="1:4" x14ac:dyDescent="0.2">
      <c r="A152" t="s">
        <v>64</v>
      </c>
      <c r="B152" s="2">
        <v>3.9199999999999999E-2</v>
      </c>
      <c r="C152" s="5">
        <f>C148*(1+'prons Banxico'!B152)</f>
        <v>18014.007838155067</v>
      </c>
      <c r="D152" s="5">
        <f t="shared" ref="D152:D154" si="4">((1+3.24/100)^(1/4)-1)*100</f>
        <v>0.80034045926844488</v>
      </c>
    </row>
    <row r="153" spans="1:4" x14ac:dyDescent="0.2">
      <c r="A153" t="s">
        <v>65</v>
      </c>
      <c r="B153" s="2">
        <v>3.8899999999999997E-2</v>
      </c>
      <c r="C153" s="5">
        <f>C149*(1+'prons Banxico'!B153)</f>
        <v>17906.450858743854</v>
      </c>
      <c r="D153" s="5">
        <f t="shared" si="4"/>
        <v>0.80034045926844488</v>
      </c>
    </row>
    <row r="154" spans="1:4" x14ac:dyDescent="0.2">
      <c r="A154" t="s">
        <v>66</v>
      </c>
      <c r="B154" s="2">
        <v>4.1099999999999998E-2</v>
      </c>
      <c r="C154" s="5">
        <f>C150*(1+'prons Banxico'!B154)</f>
        <v>18751.378592015677</v>
      </c>
      <c r="D154" s="5">
        <f t="shared" si="4"/>
        <v>0.80034045926844488</v>
      </c>
    </row>
    <row r="157" spans="1:4" x14ac:dyDescent="0.2">
      <c r="A157" s="7" t="s">
        <v>108</v>
      </c>
      <c r="B157" s="7"/>
      <c r="C157" s="7"/>
      <c r="D157" s="7"/>
    </row>
    <row r="158" spans="1:4" x14ac:dyDescent="0.2">
      <c r="A158" t="s">
        <v>0</v>
      </c>
      <c r="B158" t="s">
        <v>94</v>
      </c>
      <c r="C158" t="s">
        <v>1</v>
      </c>
      <c r="D158" t="s">
        <v>2</v>
      </c>
    </row>
    <row r="159" spans="1:4" x14ac:dyDescent="0.2">
      <c r="A159" t="s">
        <v>60</v>
      </c>
      <c r="B159" s="2">
        <v>2.93E-2</v>
      </c>
      <c r="C159" s="5">
        <f>historicos!B55*(1+'prons Banxico'!B159)</f>
        <v>17234.034899655904</v>
      </c>
      <c r="D159" s="3">
        <f>((1-0.05/100)*(1-0.33/100)*(1+0.18/100)-1)*100</f>
        <v>-0.20051870299999663</v>
      </c>
    </row>
    <row r="160" spans="1:4" x14ac:dyDescent="0.2">
      <c r="A160" t="s">
        <v>61</v>
      </c>
      <c r="B160" s="1">
        <v>3.0700000000000002E-2</v>
      </c>
      <c r="C160" s="5">
        <f>historicos!B56*(1+'prons Banxico'!B160)</f>
        <v>17161.047036236396</v>
      </c>
      <c r="D160" s="3">
        <f>((1+0.3/100)*(1+0.31/100)*(1+0.43/100)-1)*100</f>
        <v>1.043556999000006</v>
      </c>
    </row>
    <row r="161" spans="1:4" x14ac:dyDescent="0.2">
      <c r="A161" t="s">
        <v>62</v>
      </c>
      <c r="B161" s="1">
        <v>3.1099999999999999E-2</v>
      </c>
      <c r="C161" s="5">
        <f>historicos!B57*(1+'prons Banxico'!B161)</f>
        <v>17950.190776175696</v>
      </c>
      <c r="D161" s="3">
        <f>((1+0.52/100)*(1+0.79/100)*(1+0.5/100)-1)*100</f>
        <v>1.820678539999987</v>
      </c>
    </row>
    <row r="162" spans="1:4" x14ac:dyDescent="0.2">
      <c r="A162" t="s">
        <v>63</v>
      </c>
      <c r="B162" s="1">
        <v>3.2899999999999999E-2</v>
      </c>
      <c r="C162" s="5">
        <f>historicos!B58*(1+'prons Banxico'!B162)</f>
        <v>17259.964478928599</v>
      </c>
      <c r="D162" s="3">
        <f>((1+0.42/100)*(1+0.28/100)*(1+0.3/100)-1)*100</f>
        <v>1.0032795279999895</v>
      </c>
    </row>
    <row r="163" spans="1:4" x14ac:dyDescent="0.2">
      <c r="A163" t="s">
        <v>64</v>
      </c>
      <c r="B163" s="1">
        <v>3.5400000000000001E-2</v>
      </c>
      <c r="C163" s="5">
        <f>C159*(1+'prons Banxico'!B163)</f>
        <v>17844.119735103726</v>
      </c>
      <c r="D163" s="5">
        <f>((1+3.13/100)^(1/4)-1)*100</f>
        <v>0.77347957569464665</v>
      </c>
    </row>
    <row r="164" spans="1:4" x14ac:dyDescent="0.2">
      <c r="A164" t="s">
        <v>65</v>
      </c>
      <c r="B164" s="2">
        <v>3.4599999999999999E-2</v>
      </c>
      <c r="C164" s="5">
        <f>C160*(1+'prons Banxico'!B164)</f>
        <v>17754.819263690173</v>
      </c>
      <c r="D164" s="5">
        <f>((1+3.13/100)^(1/4)-1)*100</f>
        <v>0.77347957569464665</v>
      </c>
    </row>
    <row r="165" spans="1:4" x14ac:dyDescent="0.2">
      <c r="A165" t="s">
        <v>66</v>
      </c>
      <c r="B165" s="2">
        <v>3.6400000000000002E-2</v>
      </c>
      <c r="C165" s="5">
        <f>C161*(1+'prons Banxico'!B165)</f>
        <v>18603.57772042849</v>
      </c>
      <c r="D165" s="5">
        <f>((1+3.13/100)^(1/4)-1)*100</f>
        <v>0.77347957569464665</v>
      </c>
    </row>
    <row r="166" spans="1:4" x14ac:dyDescent="0.2">
      <c r="A166" t="s">
        <v>67</v>
      </c>
      <c r="B166" s="2">
        <v>3.8199999999999998E-2</v>
      </c>
      <c r="C166" s="5">
        <f>C162*(1+'prons Banxico'!B166)</f>
        <v>17919.295122023672</v>
      </c>
      <c r="D166" s="5">
        <f>((1+3.19/100)^(1/4)-1)*100</f>
        <v>0.78813362900005401</v>
      </c>
    </row>
    <row r="169" spans="1:4" x14ac:dyDescent="0.2">
      <c r="A169" s="7" t="s">
        <v>109</v>
      </c>
      <c r="B169" s="7"/>
      <c r="C169" s="7"/>
      <c r="D169" s="7"/>
    </row>
    <row r="170" spans="1:4" x14ac:dyDescent="0.2">
      <c r="A170" t="s">
        <v>0</v>
      </c>
      <c r="B170" t="s">
        <v>94</v>
      </c>
      <c r="C170" t="s">
        <v>1</v>
      </c>
      <c r="D170" t="s">
        <v>2</v>
      </c>
    </row>
    <row r="171" spans="1:4" x14ac:dyDescent="0.2">
      <c r="A171" t="s">
        <v>61</v>
      </c>
      <c r="B171" s="2">
        <v>2.7E-2</v>
      </c>
      <c r="C171" s="5">
        <f>historicos!B56*(1+'prons Banxico'!B171)</f>
        <v>17099.442423803997</v>
      </c>
      <c r="D171" s="3">
        <f>((1+0.3/100)*(1+0.32/100)*(1+0.44/100)-1)*100</f>
        <v>1.0636922240000013</v>
      </c>
    </row>
    <row r="172" spans="1:4" x14ac:dyDescent="0.2">
      <c r="A172" t="s">
        <v>62</v>
      </c>
      <c r="B172" s="1">
        <v>2.69E-2</v>
      </c>
      <c r="C172" s="5">
        <f>historicos!B57*(1+'prons Banxico'!B172)</f>
        <v>17877.073909470299</v>
      </c>
      <c r="D172" s="3">
        <f>((1+0.55/100)*(1+0.8/100)*(1+0.53/100)-1)*100</f>
        <v>1.891578319999998</v>
      </c>
    </row>
    <row r="173" spans="1:4" x14ac:dyDescent="0.2">
      <c r="A173" t="s">
        <v>63</v>
      </c>
      <c r="B173" s="1">
        <v>2.8500000000000001E-2</v>
      </c>
      <c r="C173" s="5">
        <f>historicos!B58*(1+'prons Banxico'!B173)</f>
        <v>17186.439603619001</v>
      </c>
      <c r="D173" s="3">
        <f>((1+0.4/100)*(1+0.26/100)*(1+0.3/100)-1)*100</f>
        <v>0.96302311999998391</v>
      </c>
    </row>
    <row r="174" spans="1:4" x14ac:dyDescent="0.2">
      <c r="A174" t="s">
        <v>64</v>
      </c>
      <c r="B174" s="1">
        <v>3.2899999999999999E-2</v>
      </c>
      <c r="C174" s="5">
        <f>historicos!B59*(1+'prons Banxico'!B174)</f>
        <v>17829.098102227497</v>
      </c>
      <c r="D174" s="3">
        <f>((1-0.1/100)*(1-0.33/100)*(1+0.15/100)-1)*100</f>
        <v>-0.28031450499999</v>
      </c>
    </row>
    <row r="175" spans="1:4" x14ac:dyDescent="0.2">
      <c r="A175" t="s">
        <v>65</v>
      </c>
      <c r="B175" s="1">
        <v>3.2099999999999997E-2</v>
      </c>
      <c r="C175" s="5">
        <f>C171*(1+'prons Banxico'!B175)</f>
        <v>17648.334525608105</v>
      </c>
      <c r="D175" s="5">
        <f>((1+3.06/100)^(1/4)-1)*100</f>
        <v>0.75637509640957834</v>
      </c>
    </row>
    <row r="176" spans="1:4" x14ac:dyDescent="0.2">
      <c r="A176" t="s">
        <v>66</v>
      </c>
      <c r="B176" s="2">
        <v>3.3700000000000001E-2</v>
      </c>
      <c r="C176" s="5">
        <f>C172*(1+'prons Banxico'!B176)</f>
        <v>18479.531300219449</v>
      </c>
      <c r="D176" s="5">
        <f>((1+3.06/100)^(1/4)-1)*100</f>
        <v>0.75637509640957834</v>
      </c>
    </row>
    <row r="177" spans="1:4" x14ac:dyDescent="0.2">
      <c r="A177" t="s">
        <v>67</v>
      </c>
      <c r="B177" s="2">
        <v>3.6600000000000001E-2</v>
      </c>
      <c r="C177" s="5">
        <f>C173*(1+'prons Banxico'!B177)</f>
        <v>17815.463293111457</v>
      </c>
      <c r="D177" s="5">
        <f>((1+3.15/100)^(1/4)-1)*100</f>
        <v>0.77836497042846897</v>
      </c>
    </row>
    <row r="178" spans="1:4" x14ac:dyDescent="0.2">
      <c r="A178" t="s">
        <v>68</v>
      </c>
      <c r="B178" s="2">
        <v>3.6600000000000001E-2</v>
      </c>
      <c r="C178" s="5">
        <f>C174*(1+'prons Banxico'!B178)</f>
        <v>18481.643092769023</v>
      </c>
      <c r="D178" s="5">
        <f>((1+3.15/100)^(1/4)-1)*100</f>
        <v>0.77836497042846897</v>
      </c>
    </row>
    <row r="181" spans="1:4" x14ac:dyDescent="0.2">
      <c r="A181" s="7" t="s">
        <v>110</v>
      </c>
      <c r="B181" s="7"/>
      <c r="C181" s="7"/>
      <c r="D181" s="7"/>
    </row>
    <row r="182" spans="1:4" x14ac:dyDescent="0.2">
      <c r="A182" t="s">
        <v>0</v>
      </c>
      <c r="B182" t="s">
        <v>94</v>
      </c>
      <c r="C182" t="s">
        <v>1</v>
      </c>
      <c r="D182" t="s">
        <v>2</v>
      </c>
    </row>
    <row r="183" spans="1:4" x14ac:dyDescent="0.2">
      <c r="A183" t="s">
        <v>62</v>
      </c>
      <c r="B183" s="2">
        <v>2.2700000000000001E-2</v>
      </c>
      <c r="C183" s="5">
        <f>historicos!B57*(1+'prons Banxico'!B183)</f>
        <v>17803.957042764898</v>
      </c>
      <c r="D183" s="3">
        <f>((1+0.59/100)*(1+0.85/100)*(1+0.57/100)-1)*100</f>
        <v>2.0232515855000077</v>
      </c>
    </row>
    <row r="184" spans="1:4" x14ac:dyDescent="0.2">
      <c r="A184" t="s">
        <v>63</v>
      </c>
      <c r="B184" s="1">
        <v>3.4200000000000001E-2</v>
      </c>
      <c r="C184" s="5">
        <f>historicos!B58*(1+'prons Banxico'!B184)</f>
        <v>17281.687737542801</v>
      </c>
      <c r="D184" s="3">
        <f>((1+0.43/100)*(1+0.27/100)*(1+0.32/100)-1)*100</f>
        <v>1.0234047151999937</v>
      </c>
    </row>
    <row r="185" spans="1:4" x14ac:dyDescent="0.2">
      <c r="A185" t="s">
        <v>64</v>
      </c>
      <c r="B185" s="1">
        <v>2.9600000000000001E-2</v>
      </c>
      <c r="C185" s="5">
        <f>historicos!B59*(1+'prons Banxico'!B185)</f>
        <v>17772.136127459999</v>
      </c>
      <c r="D185" s="3">
        <f>((1-0.09/100)*(1-0.32/100)*(1+0.17/100)-1)*100</f>
        <v>-0.240408510399992</v>
      </c>
    </row>
    <row r="186" spans="1:4" x14ac:dyDescent="0.2">
      <c r="A186" t="s">
        <v>65</v>
      </c>
      <c r="B186" s="1">
        <v>2.93E-2</v>
      </c>
      <c r="C186" s="5">
        <f>historicos!B60*(1+'prons Banxico'!B186)</f>
        <v>17839.470706693803</v>
      </c>
      <c r="D186" s="3">
        <f>((1+0.26/100)*(1+0.27/100)*(1+0.4/100)-1)*100</f>
        <v>0.9328248079999879</v>
      </c>
    </row>
    <row r="187" spans="1:4" x14ac:dyDescent="0.2">
      <c r="A187" t="s">
        <v>66</v>
      </c>
      <c r="B187" s="1">
        <v>3.1E-2</v>
      </c>
      <c r="C187" s="5">
        <f>C183*(1+'prons Banxico'!B187)</f>
        <v>18355.879711090609</v>
      </c>
      <c r="D187" s="5">
        <f>((1+3.46/100)^(1/4)-1)*100</f>
        <v>0.85399789775877366</v>
      </c>
    </row>
    <row r="188" spans="1:4" x14ac:dyDescent="0.2">
      <c r="A188" t="s">
        <v>67</v>
      </c>
      <c r="B188" s="2">
        <v>3.3000000000000002E-2</v>
      </c>
      <c r="C188" s="5">
        <f>C184*(1+'prons Banxico'!B188)</f>
        <v>17851.983432881712</v>
      </c>
      <c r="D188" s="5">
        <f>((1+3.4/100)^(1/4)-1)*100</f>
        <v>0.83937254420483054</v>
      </c>
    </row>
    <row r="189" spans="1:4" x14ac:dyDescent="0.2">
      <c r="A189" t="s">
        <v>68</v>
      </c>
      <c r="B189" s="2">
        <v>3.3000000000000002E-2</v>
      </c>
      <c r="C189" s="5">
        <f>C185*(1+'prons Banxico'!B189)</f>
        <v>18358.616619666176</v>
      </c>
      <c r="D189" s="5">
        <f>((1+3.4/100)^(1/4)-1)*100</f>
        <v>0.83937254420483054</v>
      </c>
    </row>
    <row r="190" spans="1:4" x14ac:dyDescent="0.2">
      <c r="A190" t="s">
        <v>69</v>
      </c>
      <c r="B190" s="2">
        <v>3.3000000000000002E-2</v>
      </c>
      <c r="C190" s="5">
        <f>C186*(1+'prons Banxico'!B190)</f>
        <v>18428.173240014698</v>
      </c>
      <c r="D190" s="5">
        <f>((1+3.4/100)^(1/4)-1)*100</f>
        <v>0.83937254420483054</v>
      </c>
    </row>
    <row r="193" spans="1:4" x14ac:dyDescent="0.2">
      <c r="A193" s="7" t="s">
        <v>111</v>
      </c>
      <c r="B193" s="7"/>
      <c r="C193" s="7"/>
      <c r="D193" s="7"/>
    </row>
    <row r="194" spans="1:4" x14ac:dyDescent="0.2">
      <c r="A194" t="s">
        <v>0</v>
      </c>
      <c r="B194" t="s">
        <v>94</v>
      </c>
      <c r="C194" t="s">
        <v>1</v>
      </c>
      <c r="D194" t="s">
        <v>2</v>
      </c>
    </row>
    <row r="195" spans="1:4" x14ac:dyDescent="0.2">
      <c r="A195" t="s">
        <v>63</v>
      </c>
      <c r="B195" s="2">
        <v>2.4E-2</v>
      </c>
      <c r="C195" s="5">
        <f>historicos!B58*(1+'prons Banxico'!B195)</f>
        <v>17111.243708416001</v>
      </c>
      <c r="D195" s="3">
        <f>((1+0.38/100)*(1+0.27/100)*(1+0.32/100)-1)*100</f>
        <v>0.97310928320000212</v>
      </c>
    </row>
    <row r="196" spans="1:4" x14ac:dyDescent="0.2">
      <c r="A196" t="s">
        <v>64</v>
      </c>
      <c r="B196" s="1">
        <v>2.86E-2</v>
      </c>
      <c r="C196" s="5">
        <f>historicos!B59*(1+'prons Banxico'!B196)</f>
        <v>17754.874922984996</v>
      </c>
      <c r="D196" s="3">
        <f>((1-0.09/100)*(1-0.34/100)*(1+0.16/100)-1)*100</f>
        <v>-0.27038151039998626</v>
      </c>
    </row>
    <row r="197" spans="1:4" x14ac:dyDescent="0.2">
      <c r="A197" t="s">
        <v>65</v>
      </c>
      <c r="B197" s="1">
        <v>2.7199999999999998E-2</v>
      </c>
      <c r="C197" s="5">
        <f>historicos!B60*(1+'prons Banxico'!B197)</f>
        <v>17803.0742348352</v>
      </c>
      <c r="D197" s="3">
        <f>((1+0.26/100)*(1+0.27/100)*(1+0.39/100)-1)*100</f>
        <v>0.92277173779997668</v>
      </c>
    </row>
    <row r="198" spans="1:4" x14ac:dyDescent="0.2">
      <c r="A198" t="s">
        <v>66</v>
      </c>
      <c r="B198" s="1">
        <v>2.9499999999999998E-2</v>
      </c>
      <c r="C198" s="5">
        <f>historicos!B61*(1+'prons Banxico'!B198)</f>
        <v>18393.433998315501</v>
      </c>
      <c r="D198" s="3">
        <f>((1+0.48/100)*(1+0.68/100)*(1+0.48/100)-1)*100</f>
        <v>1.6488476671999708</v>
      </c>
    </row>
    <row r="199" spans="1:4" x14ac:dyDescent="0.2">
      <c r="A199" t="s">
        <v>67</v>
      </c>
      <c r="B199" s="1">
        <v>3.2000000000000001E-2</v>
      </c>
      <c r="C199" s="5">
        <f>C195*(1+'prons Banxico'!B199)</f>
        <v>17658.803507085315</v>
      </c>
      <c r="D199" s="5">
        <f>((1+3.31/100)^(1/4)-1)*100</f>
        <v>0.8174225748807995</v>
      </c>
    </row>
    <row r="200" spans="1:4" x14ac:dyDescent="0.2">
      <c r="A200" t="s">
        <v>68</v>
      </c>
      <c r="B200" s="2">
        <v>3.2000000000000001E-2</v>
      </c>
      <c r="C200" s="5">
        <f>C196*(1+'prons Banxico'!B200)</f>
        <v>18323.030920520516</v>
      </c>
      <c r="D200" s="5">
        <f>((1+3.31/100)^(1/4)-1)*100</f>
        <v>0.8174225748807995</v>
      </c>
    </row>
    <row r="201" spans="1:4" x14ac:dyDescent="0.2">
      <c r="A201" t="s">
        <v>69</v>
      </c>
      <c r="B201" s="2">
        <v>3.3399999999999999E-2</v>
      </c>
      <c r="C201" s="5">
        <f>C197*(1+'prons Banxico'!B201)</f>
        <v>18397.696914278698</v>
      </c>
      <c r="D201" s="5">
        <f>((1+3.31/100)^(1/4)-1)*100</f>
        <v>0.8174225748807995</v>
      </c>
    </row>
    <row r="202" spans="1:4" x14ac:dyDescent="0.2">
      <c r="A202" t="s">
        <v>70</v>
      </c>
      <c r="B202" s="2">
        <v>3.39E-2</v>
      </c>
      <c r="C202" s="5">
        <f>C198*(1+'prons Banxico'!B202)</f>
        <v>19016.971410858398</v>
      </c>
      <c r="D202" s="5">
        <f>((1+3.31/100)^(1/4)-1)*100</f>
        <v>0.8174225748807995</v>
      </c>
    </row>
    <row r="205" spans="1:4" x14ac:dyDescent="0.2">
      <c r="A205" s="7" t="s">
        <v>112</v>
      </c>
      <c r="B205" s="7"/>
      <c r="C205" s="7"/>
      <c r="D205" s="7"/>
    </row>
    <row r="206" spans="1:4" x14ac:dyDescent="0.2">
      <c r="A206" t="s">
        <v>0</v>
      </c>
      <c r="B206" t="s">
        <v>94</v>
      </c>
      <c r="C206" t="s">
        <v>1</v>
      </c>
      <c r="D206" t="s">
        <v>2</v>
      </c>
    </row>
    <row r="207" spans="1:4" x14ac:dyDescent="0.2">
      <c r="A207" t="s">
        <v>64</v>
      </c>
      <c r="B207" s="2">
        <v>2.5899999999999999E-2</v>
      </c>
      <c r="C207" s="5">
        <f>historicos!B59*(1+'prons Banxico'!B207)</f>
        <v>17708.2696709025</v>
      </c>
      <c r="D207" s="3">
        <f>((1-0.11/100)*(1-0.32/100)*(1+0.17/100)-1)*100</f>
        <v>-0.26037840159999215</v>
      </c>
    </row>
    <row r="208" spans="1:4" x14ac:dyDescent="0.2">
      <c r="A208" t="s">
        <v>65</v>
      </c>
      <c r="B208" s="1">
        <v>2.35E-2</v>
      </c>
      <c r="C208" s="5">
        <f>historicos!B60*(1+'prons Banxico'!B208)</f>
        <v>17738.947117751002</v>
      </c>
      <c r="D208" s="3">
        <f>((1+0.26/100)*(1+0.27/100)*(1+0.39/100)-1)*100</f>
        <v>0.92277173779997668</v>
      </c>
    </row>
    <row r="209" spans="1:4" x14ac:dyDescent="0.2">
      <c r="A209" t="s">
        <v>66</v>
      </c>
      <c r="B209" s="1">
        <v>2.4400000000000002E-2</v>
      </c>
      <c r="C209" s="5">
        <f>historicos!B61*(1+'prons Banxico'!B209)</f>
        <v>18302.315481179598</v>
      </c>
      <c r="D209" s="3">
        <f>((1+0.49/100)*(1+0.64/100)*(1+0.42/100)-1)*100</f>
        <v>1.5578951711999744</v>
      </c>
    </row>
    <row r="210" spans="1:4" x14ac:dyDescent="0.2">
      <c r="A210" t="s">
        <v>67</v>
      </c>
      <c r="B210" s="1">
        <v>2.87E-2</v>
      </c>
      <c r="C210" s="5">
        <f>historicos!B62*(1+'prons Banxico'!B210)</f>
        <v>17659.061335807197</v>
      </c>
      <c r="D210" s="3">
        <f>((1+0.4/100)*(1+0.3/100)*(1+0.32/100)-1)*100</f>
        <v>1.0234438399999934</v>
      </c>
    </row>
    <row r="211" spans="1:4" x14ac:dyDescent="0.2">
      <c r="A211" t="s">
        <v>68</v>
      </c>
      <c r="B211" s="1">
        <v>2.7300000000000001E-2</v>
      </c>
      <c r="C211" s="5">
        <f>C207*(1+'prons Banxico'!B211)</f>
        <v>18191.705432918141</v>
      </c>
      <c r="D211" s="5">
        <f>((1+3.2/100)^(1/4)-1)*100</f>
        <v>0.79057534988196121</v>
      </c>
    </row>
    <row r="212" spans="1:4" x14ac:dyDescent="0.2">
      <c r="A212" t="s">
        <v>69</v>
      </c>
      <c r="B212" s="2">
        <v>0.03</v>
      </c>
      <c r="C212" s="5">
        <f>C208*(1+'prons Banxico'!B212)</f>
        <v>18271.115531283533</v>
      </c>
      <c r="D212" s="5">
        <f>((1+3.2/100)^(1/4)-1)*100</f>
        <v>0.79057534988196121</v>
      </c>
    </row>
    <row r="213" spans="1:4" x14ac:dyDescent="0.2">
      <c r="A213" t="s">
        <v>70</v>
      </c>
      <c r="B213" s="2">
        <v>3.1399999999999997E-2</v>
      </c>
      <c r="C213" s="5">
        <f>C209*(1+'prons Banxico'!B213)</f>
        <v>18877.00818728864</v>
      </c>
      <c r="D213" s="5">
        <f>((1+3.2/100)^(1/4)-1)*100</f>
        <v>0.79057534988196121</v>
      </c>
    </row>
    <row r="214" spans="1:4" x14ac:dyDescent="0.2">
      <c r="A214" t="s">
        <v>71</v>
      </c>
      <c r="B214" s="2">
        <v>3.2599999999999997E-2</v>
      </c>
      <c r="C214" s="5">
        <f>C210*(1+'prons Banxico'!B214)</f>
        <v>18234.746735354511</v>
      </c>
      <c r="D214" s="5">
        <f>((1+3.25/100)^(1/4)-1)*100</f>
        <v>0.80278129323012593</v>
      </c>
    </row>
    <row r="217" spans="1:4" x14ac:dyDescent="0.2">
      <c r="A217" s="7" t="s">
        <v>113</v>
      </c>
      <c r="B217" s="7"/>
      <c r="C217" s="7"/>
      <c r="D217" s="7"/>
    </row>
    <row r="218" spans="1:4" x14ac:dyDescent="0.2">
      <c r="A218" t="s">
        <v>0</v>
      </c>
      <c r="B218" t="s">
        <v>94</v>
      </c>
      <c r="C218" t="s">
        <v>1</v>
      </c>
      <c r="D218" t="s">
        <v>2</v>
      </c>
    </row>
    <row r="219" spans="1:4" x14ac:dyDescent="0.2">
      <c r="A219" t="s">
        <v>65</v>
      </c>
      <c r="B219" s="2">
        <v>2.1700000000000001E-2</v>
      </c>
      <c r="C219" s="5">
        <f>historicos!B60*(1+'prons Banxico'!B219)</f>
        <v>17707.750141872202</v>
      </c>
      <c r="D219" s="3">
        <f>((1+0.29/100)*(1+0.3/100)*(1+0.44/100)-1)*100</f>
        <v>1.0334698279999666</v>
      </c>
    </row>
    <row r="220" spans="1:4" x14ac:dyDescent="0.2">
      <c r="A220" t="s">
        <v>66</v>
      </c>
      <c r="B220" s="1">
        <v>2.2200000000000001E-2</v>
      </c>
      <c r="C220" s="5">
        <f>historicos!B61*(1+'prons Banxico'!B220)</f>
        <v>18263.009454179799</v>
      </c>
      <c r="D220" s="3">
        <f>((1+0.52/100)*(1+0.68/100)*(1+0.46/100)-1)*100</f>
        <v>1.6690722656000023</v>
      </c>
    </row>
    <row r="221" spans="1:4" x14ac:dyDescent="0.2">
      <c r="A221" t="s">
        <v>67</v>
      </c>
      <c r="B221" s="1">
        <v>2.3800000000000002E-2</v>
      </c>
      <c r="C221" s="5">
        <f>historicos!B62*(1+'prons Banxico'!B221)</f>
        <v>17574.946044132801</v>
      </c>
      <c r="D221" s="3">
        <f>((1+0.42/100)*(1+0.31/100)*(1+0.29/100)-1)*100</f>
        <v>1.023422775799987</v>
      </c>
    </row>
    <row r="222" spans="1:4" x14ac:dyDescent="0.2">
      <c r="A222" t="s">
        <v>68</v>
      </c>
      <c r="B222" s="1">
        <v>2.52E-2</v>
      </c>
      <c r="C222" s="5">
        <f>historicos!B63*(1+'prons Banxico'!B222)</f>
        <v>18229.205185637598</v>
      </c>
      <c r="D222" s="3">
        <f>((1-0.13/100)*(1-0.34/100)*(1+0.16/100)-1)*100</f>
        <v>-0.31030929279999286</v>
      </c>
    </row>
    <row r="223" spans="1:4" x14ac:dyDescent="0.2">
      <c r="A223" t="s">
        <v>69</v>
      </c>
      <c r="B223" s="1">
        <v>2.8400000000000002E-2</v>
      </c>
      <c r="C223" s="5">
        <f>C219*(1+'prons Banxico'!B223)</f>
        <v>18210.650245901372</v>
      </c>
      <c r="D223" s="5">
        <f>((1+3.22/100)^(1/4)-1)*100</f>
        <v>0.79545825934328462</v>
      </c>
    </row>
    <row r="224" spans="1:4" x14ac:dyDescent="0.2">
      <c r="A224" t="s">
        <v>70</v>
      </c>
      <c r="B224" s="2">
        <v>2.9899999999999999E-2</v>
      </c>
      <c r="C224" s="5">
        <f>C220*(1+'prons Banxico'!B224)</f>
        <v>18809.073436859777</v>
      </c>
      <c r="D224" s="5">
        <f>((1+3.22/100)^(1/4)-1)*100</f>
        <v>0.79545825934328462</v>
      </c>
    </row>
    <row r="225" spans="1:4" x14ac:dyDescent="0.2">
      <c r="A225" t="s">
        <v>71</v>
      </c>
      <c r="B225" s="2">
        <v>3.1800000000000002E-2</v>
      </c>
      <c r="C225" s="5">
        <f>C221*(1+'prons Banxico'!B225)</f>
        <v>18133.829328336225</v>
      </c>
      <c r="D225" s="5">
        <f>((1+3.26/100)^(1/4)-1)*100</f>
        <v>0.8052219498979829</v>
      </c>
    </row>
    <row r="226" spans="1:4" x14ac:dyDescent="0.2">
      <c r="A226" t="s">
        <v>72</v>
      </c>
      <c r="B226" s="2">
        <v>3.1800000000000002E-2</v>
      </c>
      <c r="C226" s="5">
        <f>C222*(1+'prons Banxico'!B226)</f>
        <v>18808.893910540875</v>
      </c>
      <c r="D226" s="5">
        <f>((1+3.26/100)^(1/4)-1)*100</f>
        <v>0.8052219498979829</v>
      </c>
    </row>
    <row r="229" spans="1:4" x14ac:dyDescent="0.2">
      <c r="A229" s="7" t="s">
        <v>114</v>
      </c>
      <c r="B229" s="7"/>
      <c r="C229" s="7"/>
      <c r="D229" s="7"/>
    </row>
    <row r="230" spans="1:4" x14ac:dyDescent="0.2">
      <c r="A230" t="s">
        <v>0</v>
      </c>
      <c r="B230" t="s">
        <v>94</v>
      </c>
      <c r="C230" t="s">
        <v>1</v>
      </c>
      <c r="D230" t="s">
        <v>2</v>
      </c>
    </row>
    <row r="231" spans="1:4" x14ac:dyDescent="0.2">
      <c r="A231" t="s">
        <v>66</v>
      </c>
      <c r="B231" s="2">
        <v>1.7899999999999999E-2</v>
      </c>
      <c r="C231" s="5">
        <f>historicos!B61*(1+'prons Banxico'!B231)</f>
        <v>18186.184037771098</v>
      </c>
      <c r="D231" s="3">
        <f>((1+0.54/100)*(1+0.7/100)*(1+0.48/100)-1)*100</f>
        <v>1.7297501439999863</v>
      </c>
    </row>
    <row r="232" spans="1:4" x14ac:dyDescent="0.2">
      <c r="A232" t="s">
        <v>67</v>
      </c>
      <c r="B232" s="1">
        <v>2.1000000000000001E-2</v>
      </c>
      <c r="C232" s="5">
        <f>historicos!B62*(1+'prons Banxico'!B232)</f>
        <v>17526.880163175996</v>
      </c>
      <c r="D232" s="3">
        <f>((1+0.41/100)*(1+0.32/100)*(1+0.29/100)-1)*100</f>
        <v>1.0234328047999952</v>
      </c>
    </row>
    <row r="233" spans="1:4" x14ac:dyDescent="0.2">
      <c r="A233" t="s">
        <v>68</v>
      </c>
      <c r="B233" s="1">
        <v>2.24E-2</v>
      </c>
      <c r="C233" s="5">
        <f>historicos!B63*(1+'prons Banxico'!B233)</f>
        <v>18179.418047011201</v>
      </c>
      <c r="D233" s="3">
        <f>((1-0.12/100)*(1-0.32/100)*(1+0.16/100)-1)*100</f>
        <v>-0.28031938559999192</v>
      </c>
    </row>
    <row r="234" spans="1:4" x14ac:dyDescent="0.2">
      <c r="A234" t="s">
        <v>69</v>
      </c>
      <c r="B234" s="1">
        <v>2.52E-2</v>
      </c>
      <c r="C234" s="5">
        <f>historicos!B64*(1+'prons Banxico'!B234)</f>
        <v>18069.808476733197</v>
      </c>
      <c r="D234" s="3">
        <f>((1+0.26/100)*(1+0.28/100)*(1+0.45/100)-1)*100</f>
        <v>0.99316127599997639</v>
      </c>
    </row>
    <row r="235" spans="1:4" x14ac:dyDescent="0.2">
      <c r="A235" t="s">
        <v>70</v>
      </c>
      <c r="B235" s="1">
        <v>2.6100000000000002E-2</v>
      </c>
      <c r="C235" s="5">
        <f>C231*(1+'prons Banxico'!B235)</f>
        <v>18660.843441156925</v>
      </c>
      <c r="D235" s="5">
        <f>((1+3.45/100)^(1/4)-1)*100</f>
        <v>0.85156078066890295</v>
      </c>
    </row>
    <row r="236" spans="1:4" x14ac:dyDescent="0.2">
      <c r="A236" t="s">
        <v>71</v>
      </c>
      <c r="B236" s="2">
        <v>2.9499999999999998E-2</v>
      </c>
      <c r="C236" s="5">
        <f>C232*(1+'prons Banxico'!B236)</f>
        <v>18043.923127989689</v>
      </c>
      <c r="D236" s="5">
        <f>((1+3.41/100)^(1/4)-1)*100</f>
        <v>0.84181054506595743</v>
      </c>
    </row>
    <row r="237" spans="1:4" x14ac:dyDescent="0.2">
      <c r="A237" t="s">
        <v>72</v>
      </c>
      <c r="B237" s="2">
        <v>2.9499999999999998E-2</v>
      </c>
      <c r="C237" s="5">
        <f>C233*(1+'prons Banxico'!B237)</f>
        <v>18715.710879398033</v>
      </c>
      <c r="D237" s="5">
        <f>((1+3.41/100)^(1/4)-1)*100</f>
        <v>0.84181054506595743</v>
      </c>
    </row>
    <row r="238" spans="1:4" x14ac:dyDescent="0.2">
      <c r="A238" t="s">
        <v>73</v>
      </c>
      <c r="B238" s="2">
        <v>2.9499999999999998E-2</v>
      </c>
      <c r="C238" s="5">
        <f>C234*(1+'prons Banxico'!B238)</f>
        <v>18602.867826796828</v>
      </c>
      <c r="D238" s="5">
        <f>((1+3.41/100)^(1/4)-1)*100</f>
        <v>0.84181054506595743</v>
      </c>
    </row>
    <row r="241" spans="1:4" x14ac:dyDescent="0.2">
      <c r="A241" s="7" t="s">
        <v>115</v>
      </c>
      <c r="B241" s="7"/>
      <c r="C241" s="7"/>
      <c r="D241" s="7"/>
    </row>
    <row r="242" spans="1:4" x14ac:dyDescent="0.2">
      <c r="A242" t="s">
        <v>0</v>
      </c>
      <c r="B242" t="s">
        <v>94</v>
      </c>
      <c r="C242" t="s">
        <v>1</v>
      </c>
      <c r="D242" t="s">
        <v>2</v>
      </c>
    </row>
    <row r="243" spans="1:4" x14ac:dyDescent="0.2">
      <c r="A243" t="s">
        <v>67</v>
      </c>
      <c r="B243" s="2">
        <v>1.5800000000000002E-2</v>
      </c>
      <c r="C243" s="5">
        <f>historicos!B62*(1+'prons Banxico'!B243)</f>
        <v>17437.614955684799</v>
      </c>
      <c r="D243" s="3">
        <f>((1+0.58/100)*(1+0.4/100)*(1+0.35/100)-1)*100</f>
        <v>1.335758120000019</v>
      </c>
    </row>
    <row r="244" spans="1:4" x14ac:dyDescent="0.2">
      <c r="A244" t="s">
        <v>68</v>
      </c>
      <c r="B244" s="1">
        <v>1.55E-2</v>
      </c>
      <c r="C244" s="5">
        <f>historicos!B63*(1+'prons Banxico'!B244)</f>
        <v>18056.728312539002</v>
      </c>
      <c r="D244" s="3">
        <f>((1-0.1/100)*(1-0.31/100)*(1+0.2/100)-1)*100</f>
        <v>-0.2105093799999902</v>
      </c>
    </row>
    <row r="245" spans="1:4" x14ac:dyDescent="0.2">
      <c r="A245" t="s">
        <v>69</v>
      </c>
      <c r="B245" s="1">
        <v>1.54E-2</v>
      </c>
      <c r="C245" s="5">
        <f>historicos!B64*(1+'prons Banxico'!B245)</f>
        <v>17897.077182281402</v>
      </c>
      <c r="D245" s="3">
        <f>((1+0.3/100)*(1+0.32/100)*(1+0.51/100)-1)*100</f>
        <v>1.1341268960000095</v>
      </c>
    </row>
    <row r="246" spans="1:4" x14ac:dyDescent="0.2">
      <c r="A246" t="s">
        <v>70</v>
      </c>
      <c r="B246" s="1">
        <v>1.78E-2</v>
      </c>
      <c r="C246" s="5">
        <f>historicos!B65*(1+'prons Banxico'!B246)</f>
        <v>18743.609027187798</v>
      </c>
      <c r="D246" s="3">
        <f>((1+0.58/100)*(1+0.75/100)*(1+0.48/100)-1)*100</f>
        <v>1.8207548800000195</v>
      </c>
    </row>
    <row r="247" spans="1:4" x14ac:dyDescent="0.2">
      <c r="A247" t="s">
        <v>71</v>
      </c>
      <c r="B247" s="1">
        <v>1.9800000000000002E-2</v>
      </c>
      <c r="C247" s="5">
        <f>C243*(1+'prons Banxico'!B247)</f>
        <v>17782.879731807359</v>
      </c>
      <c r="D247" s="5">
        <f>((1+3.59/100)^(1/4)-1)*100</f>
        <v>0.8856643543195597</v>
      </c>
    </row>
    <row r="248" spans="1:4" x14ac:dyDescent="0.2">
      <c r="A248" t="s">
        <v>72</v>
      </c>
      <c r="B248" s="2">
        <v>2.3199999999999998E-2</v>
      </c>
      <c r="C248" s="5">
        <f>C244*(1+'prons Banxico'!B248)</f>
        <v>18475.644409389908</v>
      </c>
      <c r="D248" s="5">
        <f>((1+3.59/100)^(1/4)-1)*100</f>
        <v>0.8856643543195597</v>
      </c>
    </row>
    <row r="249" spans="1:4" x14ac:dyDescent="0.2">
      <c r="A249" t="s">
        <v>73</v>
      </c>
      <c r="B249" s="2">
        <v>2.4299999999999999E-2</v>
      </c>
      <c r="C249" s="5">
        <f>C245*(1+'prons Banxico'!B249)</f>
        <v>18331.976157810841</v>
      </c>
      <c r="D249" s="5">
        <f>((1+3.59/100)^(1/4)-1)*100</f>
        <v>0.8856643543195597</v>
      </c>
    </row>
    <row r="250" spans="1:4" x14ac:dyDescent="0.2">
      <c r="A250" t="s">
        <v>74</v>
      </c>
      <c r="B250" s="2">
        <v>2.46E-2</v>
      </c>
      <c r="C250" s="5">
        <f>C246*(1+'prons Banxico'!B250)</f>
        <v>19204.701809256618</v>
      </c>
      <c r="D250" s="5">
        <f>((1+3.59/100)^(1/4)-1)*100</f>
        <v>0.8856643543195597</v>
      </c>
    </row>
    <row r="253" spans="1:4" x14ac:dyDescent="0.2">
      <c r="A253" s="7" t="s">
        <v>116</v>
      </c>
      <c r="B253" s="7"/>
      <c r="C253" s="7"/>
      <c r="D253" s="7"/>
    </row>
    <row r="254" spans="1:4" x14ac:dyDescent="0.2">
      <c r="A254" t="s">
        <v>0</v>
      </c>
      <c r="B254" t="s">
        <v>94</v>
      </c>
      <c r="C254" t="s">
        <v>1</v>
      </c>
      <c r="D254" t="s">
        <v>2</v>
      </c>
    </row>
    <row r="255" spans="1:4" x14ac:dyDescent="0.2">
      <c r="A255" t="s">
        <v>68</v>
      </c>
      <c r="B255" s="2">
        <v>1.52E-2</v>
      </c>
      <c r="C255" s="5">
        <f>historicos!B63*(1+'prons Banxico'!B255)</f>
        <v>18051.393976257601</v>
      </c>
      <c r="D255" s="3">
        <f>((1-0.1/100)*(1-0.31/100)*(1+0.18/100)-1)*100</f>
        <v>-0.23042744199999188</v>
      </c>
    </row>
    <row r="256" spans="1:4" x14ac:dyDescent="0.2">
      <c r="A256" t="s">
        <v>69</v>
      </c>
      <c r="B256" s="1">
        <v>1.41E-2</v>
      </c>
      <c r="C256" s="5">
        <f>historicos!B64*(1+'prons Banxico'!B256)</f>
        <v>17874.163847303102</v>
      </c>
      <c r="D256" s="3">
        <f>((1+0.27/100)*(1+0.31/100)*(1+0.51/100)-1)*100</f>
        <v>1.0937992687000131</v>
      </c>
    </row>
    <row r="257" spans="1:4" x14ac:dyDescent="0.2">
      <c r="A257" t="s">
        <v>70</v>
      </c>
      <c r="B257" s="1">
        <v>1.3599999999999999E-2</v>
      </c>
      <c r="C257" s="5">
        <f>historicos!B65*(1+'prons Banxico'!B257)</f>
        <v>18666.262635053601</v>
      </c>
      <c r="D257" s="3">
        <f>((1+0.57/100)*(1+0.73/100)*(1+0.48/100)-1)*100</f>
        <v>1.7904209727999998</v>
      </c>
    </row>
    <row r="258" spans="1:4" x14ac:dyDescent="0.2">
      <c r="A258" t="s">
        <v>71</v>
      </c>
      <c r="B258" s="1">
        <v>1.67E-2</v>
      </c>
      <c r="C258" s="5">
        <f>historicos!B66*(1+'prons Banxico'!B258)</f>
        <v>18054.143848418698</v>
      </c>
      <c r="D258" s="3">
        <f>((1+0.6/100)*(1+0.37/100)*(1+0.35/100)-1)*100</f>
        <v>1.3256227700000123</v>
      </c>
    </row>
    <row r="259" spans="1:4" x14ac:dyDescent="0.2">
      <c r="A259" t="s">
        <v>72</v>
      </c>
      <c r="B259" s="1">
        <v>2.2100000000000002E-2</v>
      </c>
      <c r="C259" s="5">
        <f>C255*(1+'prons Banxico'!B259)</f>
        <v>18450.329783132893</v>
      </c>
      <c r="D259" s="5">
        <f>((1+3.88/100)^(1/4)-1)*100</f>
        <v>0.95619765518473177</v>
      </c>
    </row>
    <row r="260" spans="1:4" x14ac:dyDescent="0.2">
      <c r="A260" t="s">
        <v>73</v>
      </c>
      <c r="B260" s="2">
        <v>2.23E-2</v>
      </c>
      <c r="C260" s="5">
        <f>C256*(1+'prons Banxico'!B260)</f>
        <v>18272.757701097962</v>
      </c>
      <c r="D260" s="5">
        <f>((1+3.88/100)^(1/4)-1)*100</f>
        <v>0.95619765518473177</v>
      </c>
    </row>
    <row r="261" spans="1:4" x14ac:dyDescent="0.2">
      <c r="A261" t="s">
        <v>74</v>
      </c>
      <c r="B261" s="2">
        <v>2.4E-2</v>
      </c>
      <c r="C261" s="5">
        <f>C257*(1+'prons Banxico'!B261)</f>
        <v>19114.252938294889</v>
      </c>
      <c r="D261" s="5">
        <f>((1+3.88/100)^(1/4)-1)*100</f>
        <v>0.95619765518473177</v>
      </c>
    </row>
    <row r="262" spans="1:4" x14ac:dyDescent="0.2">
      <c r="A262" t="s">
        <v>75</v>
      </c>
      <c r="B262" s="2">
        <v>2.35E-2</v>
      </c>
      <c r="C262" s="5">
        <f>C258*(1+'prons Banxico'!B262)</f>
        <v>18478.416228856539</v>
      </c>
      <c r="D262" s="5">
        <f>((1+3.58/100)^(1/4)-1)*100</f>
        <v>0.88322953154076345</v>
      </c>
    </row>
    <row r="265" spans="1:4" x14ac:dyDescent="0.2">
      <c r="A265" s="7" t="s">
        <v>117</v>
      </c>
      <c r="B265" s="7"/>
      <c r="C265" s="7"/>
      <c r="D265" s="7"/>
    </row>
    <row r="266" spans="1:4" x14ac:dyDescent="0.2">
      <c r="A266" t="s">
        <v>0</v>
      </c>
      <c r="B266" t="s">
        <v>94</v>
      </c>
      <c r="C266" t="s">
        <v>1</v>
      </c>
      <c r="D266" t="s">
        <v>2</v>
      </c>
    </row>
    <row r="267" spans="1:4" x14ac:dyDescent="0.2">
      <c r="A267" t="s">
        <v>69</v>
      </c>
      <c r="B267" s="2">
        <v>1.83E-2</v>
      </c>
      <c r="C267" s="5">
        <f>historicos!B64*(1+'prons Banxico'!B267)</f>
        <v>17948.191544925299</v>
      </c>
      <c r="D267" s="3">
        <f>((1+0.27/100)*(1+0.29/100)*(1+0.49/100)-1)*100</f>
        <v>1.0535308366999674</v>
      </c>
    </row>
    <row r="268" spans="1:4" x14ac:dyDescent="0.2">
      <c r="A268" t="s">
        <v>70</v>
      </c>
      <c r="B268" s="1">
        <v>1.66E-2</v>
      </c>
      <c r="C268" s="5">
        <f>historicos!B65*(1+'prons Banxico'!B268)</f>
        <v>18721.510058006599</v>
      </c>
      <c r="D268" s="3">
        <f>((1+0.53/100)*(1+0.72/100)*(1+0.44/100)-1)*100</f>
        <v>1.6993327903999988</v>
      </c>
    </row>
    <row r="269" spans="1:4" x14ac:dyDescent="0.2">
      <c r="A269" t="s">
        <v>71</v>
      </c>
      <c r="B269" s="1">
        <v>1.7899999999999999E-2</v>
      </c>
      <c r="C269" s="5">
        <f>historicos!B66*(1+'prons Banxico'!B269)</f>
        <v>18075.452958891899</v>
      </c>
      <c r="D269" s="3">
        <f>((1+0.56/100)*(1+0.36/100)*(1+0.36/100)-1)*100</f>
        <v>1.2853352576000177</v>
      </c>
    </row>
    <row r="270" spans="1:4" x14ac:dyDescent="0.2">
      <c r="A270" t="s">
        <v>72</v>
      </c>
      <c r="B270" s="1">
        <v>2.3599999999999999E-2</v>
      </c>
      <c r="C270" s="5">
        <f>historicos!B67*(1+'prons Banxico'!B270)</f>
        <v>18511.615283871601</v>
      </c>
      <c r="D270" s="3">
        <f>((1-0.09/100)*(1-0.3/100)*(1+0.18/100)-1)*100</f>
        <v>-0.21043151399999793</v>
      </c>
    </row>
    <row r="271" spans="1:4" x14ac:dyDescent="0.2">
      <c r="A271" t="s">
        <v>73</v>
      </c>
      <c r="B271" s="1">
        <v>2.3400000000000001E-2</v>
      </c>
      <c r="C271" s="5">
        <f>C267*(1+'prons Banxico'!B271)</f>
        <v>18368.179227076555</v>
      </c>
      <c r="D271" s="5">
        <f>((1+3.81/100)^(1/4)-1)*100</f>
        <v>0.93918591009436447</v>
      </c>
    </row>
    <row r="272" spans="1:4" x14ac:dyDescent="0.2">
      <c r="A272" t="s">
        <v>74</v>
      </c>
      <c r="B272" s="2">
        <v>2.41E-2</v>
      </c>
      <c r="C272" s="5">
        <f>C268*(1+'prons Banxico'!B272)</f>
        <v>19172.698450404558</v>
      </c>
      <c r="D272" s="5">
        <f>((1+3.81/100)^(1/4)-1)*100</f>
        <v>0.93918591009436447</v>
      </c>
    </row>
    <row r="273" spans="1:4" x14ac:dyDescent="0.2">
      <c r="A273" t="s">
        <v>75</v>
      </c>
      <c r="B273" s="2">
        <v>2.29E-2</v>
      </c>
      <c r="C273" s="5">
        <f>C269*(1+'prons Banxico'!B273)</f>
        <v>18489.380831650524</v>
      </c>
      <c r="D273" s="5">
        <f>((1+3.55/100)^(1/4)-1)*100</f>
        <v>0.87592400524596492</v>
      </c>
    </row>
    <row r="274" spans="1:4" x14ac:dyDescent="0.2">
      <c r="A274" t="s">
        <v>76</v>
      </c>
      <c r="B274" s="2">
        <v>2.29E-2</v>
      </c>
      <c r="C274" s="5">
        <f>C270*(1+'prons Banxico'!B274)</f>
        <v>18935.53127387226</v>
      </c>
      <c r="D274" s="5">
        <f>((1+3.55/100)^(1/4)-1)*100</f>
        <v>0.87592400524596492</v>
      </c>
    </row>
    <row r="277" spans="1:4" x14ac:dyDescent="0.2">
      <c r="A277" s="7" t="s">
        <v>118</v>
      </c>
      <c r="B277" s="7"/>
      <c r="C277" s="7"/>
      <c r="D277" s="7"/>
    </row>
    <row r="278" spans="1:4" x14ac:dyDescent="0.2">
      <c r="A278" t="s">
        <v>0</v>
      </c>
      <c r="B278" t="s">
        <v>94</v>
      </c>
      <c r="C278" t="s">
        <v>1</v>
      </c>
      <c r="D278" t="s">
        <v>2</v>
      </c>
    </row>
    <row r="279" spans="1:4" x14ac:dyDescent="0.2">
      <c r="A279" t="s">
        <v>70</v>
      </c>
      <c r="B279" s="2">
        <v>1.9400000000000001E-2</v>
      </c>
      <c r="C279" s="5">
        <f>historicos!B65*(1+'prons Banxico'!B279)</f>
        <v>18773.074319429401</v>
      </c>
      <c r="D279" s="3">
        <f>((1+0.53/100)*(1+0.7/100)*(1+0.45/100)-1)*100</f>
        <v>1.6892616949999884</v>
      </c>
    </row>
    <row r="280" spans="1:4" x14ac:dyDescent="0.2">
      <c r="A280" t="s">
        <v>71</v>
      </c>
      <c r="B280" s="1">
        <v>1.8499999999999999E-2</v>
      </c>
      <c r="C280" s="5">
        <f>historicos!B66*(1+'prons Banxico'!B280)</f>
        <v>18086.1075141285</v>
      </c>
      <c r="D280" s="3">
        <f>((1+0.52/100)*(1+0.37/100)*(1+0.36/100)-1)*100</f>
        <v>1.2551349264000367</v>
      </c>
    </row>
    <row r="281" spans="1:4" x14ac:dyDescent="0.2">
      <c r="A281" t="s">
        <v>72</v>
      </c>
      <c r="B281" s="1">
        <v>2.46E-2</v>
      </c>
      <c r="C281" s="5">
        <f>historicos!B67*(1+'prons Banxico'!B281)</f>
        <v>18529.700097552599</v>
      </c>
      <c r="D281" s="3">
        <f>((1-0.07/100)*(1-0.29/100)*(1+0.18/100)-1)*100</f>
        <v>-0.1804446346000077</v>
      </c>
    </row>
    <row r="282" spans="1:4" x14ac:dyDescent="0.2">
      <c r="A282" t="s">
        <v>73</v>
      </c>
      <c r="B282" s="1">
        <v>2.3800000000000002E-2</v>
      </c>
      <c r="C282" s="5">
        <f>historicos!B68*(1+'prons Banxico'!B282)</f>
        <v>18326.759628953001</v>
      </c>
      <c r="D282" s="3">
        <f>((1+0.28/100)*(1+0.33/100)*(1+0.44/100)-1)*100</f>
        <v>1.0536120655999959</v>
      </c>
    </row>
    <row r="283" spans="1:4" x14ac:dyDescent="0.2">
      <c r="A283" t="s">
        <v>74</v>
      </c>
      <c r="B283" s="1">
        <v>2.3400000000000001E-2</v>
      </c>
      <c r="C283" s="5">
        <f>C279*(1+'prons Banxico'!B283)</f>
        <v>19212.364258504051</v>
      </c>
      <c r="D283" s="5">
        <f>((1+3.84/100)^(1/4)-1)*100</f>
        <v>0.94647771113955947</v>
      </c>
    </row>
    <row r="284" spans="1:4" x14ac:dyDescent="0.2">
      <c r="A284" t="s">
        <v>75</v>
      </c>
      <c r="B284" s="2">
        <v>2.3800000000000002E-2</v>
      </c>
      <c r="C284" s="5">
        <f>C280*(1+'prons Banxico'!B284)</f>
        <v>18516.55687296476</v>
      </c>
      <c r="D284" s="5">
        <f>((1+3.55/100)^(1/4)-1)*100</f>
        <v>0.87592400524596492</v>
      </c>
    </row>
    <row r="285" spans="1:4" x14ac:dyDescent="0.2">
      <c r="A285" t="s">
        <v>76</v>
      </c>
      <c r="B285" s="2">
        <v>2.3800000000000002E-2</v>
      </c>
      <c r="C285" s="5">
        <f>C281*(1+'prons Banxico'!B285)</f>
        <v>18970.706959874351</v>
      </c>
      <c r="D285" s="5">
        <f>((1+3.55/100)^(1/4)-1)*100</f>
        <v>0.87592400524596492</v>
      </c>
    </row>
    <row r="286" spans="1:4" x14ac:dyDescent="0.2">
      <c r="A286" t="s">
        <v>77</v>
      </c>
      <c r="B286" s="2">
        <v>2.3800000000000002E-2</v>
      </c>
      <c r="C286" s="5">
        <f>C282*(1+'prons Banxico'!B286)</f>
        <v>18762.936508122082</v>
      </c>
      <c r="D286" s="5">
        <f>((1+3.55/100)^(1/4)-1)*100</f>
        <v>0.87592400524596492</v>
      </c>
    </row>
    <row r="289" spans="1:4" x14ac:dyDescent="0.2">
      <c r="A289" s="7" t="s">
        <v>119</v>
      </c>
      <c r="B289" s="7"/>
      <c r="C289" s="7"/>
      <c r="D289" s="7"/>
    </row>
    <row r="290" spans="1:4" x14ac:dyDescent="0.2">
      <c r="A290" t="s">
        <v>0</v>
      </c>
      <c r="B290" t="s">
        <v>94</v>
      </c>
      <c r="C290" t="s">
        <v>1</v>
      </c>
      <c r="D290" t="s">
        <v>2</v>
      </c>
    </row>
    <row r="291" spans="1:4" x14ac:dyDescent="0.2">
      <c r="A291" t="s">
        <v>71</v>
      </c>
      <c r="B291" s="2">
        <v>1.6500000000000001E-2</v>
      </c>
      <c r="C291" s="5">
        <f>historicos!B66*(1+'prons Banxico'!B291)</f>
        <v>18050.592330006497</v>
      </c>
      <c r="D291" s="3">
        <f>((1+0.5/100)*(1+0.38/100)*(1+0.38/100)-1)*100</f>
        <v>1.2652512199999855</v>
      </c>
    </row>
    <row r="292" spans="1:4" x14ac:dyDescent="0.2">
      <c r="A292" t="s">
        <v>72</v>
      </c>
      <c r="B292" s="1">
        <v>2.4299999999999999E-2</v>
      </c>
      <c r="C292" s="5">
        <f>historicos!B67*(1+'prons Banxico'!B292)</f>
        <v>18524.274653448298</v>
      </c>
      <c r="D292" s="3">
        <f>((1-0.06/100)*(1-0.28/100)*(1+0.18/100)-1)*100</f>
        <v>-0.16044369759999899</v>
      </c>
    </row>
    <row r="293" spans="1:4" x14ac:dyDescent="0.2">
      <c r="A293" t="s">
        <v>73</v>
      </c>
      <c r="B293" s="1">
        <v>2.6599999999999999E-2</v>
      </c>
      <c r="C293" s="5">
        <f>historicos!B68*(1+'prons Banxico'!B293)</f>
        <v>18376.881651771</v>
      </c>
      <c r="D293" s="3">
        <f>((1+0.28/100)*(1+0.34/100)*(1+0.4/100)-1)*100</f>
        <v>1.0234358080000172</v>
      </c>
    </row>
    <row r="294" spans="1:4" x14ac:dyDescent="0.2">
      <c r="A294" t="s">
        <v>74</v>
      </c>
      <c r="B294" s="1">
        <v>2.35E-2</v>
      </c>
      <c r="C294" s="5">
        <f>historicos!B69*(1+'prons Banxico'!B294)</f>
        <v>19186.446142638502</v>
      </c>
      <c r="D294" s="3">
        <f>((1+0.53/100)*(1+0.73/100)*(1+0.46/100)-1)*100</f>
        <v>1.7296827974000006</v>
      </c>
    </row>
    <row r="295" spans="1:4" x14ac:dyDescent="0.2">
      <c r="A295" t="s">
        <v>75</v>
      </c>
      <c r="B295" s="1">
        <v>2.2800000000000001E-2</v>
      </c>
      <c r="C295" s="5">
        <f>C291*(1+'prons Banxico'!B295)</f>
        <v>18462.145835130643</v>
      </c>
      <c r="D295" s="5">
        <f>((1+3.66/100)^(1/4)-1)*100</f>
        <v>0.90270317968861313</v>
      </c>
    </row>
    <row r="296" spans="1:4" x14ac:dyDescent="0.2">
      <c r="A296" t="s">
        <v>76</v>
      </c>
      <c r="B296" s="2">
        <v>2.18E-2</v>
      </c>
      <c r="C296" s="5">
        <f>C292*(1+'prons Banxico'!B296)</f>
        <v>18928.103840893473</v>
      </c>
      <c r="D296" s="5">
        <f>((1+3.66/100)^(1/4)-1)*100</f>
        <v>0.90270317968861313</v>
      </c>
    </row>
    <row r="297" spans="1:4" x14ac:dyDescent="0.2">
      <c r="A297" t="s">
        <v>77</v>
      </c>
      <c r="B297" s="2">
        <v>2.2800000000000001E-2</v>
      </c>
      <c r="C297" s="5">
        <f>C293*(1+'prons Banxico'!B297)</f>
        <v>18795.874553431378</v>
      </c>
      <c r="D297" s="5">
        <f>((1+3.66/100)^(1/4)-1)*100</f>
        <v>0.90270317968861313</v>
      </c>
    </row>
    <row r="298" spans="1:4" x14ac:dyDescent="0.2">
      <c r="A298" t="s">
        <v>78</v>
      </c>
      <c r="B298" s="2">
        <v>2.3599999999999999E-2</v>
      </c>
      <c r="C298" s="5">
        <f>C294*(1+'prons Banxico'!B298)</f>
        <v>19639.246271604774</v>
      </c>
      <c r="D298" s="5">
        <f>((1+3.66/100)^(1/4)-1)*100</f>
        <v>0.90270317968861313</v>
      </c>
    </row>
    <row r="301" spans="1:4" x14ac:dyDescent="0.2">
      <c r="A301" s="7" t="s">
        <v>120</v>
      </c>
      <c r="B301" s="7"/>
      <c r="C301" s="7"/>
      <c r="D301" s="7"/>
    </row>
    <row r="302" spans="1:4" x14ac:dyDescent="0.2">
      <c r="A302" t="s">
        <v>0</v>
      </c>
      <c r="B302" t="s">
        <v>94</v>
      </c>
      <c r="C302" t="s">
        <v>1</v>
      </c>
      <c r="D302" t="s">
        <v>2</v>
      </c>
    </row>
    <row r="303" spans="1:4" x14ac:dyDescent="0.2">
      <c r="A303" t="s">
        <v>72</v>
      </c>
      <c r="B303" s="2">
        <v>2.4E-2</v>
      </c>
      <c r="C303" s="5">
        <f>historicos!B67*(1+'prons Banxico'!B303)</f>
        <v>18518.849209344</v>
      </c>
      <c r="D303" s="3">
        <f>((1-0.08/100)*(1-0.28/100)*(1+0.18/100)-1)*100</f>
        <v>-0.18042359679999453</v>
      </c>
    </row>
    <row r="304" spans="1:4" x14ac:dyDescent="0.2">
      <c r="A304" t="s">
        <v>73</v>
      </c>
      <c r="B304" s="1">
        <v>2.58E-2</v>
      </c>
      <c r="C304" s="5">
        <f>historicos!B68*(1+'prons Banxico'!B304)</f>
        <v>18362.561073822999</v>
      </c>
      <c r="D304" s="3">
        <f>((1+0.26/100)*(1+0.33/100)*(1+0.42/100)-1)*100</f>
        <v>1.0133396035999942</v>
      </c>
    </row>
    <row r="305" spans="1:4" x14ac:dyDescent="0.2">
      <c r="A305" t="s">
        <v>74</v>
      </c>
      <c r="B305" s="1">
        <v>2.2700000000000001E-2</v>
      </c>
      <c r="C305" s="5">
        <f>historicos!B69*(1+'prons Banxico'!B305)</f>
        <v>19171.449408965698</v>
      </c>
      <c r="D305" s="3">
        <f>((1+0.57/100)*(1+0.78/100)*(1+0.51/100)-1)*100</f>
        <v>1.8713536746000292</v>
      </c>
    </row>
    <row r="306" spans="1:4" x14ac:dyDescent="0.2">
      <c r="A306" t="s">
        <v>75</v>
      </c>
      <c r="B306" s="1">
        <v>2.3599999999999999E-2</v>
      </c>
      <c r="C306" s="5">
        <f>historicos!B70*(1+'prons Banxico'!B306)</f>
        <v>18443.90403537</v>
      </c>
      <c r="D306" s="3">
        <f>((1+0.49/100)*(1+0.33/100)*(1+0.33/100)-1)*100</f>
        <v>1.1543283361000078</v>
      </c>
    </row>
    <row r="307" spans="1:4" x14ac:dyDescent="0.2">
      <c r="A307" t="s">
        <v>76</v>
      </c>
      <c r="B307" s="1">
        <v>2.1499999999999998E-2</v>
      </c>
      <c r="C307" s="5">
        <f>C303*(1+'prons Banxico'!B307)</f>
        <v>18917.004467344897</v>
      </c>
      <c r="D307" s="5">
        <f>((1+3.67/100)^(1/4)-1)*100</f>
        <v>0.90513659308657513</v>
      </c>
    </row>
    <row r="308" spans="1:4" x14ac:dyDescent="0.2">
      <c r="A308" t="s">
        <v>77</v>
      </c>
      <c r="B308" s="2">
        <v>2.3400000000000001E-2</v>
      </c>
      <c r="C308" s="5">
        <f>C304*(1+'prons Banxico'!B308)</f>
        <v>18792.245002950458</v>
      </c>
      <c r="D308" s="5">
        <f>((1+3.67/100)^(1/4)-1)*100</f>
        <v>0.90513659308657513</v>
      </c>
    </row>
    <row r="309" spans="1:4" x14ac:dyDescent="0.2">
      <c r="A309" t="s">
        <v>78</v>
      </c>
      <c r="B309" s="2">
        <v>2.4E-2</v>
      </c>
      <c r="C309" s="5">
        <f>C305*(1+'prons Banxico'!B309)</f>
        <v>19631.564194780876</v>
      </c>
      <c r="D309" s="5">
        <f>((1+3.67/100)^(1/4)-1)*100</f>
        <v>0.90513659308657513</v>
      </c>
    </row>
    <row r="310" spans="1:4" x14ac:dyDescent="0.2">
      <c r="A310" t="s">
        <v>79</v>
      </c>
      <c r="B310" s="2">
        <v>2.4199999999999999E-2</v>
      </c>
      <c r="C310" s="5">
        <f>C306*(1+'prons Banxico'!B310)</f>
        <v>18890.246513025955</v>
      </c>
      <c r="D310" s="5">
        <f>((1+3.61/100)^(1/4)-1)*100</f>
        <v>0.89053347107663772</v>
      </c>
    </row>
    <row r="313" spans="1:4" x14ac:dyDescent="0.2">
      <c r="A313" s="7" t="s">
        <v>121</v>
      </c>
      <c r="B313" s="7"/>
      <c r="C313" s="7"/>
      <c r="D313" s="7"/>
    </row>
    <row r="314" spans="1:4" x14ac:dyDescent="0.2">
      <c r="A314" t="s">
        <v>0</v>
      </c>
      <c r="B314" t="s">
        <v>94</v>
      </c>
      <c r="C314" t="s">
        <v>1</v>
      </c>
      <c r="D314" t="s">
        <v>2</v>
      </c>
    </row>
    <row r="315" spans="1:4" x14ac:dyDescent="0.2">
      <c r="A315" t="s">
        <v>73</v>
      </c>
      <c r="B315" s="2">
        <v>2.6599999999999999E-2</v>
      </c>
      <c r="C315" s="5">
        <f>historicos!B68*(1+'prons Banxico'!B315)</f>
        <v>18376.881651771</v>
      </c>
      <c r="D315" s="3">
        <f>((1+0.31/100)*(1+0.37/100)*(1+0.42/100)-1)*100</f>
        <v>1.1040078174000101</v>
      </c>
    </row>
    <row r="316" spans="1:4" x14ac:dyDescent="0.2">
      <c r="A316" t="s">
        <v>74</v>
      </c>
      <c r="B316" s="1">
        <v>2.4E-2</v>
      </c>
      <c r="C316" s="5">
        <f>historicos!B69*(1+'prons Banxico'!B316)</f>
        <v>19195.819101183999</v>
      </c>
      <c r="D316" s="3">
        <f>((1+0.57/100)*(1+0.8/100)*(1+0.52/100)-1)*100</f>
        <v>1.9017077120000225</v>
      </c>
    </row>
    <row r="317" spans="1:4" x14ac:dyDescent="0.2">
      <c r="A317" t="s">
        <v>75</v>
      </c>
      <c r="B317" s="1">
        <v>2.3E-2</v>
      </c>
      <c r="C317" s="5">
        <f>historicos!B70*(1+'prons Banxico'!B317)</f>
        <v>18433.092837224998</v>
      </c>
      <c r="D317" s="3">
        <f>((1+0.46/100)*(1+0.32/100)*(1+0.32/100)-1)*100</f>
        <v>1.1039727104000141</v>
      </c>
    </row>
    <row r="318" spans="1:4" x14ac:dyDescent="0.2">
      <c r="A318" t="s">
        <v>76</v>
      </c>
      <c r="B318" s="1">
        <v>2.0299999999999999E-2</v>
      </c>
      <c r="C318" s="5">
        <f>historicos!B71*(1+'prons Banxico'!B318)</f>
        <v>19049.3606333034</v>
      </c>
      <c r="D318" s="3">
        <f>((1-0.13/100)*(1-0.31/100)*(1+0.18/100)-1)*100</f>
        <v>-0.26038827459998748</v>
      </c>
    </row>
    <row r="319" spans="1:4" x14ac:dyDescent="0.2">
      <c r="A319" t="s">
        <v>77</v>
      </c>
      <c r="B319" s="1">
        <v>2.3E-2</v>
      </c>
      <c r="C319" s="5">
        <f>C315*(1+'prons Banxico'!B319)</f>
        <v>18799.549929761732</v>
      </c>
      <c r="D319" s="5">
        <f>((1+3.65/100)^(1/4)-1)*100</f>
        <v>0.90026959022215802</v>
      </c>
    </row>
    <row r="320" spans="1:4" x14ac:dyDescent="0.2">
      <c r="A320" t="s">
        <v>78</v>
      </c>
      <c r="B320" s="2">
        <v>2.4E-2</v>
      </c>
      <c r="C320" s="5">
        <f>C316*(1+'prons Banxico'!B320)</f>
        <v>19656.518759612416</v>
      </c>
      <c r="D320" s="5">
        <f>((1+3.65/100)^(1/4)-1)*100</f>
        <v>0.90026959022215802</v>
      </c>
    </row>
    <row r="321" spans="1:4" x14ac:dyDescent="0.2">
      <c r="A321" t="s">
        <v>79</v>
      </c>
      <c r="B321" s="2">
        <v>2.3900000000000001E-2</v>
      </c>
      <c r="C321" s="5">
        <f>C317*(1+'prons Banxico'!B321)</f>
        <v>18873.643756034675</v>
      </c>
      <c r="D321" s="5">
        <f>((1+3.65/100)^(1/4)-1)*100</f>
        <v>0.90026959022215802</v>
      </c>
    </row>
    <row r="322" spans="1:4" x14ac:dyDescent="0.2">
      <c r="A322" t="s">
        <v>80</v>
      </c>
      <c r="B322" s="2">
        <v>2.3900000000000001E-2</v>
      </c>
      <c r="C322" s="5">
        <f>C318*(1+'prons Banxico'!B322)</f>
        <v>19504.640352439354</v>
      </c>
      <c r="D322" s="5">
        <f>((1+3.65/100)^(1/4)-1)*100</f>
        <v>0.90026959022215802</v>
      </c>
    </row>
    <row r="325" spans="1:4" x14ac:dyDescent="0.2">
      <c r="A325" s="7" t="s">
        <v>122</v>
      </c>
      <c r="B325" s="7"/>
      <c r="C325" s="7"/>
      <c r="D325" s="7"/>
    </row>
    <row r="326" spans="1:4" x14ac:dyDescent="0.2">
      <c r="A326" t="s">
        <v>0</v>
      </c>
      <c r="B326" t="s">
        <v>94</v>
      </c>
      <c r="C326" t="s">
        <v>1</v>
      </c>
      <c r="D326" t="s">
        <v>2</v>
      </c>
    </row>
    <row r="327" spans="1:4" x14ac:dyDescent="0.2">
      <c r="A327" t="s">
        <v>74</v>
      </c>
      <c r="B327" s="2">
        <v>2.1499999999999998E-2</v>
      </c>
      <c r="C327" s="5">
        <f>historicos!B69*(1+'prons Banxico'!B327)</f>
        <v>19148.954308456501</v>
      </c>
      <c r="D327" s="3">
        <f>((1+0.56/100)*(1+0.77/100)*(1+0.5/100)-1)*100</f>
        <v>1.840983559999998</v>
      </c>
    </row>
    <row r="328" spans="1:4" x14ac:dyDescent="0.2">
      <c r="A328" t="s">
        <v>75</v>
      </c>
      <c r="B328" s="1">
        <v>2.1100000000000001E-2</v>
      </c>
      <c r="C328" s="5">
        <f>historicos!B70*(1+'prons Banxico'!B328)</f>
        <v>18398.857376432497</v>
      </c>
      <c r="D328" s="3">
        <f>((1+0.47/100)*(1+0.31/100)*(1+0.33/100)-1)*100</f>
        <v>1.1140358081000112</v>
      </c>
    </row>
    <row r="329" spans="1:4" x14ac:dyDescent="0.2">
      <c r="A329" t="s">
        <v>76</v>
      </c>
      <c r="B329" s="1">
        <v>1.9400000000000001E-2</v>
      </c>
      <c r="C329" s="5">
        <f>historicos!B71*(1+'prons Banxico'!B329)</f>
        <v>19032.557316073202</v>
      </c>
      <c r="D329" s="3">
        <f>((1-0.16/100)*(1-0.3/100)*(1+0.21/100)-1)*100</f>
        <v>-0.25048499199999963</v>
      </c>
    </row>
    <row r="330" spans="1:4" x14ac:dyDescent="0.2">
      <c r="A330" t="s">
        <v>77</v>
      </c>
      <c r="B330" s="1">
        <v>2.2700000000000001E-2</v>
      </c>
      <c r="C330" s="5">
        <f>historicos!B72*(1+'prons Banxico'!B330)</f>
        <v>18823.632632508899</v>
      </c>
      <c r="D330" s="3">
        <f>((1+0.32/100)*(1+0.33/100)*(1+0.39/100)-1)*100</f>
        <v>1.0435951184000203</v>
      </c>
    </row>
    <row r="331" spans="1:4" x14ac:dyDescent="0.2">
      <c r="A331" t="s">
        <v>78</v>
      </c>
      <c r="B331" s="1">
        <v>2.3E-2</v>
      </c>
      <c r="C331" s="5">
        <f>C327*(1+'prons Banxico'!B331)</f>
        <v>19589.380257550998</v>
      </c>
      <c r="D331" s="5">
        <f>((1+3.8/100)^(1/4)-1)*100</f>
        <v>0.9367549585383772</v>
      </c>
    </row>
    <row r="332" spans="1:4" x14ac:dyDescent="0.2">
      <c r="A332" t="s">
        <v>79</v>
      </c>
      <c r="B332" s="2">
        <v>2.3199999999999998E-2</v>
      </c>
      <c r="C332" s="5">
        <f>C328*(1+'prons Banxico'!B332)</f>
        <v>18825.710867565733</v>
      </c>
      <c r="D332" s="5">
        <f>((1+3.66/100)^(1/4)-1)*100</f>
        <v>0.90270317968861313</v>
      </c>
    </row>
    <row r="333" spans="1:4" x14ac:dyDescent="0.2">
      <c r="A333" t="s">
        <v>80</v>
      </c>
      <c r="B333" s="2">
        <v>2.3199999999999998E-2</v>
      </c>
      <c r="C333" s="5">
        <f>C329*(1+'prons Banxico'!B333)</f>
        <v>19474.112645806101</v>
      </c>
      <c r="D333" s="5">
        <f>((1+3.66/100)^(1/4)-1)*100</f>
        <v>0.90270317968861313</v>
      </c>
    </row>
    <row r="334" spans="1:4" x14ac:dyDescent="0.2">
      <c r="A334" t="s">
        <v>81</v>
      </c>
      <c r="B334" s="2">
        <v>2.3199999999999998E-2</v>
      </c>
      <c r="C334" s="5">
        <f>C330*(1+'prons Banxico'!B334)</f>
        <v>19260.340909583108</v>
      </c>
      <c r="D334" s="5">
        <f>((1+3.66/100)^(1/4)-1)*100</f>
        <v>0.90270317968861313</v>
      </c>
    </row>
    <row r="337" spans="1:4" x14ac:dyDescent="0.2">
      <c r="A337" s="7" t="s">
        <v>123</v>
      </c>
      <c r="B337" s="7"/>
      <c r="C337" s="7"/>
      <c r="D337" s="7"/>
    </row>
    <row r="338" spans="1:4" x14ac:dyDescent="0.2">
      <c r="A338" t="s">
        <v>0</v>
      </c>
      <c r="B338" t="s">
        <v>94</v>
      </c>
      <c r="C338" t="s">
        <v>1</v>
      </c>
      <c r="D338" t="s">
        <v>2</v>
      </c>
    </row>
    <row r="339" spans="1:4" x14ac:dyDescent="0.2">
      <c r="A339" t="s">
        <v>75</v>
      </c>
      <c r="B339" s="2">
        <v>1.8499999999999999E-2</v>
      </c>
      <c r="C339" s="5">
        <f>historicos!B70*(1+'prons Banxico'!B339)</f>
        <v>18352.0088511375</v>
      </c>
      <c r="D339" s="3">
        <f>((1+0.47/100)*(1+0.33/100)*(1+0.33/100)-1)*100</f>
        <v>1.1341961183000127</v>
      </c>
    </row>
    <row r="340" spans="1:4" x14ac:dyDescent="0.2">
      <c r="A340" t="s">
        <v>76</v>
      </c>
      <c r="B340" s="1">
        <v>1.7299999999999999E-2</v>
      </c>
      <c r="C340" s="5">
        <f>historicos!B71*(1+'prons Banxico'!B340)</f>
        <v>18993.349575869401</v>
      </c>
      <c r="D340" s="3">
        <f>((1-0.16/100)*(1-0.29/100)*(1+0.2/100)-1)*100</f>
        <v>-0.25043507200001036</v>
      </c>
    </row>
    <row r="341" spans="1:4" x14ac:dyDescent="0.2">
      <c r="A341" t="s">
        <v>77</v>
      </c>
      <c r="B341" s="1">
        <v>1.9199999999999998E-2</v>
      </c>
      <c r="C341" s="5">
        <f>historicos!B72*(1+'prons Banxico'!B341)</f>
        <v>18759.212260734403</v>
      </c>
      <c r="D341" s="3">
        <f>((1+0.32/100)*(1+0.35/100)*(1+0.42/100)-1)*100</f>
        <v>1.0939387040000303</v>
      </c>
    </row>
    <row r="342" spans="1:4" x14ac:dyDescent="0.2">
      <c r="A342" t="s">
        <v>78</v>
      </c>
      <c r="B342" s="1">
        <v>2.01E-2</v>
      </c>
      <c r="C342" s="5">
        <f>historicos!B73*(1+'prons Banxico'!B342)</f>
        <v>19366.9447505028</v>
      </c>
      <c r="D342" s="3">
        <f>((1+0.52/100)*(1+0.76/100)*(1+0.53/100)-1)*100</f>
        <v>1.8207569456000217</v>
      </c>
    </row>
    <row r="343" spans="1:4" x14ac:dyDescent="0.2">
      <c r="A343" t="s">
        <v>79</v>
      </c>
      <c r="B343" s="1">
        <v>2.0500000000000001E-2</v>
      </c>
      <c r="C343" s="5">
        <f>C339*(1+'prons Banxico'!B343)</f>
        <v>18728.225032585819</v>
      </c>
      <c r="D343" s="5">
        <f>((1+3.74/100)^(1/4)-1)*100</f>
        <v>0.92216555944975021</v>
      </c>
    </row>
    <row r="344" spans="1:4" x14ac:dyDescent="0.2">
      <c r="A344" t="s">
        <v>80</v>
      </c>
      <c r="B344" s="2">
        <v>1.9199999999999998E-2</v>
      </c>
      <c r="C344" s="5">
        <f>C340*(1+'prons Banxico'!B344)</f>
        <v>19358.021887726096</v>
      </c>
      <c r="D344" s="5">
        <f>((1+3.74/100)^(1/4)-1)*100</f>
        <v>0.92216555944975021</v>
      </c>
    </row>
    <row r="345" spans="1:4" x14ac:dyDescent="0.2">
      <c r="A345" t="s">
        <v>81</v>
      </c>
      <c r="B345" s="2">
        <v>1.9E-2</v>
      </c>
      <c r="C345" s="5">
        <f>C341*(1+'prons Banxico'!B345)</f>
        <v>19115.637293688356</v>
      </c>
      <c r="D345" s="5">
        <f>((1+3.74/100)^(1/4)-1)*100</f>
        <v>0.92216555944975021</v>
      </c>
    </row>
    <row r="346" spans="1:4" x14ac:dyDescent="0.2">
      <c r="A346" t="s">
        <v>82</v>
      </c>
      <c r="B346" s="2">
        <v>1.9300000000000001E-2</v>
      </c>
      <c r="C346" s="5">
        <f>C342*(1+'prons Banxico'!B346)</f>
        <v>19740.726784187507</v>
      </c>
      <c r="D346" s="5">
        <f>((1+3.74/100)^(1/4)-1)*100</f>
        <v>0.92216555944975021</v>
      </c>
    </row>
    <row r="349" spans="1:4" x14ac:dyDescent="0.2">
      <c r="A349" s="7" t="s">
        <v>124</v>
      </c>
      <c r="B349" s="7"/>
      <c r="C349" s="7"/>
      <c r="D349" s="7"/>
    </row>
    <row r="350" spans="1:4" x14ac:dyDescent="0.2">
      <c r="A350" t="s">
        <v>0</v>
      </c>
      <c r="B350" t="s">
        <v>94</v>
      </c>
      <c r="C350" t="s">
        <v>1</v>
      </c>
      <c r="D350" t="s">
        <v>2</v>
      </c>
    </row>
    <row r="351" spans="1:4" x14ac:dyDescent="0.2">
      <c r="A351" t="s">
        <v>76</v>
      </c>
      <c r="B351" s="2">
        <v>1.4E-2</v>
      </c>
      <c r="C351" s="5">
        <f>historicos!B71*(1+'prons Banxico'!B351)</f>
        <v>18931.737412692</v>
      </c>
      <c r="D351" s="3">
        <f>((1-0.12/100)*(1-0.2/100)*(1+0.26/100)-1)*100</f>
        <v>-6.0591376000007635E-2</v>
      </c>
    </row>
    <row r="352" spans="1:4" x14ac:dyDescent="0.2">
      <c r="A352" t="s">
        <v>77</v>
      </c>
      <c r="B352" s="1">
        <v>1.6199999999999999E-2</v>
      </c>
      <c r="C352" s="5">
        <f>historicos!B72*(1+'prons Banxico'!B352)</f>
        <v>18703.9947992134</v>
      </c>
      <c r="D352" s="3">
        <f>((1+0.38/100)*(1+0.41/100)*(1+0.45/100)-1)*100</f>
        <v>1.2451200109999894</v>
      </c>
    </row>
    <row r="353" spans="1:4" x14ac:dyDescent="0.2">
      <c r="A353" t="s">
        <v>78</v>
      </c>
      <c r="B353" s="1">
        <v>1.77E-2</v>
      </c>
      <c r="C353" s="5">
        <f>historicos!B73*(1+'prons Banxico'!B353)</f>
        <v>19321.3799358756</v>
      </c>
      <c r="D353" s="3">
        <f>((1+0.54/100)*(1+0.81/100)*(1+0.62/100)-1)*100</f>
        <v>1.9827711188000086</v>
      </c>
    </row>
    <row r="354" spans="1:4" x14ac:dyDescent="0.2">
      <c r="A354" t="s">
        <v>79</v>
      </c>
      <c r="B354" s="1">
        <v>1.9099999999999999E-2</v>
      </c>
      <c r="C354" s="5">
        <f>historicos!B74*(1+'prons Banxico'!B354)</f>
        <v>18589.371215418298</v>
      </c>
      <c r="D354" s="3">
        <f>((1+0.35/100)*(1+0.24/100)*(1+0.3/100)-1)*100</f>
        <v>0.89261251999999125</v>
      </c>
    </row>
    <row r="355" spans="1:4" x14ac:dyDescent="0.2">
      <c r="A355" t="s">
        <v>80</v>
      </c>
      <c r="B355" s="1">
        <v>1.8200000000000001E-2</v>
      </c>
      <c r="C355" s="5">
        <f>C351*(1+'prons Banxico'!B355)</f>
        <v>19276.295033602993</v>
      </c>
      <c r="D355" s="5">
        <f>((1+3.65/100)^(1/4)-1)*100</f>
        <v>0.90026959022215802</v>
      </c>
    </row>
    <row r="356" spans="1:4" x14ac:dyDescent="0.2">
      <c r="A356" t="s">
        <v>81</v>
      </c>
      <c r="B356" s="2">
        <v>1.77E-2</v>
      </c>
      <c r="C356" s="5">
        <f>C352*(1+'prons Banxico'!B356)</f>
        <v>19035.055507159479</v>
      </c>
      <c r="D356" s="5">
        <f>((1+3.65/100)^(1/4)-1)*100</f>
        <v>0.90026959022215802</v>
      </c>
    </row>
    <row r="357" spans="1:4" x14ac:dyDescent="0.2">
      <c r="A357" t="s">
        <v>82</v>
      </c>
      <c r="B357" s="2">
        <v>1.67E-2</v>
      </c>
      <c r="C357" s="5">
        <f>C353*(1+'prons Banxico'!B357)</f>
        <v>19644.04698080472</v>
      </c>
      <c r="D357" s="5">
        <f>((1+3.65/100)^(1/4)-1)*100</f>
        <v>0.90026959022215802</v>
      </c>
    </row>
    <row r="358" spans="1:4" x14ac:dyDescent="0.2">
      <c r="A358" t="s">
        <v>83</v>
      </c>
      <c r="B358" s="2">
        <v>2.1000000000000001E-2</v>
      </c>
      <c r="C358" s="5">
        <f>C354*(1+'prons Banxico'!B358)</f>
        <v>18979.748010942079</v>
      </c>
      <c r="D358" s="5">
        <f>((1+3.6/100)^(1/4)-1)*100</f>
        <v>0.88809900082158499</v>
      </c>
    </row>
    <row r="361" spans="1:4" x14ac:dyDescent="0.2">
      <c r="A361" s="7" t="s">
        <v>125</v>
      </c>
      <c r="B361" s="7"/>
      <c r="C361" s="7"/>
      <c r="D361" s="7"/>
    </row>
    <row r="362" spans="1:4" x14ac:dyDescent="0.2">
      <c r="A362" t="s">
        <v>0</v>
      </c>
      <c r="B362" t="s">
        <v>94</v>
      </c>
      <c r="C362" t="s">
        <v>1</v>
      </c>
      <c r="D362" t="s">
        <v>2</v>
      </c>
    </row>
    <row r="363" spans="1:4" x14ac:dyDescent="0.2">
      <c r="A363" t="s">
        <v>77</v>
      </c>
      <c r="B363" s="2">
        <v>1.1599999999999999E-2</v>
      </c>
      <c r="C363" s="5">
        <f>historicos!B72*(1+'prons Banxico'!B363)</f>
        <v>18619.328024881201</v>
      </c>
      <c r="D363" s="3">
        <f>((1+0.38/100)*(1+0.42/100)*(1+0.47/100)-1)*100</f>
        <v>1.2753635011999886</v>
      </c>
    </row>
    <row r="364" spans="1:4" x14ac:dyDescent="0.2">
      <c r="A364" t="s">
        <v>78</v>
      </c>
      <c r="B364" s="1">
        <v>1.38E-2</v>
      </c>
      <c r="C364" s="5">
        <f>historicos!B73*(1+'prons Banxico'!B364)</f>
        <v>19247.337112106401</v>
      </c>
      <c r="D364" s="3">
        <f>((1+0.55/100)*(1+0.81/100)*(1+0.63/100)-1)*100</f>
        <v>2.0030510665000056</v>
      </c>
    </row>
    <row r="365" spans="1:4" x14ac:dyDescent="0.2">
      <c r="A365" t="s">
        <v>79</v>
      </c>
      <c r="B365" s="1">
        <v>1.77E-2</v>
      </c>
      <c r="C365" s="5">
        <f>historicos!B74*(1+'prons Banxico'!B365)</f>
        <v>18563.8338592201</v>
      </c>
      <c r="D365" s="3">
        <f>((1+0.36/100)*(1+0.24/100)*(1+0.3/100)-1)*100</f>
        <v>0.90266659199997878</v>
      </c>
    </row>
    <row r="366" spans="1:4" x14ac:dyDescent="0.2">
      <c r="A366" t="s">
        <v>80</v>
      </c>
      <c r="B366" s="1">
        <v>1.7100000000000001E-2</v>
      </c>
      <c r="C366" s="5">
        <f>historicos!B75*(1+'prons Banxico'!B366)</f>
        <v>18779.927553392597</v>
      </c>
      <c r="D366" s="3">
        <f>((1-0.09/100)*(1-0.27/100)*(1+0.19/100)-1)*100</f>
        <v>-0.1704405382999985</v>
      </c>
    </row>
    <row r="367" spans="1:4" x14ac:dyDescent="0.2">
      <c r="A367" t="s">
        <v>81</v>
      </c>
      <c r="B367" s="1">
        <v>1.6400000000000001E-2</v>
      </c>
      <c r="C367" s="5">
        <f>C363*(1+'prons Banxico'!B367)</f>
        <v>18924.685004489253</v>
      </c>
      <c r="D367" s="5">
        <f>((1+3.63/100)^(1/4)-1)*100</f>
        <v>0.89540188296481915</v>
      </c>
    </row>
    <row r="368" spans="1:4" x14ac:dyDescent="0.2">
      <c r="A368" t="s">
        <v>82</v>
      </c>
      <c r="B368" s="2">
        <v>1.55E-2</v>
      </c>
      <c r="C368" s="5">
        <f>C364*(1+'prons Banxico'!B368)</f>
        <v>19545.670837344052</v>
      </c>
      <c r="D368" s="5">
        <f>((1+3.63/100)^(1/4)-1)*100</f>
        <v>0.89540188296481915</v>
      </c>
    </row>
    <row r="369" spans="1:4" x14ac:dyDescent="0.2">
      <c r="A369" t="s">
        <v>83</v>
      </c>
      <c r="B369" s="2">
        <v>1.9599999999999999E-2</v>
      </c>
      <c r="C369" s="5">
        <f>C365*(1+'prons Banxico'!B369)</f>
        <v>18927.685002860813</v>
      </c>
      <c r="D369" s="5">
        <f>((1+3.6/100)^(1/4)-1)*100</f>
        <v>0.88809900082158499</v>
      </c>
    </row>
    <row r="370" spans="1:4" x14ac:dyDescent="0.2">
      <c r="A370" t="s">
        <v>84</v>
      </c>
      <c r="B370" s="2">
        <v>1.9599999999999999E-2</v>
      </c>
      <c r="C370" s="5">
        <f>C366*(1+'prons Banxico'!B370)</f>
        <v>19148.014133439094</v>
      </c>
      <c r="D370" s="5">
        <f>((1+3.6/100)^(1/4)-1)*100</f>
        <v>0.88809900082158499</v>
      </c>
    </row>
    <row r="373" spans="1:4" x14ac:dyDescent="0.2">
      <c r="A373" s="7" t="s">
        <v>126</v>
      </c>
      <c r="B373" s="7"/>
      <c r="C373" s="7"/>
      <c r="D373" s="7"/>
    </row>
    <row r="374" spans="1:4" x14ac:dyDescent="0.2">
      <c r="A374" t="s">
        <v>0</v>
      </c>
      <c r="B374" t="s">
        <v>94</v>
      </c>
      <c r="C374" t="s">
        <v>1</v>
      </c>
      <c r="D374" t="s">
        <v>2</v>
      </c>
    </row>
    <row r="375" spans="1:4" x14ac:dyDescent="0.2">
      <c r="A375" t="s">
        <v>78</v>
      </c>
      <c r="B375" s="2">
        <v>7.7999999999999996E-3</v>
      </c>
      <c r="C375" s="5">
        <f>historicos!B73*(1+'prons Banxico'!B375)</f>
        <v>19133.425075538398</v>
      </c>
      <c r="D375" s="3">
        <f>((1+0.59/100)*(1+0.84/100)*(1+0.67/100)-1)*100</f>
        <v>2.1145702051999837</v>
      </c>
    </row>
    <row r="376" spans="1:4" x14ac:dyDescent="0.2">
      <c r="A376" t="s">
        <v>79</v>
      </c>
      <c r="B376" s="1">
        <v>1.2699999999999999E-2</v>
      </c>
      <c r="C376" s="5">
        <f>historicos!B74*(1+'prons Banxico'!B376)</f>
        <v>18472.629015655097</v>
      </c>
      <c r="D376" s="3">
        <f>((1+0.37/100)*(1+0.21/100)*(1+0.31/100)-1)*100</f>
        <v>0.89257740870001268</v>
      </c>
    </row>
    <row r="377" spans="1:4" x14ac:dyDescent="0.2">
      <c r="A377" t="s">
        <v>80</v>
      </c>
      <c r="B377" s="1">
        <v>1.44E-2</v>
      </c>
      <c r="C377" s="5">
        <f>historicos!B75*(1+'prons Banxico'!B377)</f>
        <v>18730.074240646398</v>
      </c>
      <c r="D377" s="3">
        <f>((1-0.08/100)*(1-0.28/100)*(1+0.15/100)-1)*100</f>
        <v>-0.21031566399999368</v>
      </c>
    </row>
    <row r="378" spans="1:4" x14ac:dyDescent="0.2">
      <c r="A378" t="s">
        <v>81</v>
      </c>
      <c r="B378" s="1">
        <v>1.35E-2</v>
      </c>
      <c r="C378" s="5">
        <f>historicos!B76*(1+'prons Banxico'!B378)</f>
        <v>18619.414401682501</v>
      </c>
      <c r="D378" s="3">
        <f>((1+0.32/100)*(1+0.27/100)*(1+0.37/100)-1)*100</f>
        <v>0.96305019679998605</v>
      </c>
    </row>
    <row r="379" spans="1:4" x14ac:dyDescent="0.2">
      <c r="A379" t="s">
        <v>82</v>
      </c>
      <c r="B379" s="1">
        <v>1.2699999999999999E-2</v>
      </c>
      <c r="C379" s="5">
        <f>C375*(1+'prons Banxico'!B379)</f>
        <v>19376.419573997733</v>
      </c>
      <c r="D379" s="5">
        <f>((1+3.49/100)^(1/4)-1)*100</f>
        <v>0.86130818916048124</v>
      </c>
    </row>
    <row r="380" spans="1:4" x14ac:dyDescent="0.2">
      <c r="A380" t="s">
        <v>83</v>
      </c>
      <c r="B380" s="2">
        <v>1.7899999999999999E-2</v>
      </c>
      <c r="C380" s="5">
        <f>C376*(1+'prons Banxico'!B380)</f>
        <v>18803.289075035322</v>
      </c>
      <c r="D380" s="5">
        <f>((1+3.55/100)^(1/4)-1)*100</f>
        <v>0.87592400524596492</v>
      </c>
    </row>
    <row r="381" spans="1:4" x14ac:dyDescent="0.2">
      <c r="A381" t="s">
        <v>84</v>
      </c>
      <c r="B381" s="2">
        <v>1.7899999999999999E-2</v>
      </c>
      <c r="C381" s="5">
        <f>C377*(1+'prons Banxico'!B381)</f>
        <v>19065.34256955397</v>
      </c>
      <c r="D381" s="5">
        <f>((1+3.55/100)^(1/4)-1)*100</f>
        <v>0.87592400524596492</v>
      </c>
    </row>
    <row r="382" spans="1:4" x14ac:dyDescent="0.2">
      <c r="A382" t="s">
        <v>85</v>
      </c>
      <c r="B382" s="2">
        <v>1.7899999999999999E-2</v>
      </c>
      <c r="C382" s="5">
        <f>C378*(1+'prons Banxico'!B382)</f>
        <v>18952.70191947262</v>
      </c>
      <c r="D382" s="5">
        <f>((1+3.55/100)^(1/4)-1)*100</f>
        <v>0.87592400524596492</v>
      </c>
    </row>
    <row r="385" spans="1:4" x14ac:dyDescent="0.2">
      <c r="A385" s="7" t="s">
        <v>127</v>
      </c>
      <c r="B385" s="7"/>
      <c r="C385" s="7"/>
      <c r="D385" s="7"/>
    </row>
    <row r="386" spans="1:4" x14ac:dyDescent="0.2">
      <c r="A386" t="s">
        <v>0</v>
      </c>
      <c r="B386" t="s">
        <v>94</v>
      </c>
      <c r="C386" t="s">
        <v>1</v>
      </c>
      <c r="D386" t="s">
        <v>2</v>
      </c>
    </row>
    <row r="387" spans="1:4" x14ac:dyDescent="0.2">
      <c r="A387" t="s">
        <v>79</v>
      </c>
      <c r="B387" s="2">
        <v>8.3999999999999995E-3</v>
      </c>
      <c r="C387" s="5">
        <f>historicos!B74*(1+'prons Banxico'!B387)</f>
        <v>18394.192850189196</v>
      </c>
      <c r="D387" s="3">
        <f>((1+0.37/100)*(1+0.22/100)*(1+0.3/100)-1)*100</f>
        <v>0.89258644199998738</v>
      </c>
    </row>
    <row r="388" spans="1:4" x14ac:dyDescent="0.2">
      <c r="A388" t="s">
        <v>80</v>
      </c>
      <c r="B388" s="1">
        <v>1.12E-2</v>
      </c>
      <c r="C388" s="5">
        <f>historicos!B75*(1+'prons Banxico'!B388)</f>
        <v>18670.988832947201</v>
      </c>
      <c r="D388" s="3">
        <f>((1-0.1/100)*(1-0.28/100)*(1+0.16/100)-1)*100</f>
        <v>-0.2203275519999992</v>
      </c>
    </row>
    <row r="389" spans="1:4" x14ac:dyDescent="0.2">
      <c r="A389" t="s">
        <v>81</v>
      </c>
      <c r="B389" s="1">
        <v>1.2E-2</v>
      </c>
      <c r="C389" s="5">
        <f>historicos!B76*(1+'prons Banxico'!B389)</f>
        <v>18591.857300940002</v>
      </c>
      <c r="D389" s="3">
        <f>((1+0.33/100)*(1+0.26/100)*(1+0.36/100)-1)*100</f>
        <v>0.95298508880001798</v>
      </c>
    </row>
    <row r="390" spans="1:4" x14ac:dyDescent="0.2">
      <c r="A390" t="s">
        <v>82</v>
      </c>
      <c r="B390" s="1">
        <v>1.2200000000000001E-2</v>
      </c>
      <c r="C390" s="5">
        <f>historicos!B77*(1+'prons Banxico'!B390)</f>
        <v>19086.207109594801</v>
      </c>
      <c r="D390" s="3">
        <f>((1+0.5/100)*(1+0.75/100)*(1+0.54/100)-1)*100</f>
        <v>1.8005202499999928</v>
      </c>
    </row>
    <row r="391" spans="1:4" x14ac:dyDescent="0.2">
      <c r="A391" t="s">
        <v>83</v>
      </c>
      <c r="B391" s="1">
        <v>1.44E-2</v>
      </c>
      <c r="C391" s="5">
        <f>C387*(1+'prons Banxico'!B391)</f>
        <v>18659.069227231921</v>
      </c>
      <c r="D391" s="5">
        <f>((1+3.53/100)^(1/4)-1)*100</f>
        <v>0.87105277245269619</v>
      </c>
    </row>
    <row r="392" spans="1:4" x14ac:dyDescent="0.2">
      <c r="A392" t="s">
        <v>84</v>
      </c>
      <c r="B392" s="2">
        <v>1.67E-2</v>
      </c>
      <c r="C392" s="5">
        <f>C388*(1+'prons Banxico'!B392)</f>
        <v>18982.79434645742</v>
      </c>
      <c r="D392" s="5">
        <f>((1+3.53/100)^(1/4)-1)*100</f>
        <v>0.87105277245269619</v>
      </c>
    </row>
    <row r="393" spans="1:4" x14ac:dyDescent="0.2">
      <c r="A393" t="s">
        <v>85</v>
      </c>
      <c r="B393" s="2">
        <v>1.7999999999999999E-2</v>
      </c>
      <c r="C393" s="5">
        <f>C389*(1+'prons Banxico'!B393)</f>
        <v>18926.510732356925</v>
      </c>
      <c r="D393" s="5">
        <f>((1+3.53/100)^(1/4)-1)*100</f>
        <v>0.87105277245269619</v>
      </c>
    </row>
    <row r="394" spans="1:4" x14ac:dyDescent="0.2">
      <c r="A394" t="s">
        <v>86</v>
      </c>
      <c r="B394" s="2">
        <v>0.02</v>
      </c>
      <c r="C394" s="5">
        <f>C390*(1+'prons Banxico'!B394)</f>
        <v>19467.931251786697</v>
      </c>
      <c r="D394" s="5">
        <f>((1+3.53/100)^(1/4)-1)*100</f>
        <v>0.87105277245269619</v>
      </c>
    </row>
    <row r="397" spans="1:4" x14ac:dyDescent="0.2">
      <c r="A397" s="7" t="s">
        <v>128</v>
      </c>
      <c r="B397" s="7"/>
      <c r="C397" s="7"/>
      <c r="D397" s="7"/>
    </row>
    <row r="398" spans="1:4" x14ac:dyDescent="0.2">
      <c r="A398" t="s">
        <v>0</v>
      </c>
      <c r="B398" t="s">
        <v>94</v>
      </c>
      <c r="C398" t="s">
        <v>1</v>
      </c>
      <c r="D398" t="s">
        <v>2</v>
      </c>
    </row>
    <row r="399" spans="1:4" x14ac:dyDescent="0.2">
      <c r="A399" t="s">
        <v>80</v>
      </c>
      <c r="B399" s="2">
        <v>-7.5499999999999998E-2</v>
      </c>
      <c r="C399" s="5">
        <f>historicos!B75*(1+'prons Banxico'!B399)</f>
        <v>17070.143568096999</v>
      </c>
      <c r="D399" s="3">
        <f>((1-0.12/100)*(1-0.24/100)*(1+0.17/100)-1)*100</f>
        <v>-0.19032351039998119</v>
      </c>
    </row>
    <row r="400" spans="1:4" x14ac:dyDescent="0.2">
      <c r="A400" t="s">
        <v>81</v>
      </c>
      <c r="B400" s="1">
        <v>-4.36E-2</v>
      </c>
      <c r="C400" s="5">
        <f>historicos!B76*(1+'prons Banxico'!B400)</f>
        <v>17570.407433418</v>
      </c>
      <c r="D400" s="3">
        <f>((1+0.3/100)*(1+0.25/100)*(1+0.37/100)-1)*100</f>
        <v>0.9227877749999891</v>
      </c>
    </row>
    <row r="401" spans="1:4" x14ac:dyDescent="0.2">
      <c r="A401" t="s">
        <v>82</v>
      </c>
      <c r="B401" s="1">
        <v>-2.5399999999999999E-2</v>
      </c>
      <c r="C401" s="5">
        <f>historicos!B77*(1+'prons Banxico'!B401)</f>
        <v>18377.2154208764</v>
      </c>
      <c r="D401" s="3">
        <f>((1+0.51/100)*(1+0.72/100)*(1+0.51/100)-1)*100</f>
        <v>1.7499637272000212</v>
      </c>
    </row>
    <row r="402" spans="1:4" x14ac:dyDescent="0.2">
      <c r="A402" t="s">
        <v>83</v>
      </c>
      <c r="B402" s="1">
        <v>-6.4999999999999997E-3</v>
      </c>
      <c r="C402" s="5">
        <f>historicos!B78*(1+'prons Banxico'!B402)</f>
        <v>17952.228167882502</v>
      </c>
      <c r="D402" s="3">
        <f>((1+0.38/100)*(1+0.29/100)*(1+0.29/100)-1)*100</f>
        <v>0.96304819579999812</v>
      </c>
    </row>
    <row r="403" spans="1:4" x14ac:dyDescent="0.2">
      <c r="A403" t="s">
        <v>84</v>
      </c>
      <c r="B403" s="1">
        <v>2.9700000000000001E-2</v>
      </c>
      <c r="C403" s="5">
        <f>C399*(1+'prons Banxico'!B403)</f>
        <v>17577.12683206948</v>
      </c>
      <c r="D403" s="5">
        <f>((1+3.61/100)^(1/4)-1)*100</f>
        <v>0.89053347107663772</v>
      </c>
    </row>
    <row r="404" spans="1:4" x14ac:dyDescent="0.2">
      <c r="A404" t="s">
        <v>85</v>
      </c>
      <c r="B404" s="2">
        <v>2.8500000000000001E-2</v>
      </c>
      <c r="C404" s="5">
        <f>C400*(1+'prons Banxico'!B404)</f>
        <v>18071.164045270412</v>
      </c>
      <c r="D404" s="5">
        <f>((1+3.61/100)^(1/4)-1)*100</f>
        <v>0.89053347107663772</v>
      </c>
    </row>
    <row r="405" spans="1:4" x14ac:dyDescent="0.2">
      <c r="A405" t="s">
        <v>86</v>
      </c>
      <c r="B405" s="2">
        <v>2.5700000000000001E-2</v>
      </c>
      <c r="C405" s="5">
        <f>C401*(1+'prons Banxico'!B405)</f>
        <v>18849.509857192927</v>
      </c>
      <c r="D405" s="5">
        <f>((1+3.61/100)^(1/4)-1)*100</f>
        <v>0.89053347107663772</v>
      </c>
    </row>
    <row r="406" spans="1:4" x14ac:dyDescent="0.2">
      <c r="A406" t="s">
        <v>87</v>
      </c>
      <c r="B406" s="2">
        <v>2.0500000000000001E-2</v>
      </c>
      <c r="C406" s="5">
        <f>C402*(1+'prons Banxico'!B406)</f>
        <v>18320.248845324091</v>
      </c>
      <c r="D406" s="5">
        <f>((1+0/100)^(1/4)-1)*100</f>
        <v>0</v>
      </c>
    </row>
    <row r="409" spans="1:4" x14ac:dyDescent="0.2">
      <c r="A409" s="7" t="s">
        <v>129</v>
      </c>
      <c r="B409" s="7"/>
      <c r="C409" s="7"/>
      <c r="D409" s="7"/>
    </row>
    <row r="410" spans="1:4" x14ac:dyDescent="0.2">
      <c r="A410" t="s">
        <v>0</v>
      </c>
      <c r="B410" t="s">
        <v>94</v>
      </c>
      <c r="C410" t="s">
        <v>1</v>
      </c>
      <c r="D410" t="s">
        <v>2</v>
      </c>
    </row>
    <row r="411" spans="1:4" x14ac:dyDescent="0.2">
      <c r="A411" t="s">
        <v>81</v>
      </c>
      <c r="B411" s="2">
        <v>-0.1037</v>
      </c>
      <c r="C411" s="5">
        <f>historicos!B76*(1+'prons Banxico'!B411)</f>
        <v>16466.286263668502</v>
      </c>
      <c r="D411" s="3">
        <f>((1+0.32/100)*(1+0.23/100)*(1+0.37/100)-1)*100</f>
        <v>0.92277372319999884</v>
      </c>
    </row>
    <row r="412" spans="1:4" x14ac:dyDescent="0.2">
      <c r="A412" t="s">
        <v>82</v>
      </c>
      <c r="B412" s="1">
        <v>-6.08E-2</v>
      </c>
      <c r="C412" s="5">
        <f>historicos!B77*(1+'prons Banxico'!B412)</f>
        <v>17709.707288412799</v>
      </c>
      <c r="D412" s="3">
        <f>((1+0.49/100)*(1+0.75/100)*(1+0.52/100)-1)*100</f>
        <v>1.770142110000017</v>
      </c>
    </row>
    <row r="413" spans="1:4" x14ac:dyDescent="0.2">
      <c r="A413" t="s">
        <v>83</v>
      </c>
      <c r="B413" s="1">
        <v>-2.52E-2</v>
      </c>
      <c r="C413" s="5">
        <f>historicos!B78*(1+'prons Banxico'!B413)</f>
        <v>17614.325131406</v>
      </c>
      <c r="D413" s="3">
        <f>((1+0.39/100)*(1+0.32/100)*(1+0.26/100)-1)*100</f>
        <v>0.97309724480001414</v>
      </c>
    </row>
    <row r="414" spans="1:4" x14ac:dyDescent="0.2">
      <c r="A414" t="s">
        <v>84</v>
      </c>
      <c r="B414" s="1">
        <v>6.9400000000000003E-2</v>
      </c>
      <c r="C414" s="5">
        <f>historicos!B79*(1+'prons Banxico'!B414)</f>
        <v>16071.7539164176</v>
      </c>
      <c r="D414" s="3">
        <f>((1-0.2/100)*(1-0.15/100)*(1+0.21/100)-1)*100</f>
        <v>-0.1404343699999977</v>
      </c>
    </row>
    <row r="415" spans="1:4" x14ac:dyDescent="0.2">
      <c r="A415" t="s">
        <v>85</v>
      </c>
      <c r="B415" s="1">
        <v>3.73E-2</v>
      </c>
      <c r="C415" s="5">
        <f>C411*(1+'prons Banxico'!B415)</f>
        <v>17080.478741303341</v>
      </c>
      <c r="D415" s="5">
        <f>((1+3.55/100)^(1/4)-1)*100</f>
        <v>0.87592400524596492</v>
      </c>
    </row>
    <row r="416" spans="1:4" x14ac:dyDescent="0.2">
      <c r="A416" t="s">
        <v>86</v>
      </c>
      <c r="B416" s="2">
        <v>2.76E-2</v>
      </c>
      <c r="C416" s="5">
        <f>C412*(1+'prons Banxico'!B416)</f>
        <v>18198.495209572993</v>
      </c>
      <c r="D416" s="5">
        <f>((1+3.55/100)^(1/4)-1)*100</f>
        <v>0.87592400524596492</v>
      </c>
    </row>
    <row r="417" spans="1:4" x14ac:dyDescent="0.2">
      <c r="A417" t="s">
        <v>87</v>
      </c>
      <c r="B417" s="2">
        <v>2.3699999999999999E-2</v>
      </c>
      <c r="C417" s="5">
        <f>C413*(1+'prons Banxico'!B417)</f>
        <v>18031.784637020322</v>
      </c>
      <c r="D417" s="5">
        <f>((1+3.62/100)^(1/4)-1)*100</f>
        <v>0.89296776511444964</v>
      </c>
    </row>
    <row r="418" spans="1:4" x14ac:dyDescent="0.2">
      <c r="A418" t="s">
        <v>88</v>
      </c>
      <c r="B418" s="2">
        <v>2.3699999999999999E-2</v>
      </c>
      <c r="C418" s="5">
        <f>C414*(1+'prons Banxico'!B418)</f>
        <v>16452.654484236697</v>
      </c>
      <c r="D418" s="5">
        <f>((1+3.62/100)^(1/4)-1)*100</f>
        <v>0.89296776511444964</v>
      </c>
    </row>
    <row r="421" spans="1:4" x14ac:dyDescent="0.2">
      <c r="A421" s="7" t="s">
        <v>130</v>
      </c>
      <c r="B421" s="7"/>
      <c r="C421" s="7"/>
      <c r="D421" s="7"/>
    </row>
    <row r="422" spans="1:4" x14ac:dyDescent="0.2">
      <c r="A422" t="s">
        <v>0</v>
      </c>
      <c r="B422" t="s">
        <v>94</v>
      </c>
      <c r="C422" t="s">
        <v>1</v>
      </c>
      <c r="D422" t="s">
        <v>2</v>
      </c>
    </row>
    <row r="423" spans="1:4" x14ac:dyDescent="0.2">
      <c r="A423" t="s">
        <v>82</v>
      </c>
      <c r="B423" s="2">
        <v>-7.9600000000000004E-2</v>
      </c>
      <c r="C423" s="5">
        <f>historicos!B77*(1+'prons Banxico'!B423)</f>
        <v>17355.211444053599</v>
      </c>
      <c r="D423" s="3">
        <f>((1+0.49/100)*(1+0.73/100)*(1+0.51/100)-1)*100</f>
        <v>1.7398172427000036</v>
      </c>
    </row>
    <row r="424" spans="1:4" x14ac:dyDescent="0.2">
      <c r="A424" t="s">
        <v>83</v>
      </c>
      <c r="B424" s="1">
        <v>-3.61E-2</v>
      </c>
      <c r="C424" s="5">
        <f>historicos!B78*(1+'prons Banxico'!B424)</f>
        <v>17417.3656074705</v>
      </c>
      <c r="D424" s="3">
        <f>((1+0.41/100)*(1+0.31/100)*(1+0.27/100)-1)*100</f>
        <v>0.99321843169999369</v>
      </c>
    </row>
    <row r="425" spans="1:4" x14ac:dyDescent="0.2">
      <c r="A425" t="s">
        <v>84</v>
      </c>
      <c r="B425" s="1">
        <v>0.1048</v>
      </c>
      <c r="C425" s="5">
        <f>historicos!B79*(1+'prons Banxico'!B425)</f>
        <v>16603.771953299201</v>
      </c>
      <c r="D425" s="3">
        <f>((1-0.17/100)*(1-0.2/100)*(1+0.21/100)-1)*100</f>
        <v>-0.1604362860000097</v>
      </c>
    </row>
    <row r="426" spans="1:4" x14ac:dyDescent="0.2">
      <c r="A426" t="s">
        <v>85</v>
      </c>
      <c r="B426" s="1">
        <v>4.4699999999999997E-2</v>
      </c>
      <c r="C426" s="5">
        <f>historicos!B80*(1+'prons Banxico'!B426)</f>
        <v>17592.212661244899</v>
      </c>
      <c r="D426" s="3">
        <f>((1+0.36/100)*(1+0.3/100)*(1+0.35/100)-1)*100</f>
        <v>1.0133937800000048</v>
      </c>
    </row>
    <row r="427" spans="1:4" x14ac:dyDescent="0.2">
      <c r="A427" t="s">
        <v>86</v>
      </c>
      <c r="B427" s="1">
        <v>2.8799999999999999E-2</v>
      </c>
      <c r="C427" s="5">
        <f>C423*(1+'prons Banxico'!B427)</f>
        <v>17855.041533642343</v>
      </c>
      <c r="D427" s="5">
        <f>((1+3.57/100)^(1/4)-1)*100</f>
        <v>0.88079453245544226</v>
      </c>
    </row>
    <row r="428" spans="1:4" x14ac:dyDescent="0.2">
      <c r="A428" t="s">
        <v>87</v>
      </c>
      <c r="B428" s="2">
        <v>2.3300000000000001E-2</v>
      </c>
      <c r="C428" s="5">
        <f>C424*(1+'prons Banxico'!B428)</f>
        <v>17823.190226124563</v>
      </c>
      <c r="D428" s="5">
        <f>((1+3.57/100)^(1/4)-1)*100</f>
        <v>0.88079453245544226</v>
      </c>
    </row>
    <row r="429" spans="1:4" x14ac:dyDescent="0.2">
      <c r="A429" t="s">
        <v>88</v>
      </c>
      <c r="B429" s="2">
        <v>2.3300000000000001E-2</v>
      </c>
      <c r="C429" s="5">
        <f>C425*(1+'prons Banxico'!B429)</f>
        <v>16990.639839811076</v>
      </c>
      <c r="D429" s="5">
        <f>((1+3.57/100)^(1/4)-1)*100</f>
        <v>0.88079453245544226</v>
      </c>
    </row>
    <row r="430" spans="1:4" x14ac:dyDescent="0.2">
      <c r="A430" t="s">
        <v>89</v>
      </c>
      <c r="B430" s="2">
        <v>2.3300000000000001E-2</v>
      </c>
      <c r="C430" s="5">
        <f>C426*(1+'prons Banxico'!B430)</f>
        <v>18002.111216251906</v>
      </c>
      <c r="D430" s="5">
        <f>((1+3.57/100)^(1/4)-1)*100</f>
        <v>0.88079453245544226</v>
      </c>
    </row>
    <row r="432" spans="1:4" x14ac:dyDescent="0.2">
      <c r="B432" s="2"/>
      <c r="C432" s="5"/>
      <c r="D432" s="3"/>
    </row>
    <row r="433" spans="1:4" x14ac:dyDescent="0.2">
      <c r="A433" s="7" t="s">
        <v>131</v>
      </c>
      <c r="B433" s="7"/>
      <c r="C433" s="7"/>
      <c r="D433" s="7"/>
    </row>
    <row r="434" spans="1:4" x14ac:dyDescent="0.2">
      <c r="A434" t="s">
        <v>0</v>
      </c>
      <c r="B434" t="s">
        <v>94</v>
      </c>
      <c r="C434" t="s">
        <v>1</v>
      </c>
      <c r="D434" t="s">
        <v>2</v>
      </c>
    </row>
    <row r="435" spans="1:4" x14ac:dyDescent="0.2">
      <c r="A435" t="s">
        <v>83</v>
      </c>
      <c r="B435" s="2">
        <v>-4.1500000000000002E-2</v>
      </c>
      <c r="C435" s="5">
        <f>historicos!B78*(1+'prons Banxico'!B435)</f>
        <v>17319.789329557501</v>
      </c>
      <c r="D435" s="3">
        <f>((1+0.44/100)*(1+0.31/100)*(1+0.29/100)-1)*100</f>
        <v>1.0435429555999853</v>
      </c>
    </row>
    <row r="436" spans="1:4" x14ac:dyDescent="0.2">
      <c r="A436" t="s">
        <v>84</v>
      </c>
      <c r="B436" s="1">
        <v>0.12920000000000001</v>
      </c>
      <c r="C436" s="5">
        <f>historicos!B79*(1+'prons Banxico'!B436)</f>
        <v>16970.473651036802</v>
      </c>
      <c r="D436" s="3">
        <f>((1-0.17/100)*(1-0.22/100)*(1+0.2/100)-1)*100</f>
        <v>-0.19040525200000324</v>
      </c>
    </row>
    <row r="437" spans="1:4" x14ac:dyDescent="0.2">
      <c r="A437" t="s">
        <v>85</v>
      </c>
      <c r="B437" s="1">
        <v>3.7900000000000003E-2</v>
      </c>
      <c r="C437" s="5">
        <f>historicos!B80*(1+'prons Banxico'!B437)</f>
        <v>17477.704145789299</v>
      </c>
      <c r="D437" s="3">
        <f>((1+0.35/100)*(1+0.31/100)*(1+0.35/100)-1)*100</f>
        <v>1.0133987975000203</v>
      </c>
    </row>
    <row r="438" spans="1:4" x14ac:dyDescent="0.2">
      <c r="A438" t="s">
        <v>86</v>
      </c>
      <c r="B438" s="1">
        <v>3.09E-2</v>
      </c>
      <c r="C438" s="5">
        <f>historicos!B81*(1+'prons Banxico'!B438)</f>
        <v>18648.066936020601</v>
      </c>
      <c r="D438" s="3">
        <f>((1+0.51/100)*(1+0.65/100)*(1+0.5/100)-1)*100</f>
        <v>1.6691315749999935</v>
      </c>
    </row>
    <row r="439" spans="1:4" x14ac:dyDescent="0.2">
      <c r="A439" t="s">
        <v>87</v>
      </c>
      <c r="B439" s="1">
        <v>2.8199999999999999E-2</v>
      </c>
      <c r="C439" s="5">
        <f>C435*(1+'prons Banxico'!B439)</f>
        <v>17808.207388651022</v>
      </c>
      <c r="D439" s="5">
        <f>((1+3.53/100)^(1/4)-1)*100</f>
        <v>0.87105277245269619</v>
      </c>
    </row>
    <row r="440" spans="1:4" x14ac:dyDescent="0.2">
      <c r="A440" t="s">
        <v>88</v>
      </c>
      <c r="B440" s="2">
        <v>2.8400000000000002E-2</v>
      </c>
      <c r="C440" s="5">
        <f>C436*(1+'prons Banxico'!B440)</f>
        <v>17452.435102726246</v>
      </c>
      <c r="D440" s="5">
        <f>((1+3.53/100)^(1/4)-1)*100</f>
        <v>0.87105277245269619</v>
      </c>
    </row>
    <row r="441" spans="1:4" x14ac:dyDescent="0.2">
      <c r="A441" t="s">
        <v>89</v>
      </c>
      <c r="B441" s="2">
        <v>2.64E-2</v>
      </c>
      <c r="C441" s="5">
        <f>C437*(1+'prons Banxico'!B441)</f>
        <v>17939.115535238136</v>
      </c>
      <c r="D441" s="5">
        <f>((1+3.53/100)^(1/4)-1)*100</f>
        <v>0.87105277245269619</v>
      </c>
    </row>
    <row r="442" spans="1:4" x14ac:dyDescent="0.2">
      <c r="A442" t="s">
        <v>90</v>
      </c>
      <c r="B442" s="2">
        <v>2.46E-2</v>
      </c>
      <c r="C442" s="5">
        <f>C438*(1+'prons Banxico'!B442)</f>
        <v>19106.809382646708</v>
      </c>
      <c r="D442" s="5">
        <f>((1+3.53/100)^(1/4)-1)*100</f>
        <v>0.87105277245269619</v>
      </c>
    </row>
    <row r="443" spans="1:4" x14ac:dyDescent="0.2">
      <c r="B443" s="2"/>
      <c r="C443" s="5"/>
      <c r="D443" s="3"/>
    </row>
    <row r="444" spans="1:4" x14ac:dyDescent="0.2">
      <c r="B444" s="1"/>
      <c r="C444" s="5"/>
      <c r="D444" s="3"/>
    </row>
    <row r="445" spans="1:4" x14ac:dyDescent="0.2">
      <c r="A445" s="7" t="s">
        <v>132</v>
      </c>
      <c r="B445" s="7"/>
      <c r="C445" s="7"/>
      <c r="D445" s="7"/>
    </row>
    <row r="446" spans="1:4" x14ac:dyDescent="0.2">
      <c r="A446" t="s">
        <v>0</v>
      </c>
      <c r="B446" t="s">
        <v>94</v>
      </c>
      <c r="C446" t="s">
        <v>1</v>
      </c>
      <c r="D446" t="s">
        <v>2</v>
      </c>
    </row>
    <row r="447" spans="1:4" x14ac:dyDescent="0.2">
      <c r="A447" t="s">
        <v>84</v>
      </c>
      <c r="B447" s="2">
        <v>0.1595</v>
      </c>
      <c r="C447" s="5">
        <f>historicos!B79*(1+'prons Banxico'!B447)</f>
        <v>17425.845021588</v>
      </c>
      <c r="D447" s="3">
        <f>((1-0.23/100)*(1-0.24/100)*(1+0.18/100)-1)*100</f>
        <v>-0.29029300639998867</v>
      </c>
    </row>
    <row r="448" spans="1:4" x14ac:dyDescent="0.2">
      <c r="A448" t="s">
        <v>85</v>
      </c>
      <c r="B448" s="1">
        <v>4.7300000000000002E-2</v>
      </c>
      <c r="C448" s="5">
        <f>historicos!B80*(1+'prons Banxico'!B448)</f>
        <v>17635.9953289191</v>
      </c>
      <c r="D448" s="3">
        <f>((1+0.32/100)*(1+0.27/100)*(1+0.3/100)-1)*100</f>
        <v>0.89263659199998457</v>
      </c>
    </row>
    <row r="449" spans="1:4" x14ac:dyDescent="0.2">
      <c r="A449" t="s">
        <v>86</v>
      </c>
      <c r="B449" s="1">
        <v>2.8500000000000001E-2</v>
      </c>
      <c r="C449" s="5">
        <f>historicos!B81*(1+'prons Banxico'!B449)</f>
        <v>18604.653064018999</v>
      </c>
      <c r="D449" s="3">
        <f>((1+0.47/100)*(1+0.56/100)*(1+0.39/100)-1)*100</f>
        <v>1.4266592647999898</v>
      </c>
    </row>
    <row r="450" spans="1:4" x14ac:dyDescent="0.2">
      <c r="A450" t="s">
        <v>87</v>
      </c>
      <c r="B450" s="1">
        <v>3.1899999999999998E-2</v>
      </c>
      <c r="C450" s="5">
        <f>historicos!B82*(1+'prons Banxico'!B450)</f>
        <v>17990.082812923702</v>
      </c>
      <c r="D450" s="3">
        <f>((1+0.49/100)*(1+0.36/100)*(1+0.33/100)-1)*100</f>
        <v>1.1845748212000018</v>
      </c>
    </row>
    <row r="451" spans="1:4" x14ac:dyDescent="0.2">
      <c r="A451" t="s">
        <v>88</v>
      </c>
      <c r="B451" s="1">
        <v>2.7900000000000001E-2</v>
      </c>
      <c r="C451" s="5">
        <f>C447*(1+'prons Banxico'!B451)</f>
        <v>17912.026097690305</v>
      </c>
      <c r="D451" s="5">
        <f>((1+3.62/100)^(1/4)-1)*100</f>
        <v>0.89296776511444964</v>
      </c>
    </row>
    <row r="452" spans="1:4" x14ac:dyDescent="0.2">
      <c r="A452" t="s">
        <v>89</v>
      </c>
      <c r="B452" s="2">
        <v>2.5999999999999999E-2</v>
      </c>
      <c r="C452" s="5">
        <f>C448*(1+'prons Banxico'!B452)</f>
        <v>18094.531207470998</v>
      </c>
      <c r="D452" s="5">
        <f>((1+3.62/100)^(1/4)-1)*100</f>
        <v>0.89296776511444964</v>
      </c>
    </row>
    <row r="453" spans="1:4" x14ac:dyDescent="0.2">
      <c r="A453" t="s">
        <v>90</v>
      </c>
      <c r="B453" s="2">
        <v>2.24E-2</v>
      </c>
      <c r="C453" s="5">
        <f>C449*(1+'prons Banxico'!B453)</f>
        <v>19021.397292653026</v>
      </c>
      <c r="D453" s="5">
        <f>((1+3.62/100)^(1/4)-1)*100</f>
        <v>0.89296776511444964</v>
      </c>
    </row>
    <row r="454" spans="1:4" x14ac:dyDescent="0.2">
      <c r="A454" t="s">
        <v>133</v>
      </c>
      <c r="B454" s="2">
        <v>2.2800000000000001E-2</v>
      </c>
      <c r="C454" s="5">
        <f>C450*(1+'prons Banxico'!B454)</f>
        <v>18400.256701058363</v>
      </c>
      <c r="D454" s="5">
        <f>((1+3.6/100)^(1/4)-1)*100</f>
        <v>0.88809900082158499</v>
      </c>
    </row>
    <row r="455" spans="1:4" x14ac:dyDescent="0.2">
      <c r="B455" s="1"/>
      <c r="C455" s="5"/>
      <c r="D455" s="3"/>
    </row>
    <row r="456" spans="1:4" x14ac:dyDescent="0.2">
      <c r="B456" s="1"/>
      <c r="C456" s="5"/>
      <c r="D456" s="3"/>
    </row>
    <row r="457" spans="1:4" x14ac:dyDescent="0.2">
      <c r="A457" s="7" t="s">
        <v>134</v>
      </c>
      <c r="B457" s="7"/>
      <c r="C457" s="7"/>
      <c r="D457" s="7"/>
    </row>
    <row r="458" spans="1:4" x14ac:dyDescent="0.2">
      <c r="A458" t="s">
        <v>0</v>
      </c>
      <c r="B458" t="s">
        <v>94</v>
      </c>
      <c r="C458" t="s">
        <v>1</v>
      </c>
      <c r="D458" t="s">
        <v>2</v>
      </c>
    </row>
    <row r="459" spans="1:4" x14ac:dyDescent="0.2">
      <c r="A459" t="s">
        <v>85</v>
      </c>
      <c r="B459" s="2">
        <v>6.25E-2</v>
      </c>
      <c r="C459" s="5">
        <f>historicos!B80*(1+'prons Banxico'!B459)</f>
        <v>17891.955539937499</v>
      </c>
      <c r="D459" s="3">
        <f>((1+0.34/100)*(1+0.24/100)*(1+0.25/100)-1)*100</f>
        <v>0.83226803999998378</v>
      </c>
    </row>
    <row r="460" spans="1:4" x14ac:dyDescent="0.2">
      <c r="A460" t="s">
        <v>86</v>
      </c>
      <c r="B460" s="1">
        <v>3.7400000000000003E-2</v>
      </c>
      <c r="C460" s="5">
        <f>historicos!B81*(1+'prons Banxico'!B460)</f>
        <v>18765.646172691602</v>
      </c>
      <c r="D460" s="3">
        <f>((1+0.39/100)*(1+0.51/100)*(1+0.38/100)-1)*100</f>
        <v>1.2854165582000032</v>
      </c>
    </row>
    <row r="461" spans="1:4" x14ac:dyDescent="0.2">
      <c r="A461" t="s">
        <v>87</v>
      </c>
      <c r="B461" s="1">
        <v>3.73E-2</v>
      </c>
      <c r="C461" s="5">
        <f>historicos!B82*(1+'prons Banxico'!B461)</f>
        <v>18084.226089587901</v>
      </c>
      <c r="D461" s="3">
        <f>((1+0.48/100)*(1+0.32/100)*(1+0.36/100)-1)*100</f>
        <v>1.1644215295999905</v>
      </c>
    </row>
    <row r="462" spans="1:4" x14ac:dyDescent="0.2">
      <c r="A462" t="s">
        <v>88</v>
      </c>
      <c r="B462" s="1">
        <v>2.76E-2</v>
      </c>
      <c r="C462" s="5">
        <f>historicos!B83*(1+'prons Banxico'!B462)</f>
        <v>18463.479308548402</v>
      </c>
      <c r="D462" s="3">
        <f>((1-0.08/100)*(1-0.16/100)*(1+0.27/100)-1)*100</f>
        <v>2.9480345599974811E-2</v>
      </c>
    </row>
    <row r="463" spans="1:4" x14ac:dyDescent="0.2">
      <c r="A463" t="s">
        <v>89</v>
      </c>
      <c r="B463" s="1">
        <v>2.6499999999999999E-2</v>
      </c>
      <c r="C463" s="5">
        <f>C459*(1+'prons Banxico'!B463)</f>
        <v>18366.092361745843</v>
      </c>
      <c r="D463" s="5">
        <f>((1+3.75/100)^(1/4)-1)*100</f>
        <v>0.92459756536897864</v>
      </c>
    </row>
    <row r="464" spans="1:4" x14ac:dyDescent="0.2">
      <c r="A464" t="s">
        <v>90</v>
      </c>
      <c r="B464" s="2">
        <v>2.2700000000000001E-2</v>
      </c>
      <c r="C464" s="5">
        <f>C460*(1+'prons Banxico'!B464)</f>
        <v>19191.626340811701</v>
      </c>
      <c r="D464" s="5">
        <f>((1+3.75/100)^(1/4)-1)*100</f>
        <v>0.92459756536897864</v>
      </c>
    </row>
    <row r="465" spans="1:4" x14ac:dyDescent="0.2">
      <c r="A465" t="s">
        <v>133</v>
      </c>
      <c r="B465" s="2">
        <v>2.2100000000000002E-2</v>
      </c>
      <c r="C465" s="5">
        <f>C461*(1+'prons Banxico'!B465)</f>
        <v>18483.887486167794</v>
      </c>
      <c r="D465" s="5">
        <f>((1+3.61/100)^(1/4)-1)*100</f>
        <v>0.89053347107663772</v>
      </c>
    </row>
    <row r="466" spans="1:4" x14ac:dyDescent="0.2">
      <c r="A466" t="s">
        <v>135</v>
      </c>
      <c r="B466" s="2">
        <v>2.2100000000000002E-2</v>
      </c>
      <c r="C466" s="5">
        <f>C462*(1+'prons Banxico'!B466)</f>
        <v>18871.522201267322</v>
      </c>
      <c r="D466" s="5">
        <f>((1+3.61/100)^(1/4)-1)*100</f>
        <v>0.89053347107663772</v>
      </c>
    </row>
    <row r="467" spans="1:4" x14ac:dyDescent="0.2">
      <c r="B467" s="1"/>
      <c r="C467" s="5"/>
      <c r="D467" s="3"/>
    </row>
    <row r="468" spans="1:4" x14ac:dyDescent="0.2">
      <c r="B468" s="1"/>
      <c r="C468" s="5"/>
      <c r="D468" s="3"/>
    </row>
    <row r="469" spans="1:4" x14ac:dyDescent="0.2">
      <c r="A469" s="7" t="s">
        <v>136</v>
      </c>
      <c r="B469" s="7"/>
      <c r="C469" s="7"/>
      <c r="D469" s="7"/>
    </row>
    <row r="470" spans="1:4" x14ac:dyDescent="0.2">
      <c r="A470" t="s">
        <v>0</v>
      </c>
      <c r="B470" t="s">
        <v>94</v>
      </c>
      <c r="C470" t="s">
        <v>1</v>
      </c>
      <c r="D470" t="s">
        <v>2</v>
      </c>
    </row>
    <row r="471" spans="1:4" x14ac:dyDescent="0.2">
      <c r="A471" t="s">
        <v>86</v>
      </c>
      <c r="B471" s="2">
        <v>3.78E-2</v>
      </c>
      <c r="C471" s="5">
        <f>historicos!B81*(1+'prons Banxico'!B471)</f>
        <v>18772.881818025202</v>
      </c>
      <c r="D471" s="3">
        <f>((1+0.48/100)*(1+0.54/100)*(1+0.41/100)-1)*100</f>
        <v>1.4367846271999829</v>
      </c>
    </row>
    <row r="472" spans="1:4" x14ac:dyDescent="0.2">
      <c r="A472" t="s">
        <v>87</v>
      </c>
      <c r="B472" s="1">
        <v>3.8600000000000002E-2</v>
      </c>
      <c r="C472" s="5">
        <f>historicos!B82*(1+'prons Banxico'!B472)</f>
        <v>18106.890211747799</v>
      </c>
      <c r="D472" s="3">
        <f>((1+0.47/100)*(1+0.34/100)*(1+0.37/100)-1)*100</f>
        <v>1.1846009125999979</v>
      </c>
    </row>
    <row r="473" spans="1:4" x14ac:dyDescent="0.2">
      <c r="A473" t="s">
        <v>88</v>
      </c>
      <c r="B473" s="1">
        <v>2.64E-2</v>
      </c>
      <c r="C473" s="5">
        <f>historicos!B83*(1+'prons Banxico'!B473)</f>
        <v>18441.918219437601</v>
      </c>
      <c r="D473" s="3">
        <f>((1-0.05/100)*(1-0.14/100)*(1+0.26/100)-1)*100</f>
        <v>6.957618200000848E-2</v>
      </c>
    </row>
    <row r="474" spans="1:4" x14ac:dyDescent="0.2">
      <c r="A474" t="s">
        <v>89</v>
      </c>
      <c r="B474" s="1">
        <v>2.6499999999999999E-2</v>
      </c>
      <c r="C474" s="5">
        <f>historicos!B84*(1+'prons Banxico'!B474)</f>
        <v>18029.094241032999</v>
      </c>
      <c r="D474" s="3">
        <f>((1+0.35/100)*(1+0.3/100)*(1+0.32/100)-1)*100</f>
        <v>0.97313336000000028</v>
      </c>
    </row>
    <row r="475" spans="1:4" x14ac:dyDescent="0.2">
      <c r="A475" t="s">
        <v>90</v>
      </c>
      <c r="B475" s="1">
        <v>2.4799999999999999E-2</v>
      </c>
      <c r="C475" s="5">
        <f>C471*(1+'prons Banxico'!B475)</f>
        <v>19238.449287112227</v>
      </c>
      <c r="D475" s="5">
        <f>((1+3.84/100)^(1/4)-1)*100</f>
        <v>0.94647771113955947</v>
      </c>
    </row>
    <row r="476" spans="1:4" x14ac:dyDescent="0.2">
      <c r="A476" t="s">
        <v>133</v>
      </c>
      <c r="B476" s="2">
        <v>2.18E-2</v>
      </c>
      <c r="C476" s="5">
        <f>C472*(1+'prons Banxico'!B476)</f>
        <v>18501.620418363902</v>
      </c>
      <c r="D476" s="5">
        <f>((1+3.61/100)^(1/4)-1)*100</f>
        <v>0.89053347107663772</v>
      </c>
    </row>
    <row r="477" spans="1:4" x14ac:dyDescent="0.2">
      <c r="A477" t="s">
        <v>135</v>
      </c>
      <c r="B477" s="2">
        <v>2.18E-2</v>
      </c>
      <c r="C477" s="5">
        <f>C473*(1+'prons Banxico'!B477)</f>
        <v>18843.95203662134</v>
      </c>
      <c r="D477" s="5">
        <f>((1+3.61/100)^(1/4)-1)*100</f>
        <v>0.89053347107663772</v>
      </c>
    </row>
    <row r="478" spans="1:4" x14ac:dyDescent="0.2">
      <c r="A478" t="s">
        <v>137</v>
      </c>
      <c r="B478" s="2">
        <v>2.18E-2</v>
      </c>
      <c r="C478" s="5">
        <f>C474*(1+'prons Banxico'!B478)</f>
        <v>18422.128495487519</v>
      </c>
      <c r="D478" s="5">
        <f>((1+3.61/100)^(1/4)-1)*100</f>
        <v>0.89053347107663772</v>
      </c>
    </row>
    <row r="479" spans="1:4" x14ac:dyDescent="0.2">
      <c r="B479" s="1"/>
      <c r="C479" s="5"/>
      <c r="D479" s="3"/>
    </row>
    <row r="480" spans="1:4" x14ac:dyDescent="0.2">
      <c r="B480" s="1"/>
      <c r="C480" s="5"/>
      <c r="D480" s="5"/>
    </row>
    <row r="481" spans="1:4" x14ac:dyDescent="0.2">
      <c r="A481" s="7" t="s">
        <v>138</v>
      </c>
      <c r="B481" s="7"/>
      <c r="C481" s="7"/>
      <c r="D481" s="7"/>
    </row>
    <row r="482" spans="1:4" x14ac:dyDescent="0.2">
      <c r="A482" t="s">
        <v>0</v>
      </c>
      <c r="B482" t="s">
        <v>94</v>
      </c>
      <c r="C482" t="s">
        <v>1</v>
      </c>
      <c r="D482" t="s">
        <v>2</v>
      </c>
    </row>
    <row r="483" spans="1:4" x14ac:dyDescent="0.2">
      <c r="A483" t="s">
        <v>87</v>
      </c>
      <c r="B483" s="2">
        <v>3.32E-2</v>
      </c>
      <c r="C483" s="5">
        <f>historicos!B82*(1+'prons Banxico'!B483)</f>
        <v>18012.7469350836</v>
      </c>
      <c r="D483" s="3">
        <f>((1+0.53/100)*(1+0.38/100)*(1+0.42/100)-1)*100</f>
        <v>1.3358444587999951</v>
      </c>
    </row>
    <row r="484" spans="1:4" x14ac:dyDescent="0.2">
      <c r="A484" t="s">
        <v>88</v>
      </c>
      <c r="B484" s="1">
        <v>2.29E-2</v>
      </c>
      <c r="C484" s="5">
        <f>historicos!B83*(1+'prons Banxico'!B484)</f>
        <v>18379.0317095311</v>
      </c>
      <c r="D484" s="3">
        <f>((1-0.05/100)*(1-0.14/100)*(1+0.27/100)-1)*100</f>
        <v>7.9557188999990203E-2</v>
      </c>
    </row>
    <row r="485" spans="1:4" x14ac:dyDescent="0.2">
      <c r="A485" t="s">
        <v>89</v>
      </c>
      <c r="B485" s="1">
        <v>3.0599999999999999E-2</v>
      </c>
      <c r="C485" s="5">
        <f>historicos!B84*(1+'prons Banxico'!B485)</f>
        <v>18101.105236053198</v>
      </c>
      <c r="D485" s="3">
        <f>((1+0.37/100)*(1+0.31/100)*(1+0.38/100)-1)*100</f>
        <v>1.0637353586000264</v>
      </c>
    </row>
    <row r="486" spans="1:4" x14ac:dyDescent="0.2">
      <c r="A486" t="s">
        <v>90</v>
      </c>
      <c r="B486" s="1">
        <v>2.3800000000000002E-2</v>
      </c>
      <c r="C486" s="5">
        <f>historicos!B85*(1+'prons Banxico'!B486)</f>
        <v>18708.029720007202</v>
      </c>
      <c r="D486" s="3">
        <f>((1+0.53/100)*(1+0.65/100)*(1+0.5/100)-1)*100</f>
        <v>1.6893622250000018</v>
      </c>
    </row>
    <row r="487" spans="1:4" x14ac:dyDescent="0.2">
      <c r="A487" t="s">
        <v>133</v>
      </c>
      <c r="B487" s="1">
        <v>2.3199999999999998E-2</v>
      </c>
      <c r="C487" s="5">
        <f>C483*(1+'prons Banxico'!B487)</f>
        <v>18430.642663977542</v>
      </c>
      <c r="D487" s="5">
        <f>((1+3.64/100)^(1/4)-1)*100</f>
        <v>0.89783582465745582</v>
      </c>
    </row>
    <row r="488" spans="1:4" x14ac:dyDescent="0.2">
      <c r="A488" t="s">
        <v>135</v>
      </c>
      <c r="B488" s="2">
        <v>2.2100000000000002E-2</v>
      </c>
      <c r="C488" s="5">
        <f>C484*(1+'prons Banxico'!B488)</f>
        <v>18785.208310311737</v>
      </c>
      <c r="D488" s="5">
        <f>((1+3.64/100)^(1/4)-1)*100</f>
        <v>0.89783582465745582</v>
      </c>
    </row>
    <row r="489" spans="1:4" x14ac:dyDescent="0.2">
      <c r="A489" t="s">
        <v>137</v>
      </c>
      <c r="B489" s="2">
        <v>2.0899999999999998E-2</v>
      </c>
      <c r="C489" s="5">
        <f>C485*(1+'prons Banxico'!B489)</f>
        <v>18479.418335486709</v>
      </c>
      <c r="D489" s="5">
        <f>((1+3.64/100)^(1/4)-1)*100</f>
        <v>0.89783582465745582</v>
      </c>
    </row>
    <row r="490" spans="1:4" x14ac:dyDescent="0.2">
      <c r="A490" t="s">
        <v>139</v>
      </c>
      <c r="B490" s="2">
        <v>2.2599999999999999E-2</v>
      </c>
      <c r="C490" s="5">
        <f>C486*(1+'prons Banxico'!B490)</f>
        <v>19130.831191679365</v>
      </c>
      <c r="D490" s="5">
        <f>((1+3.64/100)^(1/4)-1)*100</f>
        <v>0.89783582465745582</v>
      </c>
    </row>
    <row r="491" spans="1:4" x14ac:dyDescent="0.2">
      <c r="B491" s="1"/>
      <c r="C491" s="5"/>
      <c r="D491" s="5"/>
    </row>
    <row r="492" spans="1:4" x14ac:dyDescent="0.2">
      <c r="B492" s="2"/>
      <c r="C492" s="5"/>
      <c r="D492" s="5"/>
    </row>
    <row r="493" spans="1:4" x14ac:dyDescent="0.2">
      <c r="A493" s="7" t="s">
        <v>140</v>
      </c>
      <c r="B493" s="7"/>
      <c r="C493" s="7"/>
      <c r="D493" s="7"/>
    </row>
    <row r="494" spans="1:4" x14ac:dyDescent="0.2">
      <c r="A494" t="s">
        <v>0</v>
      </c>
      <c r="B494" t="s">
        <v>94</v>
      </c>
      <c r="C494" t="s">
        <v>1</v>
      </c>
      <c r="D494" t="s">
        <v>2</v>
      </c>
    </row>
    <row r="495" spans="1:4" x14ac:dyDescent="0.2">
      <c r="A495" t="s">
        <v>88</v>
      </c>
      <c r="B495" s="2">
        <v>1.12E-2</v>
      </c>
      <c r="C495" s="5">
        <f>historicos!B83*(1+'prons Banxico'!B495)</f>
        <v>18168.811090700801</v>
      </c>
      <c r="D495" s="3">
        <f>((1+0.12/100)*(1-0.02/100)*(1+0.37/100)-1)*100</f>
        <v>0.47034591120000968</v>
      </c>
    </row>
    <row r="496" spans="1:4" x14ac:dyDescent="0.2">
      <c r="A496" t="s">
        <v>89</v>
      </c>
      <c r="B496" s="1">
        <v>2.3E-2</v>
      </c>
      <c r="C496" s="5">
        <f>historicos!B84*(1+'prons Banxico'!B496)</f>
        <v>17967.621440405997</v>
      </c>
      <c r="D496" s="3">
        <f>((1+0.43/100)*(1+0.32/100)*(1+0.41/100)-1)*100</f>
        <v>1.1644566416000091</v>
      </c>
    </row>
    <row r="497" spans="1:4" x14ac:dyDescent="0.2">
      <c r="A497" t="s">
        <v>90</v>
      </c>
      <c r="B497" s="1">
        <v>2.3400000000000001E-2</v>
      </c>
      <c r="C497" s="5">
        <f>historicos!B85*(1+'prons Banxico'!B497)</f>
        <v>18700.720468309602</v>
      </c>
      <c r="D497" s="3">
        <f>((1+0.57/100)*(1+0.74/100)*(1+0.51/100)-1)*100</f>
        <v>1.8309205118000049</v>
      </c>
    </row>
    <row r="498" spans="1:4" x14ac:dyDescent="0.2">
      <c r="A498" t="s">
        <v>133</v>
      </c>
      <c r="B498" s="1">
        <v>2.6200000000000001E-2</v>
      </c>
      <c r="C498" s="5">
        <f>historicos!B86*(1+'prons Banxico'!B498)</f>
        <v>18226.7249768324</v>
      </c>
      <c r="D498" s="3">
        <f>((1+0.49/100)*(1+0.38/100)*(1+0.39/100)-1)*100</f>
        <v>1.2652622617999931</v>
      </c>
    </row>
    <row r="499" spans="1:4" x14ac:dyDescent="0.2">
      <c r="A499" t="s">
        <v>135</v>
      </c>
      <c r="B499" s="1">
        <v>2.0299999999999999E-2</v>
      </c>
      <c r="C499" s="5">
        <f>C495*(1+'prons Banxico'!B499)</f>
        <v>18537.637955842027</v>
      </c>
      <c r="D499" s="5">
        <f>((1+3.98/100)^(1/4)-1)*100</f>
        <v>0.98048524027820605</v>
      </c>
    </row>
    <row r="500" spans="1:4" x14ac:dyDescent="0.2">
      <c r="A500" t="s">
        <v>137</v>
      </c>
      <c r="B500" s="2">
        <v>1.9400000000000001E-2</v>
      </c>
      <c r="C500" s="5">
        <f>C496*(1+'prons Banxico'!B500)</f>
        <v>18316.193296349877</v>
      </c>
      <c r="D500" s="5">
        <f>((1+3.98/100)^(1/4)-1)*100</f>
        <v>0.98048524027820605</v>
      </c>
    </row>
    <row r="501" spans="1:4" x14ac:dyDescent="0.2">
      <c r="A501" t="s">
        <v>139</v>
      </c>
      <c r="B501" s="2">
        <v>1.8700000000000001E-2</v>
      </c>
      <c r="C501" s="5">
        <f>C497*(1+'prons Banxico'!B501)</f>
        <v>19050.423941066991</v>
      </c>
      <c r="D501" s="5">
        <f>((1+3.98/100)^(1/4)-1)*100</f>
        <v>0.98048524027820605</v>
      </c>
    </row>
    <row r="502" spans="1:4" x14ac:dyDescent="0.2">
      <c r="A502" t="s">
        <v>141</v>
      </c>
      <c r="B502" s="2">
        <v>2.1100000000000001E-2</v>
      </c>
      <c r="C502" s="5">
        <f>C498*(1+'prons Banxico'!B502)</f>
        <v>18611.308873843562</v>
      </c>
      <c r="D502" s="5">
        <f>((1+3.69/100)^(1/4)-1)*100</f>
        <v>0.91000289179585803</v>
      </c>
    </row>
    <row r="505" spans="1:4" x14ac:dyDescent="0.2">
      <c r="A505" s="7" t="s">
        <v>142</v>
      </c>
      <c r="B505" s="7"/>
      <c r="C505" s="7"/>
      <c r="D505" s="7"/>
    </row>
    <row r="506" spans="1:4" x14ac:dyDescent="0.2">
      <c r="A506" t="s">
        <v>0</v>
      </c>
      <c r="B506" t="s">
        <v>94</v>
      </c>
      <c r="C506" t="s">
        <v>1</v>
      </c>
      <c r="D506" t="s">
        <v>2</v>
      </c>
    </row>
    <row r="507" spans="1:4" x14ac:dyDescent="0.2">
      <c r="A507" t="s">
        <v>89</v>
      </c>
      <c r="B507" s="2">
        <v>2.0299999999999999E-2</v>
      </c>
      <c r="C507" s="5">
        <f>historicos!B84*(1+'prons Banxico'!B507)</f>
        <v>17920.199565636598</v>
      </c>
      <c r="D507" s="3">
        <f>((1+0.56/100)*(1+0.41/100)*(1+0.47/100)-1)*100</f>
        <v>1.4468657911999916</v>
      </c>
    </row>
    <row r="508" spans="1:4" x14ac:dyDescent="0.2">
      <c r="A508" t="s">
        <v>90</v>
      </c>
      <c r="B508" s="1">
        <v>1.9900000000000001E-2</v>
      </c>
      <c r="C508" s="5">
        <f>historicos!B85*(1+'prons Banxico'!B508)</f>
        <v>18636.764515955601</v>
      </c>
      <c r="D508" s="3">
        <f>((1+0.61/100)*(1+0.77/100)*(1+0.54/100)-1)*100</f>
        <v>1.9321743638000211</v>
      </c>
    </row>
    <row r="509" spans="1:4" x14ac:dyDescent="0.2">
      <c r="A509" t="s">
        <v>133</v>
      </c>
      <c r="B509" s="1">
        <v>1.7399999999999999E-2</v>
      </c>
      <c r="C509" s="5">
        <f>historicos!B86*(1+'prons Banxico'!B509)</f>
        <v>18070.424860094801</v>
      </c>
      <c r="D509" s="3">
        <f>((1+0.49/100)*(1+0.42/100)*(1+0.44/100)-1)*100</f>
        <v>1.35607105519997</v>
      </c>
    </row>
    <row r="510" spans="1:4" x14ac:dyDescent="0.2">
      <c r="A510" t="s">
        <v>135</v>
      </c>
      <c r="B510" s="1">
        <v>1.7999999999999999E-2</v>
      </c>
      <c r="C510" s="5">
        <f>historicos!B87*(1+'prons Banxico'!B510)</f>
        <v>18733.746458794001</v>
      </c>
      <c r="D510" s="3">
        <f>((1-0.04/100)*(1-0.08/100)*(1+0.33/100)-1)*100</f>
        <v>0.20963610560000845</v>
      </c>
    </row>
    <row r="511" spans="1:4" x14ac:dyDescent="0.2">
      <c r="A511" t="s">
        <v>137</v>
      </c>
      <c r="B511" s="1">
        <v>1.6500000000000001E-2</v>
      </c>
      <c r="C511" s="5">
        <f>C507*(1+'prons Banxico'!B511)</f>
        <v>18215.882858469602</v>
      </c>
      <c r="D511" s="5">
        <f>((1+4.5/100)^(1/4)-1)*100</f>
        <v>1.1064990499148664</v>
      </c>
    </row>
    <row r="512" spans="1:4" x14ac:dyDescent="0.2">
      <c r="A512" t="s">
        <v>139</v>
      </c>
      <c r="B512" s="2">
        <v>1.6299999999999999E-2</v>
      </c>
      <c r="C512" s="5">
        <f>C508*(1+'prons Banxico'!B512)</f>
        <v>18940.543777565676</v>
      </c>
      <c r="D512" s="5">
        <f>((1+4.5/100)^(1/4)-1)*100</f>
        <v>1.1064990499148664</v>
      </c>
    </row>
    <row r="513" spans="1:4" x14ac:dyDescent="0.2">
      <c r="A513" t="s">
        <v>141</v>
      </c>
      <c r="B513" s="2">
        <v>1.9400000000000001E-2</v>
      </c>
      <c r="C513" s="5">
        <f>C509*(1+'prons Banxico'!B513)</f>
        <v>18420.991102380642</v>
      </c>
      <c r="D513" s="5">
        <f>((1+3.85/100)^(1/4)-1)*100</f>
        <v>0.94890796037903069</v>
      </c>
    </row>
    <row r="514" spans="1:4" x14ac:dyDescent="0.2">
      <c r="A514" t="s">
        <v>143</v>
      </c>
      <c r="B514" s="2">
        <v>1.9400000000000001E-2</v>
      </c>
      <c r="C514" s="5">
        <f>C510*(1+'prons Banxico'!B514)</f>
        <v>19097.181140094606</v>
      </c>
      <c r="D514" s="5">
        <f>((1+3.85/100)^(1/4)-1)*100</f>
        <v>0.94890796037903069</v>
      </c>
    </row>
    <row r="517" spans="1:4" x14ac:dyDescent="0.2">
      <c r="A517" s="7" t="s">
        <v>144</v>
      </c>
      <c r="B517" s="7"/>
      <c r="C517" s="7"/>
      <c r="D517" s="7"/>
    </row>
    <row r="518" spans="1:4" x14ac:dyDescent="0.2">
      <c r="A518" t="s">
        <v>0</v>
      </c>
      <c r="B518" t="s">
        <v>94</v>
      </c>
      <c r="C518" t="s">
        <v>1</v>
      </c>
      <c r="D518" t="s">
        <v>2</v>
      </c>
    </row>
    <row r="519" spans="1:4" x14ac:dyDescent="0.2">
      <c r="A519" t="s">
        <v>90</v>
      </c>
      <c r="B519" s="2">
        <v>1.9800000000000002E-2</v>
      </c>
      <c r="C519" s="5">
        <f>historicos!B85*(1+'prons Banxico'!B519)</f>
        <v>18634.937203031201</v>
      </c>
      <c r="D519" s="3">
        <f>((1+0.7/100)*(1+0.82/100)*(1+0.6/100)-1)*100</f>
        <v>2.1348944399999903</v>
      </c>
    </row>
    <row r="520" spans="1:4" x14ac:dyDescent="0.2">
      <c r="A520" t="s">
        <v>133</v>
      </c>
      <c r="B520" s="1">
        <v>1.3100000000000001E-2</v>
      </c>
      <c r="C520" s="5">
        <f>historicos!B86*(1+'prons Banxico'!B520)</f>
        <v>17994.050939416204</v>
      </c>
      <c r="D520" s="3">
        <f>((1+0.55/100)*(1+0.45/100)*(1+0.49/100)-1)*100</f>
        <v>1.4973871274999828</v>
      </c>
    </row>
    <row r="521" spans="1:4" x14ac:dyDescent="0.2">
      <c r="A521" t="s">
        <v>135</v>
      </c>
      <c r="B521" s="1">
        <v>9.7999999999999997E-3</v>
      </c>
      <c r="C521" s="5">
        <f>historicos!B87*(1+'prons Banxico'!B521)</f>
        <v>18582.845947043403</v>
      </c>
      <c r="D521" s="3">
        <f>((1+0.01/100)*(1-0.08/100)*(1+0.35/100)-1)*100</f>
        <v>0.27974697200001675</v>
      </c>
    </row>
    <row r="522" spans="1:4" x14ac:dyDescent="0.2">
      <c r="A522" t="s">
        <v>137</v>
      </c>
      <c r="B522" s="1">
        <v>1.21E-2</v>
      </c>
      <c r="C522" s="5">
        <f>historicos!B88*(1+'prons Banxico'!B522)</f>
        <v>18552.7020317844</v>
      </c>
      <c r="D522" s="3">
        <f>((1+0.43/100)*(1+0.36/100)*(1+0.44/100)-1)*100</f>
        <v>1.2350308111999997</v>
      </c>
    </row>
    <row r="523" spans="1:4" x14ac:dyDescent="0.2">
      <c r="A523" t="s">
        <v>139</v>
      </c>
      <c r="B523" s="1">
        <v>1.24E-2</v>
      </c>
      <c r="C523" s="5">
        <f>C519*(1+'prons Banxico'!B523)</f>
        <v>18866.010424348788</v>
      </c>
      <c r="D523" s="5">
        <f>((1+4.81/100)^(1/4)-1)*100</f>
        <v>1.1813990683116282</v>
      </c>
    </row>
    <row r="524" spans="1:4" x14ac:dyDescent="0.2">
      <c r="A524" t="s">
        <v>141</v>
      </c>
      <c r="B524" s="2">
        <v>1.8800000000000001E-2</v>
      </c>
      <c r="C524" s="5">
        <f>C520*(1+'prons Banxico'!B524)</f>
        <v>18332.339097077227</v>
      </c>
      <c r="D524" s="5">
        <f>((1+3.9/100)^(1/4)-1)*100</f>
        <v>0.96105657459020222</v>
      </c>
    </row>
    <row r="525" spans="1:4" x14ac:dyDescent="0.2">
      <c r="A525" t="s">
        <v>143</v>
      </c>
      <c r="B525" s="2">
        <v>1.8800000000000001E-2</v>
      </c>
      <c r="C525" s="5">
        <f>C521*(1+'prons Banxico'!B525)</f>
        <v>18932.203450847817</v>
      </c>
      <c r="D525" s="5">
        <f>((1+3.9/100)^(1/4)-1)*100</f>
        <v>0.96105657459020222</v>
      </c>
    </row>
    <row r="526" spans="1:4" x14ac:dyDescent="0.2">
      <c r="A526" t="s">
        <v>146</v>
      </c>
      <c r="B526" s="2">
        <v>1.8800000000000001E-2</v>
      </c>
      <c r="C526" s="5">
        <f>C522*(1+'prons Banxico'!B526)</f>
        <v>18901.492829981944</v>
      </c>
      <c r="D526" s="5">
        <f>((1+3.9/100)^(1/4)-1)*100</f>
        <v>0.96105657459020222</v>
      </c>
    </row>
    <row r="529" spans="1:4" x14ac:dyDescent="0.2">
      <c r="A529" s="7" t="s">
        <v>145</v>
      </c>
      <c r="B529" s="7"/>
      <c r="C529" s="7"/>
      <c r="D529" s="7"/>
    </row>
    <row r="530" spans="1:4" x14ac:dyDescent="0.2">
      <c r="A530" t="s">
        <v>0</v>
      </c>
      <c r="B530" t="s">
        <v>94</v>
      </c>
      <c r="C530" t="s">
        <v>1</v>
      </c>
      <c r="D530" t="s">
        <v>2</v>
      </c>
    </row>
    <row r="531" spans="1:4" x14ac:dyDescent="0.2">
      <c r="A531" t="s">
        <v>133</v>
      </c>
      <c r="B531" s="2">
        <v>1.9199999999999998E-2</v>
      </c>
      <c r="C531" s="5">
        <f>historicos!B86*(1+'prons Banxico'!B531)</f>
        <v>18102.395338518403</v>
      </c>
      <c r="D531" s="3">
        <f>((1+0.58/100)*(1+0.47/100)*(1+0.52/100)-1)*100</f>
        <v>1.5782001752000063</v>
      </c>
    </row>
    <row r="532" spans="1:4" x14ac:dyDescent="0.2">
      <c r="A532" t="s">
        <v>135</v>
      </c>
      <c r="B532" s="1">
        <v>9.7000000000000003E-3</v>
      </c>
      <c r="C532" s="5">
        <f>historicos!B87*(1+'prons Banxico'!B532)</f>
        <v>18581.005696900102</v>
      </c>
      <c r="D532" s="3">
        <f>((1+0.05/100)*(1-0.03/100)*(1+0.36/100)-1)*100</f>
        <v>0.38005694600000695</v>
      </c>
    </row>
    <row r="533" spans="1:4" x14ac:dyDescent="0.2">
      <c r="A533" t="s">
        <v>137</v>
      </c>
      <c r="B533" s="1">
        <v>4.1000000000000003E-3</v>
      </c>
      <c r="C533" s="5">
        <f>historicos!B88*(1+'prons Banxico'!B533)</f>
        <v>18406.054846472398</v>
      </c>
      <c r="D533" s="3">
        <f>((1+0.44/100)*(1+0.36/100)*(1+0.44/100)-1)*100</f>
        <v>1.2451109696000051</v>
      </c>
    </row>
    <row r="534" spans="1:4" x14ac:dyDescent="0.2">
      <c r="A534" t="s">
        <v>139</v>
      </c>
      <c r="B534" s="1">
        <v>6.3E-3</v>
      </c>
      <c r="C534" s="5">
        <f>historicos!B89*(1+'prons Banxico'!B534)</f>
        <v>19044.340273022099</v>
      </c>
      <c r="D534" s="3">
        <f>((1+0.53/100)*(1+0.68/100)*(1+0.5/100)-1)*100</f>
        <v>1.7196720199999849</v>
      </c>
    </row>
    <row r="535" spans="1:4" x14ac:dyDescent="0.2">
      <c r="A535" t="s">
        <v>141</v>
      </c>
      <c r="B535" s="1">
        <v>1.2500000000000001E-2</v>
      </c>
      <c r="C535" s="5">
        <f>C531*(1+'prons Banxico'!B535)</f>
        <v>18328.675280249881</v>
      </c>
      <c r="D535" s="5">
        <f>((1+3.97/100)^(1/4)-1)*100</f>
        <v>0.97805727030155776</v>
      </c>
    </row>
    <row r="536" spans="1:4" x14ac:dyDescent="0.2">
      <c r="A536" t="s">
        <v>143</v>
      </c>
      <c r="B536" s="2">
        <v>1.77E-2</v>
      </c>
      <c r="C536" s="5">
        <f>C532*(1+'prons Banxico'!B536)</f>
        <v>18909.889497735236</v>
      </c>
      <c r="D536" s="5">
        <f>((1+3.97/100)^(1/4)-1)*100</f>
        <v>0.97805727030155776</v>
      </c>
    </row>
    <row r="537" spans="1:4" x14ac:dyDescent="0.2">
      <c r="A537" t="s">
        <v>146</v>
      </c>
      <c r="B537" s="2">
        <v>1.9599999999999999E-2</v>
      </c>
      <c r="C537" s="5">
        <f>C533*(1+'prons Banxico'!B537)</f>
        <v>18766.813521463257</v>
      </c>
      <c r="D537" s="5">
        <f>((1+3.97/100)^(1/4)-1)*100</f>
        <v>0.97805727030155776</v>
      </c>
    </row>
    <row r="538" spans="1:4" x14ac:dyDescent="0.2">
      <c r="A538" t="s">
        <v>147</v>
      </c>
      <c r="B538" s="2">
        <v>2.0500000000000001E-2</v>
      </c>
      <c r="C538" s="5">
        <f>C534*(1+'prons Banxico'!B538)</f>
        <v>19434.749248619049</v>
      </c>
      <c r="D538" s="5">
        <f>((1+3.97/100)^(1/4)-1)*100</f>
        <v>0.97805727030155776</v>
      </c>
    </row>
  </sheetData>
  <mergeCells count="45">
    <mergeCell ref="A481:D481"/>
    <mergeCell ref="A493:D493"/>
    <mergeCell ref="A505:D505"/>
    <mergeCell ref="A517:D517"/>
    <mergeCell ref="A529:D529"/>
    <mergeCell ref="A421:D421"/>
    <mergeCell ref="A433:D433"/>
    <mergeCell ref="A445:D445"/>
    <mergeCell ref="A457:D457"/>
    <mergeCell ref="A469:D469"/>
    <mergeCell ref="A361:D361"/>
    <mergeCell ref="A373:D373"/>
    <mergeCell ref="A385:D385"/>
    <mergeCell ref="A397:D397"/>
    <mergeCell ref="A409:D409"/>
    <mergeCell ref="A301:D301"/>
    <mergeCell ref="A313:D313"/>
    <mergeCell ref="A325:D325"/>
    <mergeCell ref="A337:D337"/>
    <mergeCell ref="A349:D349"/>
    <mergeCell ref="A241:D241"/>
    <mergeCell ref="A253:D253"/>
    <mergeCell ref="A265:D265"/>
    <mergeCell ref="A277:D277"/>
    <mergeCell ref="A289:D289"/>
    <mergeCell ref="A121:D121"/>
    <mergeCell ref="A133:D133"/>
    <mergeCell ref="A145:D145"/>
    <mergeCell ref="A157:D157"/>
    <mergeCell ref="A229:D229"/>
    <mergeCell ref="A169:D169"/>
    <mergeCell ref="A181:D181"/>
    <mergeCell ref="A193:D193"/>
    <mergeCell ref="A205:D205"/>
    <mergeCell ref="A217:D217"/>
    <mergeCell ref="A61:D61"/>
    <mergeCell ref="A73:D73"/>
    <mergeCell ref="A85:D85"/>
    <mergeCell ref="A97:D97"/>
    <mergeCell ref="A109:D109"/>
    <mergeCell ref="A1:D1"/>
    <mergeCell ref="A13:D13"/>
    <mergeCell ref="A25:D25"/>
    <mergeCell ref="A37:D37"/>
    <mergeCell ref="A49: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historicos</vt:lpstr>
      <vt:lpstr>prons Banxico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2023-07-03T05:22:14Z</dcterms:created>
  <dcterms:modified xsi:type="dcterms:W3CDTF">2023-07-17T06:13:12Z</dcterms:modified>
</cp:coreProperties>
</file>