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uniorPastor\UNA - Oficina\Proyecto - R\2019 - Proyecto - Ana María\Data\"/>
    </mc:Choice>
  </mc:AlternateContent>
  <bookViews>
    <workbookView xWindow="0" yWindow="0" windowWidth="27630" windowHeight="12120"/>
  </bookViews>
  <sheets>
    <sheet name="Proyecto Tricoderma 3" sheetId="1" r:id="rId1"/>
  </sheets>
  <definedNames>
    <definedName name="_xlnm._FilterDatabase" localSheetId="0" hidden="1">'Proyecto Tricoderma 3'!$A$1:$R$361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3" i="1" l="1"/>
  <c r="D128" i="1" l="1"/>
  <c r="H184" i="1" l="1"/>
  <c r="J184" i="1"/>
  <c r="L184" i="1"/>
  <c r="H185" i="1"/>
  <c r="J185" i="1"/>
  <c r="L185" i="1"/>
  <c r="H186" i="1"/>
  <c r="J186" i="1"/>
  <c r="L186" i="1"/>
  <c r="H187" i="1"/>
  <c r="J187" i="1"/>
  <c r="L187" i="1"/>
  <c r="H188" i="1"/>
  <c r="J188" i="1"/>
  <c r="L188" i="1"/>
  <c r="H189" i="1"/>
  <c r="J189" i="1"/>
  <c r="L189" i="1"/>
  <c r="H190" i="1"/>
  <c r="J190" i="1"/>
  <c r="L190" i="1"/>
  <c r="H191" i="1"/>
  <c r="J191" i="1"/>
  <c r="L191" i="1"/>
  <c r="H192" i="1"/>
  <c r="J192" i="1"/>
  <c r="L192" i="1"/>
  <c r="H193" i="1"/>
  <c r="J193" i="1"/>
  <c r="L193" i="1"/>
  <c r="H194" i="1"/>
  <c r="J194" i="1"/>
  <c r="L194" i="1"/>
  <c r="H195" i="1"/>
  <c r="J195" i="1"/>
  <c r="L195" i="1"/>
  <c r="H196" i="1"/>
  <c r="J196" i="1"/>
  <c r="L196" i="1"/>
  <c r="H197" i="1"/>
  <c r="J197" i="1"/>
  <c r="L197" i="1"/>
  <c r="H198" i="1"/>
  <c r="J198" i="1"/>
  <c r="L198" i="1"/>
  <c r="H199" i="1"/>
  <c r="J199" i="1"/>
  <c r="L199" i="1"/>
  <c r="H200" i="1"/>
  <c r="J200" i="1"/>
  <c r="L200" i="1"/>
  <c r="H201" i="1"/>
  <c r="J201" i="1"/>
  <c r="L201" i="1"/>
  <c r="H182" i="1"/>
  <c r="N196" i="1" l="1"/>
  <c r="Q196" i="1" s="1"/>
  <c r="N190" i="1"/>
  <c r="R190" i="1" s="1"/>
  <c r="N184" i="1"/>
  <c r="Q184" i="1" s="1"/>
  <c r="N192" i="1"/>
  <c r="R192" i="1" s="1"/>
  <c r="N199" i="1"/>
  <c r="Q199" i="1" s="1"/>
  <c r="N186" i="1"/>
  <c r="Q186" i="1" s="1"/>
  <c r="N198" i="1"/>
  <c r="Q198" i="1" s="1"/>
  <c r="N188" i="1"/>
  <c r="R188" i="1" s="1"/>
  <c r="N200" i="1"/>
  <c r="P200" i="1" s="1"/>
  <c r="N201" i="1"/>
  <c r="Q201" i="1" s="1"/>
  <c r="N191" i="1"/>
  <c r="R191" i="1" s="1"/>
  <c r="N189" i="1"/>
  <c r="R189" i="1" s="1"/>
  <c r="N194" i="1"/>
  <c r="R194" i="1" s="1"/>
  <c r="N195" i="1"/>
  <c r="P195" i="1" s="1"/>
  <c r="N193" i="1"/>
  <c r="R193" i="1" s="1"/>
  <c r="N197" i="1"/>
  <c r="Q197" i="1" s="1"/>
  <c r="N185" i="1"/>
  <c r="R185" i="1" s="1"/>
  <c r="N187" i="1"/>
  <c r="R187" i="1" s="1"/>
  <c r="J234" i="1"/>
  <c r="R184" i="1"/>
  <c r="P196" i="1"/>
  <c r="P184" i="1" l="1"/>
  <c r="R196" i="1"/>
  <c r="R198" i="1"/>
  <c r="Q190" i="1"/>
  <c r="P201" i="1"/>
  <c r="P199" i="1"/>
  <c r="Q188" i="1"/>
  <c r="P190" i="1"/>
  <c r="P189" i="1"/>
  <c r="P188" i="1"/>
  <c r="P187" i="1"/>
  <c r="R201" i="1"/>
  <c r="P198" i="1"/>
  <c r="Q195" i="1"/>
  <c r="R186" i="1"/>
  <c r="R199" i="1"/>
  <c r="Q192" i="1"/>
  <c r="P194" i="1"/>
  <c r="P192" i="1"/>
  <c r="Q194" i="1"/>
  <c r="P186" i="1"/>
  <c r="Q189" i="1"/>
  <c r="P191" i="1"/>
  <c r="R200" i="1"/>
  <c r="P185" i="1"/>
  <c r="Q200" i="1"/>
  <c r="R197" i="1"/>
  <c r="R195" i="1"/>
  <c r="Q191" i="1"/>
  <c r="Q187" i="1"/>
  <c r="P193" i="1"/>
  <c r="Q193" i="1"/>
  <c r="P197" i="1"/>
  <c r="Q185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1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5" i="1"/>
  <c r="L304" i="1"/>
  <c r="L303" i="1"/>
  <c r="L301" i="1"/>
  <c r="L300" i="1"/>
  <c r="L299" i="1"/>
  <c r="L296" i="1"/>
  <c r="L295" i="1"/>
  <c r="L294" i="1"/>
  <c r="L293" i="1"/>
  <c r="L292" i="1"/>
  <c r="L291" i="1"/>
  <c r="L290" i="1"/>
  <c r="L289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2" i="1"/>
  <c r="L241" i="1"/>
  <c r="L240" i="1"/>
  <c r="L239" i="1"/>
  <c r="L238" i="1"/>
  <c r="L237" i="1"/>
  <c r="L236" i="1"/>
  <c r="L235" i="1"/>
  <c r="L234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182" i="1"/>
  <c r="L181" i="1"/>
  <c r="L180" i="1"/>
  <c r="L179" i="1"/>
  <c r="L178" i="1"/>
  <c r="L177" i="1"/>
  <c r="L176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5" i="1"/>
  <c r="J236" i="1"/>
  <c r="J237" i="1"/>
  <c r="J238" i="1"/>
  <c r="J239" i="1"/>
  <c r="J240" i="1"/>
  <c r="J241" i="1"/>
  <c r="J242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9" i="1"/>
  <c r="J290" i="1"/>
  <c r="J291" i="1"/>
  <c r="J292" i="1"/>
  <c r="J293" i="1"/>
  <c r="J294" i="1"/>
  <c r="J295" i="1"/>
  <c r="J296" i="1"/>
  <c r="J299" i="1"/>
  <c r="J300" i="1"/>
  <c r="J301" i="1"/>
  <c r="J303" i="1"/>
  <c r="J304" i="1"/>
  <c r="J305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L92" i="1"/>
  <c r="N358" i="1" l="1"/>
  <c r="P358" i="1" s="1"/>
  <c r="N350" i="1"/>
  <c r="P350" i="1" s="1"/>
  <c r="O358" i="1"/>
  <c r="O350" i="1"/>
  <c r="N354" i="1"/>
  <c r="P354" i="1" s="1"/>
  <c r="N346" i="1"/>
  <c r="P346" i="1" s="1"/>
  <c r="O354" i="1"/>
  <c r="O346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O131" i="1" s="1"/>
  <c r="H132" i="1"/>
  <c r="N132" i="1" s="1"/>
  <c r="P132" i="1" s="1"/>
  <c r="H133" i="1"/>
  <c r="O133" i="1" s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6" i="1"/>
  <c r="H177" i="1"/>
  <c r="H178" i="1"/>
  <c r="H179" i="1"/>
  <c r="H180" i="1"/>
  <c r="H18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5" i="1"/>
  <c r="H4" i="1"/>
  <c r="H2" i="1"/>
  <c r="R358" i="1" l="1"/>
  <c r="Q358" i="1"/>
  <c r="O132" i="1"/>
  <c r="R346" i="1"/>
  <c r="R350" i="1"/>
  <c r="Q350" i="1"/>
  <c r="N127" i="1"/>
  <c r="P127" i="1" s="1"/>
  <c r="O127" i="1"/>
  <c r="N119" i="1"/>
  <c r="Q119" i="1" s="1"/>
  <c r="O119" i="1"/>
  <c r="N110" i="1"/>
  <c r="P110" i="1" s="1"/>
  <c r="O110" i="1"/>
  <c r="N102" i="1"/>
  <c r="P102" i="1" s="1"/>
  <c r="O102" i="1"/>
  <c r="N78" i="1"/>
  <c r="Q78" i="1" s="1"/>
  <c r="O78" i="1"/>
  <c r="N70" i="1"/>
  <c r="R70" i="1" s="1"/>
  <c r="O70" i="1"/>
  <c r="N62" i="1"/>
  <c r="P62" i="1" s="1"/>
  <c r="O62" i="1"/>
  <c r="N94" i="1"/>
  <c r="P94" i="1" s="1"/>
  <c r="O94" i="1"/>
  <c r="N53" i="1"/>
  <c r="P53" i="1" s="1"/>
  <c r="O53" i="1"/>
  <c r="N19" i="1"/>
  <c r="Q19" i="1" s="1"/>
  <c r="O19" i="1"/>
  <c r="N112" i="1"/>
  <c r="P112" i="1" s="1"/>
  <c r="O112" i="1"/>
  <c r="N96" i="1"/>
  <c r="P96" i="1" s="1"/>
  <c r="O96" i="1"/>
  <c r="N80" i="1"/>
  <c r="P80" i="1" s="1"/>
  <c r="O80" i="1"/>
  <c r="N64" i="1"/>
  <c r="P64" i="1" s="1"/>
  <c r="O64" i="1"/>
  <c r="N39" i="1"/>
  <c r="P39" i="1" s="1"/>
  <c r="O39" i="1"/>
  <c r="N21" i="1"/>
  <c r="P21" i="1" s="1"/>
  <c r="O21" i="1"/>
  <c r="N13" i="1"/>
  <c r="Q13" i="1" s="1"/>
  <c r="O13" i="1"/>
  <c r="N338" i="1"/>
  <c r="P338" i="1" s="1"/>
  <c r="O338" i="1"/>
  <c r="N330" i="1"/>
  <c r="P330" i="1" s="1"/>
  <c r="O330" i="1"/>
  <c r="N314" i="1"/>
  <c r="P314" i="1" s="1"/>
  <c r="O314" i="1"/>
  <c r="N305" i="1"/>
  <c r="P305" i="1" s="1"/>
  <c r="O305" i="1"/>
  <c r="R119" i="1"/>
  <c r="N129" i="1"/>
  <c r="P129" i="1" s="1"/>
  <c r="O129" i="1"/>
  <c r="N121" i="1"/>
  <c r="P121" i="1" s="1"/>
  <c r="O121" i="1"/>
  <c r="N104" i="1"/>
  <c r="P104" i="1" s="1"/>
  <c r="O104" i="1"/>
  <c r="N88" i="1"/>
  <c r="P88" i="1" s="1"/>
  <c r="O88" i="1"/>
  <c r="N72" i="1"/>
  <c r="P72" i="1" s="1"/>
  <c r="O72" i="1"/>
  <c r="N55" i="1"/>
  <c r="P55" i="1" s="1"/>
  <c r="O55" i="1"/>
  <c r="N47" i="1"/>
  <c r="R47" i="1" s="1"/>
  <c r="O47" i="1"/>
  <c r="N29" i="1"/>
  <c r="P29" i="1" s="1"/>
  <c r="O29" i="1"/>
  <c r="N322" i="1"/>
  <c r="P322" i="1" s="1"/>
  <c r="O322" i="1"/>
  <c r="N128" i="1"/>
  <c r="P128" i="1" s="1"/>
  <c r="O128" i="1"/>
  <c r="N120" i="1"/>
  <c r="P120" i="1" s="1"/>
  <c r="O120" i="1"/>
  <c r="N111" i="1"/>
  <c r="P111" i="1" s="1"/>
  <c r="O111" i="1"/>
  <c r="N103" i="1"/>
  <c r="P103" i="1" s="1"/>
  <c r="O103" i="1"/>
  <c r="N95" i="1"/>
  <c r="R95" i="1" s="1"/>
  <c r="O95" i="1"/>
  <c r="N87" i="1"/>
  <c r="P87" i="1" s="1"/>
  <c r="O87" i="1"/>
  <c r="N79" i="1"/>
  <c r="P79" i="1" s="1"/>
  <c r="O79" i="1"/>
  <c r="N71" i="1"/>
  <c r="P71" i="1" s="1"/>
  <c r="O71" i="1"/>
  <c r="N63" i="1"/>
  <c r="Q63" i="1" s="1"/>
  <c r="O63" i="1"/>
  <c r="N54" i="1"/>
  <c r="P54" i="1" s="1"/>
  <c r="O54" i="1"/>
  <c r="N46" i="1"/>
  <c r="Q46" i="1" s="1"/>
  <c r="O46" i="1"/>
  <c r="N38" i="1"/>
  <c r="Q38" i="1" s="1"/>
  <c r="O38" i="1"/>
  <c r="N28" i="1"/>
  <c r="P28" i="1" s="1"/>
  <c r="O28" i="1"/>
  <c r="N20" i="1"/>
  <c r="P20" i="1" s="1"/>
  <c r="O20" i="1"/>
  <c r="N12" i="1"/>
  <c r="P12" i="1" s="1"/>
  <c r="O12" i="1"/>
  <c r="Q21" i="1"/>
  <c r="N337" i="1"/>
  <c r="P337" i="1" s="1"/>
  <c r="O337" i="1"/>
  <c r="N329" i="1"/>
  <c r="O329" i="1"/>
  <c r="N321" i="1"/>
  <c r="P321" i="1" s="1"/>
  <c r="O321" i="1"/>
  <c r="N313" i="1"/>
  <c r="O313" i="1"/>
  <c r="N304" i="1"/>
  <c r="P304" i="1" s="1"/>
  <c r="O304" i="1"/>
  <c r="N133" i="1"/>
  <c r="R133" i="1" s="1"/>
  <c r="Q354" i="1"/>
  <c r="R354" i="1"/>
  <c r="N336" i="1"/>
  <c r="P336" i="1" s="1"/>
  <c r="O336" i="1"/>
  <c r="N2" i="1"/>
  <c r="P2" i="1" s="1"/>
  <c r="O2" i="1"/>
  <c r="N126" i="1"/>
  <c r="P126" i="1" s="1"/>
  <c r="O126" i="1"/>
  <c r="N118" i="1"/>
  <c r="P118" i="1" s="1"/>
  <c r="O118" i="1"/>
  <c r="N109" i="1"/>
  <c r="P109" i="1" s="1"/>
  <c r="O109" i="1"/>
  <c r="N101" i="1"/>
  <c r="P101" i="1" s="1"/>
  <c r="O101" i="1"/>
  <c r="N93" i="1"/>
  <c r="R93" i="1" s="1"/>
  <c r="O93" i="1"/>
  <c r="N85" i="1"/>
  <c r="P85" i="1" s="1"/>
  <c r="O85" i="1"/>
  <c r="N77" i="1"/>
  <c r="R77" i="1" s="1"/>
  <c r="O77" i="1"/>
  <c r="N69" i="1"/>
  <c r="P69" i="1" s="1"/>
  <c r="O69" i="1"/>
  <c r="N60" i="1"/>
  <c r="Q60" i="1" s="1"/>
  <c r="O60" i="1"/>
  <c r="N52" i="1"/>
  <c r="P52" i="1" s="1"/>
  <c r="O52" i="1"/>
  <c r="N44" i="1"/>
  <c r="P44" i="1" s="1"/>
  <c r="O44" i="1"/>
  <c r="N36" i="1"/>
  <c r="R36" i="1" s="1"/>
  <c r="O36" i="1"/>
  <c r="N26" i="1"/>
  <c r="P26" i="1" s="1"/>
  <c r="O26" i="1"/>
  <c r="N18" i="1"/>
  <c r="P18" i="1" s="1"/>
  <c r="O18" i="1"/>
  <c r="N10" i="1"/>
  <c r="P10" i="1" s="1"/>
  <c r="O10" i="1"/>
  <c r="N335" i="1"/>
  <c r="P335" i="1" s="1"/>
  <c r="O335" i="1"/>
  <c r="N327" i="1"/>
  <c r="P327" i="1" s="1"/>
  <c r="O327" i="1"/>
  <c r="N319" i="1"/>
  <c r="P319" i="1" s="1"/>
  <c r="O319" i="1"/>
  <c r="N311" i="1"/>
  <c r="P311" i="1" s="1"/>
  <c r="O311" i="1"/>
  <c r="N86" i="1"/>
  <c r="P86" i="1" s="1"/>
  <c r="O86" i="1"/>
  <c r="N45" i="1"/>
  <c r="R45" i="1" s="1"/>
  <c r="O45" i="1"/>
  <c r="N11" i="1"/>
  <c r="P11" i="1" s="1"/>
  <c r="O11" i="1"/>
  <c r="N312" i="1"/>
  <c r="P312" i="1" s="1"/>
  <c r="O312" i="1"/>
  <c r="N125" i="1"/>
  <c r="P125" i="1" s="1"/>
  <c r="O125" i="1"/>
  <c r="N117" i="1"/>
  <c r="R117" i="1" s="1"/>
  <c r="O117" i="1"/>
  <c r="N108" i="1"/>
  <c r="R108" i="1" s="1"/>
  <c r="O108" i="1"/>
  <c r="N100" i="1"/>
  <c r="P100" i="1" s="1"/>
  <c r="O100" i="1"/>
  <c r="N92" i="1"/>
  <c r="R92" i="1" s="1"/>
  <c r="O92" i="1"/>
  <c r="N84" i="1"/>
  <c r="R84" i="1" s="1"/>
  <c r="O84" i="1"/>
  <c r="N76" i="1"/>
  <c r="R76" i="1" s="1"/>
  <c r="O76" i="1"/>
  <c r="N68" i="1"/>
  <c r="P68" i="1" s="1"/>
  <c r="O68" i="1"/>
  <c r="N59" i="1"/>
  <c r="R59" i="1" s="1"/>
  <c r="O59" i="1"/>
  <c r="N51" i="1"/>
  <c r="R51" i="1" s="1"/>
  <c r="O51" i="1"/>
  <c r="N43" i="1"/>
  <c r="R43" i="1" s="1"/>
  <c r="O43" i="1"/>
  <c r="N35" i="1"/>
  <c r="R35" i="1" s="1"/>
  <c r="O35" i="1"/>
  <c r="N25" i="1"/>
  <c r="R25" i="1" s="1"/>
  <c r="O25" i="1"/>
  <c r="N17" i="1"/>
  <c r="P17" i="1" s="1"/>
  <c r="O17" i="1"/>
  <c r="N9" i="1"/>
  <c r="R9" i="1" s="1"/>
  <c r="O9" i="1"/>
  <c r="Q10" i="1"/>
  <c r="R21" i="1"/>
  <c r="N334" i="1"/>
  <c r="P334" i="1" s="1"/>
  <c r="O334" i="1"/>
  <c r="N326" i="1"/>
  <c r="P326" i="1" s="1"/>
  <c r="O326" i="1"/>
  <c r="N318" i="1"/>
  <c r="P318" i="1" s="1"/>
  <c r="O318" i="1"/>
  <c r="N310" i="1"/>
  <c r="O310" i="1"/>
  <c r="N27" i="1"/>
  <c r="Q27" i="1" s="1"/>
  <c r="O27" i="1"/>
  <c r="Q12" i="1"/>
  <c r="N328" i="1"/>
  <c r="P328" i="1" s="1"/>
  <c r="O328" i="1"/>
  <c r="N303" i="1"/>
  <c r="P303" i="1" s="1"/>
  <c r="O303" i="1"/>
  <c r="N5" i="1"/>
  <c r="Q5" i="1" s="1"/>
  <c r="O5" i="1"/>
  <c r="N124" i="1"/>
  <c r="P124" i="1" s="1"/>
  <c r="O124" i="1"/>
  <c r="N115" i="1"/>
  <c r="R115" i="1" s="1"/>
  <c r="O115" i="1"/>
  <c r="N107" i="1"/>
  <c r="P107" i="1" s="1"/>
  <c r="O107" i="1"/>
  <c r="N99" i="1"/>
  <c r="R99" i="1" s="1"/>
  <c r="O99" i="1"/>
  <c r="N91" i="1"/>
  <c r="Q91" i="1" s="1"/>
  <c r="O91" i="1"/>
  <c r="N83" i="1"/>
  <c r="Q83" i="1" s="1"/>
  <c r="O83" i="1"/>
  <c r="N75" i="1"/>
  <c r="Q75" i="1" s="1"/>
  <c r="O75" i="1"/>
  <c r="N67" i="1"/>
  <c r="P67" i="1" s="1"/>
  <c r="O67" i="1"/>
  <c r="N58" i="1"/>
  <c r="R58" i="1" s="1"/>
  <c r="O58" i="1"/>
  <c r="N50" i="1"/>
  <c r="R50" i="1" s="1"/>
  <c r="O50" i="1"/>
  <c r="N42" i="1"/>
  <c r="P42" i="1" s="1"/>
  <c r="O42" i="1"/>
  <c r="N34" i="1"/>
  <c r="R34" i="1" s="1"/>
  <c r="O34" i="1"/>
  <c r="N24" i="1"/>
  <c r="R24" i="1" s="1"/>
  <c r="O24" i="1"/>
  <c r="N16" i="1"/>
  <c r="Q16" i="1" s="1"/>
  <c r="O16" i="1"/>
  <c r="N8" i="1"/>
  <c r="R8" i="1" s="1"/>
  <c r="O8" i="1"/>
  <c r="R28" i="1"/>
  <c r="R12" i="1"/>
  <c r="N341" i="1"/>
  <c r="P341" i="1" s="1"/>
  <c r="O341" i="1"/>
  <c r="N333" i="1"/>
  <c r="O333" i="1"/>
  <c r="N325" i="1"/>
  <c r="P325" i="1" s="1"/>
  <c r="O325" i="1"/>
  <c r="N317" i="1"/>
  <c r="O317" i="1"/>
  <c r="N309" i="1"/>
  <c r="O309" i="1"/>
  <c r="Q102" i="1"/>
  <c r="N131" i="1"/>
  <c r="N320" i="1"/>
  <c r="P320" i="1" s="1"/>
  <c r="O320" i="1"/>
  <c r="N114" i="1"/>
  <c r="P114" i="1" s="1"/>
  <c r="O114" i="1"/>
  <c r="N106" i="1"/>
  <c r="R106" i="1" s="1"/>
  <c r="O106" i="1"/>
  <c r="N98" i="1"/>
  <c r="Q98" i="1" s="1"/>
  <c r="O98" i="1"/>
  <c r="N82" i="1"/>
  <c r="Q82" i="1" s="1"/>
  <c r="O82" i="1"/>
  <c r="N74" i="1"/>
  <c r="Q74" i="1" s="1"/>
  <c r="O74" i="1"/>
  <c r="N66" i="1"/>
  <c r="R66" i="1" s="1"/>
  <c r="O66" i="1"/>
  <c r="N57" i="1"/>
  <c r="R57" i="1" s="1"/>
  <c r="O57" i="1"/>
  <c r="N49" i="1"/>
  <c r="R49" i="1" s="1"/>
  <c r="O49" i="1"/>
  <c r="N41" i="1"/>
  <c r="P41" i="1" s="1"/>
  <c r="O41" i="1"/>
  <c r="N33" i="1"/>
  <c r="R33" i="1" s="1"/>
  <c r="O33" i="1"/>
  <c r="N23" i="1"/>
  <c r="R23" i="1" s="1"/>
  <c r="O23" i="1"/>
  <c r="N15" i="1"/>
  <c r="Q15" i="1" s="1"/>
  <c r="O15" i="1"/>
  <c r="N6" i="1"/>
  <c r="R6" i="1" s="1"/>
  <c r="O6" i="1"/>
  <c r="N340" i="1"/>
  <c r="P340" i="1" s="1"/>
  <c r="O340" i="1"/>
  <c r="N332" i="1"/>
  <c r="O332" i="1"/>
  <c r="N324" i="1"/>
  <c r="P324" i="1" s="1"/>
  <c r="O324" i="1"/>
  <c r="N316" i="1"/>
  <c r="O316" i="1"/>
  <c r="N308" i="1"/>
  <c r="O308" i="1"/>
  <c r="N37" i="1"/>
  <c r="Q37" i="1" s="1"/>
  <c r="O37" i="1"/>
  <c r="N4" i="1"/>
  <c r="P4" i="1" s="1"/>
  <c r="O4" i="1"/>
  <c r="N123" i="1"/>
  <c r="P123" i="1" s="1"/>
  <c r="O123" i="1"/>
  <c r="N90" i="1"/>
  <c r="Q90" i="1" s="1"/>
  <c r="O90" i="1"/>
  <c r="N130" i="1"/>
  <c r="O130" i="1"/>
  <c r="N122" i="1"/>
  <c r="P122" i="1" s="1"/>
  <c r="O122" i="1"/>
  <c r="N113" i="1"/>
  <c r="Q113" i="1" s="1"/>
  <c r="O113" i="1"/>
  <c r="N105" i="1"/>
  <c r="Q105" i="1" s="1"/>
  <c r="O105" i="1"/>
  <c r="N97" i="1"/>
  <c r="Q97" i="1" s="1"/>
  <c r="O97" i="1"/>
  <c r="N89" i="1"/>
  <c r="P89" i="1" s="1"/>
  <c r="O89" i="1"/>
  <c r="N81" i="1"/>
  <c r="R81" i="1" s="1"/>
  <c r="O81" i="1"/>
  <c r="N73" i="1"/>
  <c r="Q73" i="1" s="1"/>
  <c r="O73" i="1"/>
  <c r="N65" i="1"/>
  <c r="R65" i="1" s="1"/>
  <c r="O65" i="1"/>
  <c r="N56" i="1"/>
  <c r="Q56" i="1" s="1"/>
  <c r="O56" i="1"/>
  <c r="N48" i="1"/>
  <c r="R48" i="1" s="1"/>
  <c r="O48" i="1"/>
  <c r="N40" i="1"/>
  <c r="R40" i="1" s="1"/>
  <c r="O40" i="1"/>
  <c r="N30" i="1"/>
  <c r="R30" i="1" s="1"/>
  <c r="O30" i="1"/>
  <c r="N22" i="1"/>
  <c r="R22" i="1" s="1"/>
  <c r="O22" i="1"/>
  <c r="N14" i="1"/>
  <c r="R14" i="1" s="1"/>
  <c r="O14" i="1"/>
  <c r="N339" i="1"/>
  <c r="O339" i="1"/>
  <c r="N331" i="1"/>
  <c r="P331" i="1" s="1"/>
  <c r="O331" i="1"/>
  <c r="N323" i="1"/>
  <c r="P323" i="1" s="1"/>
  <c r="O323" i="1"/>
  <c r="N315" i="1"/>
  <c r="P315" i="1" s="1"/>
  <c r="O315" i="1"/>
  <c r="N307" i="1"/>
  <c r="O307" i="1"/>
  <c r="Q117" i="1"/>
  <c r="Q346" i="1"/>
  <c r="N142" i="1"/>
  <c r="P142" i="1" s="1"/>
  <c r="O142" i="1"/>
  <c r="N173" i="1"/>
  <c r="P173" i="1" s="1"/>
  <c r="O173" i="1"/>
  <c r="N157" i="1"/>
  <c r="P157" i="1" s="1"/>
  <c r="O157" i="1"/>
  <c r="N217" i="1"/>
  <c r="P217" i="1" s="1"/>
  <c r="O217" i="1"/>
  <c r="N181" i="1"/>
  <c r="P181" i="1" s="1"/>
  <c r="O181" i="1"/>
  <c r="N172" i="1"/>
  <c r="P172" i="1" s="1"/>
  <c r="O172" i="1"/>
  <c r="N164" i="1"/>
  <c r="P164" i="1" s="1"/>
  <c r="O164" i="1"/>
  <c r="N156" i="1"/>
  <c r="P156" i="1" s="1"/>
  <c r="O156" i="1"/>
  <c r="N148" i="1"/>
  <c r="P148" i="1" s="1"/>
  <c r="O148" i="1"/>
  <c r="N140" i="1"/>
  <c r="P140" i="1" s="1"/>
  <c r="O140" i="1"/>
  <c r="N219" i="1"/>
  <c r="O219" i="1"/>
  <c r="N180" i="1"/>
  <c r="P180" i="1" s="1"/>
  <c r="O180" i="1"/>
  <c r="N163" i="1"/>
  <c r="P163" i="1" s="1"/>
  <c r="O163" i="1"/>
  <c r="N155" i="1"/>
  <c r="P155" i="1" s="1"/>
  <c r="O155" i="1"/>
  <c r="N147" i="1"/>
  <c r="P147" i="1" s="1"/>
  <c r="O147" i="1"/>
  <c r="N139" i="1"/>
  <c r="P139" i="1" s="1"/>
  <c r="O139" i="1"/>
  <c r="N174" i="1"/>
  <c r="P174" i="1" s="1"/>
  <c r="O174" i="1"/>
  <c r="N150" i="1"/>
  <c r="P150" i="1" s="1"/>
  <c r="O150" i="1"/>
  <c r="N218" i="1"/>
  <c r="P218" i="1" s="1"/>
  <c r="O218" i="1"/>
  <c r="N165" i="1"/>
  <c r="P165" i="1" s="1"/>
  <c r="O165" i="1"/>
  <c r="N149" i="1"/>
  <c r="P149" i="1" s="1"/>
  <c r="O149" i="1"/>
  <c r="N216" i="1"/>
  <c r="P216" i="1" s="1"/>
  <c r="O216" i="1"/>
  <c r="N171" i="1"/>
  <c r="P171" i="1" s="1"/>
  <c r="O171" i="1"/>
  <c r="N215" i="1"/>
  <c r="P215" i="1" s="1"/>
  <c r="O215" i="1"/>
  <c r="N179" i="1"/>
  <c r="O179" i="1"/>
  <c r="N170" i="1"/>
  <c r="O170" i="1"/>
  <c r="N162" i="1"/>
  <c r="P162" i="1" s="1"/>
  <c r="O162" i="1"/>
  <c r="N154" i="1"/>
  <c r="P154" i="1" s="1"/>
  <c r="O154" i="1"/>
  <c r="N146" i="1"/>
  <c r="O146" i="1"/>
  <c r="N138" i="1"/>
  <c r="O138" i="1"/>
  <c r="N166" i="1"/>
  <c r="O166" i="1"/>
  <c r="N158" i="1"/>
  <c r="P158" i="1" s="1"/>
  <c r="O158" i="1"/>
  <c r="N141" i="1"/>
  <c r="P141" i="1" s="1"/>
  <c r="O141" i="1"/>
  <c r="N178" i="1"/>
  <c r="P178" i="1" s="1"/>
  <c r="O178" i="1"/>
  <c r="N169" i="1"/>
  <c r="P169" i="1" s="1"/>
  <c r="O169" i="1"/>
  <c r="N161" i="1"/>
  <c r="P161" i="1" s="1"/>
  <c r="O161" i="1"/>
  <c r="N153" i="1"/>
  <c r="O153" i="1"/>
  <c r="N145" i="1"/>
  <c r="P145" i="1" s="1"/>
  <c r="O145" i="1"/>
  <c r="N137" i="1"/>
  <c r="P137" i="1" s="1"/>
  <c r="O137" i="1"/>
  <c r="R132" i="1"/>
  <c r="N160" i="1"/>
  <c r="P160" i="1" s="1"/>
  <c r="O160" i="1"/>
  <c r="N221" i="1"/>
  <c r="P221" i="1" s="1"/>
  <c r="O221" i="1"/>
  <c r="N177" i="1"/>
  <c r="P177" i="1" s="1"/>
  <c r="O177" i="1"/>
  <c r="N168" i="1"/>
  <c r="P168" i="1" s="1"/>
  <c r="O168" i="1"/>
  <c r="N152" i="1"/>
  <c r="O152" i="1"/>
  <c r="N144" i="1"/>
  <c r="P144" i="1" s="1"/>
  <c r="O144" i="1"/>
  <c r="N136" i="1"/>
  <c r="P136" i="1" s="1"/>
  <c r="O136" i="1"/>
  <c r="N220" i="1"/>
  <c r="P220" i="1" s="1"/>
  <c r="O220" i="1"/>
  <c r="N176" i="1"/>
  <c r="P176" i="1" s="1"/>
  <c r="O176" i="1"/>
  <c r="N167" i="1"/>
  <c r="P167" i="1" s="1"/>
  <c r="O167" i="1"/>
  <c r="N159" i="1"/>
  <c r="P159" i="1" s="1"/>
  <c r="O159" i="1"/>
  <c r="N151" i="1"/>
  <c r="P151" i="1" s="1"/>
  <c r="O151" i="1"/>
  <c r="N143" i="1"/>
  <c r="O143" i="1"/>
  <c r="N135" i="1"/>
  <c r="P135" i="1" s="1"/>
  <c r="O135" i="1"/>
  <c r="Q132" i="1"/>
  <c r="N134" i="1"/>
  <c r="P134" i="1" s="1"/>
  <c r="O134" i="1"/>
  <c r="N214" i="1"/>
  <c r="P214" i="1" s="1"/>
  <c r="O214" i="1"/>
  <c r="N205" i="1"/>
  <c r="P205" i="1" s="1"/>
  <c r="O205" i="1"/>
  <c r="N209" i="1"/>
  <c r="O209" i="1"/>
  <c r="N208" i="1"/>
  <c r="O208" i="1"/>
  <c r="N204" i="1"/>
  <c r="O204" i="1"/>
  <c r="N206" i="1"/>
  <c r="O206" i="1"/>
  <c r="N207" i="1"/>
  <c r="O207" i="1"/>
  <c r="N212" i="1"/>
  <c r="P212" i="1" s="1"/>
  <c r="O212" i="1"/>
  <c r="N211" i="1"/>
  <c r="P211" i="1" s="1"/>
  <c r="O211" i="1"/>
  <c r="N210" i="1"/>
  <c r="P210" i="1" s="1"/>
  <c r="O210" i="1"/>
  <c r="N213" i="1"/>
  <c r="P213" i="1" s="1"/>
  <c r="O213" i="1"/>
  <c r="N202" i="1"/>
  <c r="P202" i="1" s="1"/>
  <c r="O202" i="1"/>
  <c r="N203" i="1"/>
  <c r="O203" i="1"/>
  <c r="N235" i="1"/>
  <c r="O235" i="1"/>
  <c r="N236" i="1"/>
  <c r="O236" i="1"/>
  <c r="N234" i="1"/>
  <c r="P234" i="1" s="1"/>
  <c r="O234" i="1"/>
  <c r="N224" i="1"/>
  <c r="O224" i="1"/>
  <c r="N226" i="1"/>
  <c r="P226" i="1" s="1"/>
  <c r="O226" i="1"/>
  <c r="N225" i="1"/>
  <c r="P225" i="1" s="1"/>
  <c r="O225" i="1"/>
  <c r="N227" i="1"/>
  <c r="O227" i="1"/>
  <c r="N228" i="1"/>
  <c r="O228" i="1"/>
  <c r="N230" i="1"/>
  <c r="O230" i="1"/>
  <c r="N231" i="1"/>
  <c r="P231" i="1" s="1"/>
  <c r="O231" i="1"/>
  <c r="N232" i="1"/>
  <c r="P232" i="1" s="1"/>
  <c r="O232" i="1"/>
  <c r="N239" i="1"/>
  <c r="O239" i="1"/>
  <c r="N240" i="1"/>
  <c r="O240" i="1"/>
  <c r="N241" i="1"/>
  <c r="O241" i="1"/>
  <c r="N237" i="1"/>
  <c r="O237" i="1"/>
  <c r="N238" i="1"/>
  <c r="O238" i="1"/>
  <c r="N229" i="1"/>
  <c r="O229" i="1"/>
  <c r="N223" i="1"/>
  <c r="P223" i="1" s="1"/>
  <c r="O223" i="1"/>
  <c r="N222" i="1"/>
  <c r="O222" i="1"/>
  <c r="N182" i="1"/>
  <c r="O182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0" i="1"/>
  <c r="H291" i="1"/>
  <c r="H292" i="1"/>
  <c r="H293" i="1"/>
  <c r="H294" i="1"/>
  <c r="H295" i="1"/>
  <c r="H296" i="1"/>
  <c r="H299" i="1"/>
  <c r="H300" i="1"/>
  <c r="H301" i="1"/>
  <c r="H246" i="1"/>
  <c r="H245" i="1"/>
  <c r="H244" i="1"/>
  <c r="H242" i="1"/>
  <c r="J361" i="1"/>
  <c r="H361" i="1"/>
  <c r="H347" i="1"/>
  <c r="H348" i="1"/>
  <c r="H349" i="1"/>
  <c r="H351" i="1"/>
  <c r="H352" i="1"/>
  <c r="H353" i="1"/>
  <c r="H355" i="1"/>
  <c r="H356" i="1"/>
  <c r="H357" i="1"/>
  <c r="H359" i="1"/>
  <c r="H345" i="1"/>
  <c r="H344" i="1"/>
  <c r="H343" i="1"/>
  <c r="H342" i="1"/>
  <c r="R103" i="1" l="1"/>
  <c r="R112" i="1"/>
  <c r="Q86" i="1"/>
  <c r="P47" i="1"/>
  <c r="P58" i="1"/>
  <c r="Q47" i="1"/>
  <c r="Q118" i="1"/>
  <c r="Q25" i="1"/>
  <c r="Q103" i="1"/>
  <c r="R11" i="1"/>
  <c r="Q24" i="1"/>
  <c r="R72" i="1"/>
  <c r="P33" i="1"/>
  <c r="R60" i="1"/>
  <c r="Q6" i="1"/>
  <c r="Q93" i="1"/>
  <c r="R102" i="1"/>
  <c r="Q108" i="1"/>
  <c r="P95" i="1"/>
  <c r="R80" i="1"/>
  <c r="P108" i="1"/>
  <c r="Q95" i="1"/>
  <c r="Q28" i="1"/>
  <c r="Q76" i="1"/>
  <c r="R44" i="1"/>
  <c r="Q72" i="1"/>
  <c r="Q39" i="1"/>
  <c r="R53" i="1"/>
  <c r="R39" i="1"/>
  <c r="P51" i="1"/>
  <c r="R29" i="1"/>
  <c r="Q112" i="1"/>
  <c r="Q40" i="1"/>
  <c r="Q44" i="1"/>
  <c r="P25" i="1"/>
  <c r="Q11" i="1"/>
  <c r="P93" i="1"/>
  <c r="R54" i="1"/>
  <c r="R120" i="1"/>
  <c r="R10" i="1"/>
  <c r="P6" i="1"/>
  <c r="Q41" i="1"/>
  <c r="P24" i="1"/>
  <c r="P83" i="1"/>
  <c r="Q120" i="1"/>
  <c r="P57" i="1"/>
  <c r="Q57" i="1"/>
  <c r="Q79" i="1"/>
  <c r="Q68" i="1"/>
  <c r="R104" i="1"/>
  <c r="P66" i="1"/>
  <c r="Q42" i="1"/>
  <c r="Q80" i="1"/>
  <c r="Q29" i="1"/>
  <c r="P81" i="1"/>
  <c r="Q23" i="1"/>
  <c r="Q111" i="1"/>
  <c r="Q104" i="1"/>
  <c r="P16" i="1"/>
  <c r="Q100" i="1"/>
  <c r="R26" i="1"/>
  <c r="Q2" i="1"/>
  <c r="P97" i="1"/>
  <c r="R121" i="1"/>
  <c r="Q62" i="1"/>
  <c r="R20" i="1"/>
  <c r="Q26" i="1"/>
  <c r="P38" i="1"/>
  <c r="Q20" i="1"/>
  <c r="P105" i="1"/>
  <c r="R27" i="1"/>
  <c r="R62" i="1"/>
  <c r="R75" i="1"/>
  <c r="Q85" i="1"/>
  <c r="R2" i="1"/>
  <c r="Q70" i="1"/>
  <c r="Q121" i="1"/>
  <c r="R111" i="1"/>
  <c r="R16" i="1"/>
  <c r="Q54" i="1"/>
  <c r="R79" i="1"/>
  <c r="Q55" i="1"/>
  <c r="R87" i="1"/>
  <c r="Q17" i="1"/>
  <c r="P76" i="1"/>
  <c r="R5" i="1"/>
  <c r="Q14" i="1"/>
  <c r="P70" i="1"/>
  <c r="P119" i="1"/>
  <c r="Q9" i="1"/>
  <c r="R89" i="1"/>
  <c r="P113" i="1"/>
  <c r="P37" i="1"/>
  <c r="Q69" i="1"/>
  <c r="Q8" i="1"/>
  <c r="Q110" i="1"/>
  <c r="P75" i="1"/>
  <c r="Q71" i="1"/>
  <c r="Q58" i="1"/>
  <c r="P43" i="1"/>
  <c r="P92" i="1"/>
  <c r="Q64" i="1"/>
  <c r="Q53" i="1"/>
  <c r="Q107" i="1"/>
  <c r="R90" i="1"/>
  <c r="R78" i="1"/>
  <c r="Q84" i="1"/>
  <c r="P40" i="1"/>
  <c r="R71" i="1"/>
  <c r="Q77" i="1"/>
  <c r="R91" i="1"/>
  <c r="R88" i="1"/>
  <c r="R38" i="1"/>
  <c r="P5" i="1"/>
  <c r="R4" i="1"/>
  <c r="P60" i="1"/>
  <c r="Q89" i="1"/>
  <c r="R118" i="1"/>
  <c r="R52" i="1"/>
  <c r="R86" i="1"/>
  <c r="Q92" i="1"/>
  <c r="P22" i="1"/>
  <c r="R105" i="1"/>
  <c r="R46" i="1"/>
  <c r="Q87" i="1"/>
  <c r="Q18" i="1"/>
  <c r="Q88" i="1"/>
  <c r="R18" i="1"/>
  <c r="P48" i="1"/>
  <c r="R96" i="1"/>
  <c r="Q109" i="1"/>
  <c r="R37" i="1"/>
  <c r="Q33" i="1"/>
  <c r="P8" i="1"/>
  <c r="Q96" i="1"/>
  <c r="Q43" i="1"/>
  <c r="R94" i="1"/>
  <c r="Q59" i="1"/>
  <c r="P30" i="1"/>
  <c r="P90" i="1"/>
  <c r="R64" i="1"/>
  <c r="Q94" i="1"/>
  <c r="P91" i="1"/>
  <c r="P27" i="1"/>
  <c r="R55" i="1"/>
  <c r="P9" i="1"/>
  <c r="P59" i="1"/>
  <c r="Q52" i="1"/>
  <c r="P77" i="1"/>
  <c r="R110" i="1"/>
  <c r="N284" i="1"/>
  <c r="O284" i="1"/>
  <c r="N342" i="1"/>
  <c r="P342" i="1" s="1"/>
  <c r="O342" i="1"/>
  <c r="N242" i="1"/>
  <c r="O242" i="1"/>
  <c r="N286" i="1"/>
  <c r="O286" i="1"/>
  <c r="N278" i="1"/>
  <c r="O278" i="1"/>
  <c r="N262" i="1"/>
  <c r="P262" i="1" s="1"/>
  <c r="O262" i="1"/>
  <c r="N254" i="1"/>
  <c r="O254" i="1"/>
  <c r="R316" i="1"/>
  <c r="Q316" i="1"/>
  <c r="R73" i="1"/>
  <c r="R310" i="1"/>
  <c r="Q310" i="1"/>
  <c r="P117" i="1"/>
  <c r="R74" i="1"/>
  <c r="Q335" i="1"/>
  <c r="R335" i="1"/>
  <c r="R56" i="1"/>
  <c r="R67" i="1"/>
  <c r="R101" i="1"/>
  <c r="Q106" i="1"/>
  <c r="R85" i="1"/>
  <c r="R314" i="1"/>
  <c r="Q314" i="1"/>
  <c r="Q22" i="1"/>
  <c r="N276" i="1"/>
  <c r="O276" i="1"/>
  <c r="N353" i="1"/>
  <c r="P353" i="1" s="1"/>
  <c r="O353" i="1"/>
  <c r="N295" i="1"/>
  <c r="P295" i="1" s="1"/>
  <c r="O295" i="1"/>
  <c r="N270" i="1"/>
  <c r="O270" i="1"/>
  <c r="Q317" i="1"/>
  <c r="R317" i="1"/>
  <c r="N343" i="1"/>
  <c r="P343" i="1" s="1"/>
  <c r="O343" i="1"/>
  <c r="N352" i="1"/>
  <c r="P352" i="1" s="1"/>
  <c r="O352" i="1"/>
  <c r="O244" i="1"/>
  <c r="N244" i="1"/>
  <c r="N294" i="1"/>
  <c r="P294" i="1" s="1"/>
  <c r="O294" i="1"/>
  <c r="N285" i="1"/>
  <c r="P285" i="1" s="1"/>
  <c r="O285" i="1"/>
  <c r="N277" i="1"/>
  <c r="O277" i="1"/>
  <c r="N269" i="1"/>
  <c r="O269" i="1"/>
  <c r="N261" i="1"/>
  <c r="P261" i="1" s="1"/>
  <c r="O261" i="1"/>
  <c r="O253" i="1"/>
  <c r="N253" i="1"/>
  <c r="Q315" i="1"/>
  <c r="R315" i="1"/>
  <c r="P73" i="1"/>
  <c r="Q36" i="1"/>
  <c r="Q101" i="1"/>
  <c r="P316" i="1"/>
  <c r="Q340" i="1"/>
  <c r="R340" i="1"/>
  <c r="P49" i="1"/>
  <c r="P74" i="1"/>
  <c r="R97" i="1"/>
  <c r="P317" i="1"/>
  <c r="R341" i="1"/>
  <c r="Q341" i="1"/>
  <c r="P50" i="1"/>
  <c r="P115" i="1"/>
  <c r="Q81" i="1"/>
  <c r="R15" i="1"/>
  <c r="Q334" i="1"/>
  <c r="R334" i="1"/>
  <c r="Q34" i="1"/>
  <c r="R312" i="1"/>
  <c r="Q312" i="1"/>
  <c r="R82" i="1"/>
  <c r="Q35" i="1"/>
  <c r="R100" i="1"/>
  <c r="R109" i="1"/>
  <c r="Q114" i="1"/>
  <c r="R321" i="1"/>
  <c r="Q321" i="1"/>
  <c r="Q45" i="1"/>
  <c r="Q99" i="1"/>
  <c r="R17" i="1"/>
  <c r="N351" i="1"/>
  <c r="O351" i="1"/>
  <c r="N252" i="1"/>
  <c r="O252" i="1"/>
  <c r="Q339" i="1"/>
  <c r="R339" i="1"/>
  <c r="N345" i="1"/>
  <c r="O345" i="1"/>
  <c r="N349" i="1"/>
  <c r="P349" i="1" s="1"/>
  <c r="O349" i="1"/>
  <c r="N246" i="1"/>
  <c r="O246" i="1"/>
  <c r="N292" i="1"/>
  <c r="O292" i="1"/>
  <c r="N283" i="1"/>
  <c r="P283" i="1" s="1"/>
  <c r="O283" i="1"/>
  <c r="N275" i="1"/>
  <c r="P275" i="1" s="1"/>
  <c r="O275" i="1"/>
  <c r="N267" i="1"/>
  <c r="O267" i="1"/>
  <c r="N259" i="1"/>
  <c r="P259" i="1" s="1"/>
  <c r="O259" i="1"/>
  <c r="N251" i="1"/>
  <c r="O251" i="1"/>
  <c r="P339" i="1"/>
  <c r="P14" i="1"/>
  <c r="P56" i="1"/>
  <c r="Q123" i="1"/>
  <c r="R123" i="1"/>
  <c r="Q324" i="1"/>
  <c r="R324" i="1"/>
  <c r="Q48" i="1"/>
  <c r="P106" i="1"/>
  <c r="R113" i="1"/>
  <c r="Q325" i="1"/>
  <c r="R325" i="1"/>
  <c r="Q49" i="1"/>
  <c r="P34" i="1"/>
  <c r="P99" i="1"/>
  <c r="R124" i="1"/>
  <c r="Q124" i="1"/>
  <c r="R98" i="1"/>
  <c r="Q318" i="1"/>
  <c r="R318" i="1"/>
  <c r="R13" i="1"/>
  <c r="Q50" i="1"/>
  <c r="P35" i="1"/>
  <c r="Q125" i="1"/>
  <c r="R125" i="1"/>
  <c r="P45" i="1"/>
  <c r="Q51" i="1"/>
  <c r="P36" i="1"/>
  <c r="Q126" i="1"/>
  <c r="R126" i="1"/>
  <c r="P133" i="1"/>
  <c r="Q133" i="1"/>
  <c r="Q66" i="1"/>
  <c r="Q304" i="1"/>
  <c r="R304" i="1"/>
  <c r="Q4" i="1"/>
  <c r="P63" i="1"/>
  <c r="Q30" i="1"/>
  <c r="Q115" i="1"/>
  <c r="R330" i="1"/>
  <c r="Q330" i="1"/>
  <c r="P13" i="1"/>
  <c r="P19" i="1"/>
  <c r="P78" i="1"/>
  <c r="N293" i="1"/>
  <c r="O293" i="1"/>
  <c r="Q122" i="1"/>
  <c r="R122" i="1"/>
  <c r="Q128" i="1"/>
  <c r="R128" i="1"/>
  <c r="Q129" i="1"/>
  <c r="R129" i="1"/>
  <c r="N359" i="1"/>
  <c r="O359" i="1"/>
  <c r="N348" i="1"/>
  <c r="O348" i="1"/>
  <c r="N301" i="1"/>
  <c r="P301" i="1" s="1"/>
  <c r="O301" i="1"/>
  <c r="N291" i="1"/>
  <c r="P291" i="1" s="1"/>
  <c r="O291" i="1"/>
  <c r="N282" i="1"/>
  <c r="P282" i="1" s="1"/>
  <c r="O282" i="1"/>
  <c r="N274" i="1"/>
  <c r="O274" i="1"/>
  <c r="N266" i="1"/>
  <c r="O266" i="1"/>
  <c r="N258" i="1"/>
  <c r="O258" i="1"/>
  <c r="N250" i="1"/>
  <c r="O250" i="1"/>
  <c r="Q323" i="1"/>
  <c r="R323" i="1"/>
  <c r="R19" i="1"/>
  <c r="P15" i="1"/>
  <c r="P82" i="1"/>
  <c r="P131" i="1"/>
  <c r="Q131" i="1"/>
  <c r="R131" i="1"/>
  <c r="R41" i="1"/>
  <c r="R107" i="1"/>
  <c r="R68" i="1"/>
  <c r="Q329" i="1"/>
  <c r="R329" i="1"/>
  <c r="Q65" i="1"/>
  <c r="O245" i="1"/>
  <c r="N245" i="1"/>
  <c r="N357" i="1"/>
  <c r="P357" i="1" s="1"/>
  <c r="O357" i="1"/>
  <c r="N281" i="1"/>
  <c r="P281" i="1" s="1"/>
  <c r="O281" i="1"/>
  <c r="N265" i="1"/>
  <c r="P265" i="1" s="1"/>
  <c r="O265" i="1"/>
  <c r="O257" i="1"/>
  <c r="N257" i="1"/>
  <c r="N249" i="1"/>
  <c r="O249" i="1"/>
  <c r="Q130" i="1"/>
  <c r="R130" i="1"/>
  <c r="R63" i="1"/>
  <c r="R308" i="1"/>
  <c r="Q308" i="1"/>
  <c r="Q309" i="1"/>
  <c r="R309" i="1"/>
  <c r="Q303" i="1"/>
  <c r="R303" i="1"/>
  <c r="R114" i="1"/>
  <c r="P84" i="1"/>
  <c r="R83" i="1"/>
  <c r="R327" i="1"/>
  <c r="Q327" i="1"/>
  <c r="P329" i="1"/>
  <c r="R42" i="1"/>
  <c r="P46" i="1"/>
  <c r="Q67" i="1"/>
  <c r="N268" i="1"/>
  <c r="O268" i="1"/>
  <c r="N300" i="1"/>
  <c r="P300" i="1" s="1"/>
  <c r="O300" i="1"/>
  <c r="N356" i="1"/>
  <c r="P356" i="1" s="1"/>
  <c r="O356" i="1"/>
  <c r="N299" i="1"/>
  <c r="P299" i="1" s="1"/>
  <c r="O299" i="1"/>
  <c r="N272" i="1"/>
  <c r="P272" i="1" s="1"/>
  <c r="O272" i="1"/>
  <c r="N256" i="1"/>
  <c r="O256" i="1"/>
  <c r="R307" i="1"/>
  <c r="Q307" i="1"/>
  <c r="P65" i="1"/>
  <c r="P130" i="1"/>
  <c r="P308" i="1"/>
  <c r="Q332" i="1"/>
  <c r="R332" i="1"/>
  <c r="P309" i="1"/>
  <c r="R333" i="1"/>
  <c r="Q333" i="1"/>
  <c r="Q326" i="1"/>
  <c r="R326" i="1"/>
  <c r="R336" i="1"/>
  <c r="Q336" i="1"/>
  <c r="Q313" i="1"/>
  <c r="R313" i="1"/>
  <c r="R322" i="1"/>
  <c r="Q322" i="1"/>
  <c r="R69" i="1"/>
  <c r="R305" i="1"/>
  <c r="Q305" i="1"/>
  <c r="Q127" i="1"/>
  <c r="R127" i="1"/>
  <c r="N344" i="1"/>
  <c r="O344" i="1"/>
  <c r="N260" i="1"/>
  <c r="P260" i="1" s="1"/>
  <c r="O260" i="1"/>
  <c r="Q320" i="1"/>
  <c r="R320" i="1"/>
  <c r="R319" i="1"/>
  <c r="Q319" i="1"/>
  <c r="N347" i="1"/>
  <c r="O347" i="1"/>
  <c r="N290" i="1"/>
  <c r="P290" i="1" s="1"/>
  <c r="O290" i="1"/>
  <c r="N273" i="1"/>
  <c r="P273" i="1" s="1"/>
  <c r="O273" i="1"/>
  <c r="N361" i="1"/>
  <c r="R361" i="1" s="1"/>
  <c r="O361" i="1"/>
  <c r="N289" i="1"/>
  <c r="P289" i="1" s="1"/>
  <c r="O289" i="1"/>
  <c r="N280" i="1"/>
  <c r="P280" i="1" s="1"/>
  <c r="O280" i="1"/>
  <c r="N264" i="1"/>
  <c r="P264" i="1" s="1"/>
  <c r="O264" i="1"/>
  <c r="N248" i="1"/>
  <c r="O248" i="1"/>
  <c r="N355" i="1"/>
  <c r="P355" i="1" s="1"/>
  <c r="O355" i="1"/>
  <c r="N296" i="1"/>
  <c r="P296" i="1" s="1"/>
  <c r="O296" i="1"/>
  <c r="N287" i="1"/>
  <c r="O287" i="1"/>
  <c r="N279" i="1"/>
  <c r="P279" i="1" s="1"/>
  <c r="O279" i="1"/>
  <c r="N271" i="1"/>
  <c r="P271" i="1" s="1"/>
  <c r="O271" i="1"/>
  <c r="N263" i="1"/>
  <c r="P263" i="1" s="1"/>
  <c r="O263" i="1"/>
  <c r="N255" i="1"/>
  <c r="O255" i="1"/>
  <c r="O247" i="1"/>
  <c r="N247" i="1"/>
  <c r="P307" i="1"/>
  <c r="Q331" i="1"/>
  <c r="R331" i="1"/>
  <c r="P332" i="1"/>
  <c r="P23" i="1"/>
  <c r="P98" i="1"/>
  <c r="P333" i="1"/>
  <c r="Q328" i="1"/>
  <c r="R328" i="1"/>
  <c r="P310" i="1"/>
  <c r="Q311" i="1"/>
  <c r="R311" i="1"/>
  <c r="P313" i="1"/>
  <c r="Q337" i="1"/>
  <c r="R337" i="1"/>
  <c r="Q338" i="1"/>
  <c r="R338" i="1"/>
  <c r="R143" i="1"/>
  <c r="Q143" i="1"/>
  <c r="R152" i="1"/>
  <c r="Q152" i="1"/>
  <c r="R221" i="1"/>
  <c r="Q221" i="1"/>
  <c r="Q170" i="1"/>
  <c r="R170" i="1"/>
  <c r="R155" i="1"/>
  <c r="Q155" i="1"/>
  <c r="R217" i="1"/>
  <c r="Q217" i="1"/>
  <c r="R149" i="1"/>
  <c r="Q149" i="1"/>
  <c r="R148" i="1"/>
  <c r="Q148" i="1"/>
  <c r="R168" i="1"/>
  <c r="Q168" i="1"/>
  <c r="R171" i="1"/>
  <c r="Q171" i="1"/>
  <c r="Q150" i="1"/>
  <c r="R150" i="1"/>
  <c r="Q172" i="1"/>
  <c r="R172" i="1"/>
  <c r="Q176" i="1"/>
  <c r="R176" i="1"/>
  <c r="R160" i="1"/>
  <c r="Q160" i="1"/>
  <c r="R169" i="1"/>
  <c r="Q169" i="1"/>
  <c r="R179" i="1"/>
  <c r="Q179" i="1"/>
  <c r="Q163" i="1"/>
  <c r="R163" i="1"/>
  <c r="Q157" i="1"/>
  <c r="R157" i="1"/>
  <c r="Q146" i="1"/>
  <c r="R146" i="1"/>
  <c r="Q219" i="1"/>
  <c r="R219" i="1"/>
  <c r="R141" i="1"/>
  <c r="Q141" i="1"/>
  <c r="P219" i="1"/>
  <c r="R142" i="1"/>
  <c r="Q142" i="1"/>
  <c r="R151" i="1"/>
  <c r="Q151" i="1"/>
  <c r="Q145" i="1"/>
  <c r="R145" i="1"/>
  <c r="Q154" i="1"/>
  <c r="R154" i="1"/>
  <c r="Q139" i="1"/>
  <c r="R139" i="1"/>
  <c r="R134" i="1"/>
  <c r="Q134" i="1"/>
  <c r="R135" i="1"/>
  <c r="Q135" i="1"/>
  <c r="Q144" i="1"/>
  <c r="R144" i="1"/>
  <c r="R153" i="1"/>
  <c r="Q153" i="1"/>
  <c r="Q158" i="1"/>
  <c r="R158" i="1"/>
  <c r="Q138" i="1"/>
  <c r="R138" i="1"/>
  <c r="P179" i="1"/>
  <c r="Q165" i="1"/>
  <c r="R165" i="1"/>
  <c r="R156" i="1"/>
  <c r="Q156" i="1"/>
  <c r="Q166" i="1"/>
  <c r="R166" i="1"/>
  <c r="P170" i="1"/>
  <c r="Q159" i="1"/>
  <c r="R159" i="1"/>
  <c r="R220" i="1"/>
  <c r="Q220" i="1"/>
  <c r="R177" i="1"/>
  <c r="Q177" i="1"/>
  <c r="P153" i="1"/>
  <c r="Q178" i="1"/>
  <c r="R178" i="1"/>
  <c r="P138" i="1"/>
  <c r="R162" i="1"/>
  <c r="Q162" i="1"/>
  <c r="Q216" i="1"/>
  <c r="R216" i="1"/>
  <c r="Q174" i="1"/>
  <c r="R174" i="1"/>
  <c r="R147" i="1"/>
  <c r="Q147" i="1"/>
  <c r="Q181" i="1"/>
  <c r="R181" i="1"/>
  <c r="Q173" i="1"/>
  <c r="R173" i="1"/>
  <c r="P143" i="1"/>
  <c r="P152" i="1"/>
  <c r="R137" i="1"/>
  <c r="Q137" i="1"/>
  <c r="P166" i="1"/>
  <c r="Q218" i="1"/>
  <c r="R218" i="1"/>
  <c r="Q180" i="1"/>
  <c r="R180" i="1"/>
  <c r="Q140" i="1"/>
  <c r="R140" i="1"/>
  <c r="Q161" i="1"/>
  <c r="R161" i="1"/>
  <c r="R215" i="1"/>
  <c r="Q215" i="1"/>
  <c r="Q164" i="1"/>
  <c r="R164" i="1"/>
  <c r="Q167" i="1"/>
  <c r="R167" i="1"/>
  <c r="P146" i="1"/>
  <c r="Q136" i="1"/>
  <c r="R136" i="1"/>
  <c r="Q214" i="1"/>
  <c r="R214" i="1"/>
  <c r="R205" i="1"/>
  <c r="Q205" i="1"/>
  <c r="Q209" i="1"/>
  <c r="R209" i="1"/>
  <c r="P209" i="1"/>
  <c r="R208" i="1"/>
  <c r="Q208" i="1"/>
  <c r="P208" i="1"/>
  <c r="Q204" i="1"/>
  <c r="R204" i="1"/>
  <c r="P204" i="1"/>
  <c r="R206" i="1"/>
  <c r="Q206" i="1"/>
  <c r="P206" i="1"/>
  <c r="Q207" i="1"/>
  <c r="R207" i="1"/>
  <c r="P207" i="1"/>
  <c r="Q212" i="1"/>
  <c r="R212" i="1"/>
  <c r="R211" i="1"/>
  <c r="Q211" i="1"/>
  <c r="Q210" i="1"/>
  <c r="R210" i="1"/>
  <c r="R213" i="1"/>
  <c r="Q213" i="1"/>
  <c r="Q202" i="1"/>
  <c r="R202" i="1"/>
  <c r="Q203" i="1"/>
  <c r="R203" i="1"/>
  <c r="P203" i="1"/>
  <c r="R235" i="1"/>
  <c r="Q235" i="1"/>
  <c r="P235" i="1"/>
  <c r="Q236" i="1"/>
  <c r="R236" i="1"/>
  <c r="P236" i="1"/>
  <c r="R234" i="1"/>
  <c r="Q234" i="1"/>
  <c r="Q224" i="1"/>
  <c r="R224" i="1"/>
  <c r="P224" i="1"/>
  <c r="R226" i="1"/>
  <c r="Q226" i="1"/>
  <c r="Q225" i="1"/>
  <c r="R225" i="1"/>
  <c r="R227" i="1"/>
  <c r="Q227" i="1"/>
  <c r="P227" i="1"/>
  <c r="Q228" i="1"/>
  <c r="R228" i="1"/>
  <c r="P228" i="1"/>
  <c r="R230" i="1"/>
  <c r="Q230" i="1"/>
  <c r="P230" i="1"/>
  <c r="Q231" i="1"/>
  <c r="R231" i="1"/>
  <c r="Q232" i="1"/>
  <c r="R232" i="1"/>
  <c r="R239" i="1"/>
  <c r="Q239" i="1"/>
  <c r="P239" i="1"/>
  <c r="R240" i="1"/>
  <c r="Q240" i="1"/>
  <c r="P240" i="1"/>
  <c r="Q241" i="1"/>
  <c r="R241" i="1"/>
  <c r="P241" i="1"/>
  <c r="R237" i="1"/>
  <c r="Q237" i="1"/>
  <c r="P237" i="1"/>
  <c r="Q238" i="1"/>
  <c r="R238" i="1"/>
  <c r="P238" i="1"/>
  <c r="Q229" i="1"/>
  <c r="R229" i="1"/>
  <c r="P229" i="1"/>
  <c r="Q223" i="1"/>
  <c r="R223" i="1"/>
  <c r="Q222" i="1"/>
  <c r="R222" i="1"/>
  <c r="P222" i="1"/>
  <c r="R182" i="1"/>
  <c r="Q182" i="1"/>
  <c r="P182" i="1"/>
  <c r="D240" i="1"/>
  <c r="C240" i="1"/>
  <c r="D238" i="1"/>
  <c r="C238" i="1"/>
  <c r="D236" i="1"/>
  <c r="C236" i="1"/>
  <c r="D235" i="1"/>
  <c r="C235" i="1"/>
  <c r="D232" i="1"/>
  <c r="C232" i="1"/>
  <c r="D231" i="1"/>
  <c r="C231" i="1"/>
  <c r="F230" i="1"/>
  <c r="D230" i="1"/>
  <c r="C230" i="1"/>
  <c r="D229" i="1"/>
  <c r="C229" i="1"/>
  <c r="D227" i="1"/>
  <c r="C227" i="1"/>
  <c r="D226" i="1"/>
  <c r="C226" i="1"/>
  <c r="F225" i="1"/>
  <c r="D225" i="1"/>
  <c r="C225" i="1"/>
  <c r="D224" i="1"/>
  <c r="C224" i="1"/>
  <c r="D222" i="1"/>
  <c r="C222" i="1"/>
  <c r="D221" i="1"/>
  <c r="C221" i="1"/>
  <c r="D220" i="1"/>
  <c r="C220" i="1"/>
  <c r="D219" i="1"/>
  <c r="C219" i="1"/>
  <c r="D218" i="1"/>
  <c r="C218" i="1"/>
  <c r="C216" i="1"/>
  <c r="D216" i="1"/>
  <c r="D214" i="1"/>
  <c r="C214" i="1"/>
  <c r="D213" i="1"/>
  <c r="C213" i="1"/>
  <c r="D212" i="1"/>
  <c r="C212" i="1"/>
  <c r="D205" i="1"/>
  <c r="C205" i="1"/>
  <c r="D201" i="1"/>
  <c r="C201" i="1"/>
  <c r="D196" i="1"/>
  <c r="C196" i="1"/>
  <c r="F195" i="1"/>
  <c r="D195" i="1"/>
  <c r="C195" i="1"/>
  <c r="D192" i="1"/>
  <c r="C192" i="1"/>
  <c r="D191" i="1"/>
  <c r="C191" i="1"/>
  <c r="D189" i="1"/>
  <c r="C189" i="1"/>
  <c r="F188" i="1"/>
  <c r="D188" i="1"/>
  <c r="C188" i="1"/>
  <c r="R264" i="1" l="1"/>
  <c r="Q264" i="1"/>
  <c r="Q290" i="1"/>
  <c r="R290" i="1"/>
  <c r="R272" i="1"/>
  <c r="Q272" i="1"/>
  <c r="P258" i="1"/>
  <c r="Q258" i="1"/>
  <c r="R258" i="1"/>
  <c r="Q282" i="1"/>
  <c r="R282" i="1"/>
  <c r="R283" i="1"/>
  <c r="Q283" i="1"/>
  <c r="R261" i="1"/>
  <c r="Q261" i="1"/>
  <c r="R270" i="1"/>
  <c r="Q270" i="1"/>
  <c r="P242" i="1"/>
  <c r="Q242" i="1"/>
  <c r="R242" i="1"/>
  <c r="P255" i="1"/>
  <c r="R255" i="1"/>
  <c r="Q255" i="1"/>
  <c r="R279" i="1"/>
  <c r="Q279" i="1"/>
  <c r="Q361" i="1"/>
  <c r="P361" i="1"/>
  <c r="R260" i="1"/>
  <c r="Q260" i="1"/>
  <c r="P249" i="1"/>
  <c r="R249" i="1"/>
  <c r="Q249" i="1"/>
  <c r="Q281" i="1"/>
  <c r="R281" i="1"/>
  <c r="R348" i="1"/>
  <c r="Q348" i="1"/>
  <c r="R267" i="1"/>
  <c r="Q267" i="1"/>
  <c r="Q351" i="1"/>
  <c r="R351" i="1"/>
  <c r="R285" i="1"/>
  <c r="Q285" i="1"/>
  <c r="R352" i="1"/>
  <c r="Q352" i="1"/>
  <c r="P270" i="1"/>
  <c r="Q276" i="1"/>
  <c r="R276" i="1"/>
  <c r="Q349" i="1"/>
  <c r="R349" i="1"/>
  <c r="R347" i="1"/>
  <c r="Q347" i="1"/>
  <c r="R300" i="1"/>
  <c r="Q300" i="1"/>
  <c r="P257" i="1"/>
  <c r="R257" i="1"/>
  <c r="Q257" i="1"/>
  <c r="Q266" i="1"/>
  <c r="R266" i="1"/>
  <c r="P348" i="1"/>
  <c r="P267" i="1"/>
  <c r="R292" i="1"/>
  <c r="Q292" i="1"/>
  <c r="Q345" i="1"/>
  <c r="R345" i="1"/>
  <c r="P351" i="1"/>
  <c r="Q269" i="1"/>
  <c r="R269" i="1"/>
  <c r="P276" i="1"/>
  <c r="Q278" i="1"/>
  <c r="R278" i="1"/>
  <c r="R296" i="1"/>
  <c r="Q296" i="1"/>
  <c r="P252" i="1"/>
  <c r="R252" i="1"/>
  <c r="Q252" i="1"/>
  <c r="R262" i="1"/>
  <c r="Q262" i="1"/>
  <c r="Q263" i="1"/>
  <c r="R263" i="1"/>
  <c r="R355" i="1"/>
  <c r="Q355" i="1"/>
  <c r="R280" i="1"/>
  <c r="Q280" i="1"/>
  <c r="P347" i="1"/>
  <c r="Q299" i="1"/>
  <c r="R299" i="1"/>
  <c r="R357" i="1"/>
  <c r="Q357" i="1"/>
  <c r="P266" i="1"/>
  <c r="R291" i="1"/>
  <c r="Q291" i="1"/>
  <c r="P292" i="1"/>
  <c r="P345" i="1"/>
  <c r="P269" i="1"/>
  <c r="R294" i="1"/>
  <c r="Q294" i="1"/>
  <c r="R343" i="1"/>
  <c r="Q343" i="1"/>
  <c r="R295" i="1"/>
  <c r="Q295" i="1"/>
  <c r="P278" i="1"/>
  <c r="R342" i="1"/>
  <c r="Q342" i="1"/>
  <c r="Q287" i="1"/>
  <c r="R287" i="1"/>
  <c r="Q344" i="1"/>
  <c r="R344" i="1"/>
  <c r="R268" i="1"/>
  <c r="Q268" i="1"/>
  <c r="R359" i="1"/>
  <c r="Q359" i="1"/>
  <c r="P251" i="1"/>
  <c r="R251" i="1"/>
  <c r="Q251" i="1"/>
  <c r="P253" i="1"/>
  <c r="R253" i="1"/>
  <c r="Q253" i="1"/>
  <c r="P245" i="1"/>
  <c r="R245" i="1"/>
  <c r="Q245" i="1"/>
  <c r="P359" i="1"/>
  <c r="Q275" i="1"/>
  <c r="R275" i="1"/>
  <c r="P246" i="1"/>
  <c r="Q246" i="1"/>
  <c r="R246" i="1"/>
  <c r="Q277" i="1"/>
  <c r="R277" i="1"/>
  <c r="P244" i="1"/>
  <c r="R244" i="1"/>
  <c r="Q244" i="1"/>
  <c r="P254" i="1"/>
  <c r="R254" i="1"/>
  <c r="Q254" i="1"/>
  <c r="R286" i="1"/>
  <c r="Q286" i="1"/>
  <c r="Q284" i="1"/>
  <c r="R284" i="1"/>
  <c r="P287" i="1"/>
  <c r="R273" i="1"/>
  <c r="Q273" i="1"/>
  <c r="P344" i="1"/>
  <c r="P268" i="1"/>
  <c r="Q274" i="1"/>
  <c r="R274" i="1"/>
  <c r="Q293" i="1"/>
  <c r="R293" i="1"/>
  <c r="P247" i="1"/>
  <c r="R247" i="1"/>
  <c r="Q247" i="1"/>
  <c r="Q271" i="1"/>
  <c r="R271" i="1"/>
  <c r="P248" i="1"/>
  <c r="Q248" i="1"/>
  <c r="R248" i="1"/>
  <c r="Q289" i="1"/>
  <c r="R289" i="1"/>
  <c r="P256" i="1"/>
  <c r="Q256" i="1"/>
  <c r="R256" i="1"/>
  <c r="Q356" i="1"/>
  <c r="R356" i="1"/>
  <c r="Q265" i="1"/>
  <c r="R265" i="1"/>
  <c r="P250" i="1"/>
  <c r="Q250" i="1"/>
  <c r="R250" i="1"/>
  <c r="P274" i="1"/>
  <c r="Q301" i="1"/>
  <c r="R301" i="1"/>
  <c r="P293" i="1"/>
  <c r="Q259" i="1"/>
  <c r="R259" i="1"/>
  <c r="P277" i="1"/>
  <c r="Q353" i="1"/>
  <c r="R353" i="1"/>
  <c r="P286" i="1"/>
  <c r="P284" i="1"/>
  <c r="D181" i="1"/>
  <c r="C181" i="1"/>
  <c r="D180" i="1"/>
  <c r="C180" i="1"/>
  <c r="D178" i="1"/>
  <c r="C178" i="1"/>
  <c r="D177" i="1"/>
  <c r="C177" i="1"/>
  <c r="D174" i="1"/>
  <c r="C174" i="1"/>
  <c r="D173" i="1"/>
  <c r="C173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3" i="1"/>
  <c r="C163" i="1"/>
  <c r="D162" i="1"/>
  <c r="C162" i="1"/>
  <c r="D160" i="1"/>
  <c r="C160" i="1"/>
  <c r="D158" i="1"/>
  <c r="C158" i="1"/>
  <c r="F156" i="1"/>
  <c r="D156" i="1"/>
  <c r="C156" i="1"/>
  <c r="D155" i="1"/>
  <c r="C155" i="1"/>
  <c r="D153" i="1"/>
  <c r="C153" i="1"/>
  <c r="D152" i="1"/>
  <c r="C152" i="1"/>
  <c r="D151" i="1"/>
  <c r="C151" i="1"/>
  <c r="C150" i="1"/>
  <c r="D150" i="1"/>
  <c r="D149" i="1"/>
  <c r="C149" i="1"/>
  <c r="D143" i="1"/>
  <c r="C143" i="1"/>
  <c r="D144" i="1"/>
  <c r="C144" i="1"/>
  <c r="D145" i="1"/>
  <c r="C145" i="1"/>
  <c r="D146" i="1"/>
  <c r="C146" i="1"/>
  <c r="D148" i="1"/>
  <c r="C148" i="1"/>
  <c r="D142" i="1"/>
  <c r="C142" i="1"/>
  <c r="D141" i="1"/>
  <c r="C141" i="1"/>
  <c r="D140" i="1"/>
  <c r="C140" i="1"/>
  <c r="D139" i="1"/>
  <c r="C139" i="1"/>
  <c r="D138" i="1"/>
  <c r="C138" i="1"/>
  <c r="D136" i="1"/>
  <c r="C136" i="1"/>
  <c r="D133" i="1"/>
  <c r="C133" i="1"/>
  <c r="D132" i="1"/>
  <c r="C132" i="1"/>
  <c r="D131" i="1"/>
  <c r="C131" i="1"/>
  <c r="D130" i="1"/>
  <c r="C130" i="1"/>
  <c r="C128" i="1"/>
  <c r="D126" i="1"/>
  <c r="C126" i="1"/>
  <c r="C125" i="1"/>
  <c r="E125" i="1" s="1"/>
  <c r="E127" i="1"/>
  <c r="E129" i="1"/>
  <c r="E134" i="1"/>
  <c r="E135" i="1"/>
  <c r="E137" i="1"/>
  <c r="E147" i="1"/>
  <c r="E154" i="1"/>
  <c r="E157" i="1"/>
  <c r="E159" i="1"/>
  <c r="E161" i="1"/>
  <c r="E164" i="1"/>
  <c r="E172" i="1"/>
  <c r="E176" i="1"/>
  <c r="E179" i="1"/>
  <c r="E182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4" i="1"/>
  <c r="E235" i="1"/>
  <c r="E236" i="1"/>
  <c r="E237" i="1"/>
  <c r="E238" i="1"/>
  <c r="E239" i="1"/>
  <c r="E240" i="1"/>
  <c r="E241" i="1"/>
  <c r="D124" i="1"/>
  <c r="C124" i="1"/>
  <c r="E123" i="1"/>
  <c r="E122" i="1"/>
  <c r="E145" i="1" l="1"/>
  <c r="E155" i="1"/>
  <c r="E151" i="1"/>
  <c r="E165" i="1"/>
  <c r="E169" i="1"/>
  <c r="E174" i="1"/>
  <c r="E181" i="1"/>
  <c r="E124" i="1"/>
  <c r="E153" i="1"/>
  <c r="E170" i="1"/>
  <c r="E177" i="1"/>
  <c r="E152" i="1"/>
  <c r="E167" i="1"/>
  <c r="E171" i="1"/>
  <c r="E178" i="1"/>
  <c r="E139" i="1"/>
  <c r="E131" i="1"/>
  <c r="E168" i="1"/>
  <c r="E180" i="1"/>
  <c r="E144" i="1"/>
  <c r="E150" i="1"/>
  <c r="E126" i="1"/>
  <c r="E173" i="1"/>
  <c r="E128" i="1"/>
  <c r="E149" i="1"/>
  <c r="E166" i="1"/>
  <c r="E163" i="1"/>
  <c r="E162" i="1"/>
  <c r="E160" i="1"/>
  <c r="E158" i="1"/>
  <c r="E156" i="1"/>
  <c r="E143" i="1"/>
  <c r="E146" i="1"/>
  <c r="E148" i="1"/>
  <c r="E142" i="1"/>
  <c r="E141" i="1"/>
  <c r="E140" i="1"/>
  <c r="E138" i="1"/>
  <c r="E136" i="1"/>
  <c r="E133" i="1"/>
  <c r="E132" i="1"/>
  <c r="E130" i="1"/>
  <c r="D115" i="1"/>
  <c r="C115" i="1"/>
  <c r="D114" i="1"/>
  <c r="C114" i="1"/>
  <c r="D113" i="1"/>
  <c r="C113" i="1"/>
  <c r="D112" i="1"/>
  <c r="C112" i="1"/>
  <c r="D111" i="1"/>
  <c r="C111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1" i="1"/>
  <c r="C101" i="1"/>
  <c r="C100" i="1"/>
  <c r="D100" i="1"/>
  <c r="D98" i="1"/>
  <c r="C98" i="1"/>
  <c r="D97" i="1"/>
  <c r="C97" i="1"/>
  <c r="D93" i="1"/>
  <c r="C93" i="1"/>
  <c r="D92" i="1"/>
  <c r="C92" i="1"/>
  <c r="D91" i="1"/>
  <c r="C91" i="1"/>
  <c r="F90" i="1"/>
  <c r="D90" i="1"/>
  <c r="C90" i="1"/>
  <c r="F88" i="1"/>
  <c r="D88" i="1"/>
  <c r="C88" i="1"/>
  <c r="F87" i="1"/>
  <c r="D87" i="1"/>
  <c r="C87" i="1"/>
  <c r="F84" i="1"/>
  <c r="D84" i="1"/>
  <c r="C84" i="1"/>
  <c r="D83" i="1"/>
  <c r="C83" i="1"/>
  <c r="F76" i="1"/>
  <c r="D76" i="1"/>
  <c r="C76" i="1"/>
  <c r="F75" i="1"/>
  <c r="D75" i="1"/>
  <c r="C75" i="1"/>
  <c r="D73" i="1"/>
  <c r="C73" i="1"/>
  <c r="F72" i="1"/>
  <c r="E74" i="1"/>
  <c r="E77" i="1"/>
  <c r="E78" i="1"/>
  <c r="E79" i="1"/>
  <c r="E80" i="1"/>
  <c r="E81" i="1"/>
  <c r="E82" i="1"/>
  <c r="E85" i="1"/>
  <c r="E86" i="1"/>
  <c r="E89" i="1"/>
  <c r="E94" i="1"/>
  <c r="E95" i="1"/>
  <c r="E96" i="1"/>
  <c r="E99" i="1"/>
  <c r="E102" i="1"/>
  <c r="E110" i="1"/>
  <c r="E117" i="1"/>
  <c r="E118" i="1"/>
  <c r="E119" i="1"/>
  <c r="E120" i="1"/>
  <c r="E121" i="1"/>
  <c r="E62" i="1"/>
  <c r="E63" i="1"/>
  <c r="E64" i="1"/>
  <c r="E69" i="1"/>
  <c r="C72" i="1"/>
  <c r="D72" i="1"/>
  <c r="D71" i="1"/>
  <c r="C71" i="1"/>
  <c r="D70" i="1"/>
  <c r="C70" i="1"/>
  <c r="D68" i="1"/>
  <c r="C68" i="1"/>
  <c r="D67" i="1"/>
  <c r="C67" i="1"/>
  <c r="D66" i="1"/>
  <c r="C66" i="1"/>
  <c r="F65" i="1"/>
  <c r="D65" i="1"/>
  <c r="C65" i="1"/>
  <c r="F361" i="1"/>
  <c r="D361" i="1"/>
  <c r="C361" i="1"/>
  <c r="D359" i="1"/>
  <c r="C359" i="1"/>
  <c r="D358" i="1"/>
  <c r="C358" i="1"/>
  <c r="D357" i="1"/>
  <c r="C357" i="1"/>
  <c r="D356" i="1"/>
  <c r="C356" i="1"/>
  <c r="D355" i="1"/>
  <c r="C355" i="1"/>
  <c r="F354" i="1"/>
  <c r="D354" i="1"/>
  <c r="D353" i="1"/>
  <c r="C354" i="1"/>
  <c r="F353" i="1"/>
  <c r="C353" i="1"/>
  <c r="D352" i="1"/>
  <c r="C352" i="1"/>
  <c r="D351" i="1"/>
  <c r="C351" i="1"/>
  <c r="D350" i="1"/>
  <c r="C350" i="1"/>
  <c r="D349" i="1"/>
  <c r="C349" i="1"/>
  <c r="D348" i="1"/>
  <c r="C348" i="1"/>
  <c r="E347" i="1"/>
  <c r="F346" i="1"/>
  <c r="D346" i="1"/>
  <c r="C346" i="1"/>
  <c r="F345" i="1"/>
  <c r="D345" i="1"/>
  <c r="C345" i="1"/>
  <c r="E344" i="1"/>
  <c r="D343" i="1"/>
  <c r="C343" i="1"/>
  <c r="D342" i="1"/>
  <c r="C342" i="1"/>
  <c r="D341" i="1"/>
  <c r="C341" i="1"/>
  <c r="F340" i="1"/>
  <c r="D340" i="1"/>
  <c r="C340" i="1"/>
  <c r="D339" i="1"/>
  <c r="C339" i="1"/>
  <c r="F339" i="1"/>
  <c r="F338" i="1"/>
  <c r="D338" i="1"/>
  <c r="C338" i="1"/>
  <c r="D337" i="1"/>
  <c r="C337" i="1"/>
  <c r="F336" i="1"/>
  <c r="D336" i="1"/>
  <c r="C336" i="1"/>
  <c r="D335" i="1"/>
  <c r="C335" i="1"/>
  <c r="D334" i="1"/>
  <c r="C334" i="1"/>
  <c r="D333" i="1"/>
  <c r="C333" i="1"/>
  <c r="D332" i="1"/>
  <c r="C332" i="1"/>
  <c r="E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F322" i="1"/>
  <c r="D322" i="1"/>
  <c r="C322" i="1"/>
  <c r="D321" i="1"/>
  <c r="C321" i="1"/>
  <c r="F320" i="1"/>
  <c r="D320" i="1"/>
  <c r="C320" i="1"/>
  <c r="D319" i="1"/>
  <c r="C319" i="1"/>
  <c r="D318" i="1"/>
  <c r="C318" i="1"/>
  <c r="D317" i="1"/>
  <c r="C317" i="1"/>
  <c r="F316" i="1"/>
  <c r="D316" i="1"/>
  <c r="C316" i="1"/>
  <c r="F315" i="1"/>
  <c r="D315" i="1"/>
  <c r="C315" i="1"/>
  <c r="D314" i="1"/>
  <c r="C314" i="1"/>
  <c r="D313" i="1"/>
  <c r="C313" i="1"/>
  <c r="D312" i="1"/>
  <c r="C312" i="1"/>
  <c r="D311" i="1"/>
  <c r="C311" i="1"/>
  <c r="F310" i="1"/>
  <c r="D310" i="1"/>
  <c r="C310" i="1"/>
  <c r="C309" i="1"/>
  <c r="D309" i="1"/>
  <c r="D308" i="1"/>
  <c r="C308" i="1"/>
  <c r="E307" i="1"/>
  <c r="E305" i="1"/>
  <c r="F304" i="1"/>
  <c r="D304" i="1"/>
  <c r="C304" i="1"/>
  <c r="E303" i="1"/>
  <c r="E76" i="1" l="1"/>
  <c r="E346" i="1"/>
  <c r="E97" i="1"/>
  <c r="E103" i="1"/>
  <c r="E107" i="1"/>
  <c r="E343" i="1"/>
  <c r="E73" i="1"/>
  <c r="E100" i="1"/>
  <c r="E105" i="1"/>
  <c r="E109" i="1"/>
  <c r="E114" i="1"/>
  <c r="E314" i="1"/>
  <c r="E317" i="1"/>
  <c r="E322" i="1"/>
  <c r="E334" i="1"/>
  <c r="E351" i="1"/>
  <c r="E70" i="1"/>
  <c r="E326" i="1"/>
  <c r="E304" i="1"/>
  <c r="E309" i="1"/>
  <c r="E320" i="1"/>
  <c r="E323" i="1"/>
  <c r="E327" i="1"/>
  <c r="E352" i="1"/>
  <c r="E310" i="1"/>
  <c r="E336" i="1"/>
  <c r="E342" i="1"/>
  <c r="E349" i="1"/>
  <c r="E353" i="1"/>
  <c r="E67" i="1"/>
  <c r="E335" i="1"/>
  <c r="E341" i="1"/>
  <c r="E345" i="1"/>
  <c r="E348" i="1"/>
  <c r="E359" i="1"/>
  <c r="E66" i="1"/>
  <c r="E71" i="1"/>
  <c r="E356" i="1"/>
  <c r="E361" i="1"/>
  <c r="E333" i="1"/>
  <c r="E354" i="1"/>
  <c r="E357" i="1"/>
  <c r="E68" i="1"/>
  <c r="E90" i="1"/>
  <c r="E106" i="1"/>
  <c r="E311" i="1"/>
  <c r="E315" i="1"/>
  <c r="E318" i="1"/>
  <c r="E329" i="1"/>
  <c r="E337" i="1"/>
  <c r="E65" i="1"/>
  <c r="E312" i="1"/>
  <c r="E319" i="1"/>
  <c r="E338" i="1"/>
  <c r="E358" i="1"/>
  <c r="E91" i="1"/>
  <c r="E104" i="1"/>
  <c r="E113" i="1"/>
  <c r="E72" i="1"/>
  <c r="E324" i="1"/>
  <c r="E328" i="1"/>
  <c r="E332" i="1"/>
  <c r="E87" i="1"/>
  <c r="E321" i="1"/>
  <c r="E308" i="1"/>
  <c r="E325" i="1"/>
  <c r="E355" i="1"/>
  <c r="E313" i="1"/>
  <c r="E316" i="1"/>
  <c r="E330" i="1"/>
  <c r="E340" i="1"/>
  <c r="E350" i="1"/>
  <c r="E111" i="1"/>
  <c r="E115" i="1"/>
  <c r="E339" i="1"/>
  <c r="E101" i="1"/>
  <c r="E112" i="1"/>
  <c r="E98" i="1"/>
  <c r="E83" i="1"/>
  <c r="E88" i="1"/>
  <c r="E92" i="1"/>
  <c r="E108" i="1"/>
  <c r="E75" i="1"/>
  <c r="E84" i="1"/>
  <c r="E93" i="1"/>
  <c r="F301" i="1"/>
  <c r="D301" i="1"/>
  <c r="C301" i="1"/>
  <c r="D299" i="1"/>
  <c r="C299" i="1"/>
  <c r="D295" i="1"/>
  <c r="C295" i="1"/>
  <c r="D294" i="1"/>
  <c r="C294" i="1"/>
  <c r="F293" i="1"/>
  <c r="D293" i="1"/>
  <c r="C293" i="1"/>
  <c r="F292" i="1"/>
  <c r="D292" i="1"/>
  <c r="C292" i="1"/>
  <c r="D291" i="1"/>
  <c r="C291" i="1"/>
  <c r="D290" i="1"/>
  <c r="C290" i="1"/>
  <c r="F289" i="1"/>
  <c r="D289" i="1"/>
  <c r="C289" i="1"/>
  <c r="D287" i="1"/>
  <c r="C287" i="1"/>
  <c r="D286" i="1"/>
  <c r="C286" i="1"/>
  <c r="D285" i="1"/>
  <c r="C285" i="1"/>
  <c r="D284" i="1"/>
  <c r="C284" i="1"/>
  <c r="D283" i="1"/>
  <c r="C283" i="1"/>
  <c r="F282" i="1"/>
  <c r="D282" i="1"/>
  <c r="C282" i="1"/>
  <c r="F281" i="1"/>
  <c r="D281" i="1"/>
  <c r="C281" i="1"/>
  <c r="F280" i="1"/>
  <c r="D280" i="1"/>
  <c r="C280" i="1"/>
  <c r="D279" i="1"/>
  <c r="C279" i="1"/>
  <c r="F278" i="1"/>
  <c r="D278" i="1"/>
  <c r="C278" i="1"/>
  <c r="D276" i="1"/>
  <c r="C276" i="1"/>
  <c r="F277" i="1"/>
  <c r="D277" i="1"/>
  <c r="C277" i="1"/>
  <c r="D275" i="1"/>
  <c r="C275" i="1"/>
  <c r="F274" i="1"/>
  <c r="D274" i="1"/>
  <c r="C274" i="1"/>
  <c r="D273" i="1"/>
  <c r="C273" i="1"/>
  <c r="D272" i="1"/>
  <c r="C272" i="1"/>
  <c r="D270" i="1"/>
  <c r="C270" i="1"/>
  <c r="D269" i="1"/>
  <c r="C269" i="1"/>
  <c r="F268" i="1"/>
  <c r="D268" i="1"/>
  <c r="C268" i="1"/>
  <c r="D267" i="1"/>
  <c r="C267" i="1"/>
  <c r="F266" i="1"/>
  <c r="D266" i="1"/>
  <c r="C266" i="1"/>
  <c r="F265" i="1"/>
  <c r="D265" i="1"/>
  <c r="C265" i="1"/>
  <c r="F264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F255" i="1"/>
  <c r="D255" i="1"/>
  <c r="C255" i="1"/>
  <c r="E271" i="1"/>
  <c r="E296" i="1"/>
  <c r="E300" i="1"/>
  <c r="E254" i="1"/>
  <c r="F253" i="1"/>
  <c r="D253" i="1"/>
  <c r="C253" i="1"/>
  <c r="D252" i="1"/>
  <c r="C252" i="1"/>
  <c r="F251" i="1"/>
  <c r="D251" i="1"/>
  <c r="C251" i="1"/>
  <c r="D250" i="1"/>
  <c r="C250" i="1"/>
  <c r="F249" i="1"/>
  <c r="D249" i="1"/>
  <c r="C249" i="1"/>
  <c r="D248" i="1"/>
  <c r="C248" i="1"/>
  <c r="D246" i="1"/>
  <c r="D247" i="1"/>
  <c r="C247" i="1"/>
  <c r="C246" i="1"/>
  <c r="F245" i="1"/>
  <c r="D245" i="1"/>
  <c r="C245" i="1"/>
  <c r="F244" i="1"/>
  <c r="D244" i="1"/>
  <c r="C244" i="1"/>
  <c r="D242" i="1"/>
  <c r="C242" i="1"/>
  <c r="D60" i="1"/>
  <c r="C60" i="1"/>
  <c r="E59" i="1"/>
  <c r="E58" i="1"/>
  <c r="E57" i="1"/>
  <c r="D56" i="1"/>
  <c r="C56" i="1"/>
  <c r="D55" i="1"/>
  <c r="C55" i="1"/>
  <c r="E54" i="1"/>
  <c r="E53" i="1"/>
  <c r="E52" i="1"/>
  <c r="D51" i="1"/>
  <c r="C51" i="1"/>
  <c r="D50" i="1"/>
  <c r="C50" i="1"/>
  <c r="E42" i="1"/>
  <c r="E44" i="1"/>
  <c r="E45" i="1"/>
  <c r="E46" i="1"/>
  <c r="E47" i="1"/>
  <c r="D49" i="1"/>
  <c r="C49" i="1"/>
  <c r="D48" i="1"/>
  <c r="C48" i="1"/>
  <c r="F43" i="1"/>
  <c r="D43" i="1"/>
  <c r="C43" i="1"/>
  <c r="C41" i="1"/>
  <c r="E55" i="1" l="1"/>
  <c r="E265" i="1"/>
  <c r="E268" i="1"/>
  <c r="E279" i="1"/>
  <c r="E282" i="1"/>
  <c r="E290" i="1"/>
  <c r="E301" i="1"/>
  <c r="E295" i="1"/>
  <c r="E278" i="1"/>
  <c r="E252" i="1"/>
  <c r="E262" i="1"/>
  <c r="E273" i="1"/>
  <c r="E242" i="1"/>
  <c r="E253" i="1"/>
  <c r="E246" i="1"/>
  <c r="E251" i="1"/>
  <c r="E43" i="1"/>
  <c r="E257" i="1"/>
  <c r="E261" i="1"/>
  <c r="E275" i="1"/>
  <c r="E285" i="1"/>
  <c r="E293" i="1"/>
  <c r="E283" i="1"/>
  <c r="E294" i="1"/>
  <c r="E281" i="1"/>
  <c r="E299" i="1"/>
  <c r="E263" i="1"/>
  <c r="E266" i="1"/>
  <c r="E269" i="1"/>
  <c r="E274" i="1"/>
  <c r="E276" i="1"/>
  <c r="E291" i="1"/>
  <c r="E60" i="1"/>
  <c r="E245" i="1"/>
  <c r="E277" i="1"/>
  <c r="E51" i="1"/>
  <c r="E244" i="1"/>
  <c r="E247" i="1"/>
  <c r="E250" i="1"/>
  <c r="E286" i="1"/>
  <c r="E248" i="1"/>
  <c r="E48" i="1"/>
  <c r="E249" i="1"/>
  <c r="E287" i="1"/>
  <c r="E49" i="1"/>
  <c r="E255" i="1"/>
  <c r="E50" i="1"/>
  <c r="E56" i="1"/>
  <c r="E259" i="1"/>
  <c r="E272" i="1"/>
  <c r="E264" i="1"/>
  <c r="E270" i="1"/>
  <c r="E267" i="1"/>
  <c r="E284" i="1"/>
  <c r="E289" i="1"/>
  <c r="E292" i="1"/>
  <c r="E280" i="1"/>
  <c r="E260" i="1"/>
  <c r="E258" i="1"/>
  <c r="E256" i="1"/>
  <c r="D41" i="1"/>
  <c r="E41" i="1" s="1"/>
  <c r="F40" i="1"/>
  <c r="D40" i="1"/>
  <c r="C40" i="1"/>
  <c r="F39" i="1"/>
  <c r="D39" i="1"/>
  <c r="C39" i="1"/>
  <c r="F38" i="1"/>
  <c r="D38" i="1"/>
  <c r="C38" i="1"/>
  <c r="F37" i="1"/>
  <c r="D37" i="1"/>
  <c r="C37" i="1"/>
  <c r="F36" i="1"/>
  <c r="D36" i="1"/>
  <c r="C36" i="1"/>
  <c r="E35" i="1"/>
  <c r="E34" i="1"/>
  <c r="F30" i="1"/>
  <c r="D30" i="1"/>
  <c r="C30" i="1"/>
  <c r="D29" i="1"/>
  <c r="C29" i="1"/>
  <c r="E33" i="1"/>
  <c r="E26" i="1"/>
  <c r="E28" i="1"/>
  <c r="D27" i="1"/>
  <c r="C27" i="1"/>
  <c r="D25" i="1"/>
  <c r="C25" i="1"/>
  <c r="F24" i="1"/>
  <c r="D24" i="1"/>
  <c r="C24" i="1"/>
  <c r="E23" i="1"/>
  <c r="E22" i="1"/>
  <c r="D21" i="1"/>
  <c r="C21" i="1"/>
  <c r="E20" i="1"/>
  <c r="E19" i="1"/>
  <c r="D18" i="1"/>
  <c r="C18" i="1"/>
  <c r="D17" i="1"/>
  <c r="C17" i="1"/>
  <c r="D16" i="1"/>
  <c r="C16" i="1"/>
  <c r="E15" i="1"/>
  <c r="D14" i="1"/>
  <c r="C14" i="1"/>
  <c r="E13" i="1"/>
  <c r="D12" i="1"/>
  <c r="C12" i="1"/>
  <c r="D11" i="1"/>
  <c r="C11" i="1"/>
  <c r="F10" i="1"/>
  <c r="D10" i="1"/>
  <c r="C10" i="1"/>
  <c r="D9" i="1"/>
  <c r="C9" i="1"/>
  <c r="E8" i="1"/>
  <c r="E6" i="1"/>
  <c r="E5" i="1"/>
  <c r="D4" i="1"/>
  <c r="C4" i="1"/>
  <c r="E2" i="1"/>
  <c r="E9" i="1" l="1"/>
  <c r="E16" i="1"/>
  <c r="E21" i="1"/>
  <c r="E4" i="1"/>
  <c r="E10" i="1"/>
  <c r="E14" i="1"/>
  <c r="E36" i="1"/>
  <c r="E25" i="1"/>
  <c r="E40" i="1"/>
  <c r="E12" i="1"/>
  <c r="E39" i="1"/>
  <c r="E17" i="1"/>
  <c r="E18" i="1"/>
  <c r="E38" i="1"/>
  <c r="E27" i="1"/>
  <c r="E30" i="1"/>
  <c r="E29" i="1"/>
  <c r="E37" i="1"/>
  <c r="E11" i="1"/>
  <c r="E24" i="1"/>
</calcChain>
</file>

<file path=xl/sharedStrings.xml><?xml version="1.0" encoding="utf-8"?>
<sst xmlns="http://schemas.openxmlformats.org/spreadsheetml/2006/main" count="994" uniqueCount="385">
  <si>
    <t>ID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</si>
  <si>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</si>
  <si>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</si>
  <si>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</si>
  <si>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</si>
  <si>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</si>
  <si>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</si>
  <si>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</si>
  <si>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</si>
  <si>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</si>
  <si>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</si>
  <si>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</si>
  <si>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</si>
  <si>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</si>
  <si>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</si>
  <si>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</si>
  <si>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</si>
  <si>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</si>
  <si>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</si>
  <si>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</si>
  <si>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</si>
  <si>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</si>
  <si>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</si>
  <si>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</si>
  <si>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</si>
  <si>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</si>
  <si>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</si>
  <si>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</si>
  <si>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</si>
  <si>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</si>
  <si>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</si>
  <si>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</si>
  <si>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</si>
  <si>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</si>
  <si>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</si>
  <si>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</si>
  <si>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</si>
  <si>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</si>
  <si>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</si>
  <si>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</si>
  <si>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</si>
  <si>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</si>
  <si>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</si>
  <si>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</si>
  <si>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</si>
  <si>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</si>
  <si>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</si>
  <si>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</si>
  <si>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</si>
  <si>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</si>
  <si>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</si>
  <si>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</si>
  <si>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</si>
  <si>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</si>
  <si>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</si>
  <si>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</si>
  <si>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c-57</t>
  </si>
  <si>
    <t>c-58</t>
  </si>
  <si>
    <t>c-59</t>
  </si>
  <si>
    <t>c-60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</si>
  <si>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</si>
  <si>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</si>
  <si>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</si>
  <si>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</si>
  <si>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</si>
  <si>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</si>
  <si>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</si>
  <si>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</si>
  <si>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</si>
  <si>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</si>
  <si>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</si>
  <si>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</si>
  <si>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</si>
  <si>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</si>
  <si>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</si>
  <si>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</si>
  <si>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</si>
  <si>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</si>
  <si>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</si>
  <si>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</si>
  <si>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</si>
  <si>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</si>
  <si>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</si>
  <si>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</si>
  <si>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</si>
  <si>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</si>
  <si>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</si>
  <si>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</si>
  <si>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</si>
  <si>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</si>
  <si>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</si>
  <si>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>e-32</t>
  </si>
  <si>
    <t>e-33</t>
  </si>
  <si>
    <t>e-34</t>
  </si>
  <si>
    <t>e-35</t>
  </si>
  <si>
    <t>e-36</t>
  </si>
  <si>
    <t>e-37</t>
  </si>
  <si>
    <t>e-38</t>
  </si>
  <si>
    <t>e-39</t>
  </si>
  <si>
    <t>e-40</t>
  </si>
  <si>
    <t>e-41</t>
  </si>
  <si>
    <t>e-42</t>
  </si>
  <si>
    <t>e-43</t>
  </si>
  <si>
    <t>e-44</t>
  </si>
  <si>
    <t>e-45</t>
  </si>
  <si>
    <t>e-46</t>
  </si>
  <si>
    <t>e-47</t>
  </si>
  <si>
    <t>e-48</t>
  </si>
  <si>
    <t>e-49</t>
  </si>
  <si>
    <t>e-50</t>
  </si>
  <si>
    <t>e-51</t>
  </si>
  <si>
    <t>e-52</t>
  </si>
  <si>
    <t>e-53</t>
  </si>
  <si>
    <t>e-54</t>
  </si>
  <si>
    <t>e-55</t>
  </si>
  <si>
    <t>e-56</t>
  </si>
  <si>
    <t>e-57</t>
  </si>
  <si>
    <t>e-58</t>
  </si>
  <si>
    <t>e-59</t>
  </si>
  <si>
    <t>e-60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</si>
  <si>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</si>
  <si>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</si>
  <si>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</si>
  <si>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</si>
  <si>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</si>
  <si>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</si>
  <si>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</si>
  <si>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</si>
  <si>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</si>
  <si>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</si>
  <si>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</si>
  <si>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</si>
  <si>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</si>
  <si>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</si>
  <si>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</si>
  <si>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</si>
  <si>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</si>
  <si>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</si>
  <si>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</si>
  <si>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</si>
  <si>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</si>
  <si>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</si>
  <si>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</si>
  <si>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</si>
  <si>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</si>
  <si>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</si>
  <si>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</si>
  <si>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</si>
  <si>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</si>
  <si>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</si>
  <si>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</si>
  <si>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</si>
  <si>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</si>
  <si>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</si>
  <si>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</si>
  <si>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</si>
  <si>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</si>
  <si>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</si>
  <si>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</si>
  <si>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</si>
  <si>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</si>
  <si>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</si>
  <si>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</si>
  <si>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</si>
  <si>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</si>
  <si>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</si>
  <si>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</si>
  <si>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</si>
  <si>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</si>
  <si>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</si>
  <si>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</si>
  <si>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</si>
  <si>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</si>
  <si>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</si>
  <si>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</si>
  <si>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</si>
  <si>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</si>
  <si>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</si>
  <si>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</si>
  <si>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</si>
  <si>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th-1</t>
  </si>
  <si>
    <t>th-2</t>
  </si>
  <si>
    <t>th-3</t>
  </si>
  <si>
    <t>th-4</t>
  </si>
  <si>
    <t>th-5</t>
  </si>
  <si>
    <t>th-6</t>
  </si>
  <si>
    <t>th-7</t>
  </si>
  <si>
    <t>th-8</t>
  </si>
  <si>
    <t>th-9</t>
  </si>
  <si>
    <t>th-10</t>
  </si>
  <si>
    <t>th-11</t>
  </si>
  <si>
    <t>th-12</t>
  </si>
  <si>
    <t>th-13</t>
  </si>
  <si>
    <t>th-14</t>
  </si>
  <si>
    <t>th-15</t>
  </si>
  <si>
    <t>th-16</t>
  </si>
  <si>
    <t>th-17</t>
  </si>
  <si>
    <t>th-18</t>
  </si>
  <si>
    <t>th-19</t>
  </si>
  <si>
    <t>th-20</t>
  </si>
  <si>
    <t>th-21</t>
  </si>
  <si>
    <t>th-22</t>
  </si>
  <si>
    <t>th-23</t>
  </si>
  <si>
    <t>th-24</t>
  </si>
  <si>
    <t>th-25</t>
  </si>
  <si>
    <t>th-26</t>
  </si>
  <si>
    <t>th-27</t>
  </si>
  <si>
    <t>th-28</t>
  </si>
  <si>
    <t>th-29</t>
  </si>
  <si>
    <t>th-30</t>
  </si>
  <si>
    <t>th-31</t>
  </si>
  <si>
    <t>th-32</t>
  </si>
  <si>
    <t>th-33</t>
  </si>
  <si>
    <t>th-34</t>
  </si>
  <si>
    <t>th-35</t>
  </si>
  <si>
    <t>th-36</t>
  </si>
  <si>
    <t>th-37</t>
  </si>
  <si>
    <t>th-38</t>
  </si>
  <si>
    <t>th-39</t>
  </si>
  <si>
    <t>th-40</t>
  </si>
  <si>
    <t>th-41</t>
  </si>
  <si>
    <t>th-42</t>
  </si>
  <si>
    <t>th-43</t>
  </si>
  <si>
    <t>th-44</t>
  </si>
  <si>
    <t>th-45</t>
  </si>
  <si>
    <t>th-46</t>
  </si>
  <si>
    <t>th-47</t>
  </si>
  <si>
    <t>th-48</t>
  </si>
  <si>
    <t>th-49</t>
  </si>
  <si>
    <t>th-50</t>
  </si>
  <si>
    <t>th-51</t>
  </si>
  <si>
    <t>th-52</t>
  </si>
  <si>
    <t>th-53</t>
  </si>
  <si>
    <t>th-54</t>
  </si>
  <si>
    <t>th-55</t>
  </si>
  <si>
    <t>th-56</t>
  </si>
  <si>
    <t>th-57</t>
  </si>
  <si>
    <t>th-58</t>
  </si>
  <si>
    <t>th-59</t>
  </si>
  <si>
    <t>th-60</t>
  </si>
  <si>
    <t>eh-1</t>
  </si>
  <si>
    <t>eh-2</t>
  </si>
  <si>
    <t>eh-3</t>
  </si>
  <si>
    <t>eh-4</t>
  </si>
  <si>
    <t>eh-5</t>
  </si>
  <si>
    <t>eh-6</t>
  </si>
  <si>
    <t>eh-7</t>
  </si>
  <si>
    <t>eh-8</t>
  </si>
  <si>
    <t>eh-9</t>
  </si>
  <si>
    <t>eh-10</t>
  </si>
  <si>
    <t>eh-11</t>
  </si>
  <si>
    <t>eh-12</t>
  </si>
  <si>
    <t>eh-13</t>
  </si>
  <si>
    <t>eh-14</t>
  </si>
  <si>
    <t>eh-15</t>
  </si>
  <si>
    <t>eh-16</t>
  </si>
  <si>
    <t>eh-17</t>
  </si>
  <si>
    <t>eh-18</t>
  </si>
  <si>
    <t>eh-19</t>
  </si>
  <si>
    <t>eh-20</t>
  </si>
  <si>
    <t>eh-21</t>
  </si>
  <si>
    <t>eh-22</t>
  </si>
  <si>
    <t>eh-23</t>
  </si>
  <si>
    <t>eh-24</t>
  </si>
  <si>
    <t>eh-25</t>
  </si>
  <si>
    <t>eh-26</t>
  </si>
  <si>
    <t>eh-27</t>
  </si>
  <si>
    <t>eh-28</t>
  </si>
  <si>
    <t>eh-29</t>
  </si>
  <si>
    <t>eh-30</t>
  </si>
  <si>
    <t>eh-31</t>
  </si>
  <si>
    <t>eh-32</t>
  </si>
  <si>
    <t>eh-33</t>
  </si>
  <si>
    <t>eh-34</t>
  </si>
  <si>
    <t>eh-35</t>
  </si>
  <si>
    <t>eh-36</t>
  </si>
  <si>
    <t>eh-37</t>
  </si>
  <si>
    <t>eh-38</t>
  </si>
  <si>
    <t>eh-39</t>
  </si>
  <si>
    <t>eh-40</t>
  </si>
  <si>
    <t>eh-41</t>
  </si>
  <si>
    <t>eh-42</t>
  </si>
  <si>
    <t>eh-43</t>
  </si>
  <si>
    <t>eh-44</t>
  </si>
  <si>
    <t>eh-45</t>
  </si>
  <si>
    <t>eh-46</t>
  </si>
  <si>
    <t>eh-47</t>
  </si>
  <si>
    <t>eh-48</t>
  </si>
  <si>
    <t>eh-49</t>
  </si>
  <si>
    <t>eh-50</t>
  </si>
  <si>
    <t>eh-51</t>
  </si>
  <si>
    <t>eh-52</t>
  </si>
  <si>
    <t>eh-53</t>
  </si>
  <si>
    <t>eh-54</t>
  </si>
  <si>
    <t>eh-55</t>
  </si>
  <si>
    <t>eh-56</t>
  </si>
  <si>
    <t>eh-57</t>
  </si>
  <si>
    <t>eh-58</t>
  </si>
  <si>
    <t>eh-59</t>
  </si>
  <si>
    <t>eh-60</t>
  </si>
  <si>
    <t>ch-1</t>
  </si>
  <si>
    <t>ch-2</t>
  </si>
  <si>
    <t>ch-3</t>
  </si>
  <si>
    <t>ch-4</t>
  </si>
  <si>
    <t>ch-5</t>
  </si>
  <si>
    <t>ch-6</t>
  </si>
  <si>
    <t>ch-7</t>
  </si>
  <si>
    <t>ch-8</t>
  </si>
  <si>
    <t>ch-9</t>
  </si>
  <si>
    <t>ch-10</t>
  </si>
  <si>
    <t>ch-11</t>
  </si>
  <si>
    <t>ch-12</t>
  </si>
  <si>
    <t>ch-13</t>
  </si>
  <si>
    <t>ch-14</t>
  </si>
  <si>
    <t>ch-15</t>
  </si>
  <si>
    <t>ch-16</t>
  </si>
  <si>
    <t>ch-17</t>
  </si>
  <si>
    <t>ch-18</t>
  </si>
  <si>
    <t>ch-19</t>
  </si>
  <si>
    <t>ch-20</t>
  </si>
  <si>
    <t>ch-21</t>
  </si>
  <si>
    <t>ch-22</t>
  </si>
  <si>
    <t>ch-23</t>
  </si>
  <si>
    <t>ch-24</t>
  </si>
  <si>
    <t>ch-25</t>
  </si>
  <si>
    <t>ch-26</t>
  </si>
  <si>
    <t>ch-27</t>
  </si>
  <si>
    <t>ch-28</t>
  </si>
  <si>
    <t>ch-29</t>
  </si>
  <si>
    <t>ch-30</t>
  </si>
  <si>
    <t>ch-31</t>
  </si>
  <si>
    <t>ch-32</t>
  </si>
  <si>
    <t>ch-33</t>
  </si>
  <si>
    <t>ch-34</t>
  </si>
  <si>
    <t>ch-35</t>
  </si>
  <si>
    <t>ch-36</t>
  </si>
  <si>
    <t>ch-37</t>
  </si>
  <si>
    <t>ch-38</t>
  </si>
  <si>
    <t>ch-39</t>
  </si>
  <si>
    <t>ch-40</t>
  </si>
  <si>
    <t>ch-41</t>
  </si>
  <si>
    <t>ch-42</t>
  </si>
  <si>
    <t>ch-43</t>
  </si>
  <si>
    <t>ch-44</t>
  </si>
  <si>
    <t>ch-45</t>
  </si>
  <si>
    <t>ch-46</t>
  </si>
  <si>
    <t>ch-47</t>
  </si>
  <si>
    <t>ch-48</t>
  </si>
  <si>
    <t>ch-49</t>
  </si>
  <si>
    <t>ch-50</t>
  </si>
  <si>
    <t>ch-51</t>
  </si>
  <si>
    <t>ch-52</t>
  </si>
  <si>
    <t>ch-53</t>
  </si>
  <si>
    <t>ch-54</t>
  </si>
  <si>
    <t>ch-55</t>
  </si>
  <si>
    <t>ch-56</t>
  </si>
  <si>
    <t>ch-57</t>
  </si>
  <si>
    <t>ch-58</t>
  </si>
  <si>
    <t>ch-59</t>
  </si>
  <si>
    <t>ch-60</t>
  </si>
  <si>
    <t>NA</t>
  </si>
  <si>
    <t xml:space="preserve">c-56 </t>
  </si>
  <si>
    <t>SL</t>
  </si>
  <si>
    <t>RL</t>
  </si>
  <si>
    <t>HT</t>
  </si>
  <si>
    <t>NL</t>
  </si>
  <si>
    <t>SDMT</t>
  </si>
  <si>
    <t>SDM_PROM</t>
  </si>
  <si>
    <t>LDMT</t>
  </si>
  <si>
    <t>LDM_PROM</t>
  </si>
  <si>
    <t>RDMT</t>
  </si>
  <si>
    <t>RDM_PROM</t>
  </si>
  <si>
    <t>n</t>
  </si>
  <si>
    <t>RAB</t>
  </si>
  <si>
    <t>TDM</t>
  </si>
  <si>
    <t>SMR</t>
  </si>
  <si>
    <t>LMR</t>
  </si>
  <si>
    <t>RMR</t>
  </si>
  <si>
    <t>Treatment</t>
  </si>
  <si>
    <t>Soil</t>
  </si>
  <si>
    <t>Soil+Trichoderma</t>
  </si>
  <si>
    <t>Manure</t>
  </si>
  <si>
    <t>Manure+Trichoderma</t>
  </si>
  <si>
    <t>Food waste+Trichoderma</t>
  </si>
  <si>
    <t>Food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</si>
</sst>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16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13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" fontId="0" fillId="0" borderId="0" xfId="0" applyNumberFormat="1"/>
    <xf numFmtId="0" fontId="1" fillId="14" borderId="0" xfId="0" applyFont="1" applyFill="1"/>
    <xf numFmtId="0" fontId="0" fillId="14" borderId="0" xfId="0" applyFill="1"/>
    <xf numFmtId="2" fontId="0" fillId="6" borderId="1" xfId="0" applyNumberFormat="1" applyFill="1" applyBorder="1"/>
    <xf numFmtId="164" fontId="0" fillId="0" borderId="0" xfId="0" applyNumberFormat="1" applyFill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tabSelected="1" zoomScale="70" zoomScaleNormal="70" workbookViewId="0">
      <pane ySplit="1" topLeftCell="A334" activePane="bottomLeft" state="frozen"/>
      <selection pane="bottomLeft" activeCell="A2" sqref="A2:A361"/>
    </sheetView>
  </sheetViews>
  <sheetFormatPr baseColWidth="10" defaultRowHeight="15" x14ac:dyDescent="0.25"/>
  <cols>
    <col min="1" max="1" width="25.42578125" bestFit="1" customWidth="1"/>
    <col min="3" max="3" width="14.140625" bestFit="1" customWidth="1"/>
    <col min="4" max="4" width="12.42578125" bestFit="1" customWidth="1"/>
    <col min="5" max="5" width="14.42578125" bestFit="1" customWidth="1"/>
    <col min="6" max="6" width="11.85546875" bestFit="1" customWidth="1"/>
    <col min="7" max="7" width="13" bestFit="1" customWidth="1"/>
    <col min="8" max="8" width="13" style="14" customWidth="1"/>
    <col min="9" max="9" width="7.42578125" bestFit="1" customWidth="1"/>
    <col min="10" max="10" width="12.85546875" style="14" customWidth="1"/>
    <col min="11" max="11" width="7.28515625" bestFit="1" customWidth="1"/>
    <col min="12" max="12" width="12.5703125" style="14" bestFit="1" customWidth="1"/>
    <col min="14" max="14" width="12.140625" customWidth="1"/>
    <col min="15" max="15" width="13.85546875" bestFit="1" customWidth="1"/>
    <col min="16" max="18" width="11.85546875" bestFit="1" customWidth="1"/>
  </cols>
  <sheetData>
    <row r="1" spans="1:18" x14ac:dyDescent="0.25">
      <c r="A1" s="7" t="s">
        <v>378</v>
      </c>
      <c r="B1" s="7" t="s">
        <v>0</v>
      </c>
      <c r="C1" s="7" t="s">
        <v>362</v>
      </c>
      <c r="D1" s="7" t="s">
        <v>363</v>
      </c>
      <c r="E1" s="7" t="s">
        <v>364</v>
      </c>
      <c r="F1" s="7" t="s">
        <v>365</v>
      </c>
      <c r="G1" s="7" t="s">
        <v>366</v>
      </c>
      <c r="H1" s="16" t="s">
        <v>367</v>
      </c>
      <c r="I1" s="7" t="s">
        <v>368</v>
      </c>
      <c r="J1" s="16" t="s">
        <v>369</v>
      </c>
      <c r="K1" s="7" t="s">
        <v>370</v>
      </c>
      <c r="L1" s="16" t="s">
        <v>371</v>
      </c>
      <c r="M1" s="7" t="s">
        <v>372</v>
      </c>
      <c r="N1" s="16" t="s">
        <v>374</v>
      </c>
      <c r="O1" s="23" t="s">
        <v>373</v>
      </c>
      <c r="P1" s="24" t="s">
        <v>375</v>
      </c>
      <c r="Q1" s="24" t="s">
        <v>376</v>
      </c>
      <c r="R1" s="24" t="s">
        <v>377</v>
      </c>
    </row>
    <row r="2" spans="1:18" x14ac:dyDescent="0.25">
      <c r="A2" s="1" t="s">
        <v>379</v>
      </c>
      <c r="B2" t="s">
        <v>120</v>
      </c>
      <c r="C2" s="18">
        <v>9.5</v>
      </c>
      <c r="D2" s="18">
        <v>8</v>
      </c>
      <c r="E2" s="18">
        <f>C2+D2</f>
        <v>17.5</v>
      </c>
      <c r="F2" s="22">
        <v>3</v>
      </c>
      <c r="G2" s="20">
        <v>1.6799999999999999E-2</v>
      </c>
      <c r="H2" s="20">
        <f>G2/M2</f>
        <v>1.6799999999999999E-2</v>
      </c>
      <c r="I2" s="20">
        <v>1.6E-2</v>
      </c>
      <c r="J2" s="20">
        <f>I2/M2</f>
        <v>1.6E-2</v>
      </c>
      <c r="K2" s="20">
        <v>7.4000000000000003E-3</v>
      </c>
      <c r="L2" s="20">
        <f>K2/M2</f>
        <v>7.4000000000000003E-3</v>
      </c>
      <c r="M2">
        <v>1</v>
      </c>
      <c r="N2" s="20">
        <f>H2+J2+L2</f>
        <v>4.02E-2</v>
      </c>
      <c r="O2" s="20">
        <f>(H2+J2)/K2</f>
        <v>4.4324324324324316</v>
      </c>
      <c r="P2" s="20">
        <f>H2/N2</f>
        <v>0.41791044776119401</v>
      </c>
      <c r="Q2" s="20">
        <f>J2/N2</f>
        <v>0.39800995024875624</v>
      </c>
      <c r="R2" s="20">
        <f>L2/N2</f>
        <v>0.18407960199004977</v>
      </c>
    </row>
    <row r="3" spans="1:18" x14ac:dyDescent="0.25">
      <c r="A3" s="1" t="s">
        <v>379</v>
      </c>
      <c r="B3" t="s">
        <v>121</v>
      </c>
      <c r="C3" s="18" t="s">
        <v>360</v>
      </c>
      <c r="D3" s="18" t="s">
        <v>360</v>
      </c>
      <c r="E3" s="18" t="s">
        <v>360</v>
      </c>
      <c r="F3" s="22" t="s">
        <v>360</v>
      </c>
      <c r="G3" s="20" t="s">
        <v>360</v>
      </c>
      <c r="H3" s="20" t="s">
        <v>360</v>
      </c>
      <c r="I3" s="20" t="s">
        <v>360</v>
      </c>
      <c r="J3" s="20" t="s">
        <v>360</v>
      </c>
      <c r="K3" s="20" t="s">
        <v>360</v>
      </c>
      <c r="L3" s="20" t="s">
        <v>360</v>
      </c>
      <c r="M3" s="15" t="s">
        <v>360</v>
      </c>
      <c r="N3" s="20" t="s">
        <v>360</v>
      </c>
      <c r="O3" s="20" t="s">
        <v>360</v>
      </c>
      <c r="P3" s="20" t="s">
        <v>360</v>
      </c>
      <c r="Q3" s="20" t="s">
        <v>360</v>
      </c>
      <c r="R3" s="20" t="s">
        <v>360</v>
      </c>
    </row>
    <row r="4" spans="1:18" x14ac:dyDescent="0.25">
      <c r="A4" s="1" t="s">
        <v>379</v>
      </c>
      <c r="B4" t="s">
        <v>122</v>
      </c>
      <c r="C4" s="18">
        <f>(9.5+8+8.3+7.2)/4</f>
        <v>8.25</v>
      </c>
      <c r="D4" s="18">
        <f>(8+8+8+7.5)/4</f>
        <v>7.875</v>
      </c>
      <c r="E4" s="18">
        <f>C4+D4</f>
        <v>16.125</v>
      </c>
      <c r="F4" s="22">
        <v>3</v>
      </c>
      <c r="G4" s="20">
        <v>4.1500000000000002E-2</v>
      </c>
      <c r="H4" s="20">
        <f>G4/M4</f>
        <v>1.3833333333333335E-2</v>
      </c>
      <c r="I4" s="20">
        <v>4.5900000000000003E-2</v>
      </c>
      <c r="J4" s="20">
        <f>I4/M4</f>
        <v>1.5300000000000001E-2</v>
      </c>
      <c r="K4" s="20">
        <v>2.3099999999999999E-2</v>
      </c>
      <c r="L4" s="20">
        <f>K4/M4</f>
        <v>7.6999999999999994E-3</v>
      </c>
      <c r="M4">
        <v>3</v>
      </c>
      <c r="N4" s="20">
        <f>H4+J4+L4</f>
        <v>3.6833333333333336E-2</v>
      </c>
      <c r="O4" s="20">
        <f>(H4+J4)/K4</f>
        <v>1.2611832611832614</v>
      </c>
      <c r="P4" s="20">
        <f>H4/N4</f>
        <v>0.3755656108597285</v>
      </c>
      <c r="Q4" s="20">
        <f>J4/N4</f>
        <v>0.41538461538461541</v>
      </c>
      <c r="R4" s="20">
        <f>L4/N4</f>
        <v>0.20904977375565609</v>
      </c>
    </row>
    <row r="5" spans="1:18" x14ac:dyDescent="0.25">
      <c r="A5" s="1" t="s">
        <v>379</v>
      </c>
      <c r="B5" t="s">
        <v>123</v>
      </c>
      <c r="C5" s="18">
        <v>11.5</v>
      </c>
      <c r="D5" s="18">
        <v>10</v>
      </c>
      <c r="E5" s="18">
        <f>C5+D5</f>
        <v>21.5</v>
      </c>
      <c r="F5" s="22">
        <v>2</v>
      </c>
      <c r="G5" s="20">
        <v>3.2800000000000003E-2</v>
      </c>
      <c r="H5" s="20">
        <f>G5/M5</f>
        <v>3.2800000000000003E-2</v>
      </c>
      <c r="I5" s="20">
        <v>3.3000000000000002E-2</v>
      </c>
      <c r="J5" s="20">
        <f>I5/M5</f>
        <v>3.3000000000000002E-2</v>
      </c>
      <c r="K5" s="20">
        <v>1.9E-2</v>
      </c>
      <c r="L5" s="20">
        <f>K5/M5</f>
        <v>1.9E-2</v>
      </c>
      <c r="M5">
        <v>1</v>
      </c>
      <c r="N5" s="20">
        <f>H5+J5+L5</f>
        <v>8.48E-2</v>
      </c>
      <c r="O5" s="20">
        <f>(H5+J5)/K5</f>
        <v>3.4631578947368422</v>
      </c>
      <c r="P5" s="20">
        <f>H5/N5</f>
        <v>0.3867924528301887</v>
      </c>
      <c r="Q5" s="20">
        <f>J5/N5</f>
        <v>0.38915094339622641</v>
      </c>
      <c r="R5" s="20">
        <f>L5/N5</f>
        <v>0.22405660377358491</v>
      </c>
    </row>
    <row r="6" spans="1:18" x14ac:dyDescent="0.25">
      <c r="A6" s="1" t="s">
        <v>379</v>
      </c>
      <c r="B6" t="s">
        <v>124</v>
      </c>
      <c r="C6" s="18">
        <v>9.5</v>
      </c>
      <c r="D6" s="18">
        <v>9.5</v>
      </c>
      <c r="E6" s="18">
        <f>C6+D6</f>
        <v>19</v>
      </c>
      <c r="F6" s="22">
        <v>3</v>
      </c>
      <c r="G6" s="20">
        <v>1.8800000000000001E-2</v>
      </c>
      <c r="H6" s="20">
        <f>G6/M6</f>
        <v>1.8800000000000001E-2</v>
      </c>
      <c r="I6" s="20">
        <v>2.23E-2</v>
      </c>
      <c r="J6" s="20">
        <f>I6/M6</f>
        <v>2.23E-2</v>
      </c>
      <c r="K6" s="20">
        <v>1.21E-2</v>
      </c>
      <c r="L6" s="20">
        <f>K6/M6</f>
        <v>1.21E-2</v>
      </c>
      <c r="M6">
        <v>1</v>
      </c>
      <c r="N6" s="20">
        <f>H6+J6+L6</f>
        <v>5.3199999999999997E-2</v>
      </c>
      <c r="O6" s="20">
        <f>(H6+J6)/K6</f>
        <v>3.3966942148760331</v>
      </c>
      <c r="P6" s="20">
        <f>H6/N6</f>
        <v>0.35338345864661658</v>
      </c>
      <c r="Q6" s="20">
        <f>J6/N6</f>
        <v>0.41917293233082709</v>
      </c>
      <c r="R6" s="20">
        <f>L6/N6</f>
        <v>0.22744360902255639</v>
      </c>
    </row>
    <row r="7" spans="1:18" x14ac:dyDescent="0.25">
      <c r="A7" s="1" t="s">
        <v>379</v>
      </c>
      <c r="B7" t="s">
        <v>125</v>
      </c>
      <c r="C7" s="18" t="s">
        <v>360</v>
      </c>
      <c r="D7" s="18" t="s">
        <v>360</v>
      </c>
      <c r="E7" s="18" t="s">
        <v>360</v>
      </c>
      <c r="F7" s="22" t="s">
        <v>360</v>
      </c>
      <c r="G7" s="20" t="s">
        <v>360</v>
      </c>
      <c r="H7" s="20" t="s">
        <v>360</v>
      </c>
      <c r="I7" s="20" t="s">
        <v>360</v>
      </c>
      <c r="J7" s="20" t="s">
        <v>360</v>
      </c>
      <c r="K7" s="20" t="s">
        <v>360</v>
      </c>
      <c r="L7" s="20" t="s">
        <v>360</v>
      </c>
      <c r="M7" s="15" t="s">
        <v>360</v>
      </c>
      <c r="N7" s="20" t="s">
        <v>360</v>
      </c>
      <c r="O7" s="20" t="s">
        <v>360</v>
      </c>
      <c r="P7" s="20" t="s">
        <v>360</v>
      </c>
      <c r="Q7" s="20" t="s">
        <v>360</v>
      </c>
      <c r="R7" s="20" t="s">
        <v>360</v>
      </c>
    </row>
    <row r="8" spans="1:18" x14ac:dyDescent="0.25">
      <c r="A8" s="1" t="s">
        <v>379</v>
      </c>
      <c r="B8" t="s">
        <v>126</v>
      </c>
      <c r="C8" s="18">
        <v>11</v>
      </c>
      <c r="D8" s="18">
        <v>10.6</v>
      </c>
      <c r="E8" s="18">
        <f t="shared" ref="E8:E30" si="0">C8+D8</f>
        <v>21.6</v>
      </c>
      <c r="F8" s="22">
        <v>3</v>
      </c>
      <c r="G8" s="20">
        <v>2.1600000000000001E-2</v>
      </c>
      <c r="H8" s="20">
        <f t="shared" ref="H8:H30" si="1">G8/M8</f>
        <v>2.1600000000000001E-2</v>
      </c>
      <c r="I8" s="20">
        <v>2.3300000000000001E-2</v>
      </c>
      <c r="J8" s="20">
        <f t="shared" ref="J8:J30" si="2">I8/M8</f>
        <v>2.3300000000000001E-2</v>
      </c>
      <c r="K8" s="20">
        <v>1.2500000000000001E-2</v>
      </c>
      <c r="L8" s="20">
        <f t="shared" ref="L8:L30" si="3">K8/M8</f>
        <v>1.2500000000000001E-2</v>
      </c>
      <c r="M8">
        <v>1</v>
      </c>
      <c r="N8" s="20">
        <f t="shared" ref="N8:N30" si="4">H8+J8+L8</f>
        <v>5.7400000000000007E-2</v>
      </c>
      <c r="O8" s="20">
        <f t="shared" ref="O8:O30" si="5">(H8+J8)/K8</f>
        <v>3.5920000000000001</v>
      </c>
      <c r="P8" s="20">
        <f t="shared" ref="P8:P30" si="6">H8/N8</f>
        <v>0.37630662020905919</v>
      </c>
      <c r="Q8" s="20">
        <f t="shared" ref="Q8:Q30" si="7">J8/N8</f>
        <v>0.40592334494773519</v>
      </c>
      <c r="R8" s="20">
        <f t="shared" ref="R8:R30" si="8">L8/N8</f>
        <v>0.21777003484320556</v>
      </c>
    </row>
    <row r="9" spans="1:18" x14ac:dyDescent="0.25">
      <c r="A9" s="1" t="s">
        <v>379</v>
      </c>
      <c r="B9" t="s">
        <v>127</v>
      </c>
      <c r="C9" s="18">
        <f>(8.6+9.2+9.8)/3</f>
        <v>9.1999999999999993</v>
      </c>
      <c r="D9" s="18">
        <f>(7.5+8+11)/3</f>
        <v>8.8333333333333339</v>
      </c>
      <c r="E9" s="18">
        <f t="shared" si="0"/>
        <v>18.033333333333331</v>
      </c>
      <c r="F9" s="22">
        <v>3</v>
      </c>
      <c r="G9" s="20">
        <v>4.4499999999999998E-2</v>
      </c>
      <c r="H9" s="20">
        <f t="shared" si="1"/>
        <v>1.4833333333333332E-2</v>
      </c>
      <c r="I9" s="20">
        <v>4.5199999999999997E-2</v>
      </c>
      <c r="J9" s="20">
        <f t="shared" si="2"/>
        <v>1.5066666666666666E-2</v>
      </c>
      <c r="K9" s="20">
        <v>2.3699999999999999E-2</v>
      </c>
      <c r="L9" s="20">
        <f t="shared" si="3"/>
        <v>7.899999999999999E-3</v>
      </c>
      <c r="M9">
        <v>3</v>
      </c>
      <c r="N9" s="20">
        <f t="shared" si="4"/>
        <v>3.7799999999999993E-2</v>
      </c>
      <c r="O9" s="20">
        <f t="shared" si="5"/>
        <v>1.2616033755274261</v>
      </c>
      <c r="P9" s="20">
        <f t="shared" si="6"/>
        <v>0.39241622574955914</v>
      </c>
      <c r="Q9" s="20">
        <f t="shared" si="7"/>
        <v>0.39858906525573196</v>
      </c>
      <c r="R9" s="20">
        <f t="shared" si="8"/>
        <v>0.20899470899470901</v>
      </c>
    </row>
    <row r="10" spans="1:18" x14ac:dyDescent="0.25">
      <c r="A10" s="1" t="s">
        <v>379</v>
      </c>
      <c r="B10" t="s">
        <v>128</v>
      </c>
      <c r="C10" s="18">
        <f>(8.5+10)/2</f>
        <v>9.25</v>
      </c>
      <c r="D10" s="18">
        <f>(10+8)/2</f>
        <v>9</v>
      </c>
      <c r="E10" s="18">
        <f t="shared" si="0"/>
        <v>18.25</v>
      </c>
      <c r="F10" s="22">
        <f>(3+3)/2</f>
        <v>3</v>
      </c>
      <c r="G10" s="20">
        <v>2.3400000000000001E-2</v>
      </c>
      <c r="H10" s="20">
        <f t="shared" si="1"/>
        <v>1.17E-2</v>
      </c>
      <c r="I10" s="20">
        <v>2.35E-2</v>
      </c>
      <c r="J10" s="20">
        <f t="shared" si="2"/>
        <v>1.175E-2</v>
      </c>
      <c r="K10" s="20">
        <v>1.2E-2</v>
      </c>
      <c r="L10" s="20">
        <f t="shared" si="3"/>
        <v>6.0000000000000001E-3</v>
      </c>
      <c r="M10">
        <v>2</v>
      </c>
      <c r="N10" s="20">
        <f t="shared" si="4"/>
        <v>2.9449999999999997E-2</v>
      </c>
      <c r="O10" s="20">
        <f t="shared" si="5"/>
        <v>1.9541666666666666</v>
      </c>
      <c r="P10" s="20">
        <f t="shared" si="6"/>
        <v>0.39728353140916811</v>
      </c>
      <c r="Q10" s="20">
        <f t="shared" si="7"/>
        <v>0.39898132427843808</v>
      </c>
      <c r="R10" s="20">
        <f t="shared" si="8"/>
        <v>0.20373514431239392</v>
      </c>
    </row>
    <row r="11" spans="1:18" x14ac:dyDescent="0.25">
      <c r="A11" s="1" t="s">
        <v>379</v>
      </c>
      <c r="B11" t="s">
        <v>129</v>
      </c>
      <c r="C11" s="18">
        <f>(11.5+12)/2</f>
        <v>11.75</v>
      </c>
      <c r="D11" s="18">
        <f>(12+10.2)/2</f>
        <v>11.1</v>
      </c>
      <c r="E11" s="18">
        <f t="shared" si="0"/>
        <v>22.85</v>
      </c>
      <c r="F11" s="22">
        <v>3</v>
      </c>
      <c r="G11" s="20">
        <v>4.5199999999999997E-2</v>
      </c>
      <c r="H11" s="20">
        <f t="shared" si="1"/>
        <v>2.2599999999999999E-2</v>
      </c>
      <c r="I11" s="20">
        <v>4.4600000000000001E-2</v>
      </c>
      <c r="J11" s="20">
        <f t="shared" si="2"/>
        <v>2.23E-2</v>
      </c>
      <c r="K11" s="20">
        <v>2.64E-2</v>
      </c>
      <c r="L11" s="20">
        <f t="shared" si="3"/>
        <v>1.32E-2</v>
      </c>
      <c r="M11">
        <v>2</v>
      </c>
      <c r="N11" s="20">
        <f t="shared" si="4"/>
        <v>5.8099999999999999E-2</v>
      </c>
      <c r="O11" s="20">
        <f t="shared" si="5"/>
        <v>1.7007575757575757</v>
      </c>
      <c r="P11" s="20">
        <f t="shared" si="6"/>
        <v>0.38898450946643714</v>
      </c>
      <c r="Q11" s="20">
        <f t="shared" si="7"/>
        <v>0.38382099827882959</v>
      </c>
      <c r="R11" s="20">
        <f t="shared" si="8"/>
        <v>0.22719449225473323</v>
      </c>
    </row>
    <row r="12" spans="1:18" x14ac:dyDescent="0.25">
      <c r="A12" s="1" t="s">
        <v>379</v>
      </c>
      <c r="B12" t="s">
        <v>130</v>
      </c>
      <c r="C12" s="18">
        <f>(11+11.2)/2</f>
        <v>11.1</v>
      </c>
      <c r="D12" s="18">
        <f>(10+8.5)/2</f>
        <v>9.25</v>
      </c>
      <c r="E12" s="18">
        <f t="shared" si="0"/>
        <v>20.350000000000001</v>
      </c>
      <c r="F12" s="22">
        <v>3</v>
      </c>
      <c r="G12" s="20">
        <v>6.0299999999999999E-2</v>
      </c>
      <c r="H12" s="20">
        <f t="shared" si="1"/>
        <v>3.015E-2</v>
      </c>
      <c r="I12" s="20">
        <v>6.4199999999999993E-2</v>
      </c>
      <c r="J12" s="20">
        <f t="shared" si="2"/>
        <v>3.2099999999999997E-2</v>
      </c>
      <c r="K12" s="20">
        <v>2.7300000000000001E-2</v>
      </c>
      <c r="L12" s="20">
        <f t="shared" si="3"/>
        <v>1.3650000000000001E-2</v>
      </c>
      <c r="M12" s="21">
        <v>2</v>
      </c>
      <c r="N12" s="20">
        <f t="shared" si="4"/>
        <v>7.5899999999999995E-2</v>
      </c>
      <c r="O12" s="20">
        <f t="shared" si="5"/>
        <v>2.2802197802197801</v>
      </c>
      <c r="P12" s="20">
        <f t="shared" si="6"/>
        <v>0.39723320158102771</v>
      </c>
      <c r="Q12" s="20">
        <f t="shared" si="7"/>
        <v>0.42292490118577075</v>
      </c>
      <c r="R12" s="20">
        <f t="shared" si="8"/>
        <v>0.1798418972332016</v>
      </c>
    </row>
    <row r="13" spans="1:18" x14ac:dyDescent="0.25">
      <c r="A13" s="1" t="s">
        <v>379</v>
      </c>
      <c r="B13" t="s">
        <v>131</v>
      </c>
      <c r="C13" s="18">
        <v>10</v>
      </c>
      <c r="D13" s="18">
        <v>6.5</v>
      </c>
      <c r="E13" s="18">
        <f t="shared" si="0"/>
        <v>16.5</v>
      </c>
      <c r="F13" s="22">
        <v>2</v>
      </c>
      <c r="G13" s="20">
        <v>2.1399999999999999E-2</v>
      </c>
      <c r="H13" s="20">
        <f t="shared" si="1"/>
        <v>2.1399999999999999E-2</v>
      </c>
      <c r="I13" s="20">
        <v>2.3300000000000001E-2</v>
      </c>
      <c r="J13" s="20">
        <f t="shared" si="2"/>
        <v>2.3300000000000001E-2</v>
      </c>
      <c r="K13" s="20">
        <v>1.15E-2</v>
      </c>
      <c r="L13" s="20">
        <f t="shared" si="3"/>
        <v>1.15E-2</v>
      </c>
      <c r="M13" s="21">
        <v>1</v>
      </c>
      <c r="N13" s="20">
        <f t="shared" si="4"/>
        <v>5.62E-2</v>
      </c>
      <c r="O13" s="20">
        <f t="shared" si="5"/>
        <v>3.8869565217391306</v>
      </c>
      <c r="P13" s="20">
        <f t="shared" si="6"/>
        <v>0.38078291814946619</v>
      </c>
      <c r="Q13" s="20">
        <f t="shared" si="7"/>
        <v>0.41459074733096085</v>
      </c>
      <c r="R13" s="20">
        <f t="shared" si="8"/>
        <v>0.20462633451957296</v>
      </c>
    </row>
    <row r="14" spans="1:18" x14ac:dyDescent="0.25">
      <c r="A14" s="1" t="s">
        <v>379</v>
      </c>
      <c r="B14" t="s">
        <v>132</v>
      </c>
      <c r="C14" s="18">
        <f>(10.5+8.1)/2</f>
        <v>9.3000000000000007</v>
      </c>
      <c r="D14" s="18">
        <f>(6+5)/2</f>
        <v>5.5</v>
      </c>
      <c r="E14" s="18">
        <f t="shared" si="0"/>
        <v>14.8</v>
      </c>
      <c r="F14" s="22">
        <v>3</v>
      </c>
      <c r="G14" s="20">
        <v>2.53E-2</v>
      </c>
      <c r="H14" s="20">
        <f t="shared" si="1"/>
        <v>1.265E-2</v>
      </c>
      <c r="I14" s="20">
        <v>0.02</v>
      </c>
      <c r="J14" s="20">
        <f t="shared" si="2"/>
        <v>0.01</v>
      </c>
      <c r="K14" s="20">
        <v>7.7999999999999996E-3</v>
      </c>
      <c r="L14" s="20">
        <f t="shared" si="3"/>
        <v>3.8999999999999998E-3</v>
      </c>
      <c r="M14" s="21">
        <v>2</v>
      </c>
      <c r="N14" s="20">
        <f t="shared" si="4"/>
        <v>2.6550000000000001E-2</v>
      </c>
      <c r="O14" s="20">
        <f t="shared" si="5"/>
        <v>2.9038461538461542</v>
      </c>
      <c r="P14" s="20">
        <f t="shared" si="6"/>
        <v>0.47645951035781542</v>
      </c>
      <c r="Q14" s="20">
        <f t="shared" si="7"/>
        <v>0.37664783427495291</v>
      </c>
      <c r="R14" s="20">
        <f t="shared" si="8"/>
        <v>0.14689265536723162</v>
      </c>
    </row>
    <row r="15" spans="1:18" x14ac:dyDescent="0.25">
      <c r="A15" s="1" t="s">
        <v>379</v>
      </c>
      <c r="B15" t="s">
        <v>133</v>
      </c>
      <c r="C15" s="18">
        <v>13</v>
      </c>
      <c r="D15" s="18">
        <v>8.5</v>
      </c>
      <c r="E15" s="18">
        <f t="shared" si="0"/>
        <v>21.5</v>
      </c>
      <c r="F15" s="22">
        <v>3</v>
      </c>
      <c r="G15" s="20">
        <v>4.7100000000000003E-2</v>
      </c>
      <c r="H15" s="20">
        <f t="shared" si="1"/>
        <v>4.7100000000000003E-2</v>
      </c>
      <c r="I15" s="20">
        <v>4.6899999999999997E-2</v>
      </c>
      <c r="J15" s="20">
        <f t="shared" si="2"/>
        <v>4.6899999999999997E-2</v>
      </c>
      <c r="K15" s="20">
        <v>1.9199999999999998E-2</v>
      </c>
      <c r="L15" s="20">
        <f t="shared" si="3"/>
        <v>1.9199999999999998E-2</v>
      </c>
      <c r="M15">
        <v>1</v>
      </c>
      <c r="N15" s="20">
        <f t="shared" si="4"/>
        <v>0.1132</v>
      </c>
      <c r="O15" s="20">
        <f t="shared" si="5"/>
        <v>4.8958333333333339</v>
      </c>
      <c r="P15" s="20">
        <f t="shared" si="6"/>
        <v>0.41607773851590113</v>
      </c>
      <c r="Q15" s="20">
        <f t="shared" si="7"/>
        <v>0.41431095406360424</v>
      </c>
      <c r="R15" s="20">
        <f t="shared" si="8"/>
        <v>0.16961130742049468</v>
      </c>
    </row>
    <row r="16" spans="1:18" x14ac:dyDescent="0.25">
      <c r="A16" s="1" t="s">
        <v>379</v>
      </c>
      <c r="B16" t="s">
        <v>134</v>
      </c>
      <c r="C16" s="18">
        <f>(11.5+11)/2</f>
        <v>11.25</v>
      </c>
      <c r="D16" s="18">
        <f>(9.5+11.2)/2</f>
        <v>10.35</v>
      </c>
      <c r="E16" s="18">
        <f t="shared" si="0"/>
        <v>21.6</v>
      </c>
      <c r="F16" s="22">
        <v>4</v>
      </c>
      <c r="G16" s="20">
        <v>3.6900000000000002E-2</v>
      </c>
      <c r="H16" s="20">
        <f t="shared" si="1"/>
        <v>1.8450000000000001E-2</v>
      </c>
      <c r="I16" s="20">
        <v>4.3200000000000002E-2</v>
      </c>
      <c r="J16" s="20">
        <f t="shared" si="2"/>
        <v>2.1600000000000001E-2</v>
      </c>
      <c r="K16" s="20">
        <v>2.1000000000000001E-2</v>
      </c>
      <c r="L16" s="20">
        <f t="shared" si="3"/>
        <v>1.0500000000000001E-2</v>
      </c>
      <c r="M16">
        <v>2</v>
      </c>
      <c r="N16" s="20">
        <f t="shared" si="4"/>
        <v>5.0550000000000005E-2</v>
      </c>
      <c r="O16" s="20">
        <f t="shared" si="5"/>
        <v>1.907142857142857</v>
      </c>
      <c r="P16" s="20">
        <f t="shared" si="6"/>
        <v>0.36498516320474778</v>
      </c>
      <c r="Q16" s="20">
        <f t="shared" si="7"/>
        <v>0.42729970326409494</v>
      </c>
      <c r="R16" s="20">
        <f t="shared" si="8"/>
        <v>0.20771513353115725</v>
      </c>
    </row>
    <row r="17" spans="1:18" x14ac:dyDescent="0.25">
      <c r="A17" s="1" t="s">
        <v>379</v>
      </c>
      <c r="B17" t="s">
        <v>135</v>
      </c>
      <c r="C17" s="18">
        <f>(12+13.5+12)/3</f>
        <v>12.5</v>
      </c>
      <c r="D17" s="18">
        <f>(10.7+8.5+8.5)/3</f>
        <v>9.2333333333333325</v>
      </c>
      <c r="E17" s="18">
        <f t="shared" si="0"/>
        <v>21.733333333333334</v>
      </c>
      <c r="F17" s="22">
        <v>5</v>
      </c>
      <c r="G17" s="20">
        <v>7.0099999999999996E-2</v>
      </c>
      <c r="H17" s="20">
        <f t="shared" si="1"/>
        <v>2.3366666666666664E-2</v>
      </c>
      <c r="I17" s="20">
        <v>5.45E-2</v>
      </c>
      <c r="J17" s="20">
        <f t="shared" si="2"/>
        <v>1.8166666666666668E-2</v>
      </c>
      <c r="K17" s="20">
        <v>2.4899999999999999E-2</v>
      </c>
      <c r="L17" s="20">
        <f t="shared" si="3"/>
        <v>8.3000000000000001E-3</v>
      </c>
      <c r="M17">
        <v>3</v>
      </c>
      <c r="N17" s="20">
        <f t="shared" si="4"/>
        <v>4.9833333333333334E-2</v>
      </c>
      <c r="O17" s="20">
        <f t="shared" si="5"/>
        <v>1.6680053547523428</v>
      </c>
      <c r="P17" s="20">
        <f t="shared" si="6"/>
        <v>0.46889632107023405</v>
      </c>
      <c r="Q17" s="20">
        <f t="shared" si="7"/>
        <v>0.36454849498327763</v>
      </c>
      <c r="R17" s="20">
        <f t="shared" si="8"/>
        <v>0.1665551839464883</v>
      </c>
    </row>
    <row r="18" spans="1:18" x14ac:dyDescent="0.25">
      <c r="A18" s="1" t="s">
        <v>379</v>
      </c>
      <c r="B18" t="s">
        <v>136</v>
      </c>
      <c r="C18" s="18">
        <f>(10.5+8.8)/2</f>
        <v>9.65</v>
      </c>
      <c r="D18" s="18">
        <f>(9.7+8)/2</f>
        <v>8.85</v>
      </c>
      <c r="E18" s="18">
        <f t="shared" si="0"/>
        <v>18.5</v>
      </c>
      <c r="F18" s="22">
        <v>2</v>
      </c>
      <c r="G18" s="20">
        <v>2.8199999999999999E-2</v>
      </c>
      <c r="H18" s="20">
        <f t="shared" si="1"/>
        <v>1.41E-2</v>
      </c>
      <c r="I18" s="20">
        <v>3.1600000000000003E-2</v>
      </c>
      <c r="J18" s="20">
        <f t="shared" si="2"/>
        <v>1.5800000000000002E-2</v>
      </c>
      <c r="K18" s="20">
        <v>1.6E-2</v>
      </c>
      <c r="L18" s="20">
        <f t="shared" si="3"/>
        <v>8.0000000000000002E-3</v>
      </c>
      <c r="M18">
        <v>2</v>
      </c>
      <c r="N18" s="20">
        <f t="shared" si="4"/>
        <v>3.7900000000000003E-2</v>
      </c>
      <c r="O18" s="20">
        <f t="shared" si="5"/>
        <v>1.8687500000000001</v>
      </c>
      <c r="P18" s="20">
        <f t="shared" si="6"/>
        <v>0.37203166226912926</v>
      </c>
      <c r="Q18" s="20">
        <f t="shared" si="7"/>
        <v>0.41688654353562005</v>
      </c>
      <c r="R18" s="20">
        <f t="shared" si="8"/>
        <v>0.21108179419525064</v>
      </c>
    </row>
    <row r="19" spans="1:18" x14ac:dyDescent="0.25">
      <c r="A19" s="1" t="s">
        <v>379</v>
      </c>
      <c r="B19" t="s">
        <v>137</v>
      </c>
      <c r="C19" s="18">
        <v>11</v>
      </c>
      <c r="D19" s="18">
        <v>9</v>
      </c>
      <c r="E19" s="18">
        <f t="shared" si="0"/>
        <v>20</v>
      </c>
      <c r="F19" s="22">
        <v>3</v>
      </c>
      <c r="G19" s="20">
        <v>2.3400000000000001E-2</v>
      </c>
      <c r="H19" s="20">
        <f t="shared" si="1"/>
        <v>2.3400000000000001E-2</v>
      </c>
      <c r="I19" s="20">
        <v>2.5399999999999999E-2</v>
      </c>
      <c r="J19" s="20">
        <f t="shared" si="2"/>
        <v>2.5399999999999999E-2</v>
      </c>
      <c r="K19" s="20">
        <v>1.6299999999999999E-2</v>
      </c>
      <c r="L19" s="20">
        <f t="shared" si="3"/>
        <v>1.6299999999999999E-2</v>
      </c>
      <c r="M19">
        <v>1</v>
      </c>
      <c r="N19" s="20">
        <f t="shared" si="4"/>
        <v>6.5099999999999991E-2</v>
      </c>
      <c r="O19" s="20">
        <f t="shared" si="5"/>
        <v>2.9938650306748467</v>
      </c>
      <c r="P19" s="20">
        <f t="shared" si="6"/>
        <v>0.35944700460829498</v>
      </c>
      <c r="Q19" s="20">
        <f t="shared" si="7"/>
        <v>0.39016897081413215</v>
      </c>
      <c r="R19" s="20">
        <f t="shared" si="8"/>
        <v>0.25038402457757297</v>
      </c>
    </row>
    <row r="20" spans="1:18" x14ac:dyDescent="0.25">
      <c r="A20" s="1" t="s">
        <v>379</v>
      </c>
      <c r="B20" t="s">
        <v>138</v>
      </c>
      <c r="C20" s="18">
        <v>10.5</v>
      </c>
      <c r="D20" s="18">
        <v>10</v>
      </c>
      <c r="E20" s="18">
        <f t="shared" si="0"/>
        <v>20.5</v>
      </c>
      <c r="F20" s="22">
        <v>3</v>
      </c>
      <c r="G20" s="20">
        <v>2.4299999999999999E-2</v>
      </c>
      <c r="H20" s="20">
        <f t="shared" si="1"/>
        <v>2.4299999999999999E-2</v>
      </c>
      <c r="I20" s="20">
        <v>3.2000000000000001E-2</v>
      </c>
      <c r="J20" s="20">
        <f t="shared" si="2"/>
        <v>3.2000000000000001E-2</v>
      </c>
      <c r="K20" s="20">
        <v>1.46E-2</v>
      </c>
      <c r="L20" s="20">
        <f t="shared" si="3"/>
        <v>1.46E-2</v>
      </c>
      <c r="M20">
        <v>1</v>
      </c>
      <c r="N20" s="20">
        <f t="shared" si="4"/>
        <v>7.0900000000000005E-2</v>
      </c>
      <c r="O20" s="20">
        <f t="shared" si="5"/>
        <v>3.8561643835616439</v>
      </c>
      <c r="P20" s="20">
        <f t="shared" si="6"/>
        <v>0.34273624823695342</v>
      </c>
      <c r="Q20" s="20">
        <f t="shared" si="7"/>
        <v>0.45133991537376583</v>
      </c>
      <c r="R20" s="20">
        <f t="shared" si="8"/>
        <v>0.20592383638928066</v>
      </c>
    </row>
    <row r="21" spans="1:18" x14ac:dyDescent="0.25">
      <c r="A21" s="1" t="s">
        <v>379</v>
      </c>
      <c r="B21" t="s">
        <v>139</v>
      </c>
      <c r="C21" s="18">
        <f>(14+13)/2</f>
        <v>13.5</v>
      </c>
      <c r="D21" s="18">
        <f>(9.5+12)/2</f>
        <v>10.75</v>
      </c>
      <c r="E21" s="18">
        <f t="shared" si="0"/>
        <v>24.25</v>
      </c>
      <c r="F21" s="22">
        <v>5</v>
      </c>
      <c r="G21" s="20">
        <v>6.9800000000000001E-2</v>
      </c>
      <c r="H21" s="20">
        <f t="shared" si="1"/>
        <v>3.49E-2</v>
      </c>
      <c r="I21" s="20">
        <v>6.1499999999999999E-2</v>
      </c>
      <c r="J21" s="20">
        <f t="shared" si="2"/>
        <v>3.075E-2</v>
      </c>
      <c r="K21" s="20">
        <v>2.9600000000000001E-2</v>
      </c>
      <c r="L21" s="20">
        <f t="shared" si="3"/>
        <v>1.4800000000000001E-2</v>
      </c>
      <c r="M21">
        <v>2</v>
      </c>
      <c r="N21" s="20">
        <f t="shared" si="4"/>
        <v>8.0449999999999994E-2</v>
      </c>
      <c r="O21" s="20">
        <f t="shared" si="5"/>
        <v>2.2179054054054053</v>
      </c>
      <c r="P21" s="20">
        <f t="shared" si="6"/>
        <v>0.43380981976382849</v>
      </c>
      <c r="Q21" s="20">
        <f t="shared" si="7"/>
        <v>0.38222498446239905</v>
      </c>
      <c r="R21" s="20">
        <f t="shared" si="8"/>
        <v>0.18396519577377254</v>
      </c>
    </row>
    <row r="22" spans="1:18" x14ac:dyDescent="0.25">
      <c r="A22" s="9" t="s">
        <v>379</v>
      </c>
      <c r="B22" t="s">
        <v>140</v>
      </c>
      <c r="C22" s="18">
        <v>12.5</v>
      </c>
      <c r="D22" s="18">
        <v>10</v>
      </c>
      <c r="E22" s="18">
        <f t="shared" si="0"/>
        <v>22.5</v>
      </c>
      <c r="F22" s="22">
        <v>3</v>
      </c>
      <c r="G22" s="20">
        <v>2.3199999999999998E-2</v>
      </c>
      <c r="H22" s="20">
        <f t="shared" si="1"/>
        <v>2.3199999999999998E-2</v>
      </c>
      <c r="I22" s="20">
        <v>2.2800000000000001E-2</v>
      </c>
      <c r="J22" s="20">
        <f t="shared" si="2"/>
        <v>2.2800000000000001E-2</v>
      </c>
      <c r="K22" s="20">
        <v>1.17E-2</v>
      </c>
      <c r="L22" s="20">
        <f t="shared" si="3"/>
        <v>1.17E-2</v>
      </c>
      <c r="M22">
        <v>1</v>
      </c>
      <c r="N22" s="20">
        <f t="shared" si="4"/>
        <v>5.7700000000000001E-2</v>
      </c>
      <c r="O22" s="20">
        <f t="shared" si="5"/>
        <v>3.9316239316239314</v>
      </c>
      <c r="P22" s="20">
        <f t="shared" si="6"/>
        <v>0.40207972270363945</v>
      </c>
      <c r="Q22" s="20">
        <f t="shared" si="7"/>
        <v>0.3951473136915078</v>
      </c>
      <c r="R22" s="20">
        <f t="shared" si="8"/>
        <v>0.2027729636048527</v>
      </c>
    </row>
    <row r="23" spans="1:18" x14ac:dyDescent="0.25">
      <c r="A23" s="9" t="s">
        <v>379</v>
      </c>
      <c r="B23" t="s">
        <v>141</v>
      </c>
      <c r="C23" s="18">
        <v>11</v>
      </c>
      <c r="D23" s="18">
        <v>9.5</v>
      </c>
      <c r="E23" s="18">
        <f t="shared" si="0"/>
        <v>20.5</v>
      </c>
      <c r="F23" s="22">
        <v>2</v>
      </c>
      <c r="G23" s="20">
        <v>1.78E-2</v>
      </c>
      <c r="H23" s="20">
        <f t="shared" si="1"/>
        <v>1.78E-2</v>
      </c>
      <c r="I23" s="20">
        <v>1.52E-2</v>
      </c>
      <c r="J23" s="20">
        <f t="shared" si="2"/>
        <v>1.52E-2</v>
      </c>
      <c r="K23" s="20">
        <v>9.5999999999999992E-3</v>
      </c>
      <c r="L23" s="20">
        <f t="shared" si="3"/>
        <v>9.5999999999999992E-3</v>
      </c>
      <c r="M23">
        <v>1</v>
      </c>
      <c r="N23" s="20">
        <f t="shared" si="4"/>
        <v>4.2599999999999999E-2</v>
      </c>
      <c r="O23" s="20">
        <f t="shared" si="5"/>
        <v>3.4375000000000004</v>
      </c>
      <c r="P23" s="20">
        <f t="shared" si="6"/>
        <v>0.41784037558685444</v>
      </c>
      <c r="Q23" s="20">
        <f t="shared" si="7"/>
        <v>0.35680751173708919</v>
      </c>
      <c r="R23" s="20">
        <f t="shared" si="8"/>
        <v>0.22535211267605632</v>
      </c>
    </row>
    <row r="24" spans="1:18" x14ac:dyDescent="0.25">
      <c r="A24" s="9" t="s">
        <v>379</v>
      </c>
      <c r="B24" t="s">
        <v>142</v>
      </c>
      <c r="C24" s="18">
        <f>(9.5+9.5+8.3+8.2+8.2+9.4)/6</f>
        <v>8.85</v>
      </c>
      <c r="D24" s="18">
        <f>(7+5.8+6+7+8.5+6.5)/6</f>
        <v>6.8</v>
      </c>
      <c r="E24" s="18">
        <f t="shared" si="0"/>
        <v>15.649999999999999</v>
      </c>
      <c r="F24" s="22">
        <f>(2+3+2+2+2+3)/6</f>
        <v>2.3333333333333335</v>
      </c>
      <c r="G24" s="20">
        <v>7.1400000000000005E-2</v>
      </c>
      <c r="H24" s="20">
        <f t="shared" si="1"/>
        <v>1.1900000000000001E-2</v>
      </c>
      <c r="I24" s="20">
        <v>6.08E-2</v>
      </c>
      <c r="J24" s="20">
        <f t="shared" si="2"/>
        <v>1.0133333333333333E-2</v>
      </c>
      <c r="K24" s="20">
        <v>3.6999999999999998E-2</v>
      </c>
      <c r="L24" s="20">
        <f t="shared" si="3"/>
        <v>6.1666666666666667E-3</v>
      </c>
      <c r="M24">
        <v>6</v>
      </c>
      <c r="N24" s="20">
        <f t="shared" si="4"/>
        <v>2.8200000000000003E-2</v>
      </c>
      <c r="O24" s="20">
        <f t="shared" si="5"/>
        <v>0.59549549549549563</v>
      </c>
      <c r="P24" s="20">
        <f t="shared" si="6"/>
        <v>0.42198581560283688</v>
      </c>
      <c r="Q24" s="20">
        <f t="shared" si="7"/>
        <v>0.359338061465721</v>
      </c>
      <c r="R24" s="20">
        <f t="shared" si="8"/>
        <v>0.21867612293144206</v>
      </c>
    </row>
    <row r="25" spans="1:18" x14ac:dyDescent="0.25">
      <c r="A25" s="9" t="s">
        <v>379</v>
      </c>
      <c r="B25" t="s">
        <v>143</v>
      </c>
      <c r="C25" s="18">
        <f>(9.7+9+11.5)/3</f>
        <v>10.066666666666666</v>
      </c>
      <c r="D25" s="18">
        <f>(6+5+5)/3</f>
        <v>5.333333333333333</v>
      </c>
      <c r="E25" s="18">
        <f t="shared" si="0"/>
        <v>15.399999999999999</v>
      </c>
      <c r="F25" s="22">
        <v>5</v>
      </c>
      <c r="G25" s="20">
        <v>3.5299999999999998E-2</v>
      </c>
      <c r="H25" s="20">
        <f t="shared" si="1"/>
        <v>1.1766666666666667E-2</v>
      </c>
      <c r="I25" s="20">
        <v>2.92E-2</v>
      </c>
      <c r="J25" s="20">
        <f t="shared" si="2"/>
        <v>9.7333333333333334E-3</v>
      </c>
      <c r="K25" s="20">
        <v>1.14E-2</v>
      </c>
      <c r="L25" s="20">
        <f t="shared" si="3"/>
        <v>3.8E-3</v>
      </c>
      <c r="M25">
        <v>3</v>
      </c>
      <c r="N25" s="20">
        <f t="shared" si="4"/>
        <v>2.53E-2</v>
      </c>
      <c r="O25" s="20">
        <f t="shared" si="5"/>
        <v>1.8859649122807016</v>
      </c>
      <c r="P25" s="20">
        <f t="shared" si="6"/>
        <v>0.46508563899868249</v>
      </c>
      <c r="Q25" s="20">
        <f t="shared" si="7"/>
        <v>0.38471673254281952</v>
      </c>
      <c r="R25" s="20">
        <f t="shared" si="8"/>
        <v>0.15019762845849802</v>
      </c>
    </row>
    <row r="26" spans="1:18" x14ac:dyDescent="0.25">
      <c r="A26" s="9" t="s">
        <v>379</v>
      </c>
      <c r="B26" t="s">
        <v>144</v>
      </c>
      <c r="C26" s="18">
        <v>12.8</v>
      </c>
      <c r="D26" s="18">
        <v>11</v>
      </c>
      <c r="E26" s="18">
        <f t="shared" si="0"/>
        <v>23.8</v>
      </c>
      <c r="F26" s="22">
        <v>3</v>
      </c>
      <c r="G26" s="20">
        <v>2.7300000000000001E-2</v>
      </c>
      <c r="H26" s="20">
        <f t="shared" si="1"/>
        <v>2.7300000000000001E-2</v>
      </c>
      <c r="I26" s="20">
        <v>2.5100000000000001E-2</v>
      </c>
      <c r="J26" s="20">
        <f t="shared" si="2"/>
        <v>2.5100000000000001E-2</v>
      </c>
      <c r="K26" s="20">
        <v>1.2800000000000001E-2</v>
      </c>
      <c r="L26" s="20">
        <f t="shared" si="3"/>
        <v>1.2800000000000001E-2</v>
      </c>
      <c r="M26">
        <v>1</v>
      </c>
      <c r="N26" s="20">
        <f t="shared" si="4"/>
        <v>6.5200000000000008E-2</v>
      </c>
      <c r="O26" s="20">
        <f t="shared" si="5"/>
        <v>4.09375</v>
      </c>
      <c r="P26" s="20">
        <f t="shared" si="6"/>
        <v>0.41871165644171776</v>
      </c>
      <c r="Q26" s="20">
        <f t="shared" si="7"/>
        <v>0.38496932515337418</v>
      </c>
      <c r="R26" s="20">
        <f t="shared" si="8"/>
        <v>0.19631901840490795</v>
      </c>
    </row>
    <row r="27" spans="1:18" x14ac:dyDescent="0.25">
      <c r="A27" s="9" t="s">
        <v>379</v>
      </c>
      <c r="B27" t="s">
        <v>145</v>
      </c>
      <c r="C27" s="18">
        <f>(15+14.5)/2</f>
        <v>14.75</v>
      </c>
      <c r="D27" s="18">
        <f>(10.5+8.5)/2</f>
        <v>9.5</v>
      </c>
      <c r="E27" s="18">
        <f t="shared" si="0"/>
        <v>24.25</v>
      </c>
      <c r="F27" s="22">
        <v>4</v>
      </c>
      <c r="G27" s="20">
        <v>7.17E-2</v>
      </c>
      <c r="H27" s="20">
        <f t="shared" si="1"/>
        <v>3.585E-2</v>
      </c>
      <c r="I27" s="20">
        <v>5.0799999999999998E-2</v>
      </c>
      <c r="J27" s="20">
        <f t="shared" si="2"/>
        <v>2.5399999999999999E-2</v>
      </c>
      <c r="K27" s="20">
        <v>2.69E-2</v>
      </c>
      <c r="L27" s="20">
        <f t="shared" si="3"/>
        <v>1.345E-2</v>
      </c>
      <c r="M27">
        <v>2</v>
      </c>
      <c r="N27" s="20">
        <f t="shared" si="4"/>
        <v>7.4700000000000003E-2</v>
      </c>
      <c r="O27" s="20">
        <f t="shared" si="5"/>
        <v>2.2769516728624533</v>
      </c>
      <c r="P27" s="20">
        <f t="shared" si="6"/>
        <v>0.47991967871485941</v>
      </c>
      <c r="Q27" s="20">
        <f t="shared" si="7"/>
        <v>0.34002677376171347</v>
      </c>
      <c r="R27" s="20">
        <f t="shared" si="8"/>
        <v>0.18005354752342703</v>
      </c>
    </row>
    <row r="28" spans="1:18" x14ac:dyDescent="0.25">
      <c r="A28" s="9" t="s">
        <v>379</v>
      </c>
      <c r="B28" t="s">
        <v>146</v>
      </c>
      <c r="C28" s="18">
        <v>10.5</v>
      </c>
      <c r="D28" s="18">
        <v>4</v>
      </c>
      <c r="E28" s="18">
        <f t="shared" si="0"/>
        <v>14.5</v>
      </c>
      <c r="F28" s="22">
        <v>3</v>
      </c>
      <c r="G28" s="20">
        <v>9.7999999999999997E-3</v>
      </c>
      <c r="H28" s="20">
        <f t="shared" si="1"/>
        <v>9.7999999999999997E-3</v>
      </c>
      <c r="I28" s="20">
        <v>1.0699999999999999E-2</v>
      </c>
      <c r="J28" s="20">
        <f t="shared" si="2"/>
        <v>1.0699999999999999E-2</v>
      </c>
      <c r="K28" s="20">
        <v>1.1000000000000001E-3</v>
      </c>
      <c r="L28" s="20">
        <f t="shared" si="3"/>
        <v>1.1000000000000001E-3</v>
      </c>
      <c r="M28">
        <v>1</v>
      </c>
      <c r="N28" s="20">
        <f t="shared" si="4"/>
        <v>2.1599999999999998E-2</v>
      </c>
      <c r="O28" s="20">
        <f t="shared" si="5"/>
        <v>18.636363636363633</v>
      </c>
      <c r="P28" s="20">
        <f t="shared" si="6"/>
        <v>0.45370370370370372</v>
      </c>
      <c r="Q28" s="20">
        <f t="shared" si="7"/>
        <v>0.49537037037037041</v>
      </c>
      <c r="R28" s="20">
        <f t="shared" si="8"/>
        <v>5.0925925925925937E-2</v>
      </c>
    </row>
    <row r="29" spans="1:18" x14ac:dyDescent="0.25">
      <c r="A29" s="9" t="s">
        <v>379</v>
      </c>
      <c r="B29" t="s">
        <v>147</v>
      </c>
      <c r="C29" s="18">
        <f>(9+9+7)/3</f>
        <v>8.3333333333333339</v>
      </c>
      <c r="D29" s="18">
        <f>(11.5+6+9)/3</f>
        <v>8.8333333333333339</v>
      </c>
      <c r="E29" s="18">
        <f t="shared" si="0"/>
        <v>17.166666666666668</v>
      </c>
      <c r="F29" s="22">
        <v>2</v>
      </c>
      <c r="G29" s="20">
        <v>2.5499999999999998E-2</v>
      </c>
      <c r="H29" s="20">
        <f t="shared" si="1"/>
        <v>8.4999999999999989E-3</v>
      </c>
      <c r="I29" s="20">
        <v>2.0400000000000001E-2</v>
      </c>
      <c r="J29" s="20">
        <f t="shared" si="2"/>
        <v>6.8000000000000005E-3</v>
      </c>
      <c r="K29" s="20">
        <v>1.7899999999999999E-2</v>
      </c>
      <c r="L29" s="20">
        <f t="shared" si="3"/>
        <v>5.9666666666666661E-3</v>
      </c>
      <c r="M29">
        <v>3</v>
      </c>
      <c r="N29" s="20">
        <f t="shared" si="4"/>
        <v>2.1266666666666666E-2</v>
      </c>
      <c r="O29" s="20">
        <f t="shared" si="5"/>
        <v>0.85474860335195535</v>
      </c>
      <c r="P29" s="20">
        <f t="shared" si="6"/>
        <v>0.39968652037617552</v>
      </c>
      <c r="Q29" s="20">
        <f t="shared" si="7"/>
        <v>0.31974921630094044</v>
      </c>
      <c r="R29" s="20">
        <f t="shared" si="8"/>
        <v>0.28056426332288398</v>
      </c>
    </row>
    <row r="30" spans="1:18" x14ac:dyDescent="0.25">
      <c r="A30" s="9" t="s">
        <v>379</v>
      </c>
      <c r="B30" t="s">
        <v>148</v>
      </c>
      <c r="C30" s="18">
        <f>(10+8)/2</f>
        <v>9</v>
      </c>
      <c r="D30" s="18">
        <f>(6.8+6.4)/2</f>
        <v>6.6</v>
      </c>
      <c r="E30" s="18">
        <f t="shared" si="0"/>
        <v>15.6</v>
      </c>
      <c r="F30" s="22">
        <f>5/2</f>
        <v>2.5</v>
      </c>
      <c r="G30" s="20">
        <v>2.52E-2</v>
      </c>
      <c r="H30" s="20">
        <f t="shared" si="1"/>
        <v>1.26E-2</v>
      </c>
      <c r="I30" s="20">
        <v>2.1299999999999999E-2</v>
      </c>
      <c r="J30" s="20">
        <f t="shared" si="2"/>
        <v>1.065E-2</v>
      </c>
      <c r="K30" s="20">
        <v>9.1999999999999998E-3</v>
      </c>
      <c r="L30" s="20">
        <f t="shared" si="3"/>
        <v>4.5999999999999999E-3</v>
      </c>
      <c r="M30">
        <v>2</v>
      </c>
      <c r="N30" s="20">
        <f t="shared" si="4"/>
        <v>2.785E-2</v>
      </c>
      <c r="O30" s="20">
        <f t="shared" si="5"/>
        <v>2.5271739130434785</v>
      </c>
      <c r="P30" s="20">
        <f t="shared" si="6"/>
        <v>0.4524236983842011</v>
      </c>
      <c r="Q30" s="20">
        <f t="shared" si="7"/>
        <v>0.38240574506283664</v>
      </c>
      <c r="R30" s="20">
        <f t="shared" si="8"/>
        <v>0.16517055655296228</v>
      </c>
    </row>
    <row r="31" spans="1:18" x14ac:dyDescent="0.25">
      <c r="A31" s="9" t="s">
        <v>379</v>
      </c>
      <c r="B31" t="s">
        <v>149</v>
      </c>
      <c r="C31" s="18" t="s">
        <v>360</v>
      </c>
      <c r="D31" s="18" t="s">
        <v>360</v>
      </c>
      <c r="E31" s="18" t="s">
        <v>360</v>
      </c>
      <c r="F31" s="21" t="s">
        <v>360</v>
      </c>
      <c r="G31" s="20" t="s">
        <v>360</v>
      </c>
      <c r="H31" s="20" t="s">
        <v>360</v>
      </c>
      <c r="I31" s="20" t="s">
        <v>360</v>
      </c>
      <c r="J31" s="20" t="s">
        <v>360</v>
      </c>
      <c r="K31" s="20" t="s">
        <v>360</v>
      </c>
      <c r="L31" s="20" t="s">
        <v>360</v>
      </c>
      <c r="M31" s="21" t="s">
        <v>360</v>
      </c>
      <c r="N31" s="20" t="s">
        <v>360</v>
      </c>
      <c r="O31" s="20" t="s">
        <v>360</v>
      </c>
      <c r="P31" s="20" t="s">
        <v>360</v>
      </c>
      <c r="Q31" s="20" t="s">
        <v>360</v>
      </c>
      <c r="R31" s="20" t="s">
        <v>360</v>
      </c>
    </row>
    <row r="32" spans="1:18" x14ac:dyDescent="0.25">
      <c r="A32" s="9" t="s">
        <v>379</v>
      </c>
      <c r="B32" t="s">
        <v>150</v>
      </c>
      <c r="C32" s="18" t="s">
        <v>360</v>
      </c>
      <c r="D32" s="18" t="s">
        <v>360</v>
      </c>
      <c r="E32" s="18" t="s">
        <v>360</v>
      </c>
      <c r="F32" t="s">
        <v>360</v>
      </c>
      <c r="G32" s="20" t="s">
        <v>360</v>
      </c>
      <c r="H32" s="20" t="s">
        <v>360</v>
      </c>
      <c r="I32" s="20" t="s">
        <v>360</v>
      </c>
      <c r="J32" s="20" t="s">
        <v>360</v>
      </c>
      <c r="K32" s="20" t="s">
        <v>360</v>
      </c>
      <c r="L32" s="20" t="s">
        <v>360</v>
      </c>
      <c r="M32" s="21" t="s">
        <v>360</v>
      </c>
      <c r="N32" s="20" t="s">
        <v>360</v>
      </c>
      <c r="O32" s="20" t="s">
        <v>360</v>
      </c>
      <c r="P32" s="20" t="s">
        <v>360</v>
      </c>
      <c r="Q32" s="20" t="s">
        <v>360</v>
      </c>
      <c r="R32" s="20" t="s">
        <v>360</v>
      </c>
    </row>
    <row r="33" spans="1:18" x14ac:dyDescent="0.25">
      <c r="A33" s="9" t="s">
        <v>379</v>
      </c>
      <c r="B33" t="s">
        <v>151</v>
      </c>
      <c r="C33" s="18">
        <v>12.5</v>
      </c>
      <c r="D33" s="18">
        <v>8.5</v>
      </c>
      <c r="E33" s="18">
        <f t="shared" ref="E33:E60" si="9">C33+D33</f>
        <v>21</v>
      </c>
      <c r="F33" s="22">
        <v>3</v>
      </c>
      <c r="G33" s="20">
        <v>3.2099999999999997E-2</v>
      </c>
      <c r="H33" s="20">
        <f t="shared" ref="H33:H60" si="10">G33/M33</f>
        <v>3.2099999999999997E-2</v>
      </c>
      <c r="I33" s="20">
        <v>3.5499999999999997E-2</v>
      </c>
      <c r="J33" s="20">
        <f t="shared" ref="J33:J60" si="11">I33/M33</f>
        <v>3.5499999999999997E-2</v>
      </c>
      <c r="K33" s="20">
        <v>1.77E-2</v>
      </c>
      <c r="L33" s="20">
        <f t="shared" ref="L33:L60" si="12">K33/M33</f>
        <v>1.77E-2</v>
      </c>
      <c r="M33">
        <v>1</v>
      </c>
      <c r="N33" s="20">
        <f t="shared" ref="N33:N60" si="13">H33+J33+L33</f>
        <v>8.5299999999999987E-2</v>
      </c>
      <c r="O33" s="20">
        <f t="shared" ref="O33:O60" si="14">(H33+J33)/K33</f>
        <v>3.819209039548022</v>
      </c>
      <c r="P33" s="20">
        <f t="shared" ref="P33:P60" si="15">H33/N33</f>
        <v>0.37631887456037516</v>
      </c>
      <c r="Q33" s="20">
        <f t="shared" ref="Q33:Q60" si="16">J33/N33</f>
        <v>0.41617819460726851</v>
      </c>
      <c r="R33" s="20">
        <f t="shared" ref="R33:R60" si="17">L33/N33</f>
        <v>0.20750293083235644</v>
      </c>
    </row>
    <row r="34" spans="1:18" x14ac:dyDescent="0.25">
      <c r="A34" s="9" t="s">
        <v>379</v>
      </c>
      <c r="B34" t="s">
        <v>152</v>
      </c>
      <c r="C34" s="18">
        <v>15.8</v>
      </c>
      <c r="D34" s="18">
        <v>10.199999999999999</v>
      </c>
      <c r="E34" s="18">
        <f t="shared" si="9"/>
        <v>26</v>
      </c>
      <c r="F34">
        <v>3</v>
      </c>
      <c r="G34" s="20">
        <v>4.5199999999999997E-2</v>
      </c>
      <c r="H34" s="20">
        <f t="shared" si="10"/>
        <v>4.5199999999999997E-2</v>
      </c>
      <c r="I34" s="20">
        <v>4.6199999999999998E-2</v>
      </c>
      <c r="J34" s="20">
        <f t="shared" si="11"/>
        <v>4.6199999999999998E-2</v>
      </c>
      <c r="K34" s="20">
        <v>1.9699999999999999E-2</v>
      </c>
      <c r="L34" s="20">
        <f t="shared" si="12"/>
        <v>1.9699999999999999E-2</v>
      </c>
      <c r="M34">
        <v>1</v>
      </c>
      <c r="N34" s="20">
        <f t="shared" si="13"/>
        <v>0.11109999999999999</v>
      </c>
      <c r="O34" s="20">
        <f t="shared" si="14"/>
        <v>4.6395939086294415</v>
      </c>
      <c r="P34" s="20">
        <f t="shared" si="15"/>
        <v>0.40684068406840684</v>
      </c>
      <c r="Q34" s="20">
        <f t="shared" si="16"/>
        <v>0.41584158415841588</v>
      </c>
      <c r="R34" s="20">
        <f t="shared" si="17"/>
        <v>0.17731773177317733</v>
      </c>
    </row>
    <row r="35" spans="1:18" x14ac:dyDescent="0.25">
      <c r="A35" s="9" t="s">
        <v>379</v>
      </c>
      <c r="B35" t="s">
        <v>153</v>
      </c>
      <c r="C35" s="18">
        <v>13.5</v>
      </c>
      <c r="D35" s="18">
        <v>14</v>
      </c>
      <c r="E35" s="18">
        <f t="shared" si="9"/>
        <v>27.5</v>
      </c>
      <c r="F35">
        <v>3</v>
      </c>
      <c r="G35" s="20">
        <v>5.8000000000000003E-2</v>
      </c>
      <c r="H35" s="20">
        <f t="shared" si="10"/>
        <v>5.8000000000000003E-2</v>
      </c>
      <c r="I35" s="20">
        <v>5.4100000000000002E-2</v>
      </c>
      <c r="J35" s="20">
        <f t="shared" si="11"/>
        <v>5.4100000000000002E-2</v>
      </c>
      <c r="K35" s="20">
        <v>2.6200000000000001E-2</v>
      </c>
      <c r="L35" s="20">
        <f t="shared" si="12"/>
        <v>2.6200000000000001E-2</v>
      </c>
      <c r="M35">
        <v>1</v>
      </c>
      <c r="N35" s="20">
        <f t="shared" si="13"/>
        <v>0.13830000000000001</v>
      </c>
      <c r="O35" s="20">
        <f t="shared" si="14"/>
        <v>4.278625954198473</v>
      </c>
      <c r="P35" s="20">
        <f t="shared" si="15"/>
        <v>0.4193781634128706</v>
      </c>
      <c r="Q35" s="20">
        <f t="shared" si="16"/>
        <v>0.39117859725234994</v>
      </c>
      <c r="R35" s="20">
        <f t="shared" si="17"/>
        <v>0.18944323933477947</v>
      </c>
    </row>
    <row r="36" spans="1:18" x14ac:dyDescent="0.25">
      <c r="A36" s="9" t="s">
        <v>379</v>
      </c>
      <c r="B36" t="s">
        <v>154</v>
      </c>
      <c r="C36" s="18">
        <f>(12+12.5+11.6)/3</f>
        <v>12.033333333333333</v>
      </c>
      <c r="D36" s="18">
        <f>(14.2+10+12)/3</f>
        <v>12.066666666666668</v>
      </c>
      <c r="E36" s="18">
        <f t="shared" si="9"/>
        <v>24.1</v>
      </c>
      <c r="F36" s="22">
        <f>(2+3+2)/3</f>
        <v>2.3333333333333335</v>
      </c>
      <c r="G36" s="20">
        <v>7.7399999999999997E-2</v>
      </c>
      <c r="H36" s="20">
        <f t="shared" si="10"/>
        <v>2.58E-2</v>
      </c>
      <c r="I36" s="20">
        <v>6.0900000000000003E-2</v>
      </c>
      <c r="J36" s="20">
        <f t="shared" si="11"/>
        <v>2.0300000000000002E-2</v>
      </c>
      <c r="K36" s="20">
        <v>3.7600000000000001E-2</v>
      </c>
      <c r="L36" s="20">
        <f t="shared" si="12"/>
        <v>1.2533333333333334E-2</v>
      </c>
      <c r="M36">
        <v>3</v>
      </c>
      <c r="N36" s="20">
        <f t="shared" si="13"/>
        <v>5.8633333333333336E-2</v>
      </c>
      <c r="O36" s="20">
        <f t="shared" si="14"/>
        <v>1.2260638297872342</v>
      </c>
      <c r="P36" s="20">
        <f t="shared" si="15"/>
        <v>0.44002274019329163</v>
      </c>
      <c r="Q36" s="20">
        <f t="shared" si="16"/>
        <v>0.34621944286526435</v>
      </c>
      <c r="R36" s="20">
        <f t="shared" si="17"/>
        <v>0.213757816941444</v>
      </c>
    </row>
    <row r="37" spans="1:18" x14ac:dyDescent="0.25">
      <c r="A37" s="9" t="s">
        <v>379</v>
      </c>
      <c r="B37" t="s">
        <v>155</v>
      </c>
      <c r="C37" s="18">
        <f>(11+9)/2</f>
        <v>10</v>
      </c>
      <c r="D37" s="18">
        <f>(9.5+9)/2</f>
        <v>9.25</v>
      </c>
      <c r="E37" s="18">
        <f t="shared" si="9"/>
        <v>19.25</v>
      </c>
      <c r="F37" s="22">
        <f>(2+3)/2</f>
        <v>2.5</v>
      </c>
      <c r="G37" s="20">
        <v>3.7100000000000001E-2</v>
      </c>
      <c r="H37" s="20">
        <f t="shared" si="10"/>
        <v>1.8550000000000001E-2</v>
      </c>
      <c r="I37" s="20">
        <v>3.5400000000000001E-2</v>
      </c>
      <c r="J37" s="20">
        <f t="shared" si="11"/>
        <v>1.77E-2</v>
      </c>
      <c r="K37" s="20">
        <v>2.2200000000000001E-2</v>
      </c>
      <c r="L37" s="20">
        <f t="shared" si="12"/>
        <v>1.11E-2</v>
      </c>
      <c r="M37">
        <v>2</v>
      </c>
      <c r="N37" s="20">
        <f t="shared" si="13"/>
        <v>4.7350000000000003E-2</v>
      </c>
      <c r="O37" s="20">
        <f t="shared" si="14"/>
        <v>1.632882882882883</v>
      </c>
      <c r="P37" s="20">
        <f t="shared" si="15"/>
        <v>0.39176346356916575</v>
      </c>
      <c r="Q37" s="20">
        <f t="shared" si="16"/>
        <v>0.37381203801478352</v>
      </c>
      <c r="R37" s="20">
        <f t="shared" si="17"/>
        <v>0.23442449841605068</v>
      </c>
    </row>
    <row r="38" spans="1:18" x14ac:dyDescent="0.25">
      <c r="A38" s="9" t="s">
        <v>379</v>
      </c>
      <c r="B38" t="s">
        <v>156</v>
      </c>
      <c r="C38" s="18">
        <f>(9.5+9.7+10)/3</f>
        <v>9.7333333333333325</v>
      </c>
      <c r="D38" s="18">
        <f>(9+8.2+7)/3</f>
        <v>8.0666666666666664</v>
      </c>
      <c r="E38" s="18">
        <f t="shared" si="9"/>
        <v>17.799999999999997</v>
      </c>
      <c r="F38" s="21">
        <f>(3+3+3)/3</f>
        <v>3</v>
      </c>
      <c r="G38" s="20">
        <v>4.9099999999999998E-2</v>
      </c>
      <c r="H38" s="20">
        <f t="shared" si="10"/>
        <v>1.6366666666666665E-2</v>
      </c>
      <c r="I38" s="20">
        <v>3.6799999999999999E-2</v>
      </c>
      <c r="J38" s="20">
        <f t="shared" si="11"/>
        <v>1.2266666666666667E-2</v>
      </c>
      <c r="K38" s="20">
        <v>1.9800000000000002E-2</v>
      </c>
      <c r="L38" s="20">
        <f t="shared" si="12"/>
        <v>6.6000000000000008E-3</v>
      </c>
      <c r="M38">
        <v>3</v>
      </c>
      <c r="N38" s="20">
        <f t="shared" si="13"/>
        <v>3.5233333333333332E-2</v>
      </c>
      <c r="O38" s="20">
        <f t="shared" si="14"/>
        <v>1.4461279461279459</v>
      </c>
      <c r="P38" s="20">
        <f t="shared" si="15"/>
        <v>0.46452223273415322</v>
      </c>
      <c r="Q38" s="20">
        <f t="shared" si="16"/>
        <v>0.34815515610217601</v>
      </c>
      <c r="R38" s="20">
        <f t="shared" si="17"/>
        <v>0.1873226111636708</v>
      </c>
    </row>
    <row r="39" spans="1:18" x14ac:dyDescent="0.25">
      <c r="A39" s="9" t="s">
        <v>379</v>
      </c>
      <c r="B39" t="s">
        <v>157</v>
      </c>
      <c r="C39" s="18">
        <f>(11.5+9.6+10.6)/3</f>
        <v>10.566666666666668</v>
      </c>
      <c r="D39" s="18">
        <f>(8.5+11+9.5)/3</f>
        <v>9.6666666666666661</v>
      </c>
      <c r="E39" s="18">
        <f t="shared" si="9"/>
        <v>20.233333333333334</v>
      </c>
      <c r="F39">
        <f>9/3</f>
        <v>3</v>
      </c>
      <c r="G39" s="20">
        <v>5.5899999999999998E-2</v>
      </c>
      <c r="H39" s="20">
        <f t="shared" si="10"/>
        <v>1.8633333333333332E-2</v>
      </c>
      <c r="I39" s="20">
        <v>4.6100000000000002E-2</v>
      </c>
      <c r="J39" s="20">
        <f t="shared" si="11"/>
        <v>1.5366666666666667E-2</v>
      </c>
      <c r="K39" s="20">
        <v>3.0499999999999999E-2</v>
      </c>
      <c r="L39" s="20">
        <f t="shared" si="12"/>
        <v>1.0166666666666666E-2</v>
      </c>
      <c r="M39">
        <v>3</v>
      </c>
      <c r="N39" s="20">
        <f t="shared" si="13"/>
        <v>4.4166666666666667E-2</v>
      </c>
      <c r="O39" s="20">
        <f t="shared" si="14"/>
        <v>1.1147540983606559</v>
      </c>
      <c r="P39" s="20">
        <f t="shared" si="15"/>
        <v>0.42188679245283017</v>
      </c>
      <c r="Q39" s="20">
        <f t="shared" si="16"/>
        <v>0.3479245283018868</v>
      </c>
      <c r="R39" s="20">
        <f t="shared" si="17"/>
        <v>0.230188679245283</v>
      </c>
    </row>
    <row r="40" spans="1:18" x14ac:dyDescent="0.25">
      <c r="A40" s="9" t="s">
        <v>379</v>
      </c>
      <c r="B40" t="s">
        <v>158</v>
      </c>
      <c r="C40" s="18">
        <f>(12+11.2+11.5)/3</f>
        <v>11.566666666666668</v>
      </c>
      <c r="D40" s="18">
        <f>(14+9+10.5)/3</f>
        <v>11.166666666666666</v>
      </c>
      <c r="E40" s="18">
        <f t="shared" si="9"/>
        <v>22.733333333333334</v>
      </c>
      <c r="F40" s="21">
        <f>8/2</f>
        <v>4</v>
      </c>
      <c r="G40" s="20">
        <v>4.7100000000000003E-2</v>
      </c>
      <c r="H40" s="20">
        <f t="shared" si="10"/>
        <v>1.5700000000000002E-2</v>
      </c>
      <c r="I40" s="20">
        <v>3.7199999999999997E-2</v>
      </c>
      <c r="J40" s="20">
        <f t="shared" si="11"/>
        <v>1.24E-2</v>
      </c>
      <c r="K40" s="20">
        <v>2.3800000000000002E-2</v>
      </c>
      <c r="L40" s="20">
        <f t="shared" si="12"/>
        <v>7.9333333333333339E-3</v>
      </c>
      <c r="M40">
        <v>3</v>
      </c>
      <c r="N40" s="20">
        <f t="shared" si="13"/>
        <v>3.6033333333333334E-2</v>
      </c>
      <c r="O40" s="20">
        <f t="shared" si="14"/>
        <v>1.180672268907563</v>
      </c>
      <c r="P40" s="20">
        <f t="shared" si="15"/>
        <v>0.43570767807585575</v>
      </c>
      <c r="Q40" s="20">
        <f t="shared" si="16"/>
        <v>0.34412580943570764</v>
      </c>
      <c r="R40" s="20">
        <f t="shared" si="17"/>
        <v>0.22016651248843663</v>
      </c>
    </row>
    <row r="41" spans="1:18" x14ac:dyDescent="0.25">
      <c r="A41" s="9" t="s">
        <v>379</v>
      </c>
      <c r="B41" t="s">
        <v>159</v>
      </c>
      <c r="C41" s="18">
        <f>(11.5+12+11.2)/3</f>
        <v>11.566666666666668</v>
      </c>
      <c r="D41" s="18">
        <f>(9.5+9+15)/5</f>
        <v>6.7</v>
      </c>
      <c r="E41" s="18">
        <f t="shared" si="9"/>
        <v>18.266666666666669</v>
      </c>
      <c r="F41">
        <v>4</v>
      </c>
      <c r="G41" s="20">
        <v>6.6100000000000006E-2</v>
      </c>
      <c r="H41" s="20">
        <f t="shared" si="10"/>
        <v>2.2033333333333335E-2</v>
      </c>
      <c r="I41" s="20">
        <v>5.8500000000000003E-2</v>
      </c>
      <c r="J41" s="20">
        <f t="shared" si="11"/>
        <v>1.95E-2</v>
      </c>
      <c r="K41" s="20">
        <v>2.7799999999999998E-2</v>
      </c>
      <c r="L41" s="20">
        <f t="shared" si="12"/>
        <v>9.2666666666666661E-3</v>
      </c>
      <c r="M41">
        <v>3</v>
      </c>
      <c r="N41" s="20">
        <f t="shared" si="13"/>
        <v>5.0800000000000005E-2</v>
      </c>
      <c r="O41" s="20">
        <f t="shared" si="14"/>
        <v>1.4940047961630698</v>
      </c>
      <c r="P41" s="20">
        <f t="shared" si="15"/>
        <v>0.43372703412073493</v>
      </c>
      <c r="Q41" s="20">
        <f t="shared" si="16"/>
        <v>0.38385826771653542</v>
      </c>
      <c r="R41" s="20">
        <f t="shared" si="17"/>
        <v>0.18241469816272962</v>
      </c>
    </row>
    <row r="42" spans="1:18" x14ac:dyDescent="0.25">
      <c r="A42" s="2" t="s">
        <v>379</v>
      </c>
      <c r="B42" t="s">
        <v>160</v>
      </c>
      <c r="C42" s="18">
        <v>13.5</v>
      </c>
      <c r="D42" s="18">
        <v>12</v>
      </c>
      <c r="E42" s="18">
        <f t="shared" si="9"/>
        <v>25.5</v>
      </c>
      <c r="F42">
        <v>3</v>
      </c>
      <c r="G42" s="20">
        <v>4.6899999999999997E-2</v>
      </c>
      <c r="H42" s="20">
        <f t="shared" si="10"/>
        <v>4.6899999999999997E-2</v>
      </c>
      <c r="I42" s="20">
        <v>4.7E-2</v>
      </c>
      <c r="J42" s="20">
        <f t="shared" si="11"/>
        <v>4.7E-2</v>
      </c>
      <c r="K42" s="20">
        <v>2.5899999999999999E-2</v>
      </c>
      <c r="L42" s="20">
        <f t="shared" si="12"/>
        <v>2.5899999999999999E-2</v>
      </c>
      <c r="M42">
        <v>1</v>
      </c>
      <c r="N42" s="20">
        <f t="shared" si="13"/>
        <v>0.11979999999999999</v>
      </c>
      <c r="O42" s="20">
        <f t="shared" si="14"/>
        <v>3.6254826254826256</v>
      </c>
      <c r="P42" s="20">
        <f t="shared" si="15"/>
        <v>0.39148580968280466</v>
      </c>
      <c r="Q42" s="20">
        <f t="shared" si="16"/>
        <v>0.39232053422370622</v>
      </c>
      <c r="R42" s="20">
        <f t="shared" si="17"/>
        <v>0.21619365609348917</v>
      </c>
    </row>
    <row r="43" spans="1:18" x14ac:dyDescent="0.25">
      <c r="A43" s="2" t="s">
        <v>379</v>
      </c>
      <c r="B43" t="s">
        <v>161</v>
      </c>
      <c r="C43" s="18">
        <f>(9+9.2+9.8)/3</f>
        <v>9.3333333333333339</v>
      </c>
      <c r="D43" s="18">
        <f>(11+5.5+8)/3</f>
        <v>8.1666666666666661</v>
      </c>
      <c r="E43" s="18">
        <f t="shared" si="9"/>
        <v>17.5</v>
      </c>
      <c r="F43" s="22">
        <f>(2+3+2)/3</f>
        <v>2.3333333333333335</v>
      </c>
      <c r="G43" s="20">
        <v>5.0999999999999997E-2</v>
      </c>
      <c r="H43" s="20">
        <f t="shared" si="10"/>
        <v>1.6999999999999998E-2</v>
      </c>
      <c r="I43" s="20">
        <v>5.3100000000000001E-2</v>
      </c>
      <c r="J43" s="20">
        <f t="shared" si="11"/>
        <v>1.77E-2</v>
      </c>
      <c r="K43" s="20">
        <v>3.4599999999999999E-2</v>
      </c>
      <c r="L43" s="20">
        <f t="shared" si="12"/>
        <v>1.1533333333333333E-2</v>
      </c>
      <c r="M43">
        <v>3</v>
      </c>
      <c r="N43" s="20">
        <f t="shared" si="13"/>
        <v>4.6233333333333328E-2</v>
      </c>
      <c r="O43" s="20">
        <f t="shared" si="14"/>
        <v>1.0028901734104045</v>
      </c>
      <c r="P43" s="20">
        <f t="shared" si="15"/>
        <v>0.36770007209805333</v>
      </c>
      <c r="Q43" s="20">
        <f t="shared" si="16"/>
        <v>0.38284066330209088</v>
      </c>
      <c r="R43" s="20">
        <f t="shared" si="17"/>
        <v>0.24945926459985582</v>
      </c>
    </row>
    <row r="44" spans="1:18" x14ac:dyDescent="0.25">
      <c r="A44" s="2" t="s">
        <v>379</v>
      </c>
      <c r="B44" t="s">
        <v>162</v>
      </c>
      <c r="C44" s="18">
        <v>8</v>
      </c>
      <c r="D44" s="18">
        <v>3.3</v>
      </c>
      <c r="E44" s="18">
        <f t="shared" si="9"/>
        <v>11.3</v>
      </c>
      <c r="F44">
        <v>4</v>
      </c>
      <c r="G44" s="20">
        <v>8.3999999999999995E-3</v>
      </c>
      <c r="H44" s="20">
        <f t="shared" si="10"/>
        <v>8.3999999999999995E-3</v>
      </c>
      <c r="I44" s="20">
        <v>1.15E-2</v>
      </c>
      <c r="J44" s="20">
        <f t="shared" si="11"/>
        <v>1.15E-2</v>
      </c>
      <c r="K44" s="20">
        <v>2.8E-3</v>
      </c>
      <c r="L44" s="20">
        <f t="shared" si="12"/>
        <v>2.8E-3</v>
      </c>
      <c r="M44">
        <v>1</v>
      </c>
      <c r="N44" s="20">
        <f t="shared" si="13"/>
        <v>2.2700000000000001E-2</v>
      </c>
      <c r="O44" s="20">
        <f t="shared" si="14"/>
        <v>7.1071428571428577</v>
      </c>
      <c r="P44" s="20">
        <f t="shared" si="15"/>
        <v>0.37004405286343606</v>
      </c>
      <c r="Q44" s="20">
        <f t="shared" si="16"/>
        <v>0.50660792951541844</v>
      </c>
      <c r="R44" s="20">
        <f t="shared" si="17"/>
        <v>0.12334801762114536</v>
      </c>
    </row>
    <row r="45" spans="1:18" x14ac:dyDescent="0.25">
      <c r="A45" s="2" t="s">
        <v>379</v>
      </c>
      <c r="B45" t="s">
        <v>163</v>
      </c>
      <c r="C45" s="18">
        <v>8.5</v>
      </c>
      <c r="D45" s="18">
        <v>6.8</v>
      </c>
      <c r="E45" s="18">
        <f t="shared" si="9"/>
        <v>15.3</v>
      </c>
      <c r="F45">
        <v>2</v>
      </c>
      <c r="G45" s="20">
        <v>1.12E-2</v>
      </c>
      <c r="H45" s="20">
        <f t="shared" si="10"/>
        <v>1.12E-2</v>
      </c>
      <c r="I45" s="20">
        <v>1.03E-2</v>
      </c>
      <c r="J45" s="20">
        <f t="shared" si="11"/>
        <v>1.03E-2</v>
      </c>
      <c r="K45" s="20">
        <v>6.1000000000000004E-3</v>
      </c>
      <c r="L45" s="20">
        <f t="shared" si="12"/>
        <v>6.1000000000000004E-3</v>
      </c>
      <c r="M45">
        <v>1</v>
      </c>
      <c r="N45" s="20">
        <f t="shared" si="13"/>
        <v>2.76E-2</v>
      </c>
      <c r="O45" s="20">
        <f t="shared" si="14"/>
        <v>3.5245901639344259</v>
      </c>
      <c r="P45" s="20">
        <f t="shared" si="15"/>
        <v>0.40579710144927539</v>
      </c>
      <c r="Q45" s="20">
        <f t="shared" si="16"/>
        <v>0.37318840579710144</v>
      </c>
      <c r="R45" s="20">
        <f t="shared" si="17"/>
        <v>0.2210144927536232</v>
      </c>
    </row>
    <row r="46" spans="1:18" x14ac:dyDescent="0.25">
      <c r="A46" s="2" t="s">
        <v>379</v>
      </c>
      <c r="B46" t="s">
        <v>164</v>
      </c>
      <c r="C46" s="18">
        <v>13</v>
      </c>
      <c r="D46" s="18">
        <v>11</v>
      </c>
      <c r="E46" s="18">
        <f t="shared" si="9"/>
        <v>24</v>
      </c>
      <c r="F46">
        <v>3</v>
      </c>
      <c r="G46" s="20">
        <v>3.5000000000000003E-2</v>
      </c>
      <c r="H46" s="20">
        <f t="shared" si="10"/>
        <v>3.5000000000000003E-2</v>
      </c>
      <c r="I46" s="20">
        <v>3.1399999999999997E-2</v>
      </c>
      <c r="J46" s="20">
        <f t="shared" si="11"/>
        <v>3.1399999999999997E-2</v>
      </c>
      <c r="K46" s="20">
        <v>2.0500000000000001E-2</v>
      </c>
      <c r="L46" s="20">
        <f t="shared" si="12"/>
        <v>2.0500000000000001E-2</v>
      </c>
      <c r="M46">
        <v>1</v>
      </c>
      <c r="N46" s="20">
        <f t="shared" si="13"/>
        <v>8.6900000000000005E-2</v>
      </c>
      <c r="O46" s="20">
        <f t="shared" si="14"/>
        <v>3.2390243902439022</v>
      </c>
      <c r="P46" s="20">
        <f t="shared" si="15"/>
        <v>0.40276179516685845</v>
      </c>
      <c r="Q46" s="20">
        <f t="shared" si="16"/>
        <v>0.36133486766398154</v>
      </c>
      <c r="R46" s="20">
        <f t="shared" si="17"/>
        <v>0.23590333716915995</v>
      </c>
    </row>
    <row r="47" spans="1:18" x14ac:dyDescent="0.25">
      <c r="A47" s="2" t="s">
        <v>379</v>
      </c>
      <c r="B47" t="s">
        <v>165</v>
      </c>
      <c r="C47" s="18">
        <v>10</v>
      </c>
      <c r="D47" s="18">
        <v>4.5</v>
      </c>
      <c r="E47" s="18">
        <f t="shared" si="9"/>
        <v>14.5</v>
      </c>
      <c r="F47">
        <v>4</v>
      </c>
      <c r="G47" s="20">
        <v>1.3299999999999999E-2</v>
      </c>
      <c r="H47" s="20">
        <f t="shared" si="10"/>
        <v>1.3299999999999999E-2</v>
      </c>
      <c r="I47" s="20">
        <v>1.43E-2</v>
      </c>
      <c r="J47" s="20">
        <f t="shared" si="11"/>
        <v>1.43E-2</v>
      </c>
      <c r="K47" s="20">
        <v>3.8999999999999998E-3</v>
      </c>
      <c r="L47" s="20">
        <f t="shared" si="12"/>
        <v>3.8999999999999998E-3</v>
      </c>
      <c r="M47">
        <v>1</v>
      </c>
      <c r="N47" s="20">
        <f t="shared" si="13"/>
        <v>3.15E-2</v>
      </c>
      <c r="O47" s="20">
        <f t="shared" si="14"/>
        <v>7.0769230769230775</v>
      </c>
      <c r="P47" s="20">
        <f t="shared" si="15"/>
        <v>0.42222222222222222</v>
      </c>
      <c r="Q47" s="20">
        <f t="shared" si="16"/>
        <v>0.45396825396825397</v>
      </c>
      <c r="R47" s="20">
        <f t="shared" si="17"/>
        <v>0.1238095238095238</v>
      </c>
    </row>
    <row r="48" spans="1:18" x14ac:dyDescent="0.25">
      <c r="A48" s="2" t="s">
        <v>379</v>
      </c>
      <c r="B48" t="s">
        <v>166</v>
      </c>
      <c r="C48" s="18">
        <f>(11.5+13.8)/2</f>
        <v>12.65</v>
      </c>
      <c r="D48" s="18">
        <f>(13+7)/2</f>
        <v>10</v>
      </c>
      <c r="E48" s="18">
        <f t="shared" si="9"/>
        <v>22.65</v>
      </c>
      <c r="F48">
        <v>2</v>
      </c>
      <c r="G48" s="20">
        <v>5.2999999999999999E-2</v>
      </c>
      <c r="H48" s="20">
        <f t="shared" si="10"/>
        <v>2.6499999999999999E-2</v>
      </c>
      <c r="I48" s="20">
        <v>0.04</v>
      </c>
      <c r="J48" s="20">
        <f t="shared" si="11"/>
        <v>0.02</v>
      </c>
      <c r="K48" s="20">
        <v>2.1600000000000001E-2</v>
      </c>
      <c r="L48" s="20">
        <f t="shared" si="12"/>
        <v>1.0800000000000001E-2</v>
      </c>
      <c r="M48">
        <v>2</v>
      </c>
      <c r="N48" s="20">
        <f t="shared" si="13"/>
        <v>5.7300000000000004E-2</v>
      </c>
      <c r="O48" s="20">
        <f t="shared" si="14"/>
        <v>2.1527777777777777</v>
      </c>
      <c r="P48" s="20">
        <f t="shared" si="15"/>
        <v>0.46247818499127397</v>
      </c>
      <c r="Q48" s="20">
        <f t="shared" si="16"/>
        <v>0.34904013961605584</v>
      </c>
      <c r="R48" s="20">
        <f t="shared" si="17"/>
        <v>0.18848167539267016</v>
      </c>
    </row>
    <row r="49" spans="1:18" x14ac:dyDescent="0.25">
      <c r="A49" s="2" t="s">
        <v>379</v>
      </c>
      <c r="B49" t="s">
        <v>167</v>
      </c>
      <c r="C49" s="18">
        <f>(5.6+6+7)/3</f>
        <v>6.2</v>
      </c>
      <c r="D49" s="18">
        <f>(6.8+10+8)/3</f>
        <v>8.2666666666666675</v>
      </c>
      <c r="E49" s="18">
        <f t="shared" si="9"/>
        <v>14.466666666666669</v>
      </c>
      <c r="F49" s="22">
        <v>2</v>
      </c>
      <c r="G49" s="20">
        <v>2.3599999999999999E-2</v>
      </c>
      <c r="H49" s="20">
        <f t="shared" si="10"/>
        <v>7.8666666666666659E-3</v>
      </c>
      <c r="I49" s="20">
        <v>2.0799999999999999E-2</v>
      </c>
      <c r="J49" s="20">
        <f t="shared" si="11"/>
        <v>6.933333333333333E-3</v>
      </c>
      <c r="K49" s="20">
        <v>1.9099999999999999E-2</v>
      </c>
      <c r="L49" s="20">
        <f t="shared" si="12"/>
        <v>6.3666666666666663E-3</v>
      </c>
      <c r="M49">
        <v>3</v>
      </c>
      <c r="N49" s="20">
        <f t="shared" si="13"/>
        <v>2.1166666666666667E-2</v>
      </c>
      <c r="O49" s="20">
        <f t="shared" si="14"/>
        <v>0.77486910994764402</v>
      </c>
      <c r="P49" s="20">
        <f t="shared" si="15"/>
        <v>0.37165354330708655</v>
      </c>
      <c r="Q49" s="20">
        <f t="shared" si="16"/>
        <v>0.32755905511811023</v>
      </c>
      <c r="R49" s="20">
        <f t="shared" si="17"/>
        <v>0.3007874015748031</v>
      </c>
    </row>
    <row r="50" spans="1:18" x14ac:dyDescent="0.25">
      <c r="A50" s="2" t="s">
        <v>379</v>
      </c>
      <c r="B50" t="s">
        <v>168</v>
      </c>
      <c r="C50" s="18">
        <f>(9+7.3)/2</f>
        <v>8.15</v>
      </c>
      <c r="D50" s="18">
        <f>(11+6.5)/2</f>
        <v>8.75</v>
      </c>
      <c r="E50" s="18">
        <f t="shared" si="9"/>
        <v>16.899999999999999</v>
      </c>
      <c r="F50" s="22">
        <v>3</v>
      </c>
      <c r="G50" s="20">
        <v>2.93E-2</v>
      </c>
      <c r="H50" s="20">
        <f t="shared" si="10"/>
        <v>1.465E-2</v>
      </c>
      <c r="I50" s="20">
        <v>3.4500000000000003E-2</v>
      </c>
      <c r="J50" s="20">
        <f t="shared" si="11"/>
        <v>1.7250000000000001E-2</v>
      </c>
      <c r="K50" s="20">
        <v>1.4800000000000001E-2</v>
      </c>
      <c r="L50" s="20">
        <f t="shared" si="12"/>
        <v>7.4000000000000003E-3</v>
      </c>
      <c r="M50">
        <v>2</v>
      </c>
      <c r="N50" s="20">
        <f t="shared" si="13"/>
        <v>3.9300000000000002E-2</v>
      </c>
      <c r="O50" s="20">
        <f t="shared" si="14"/>
        <v>2.1554054054054053</v>
      </c>
      <c r="P50" s="20">
        <f t="shared" si="15"/>
        <v>0.37277353689567427</v>
      </c>
      <c r="Q50" s="20">
        <f t="shared" si="16"/>
        <v>0.43893129770992367</v>
      </c>
      <c r="R50" s="20">
        <f t="shared" si="17"/>
        <v>0.18829516539440203</v>
      </c>
    </row>
    <row r="51" spans="1:18" x14ac:dyDescent="0.25">
      <c r="A51" s="2" t="s">
        <v>379</v>
      </c>
      <c r="B51" t="s">
        <v>169</v>
      </c>
      <c r="C51" s="18">
        <f>(11+8.4)/2</f>
        <v>9.6999999999999993</v>
      </c>
      <c r="D51" s="18">
        <f>(7+6.5)/2</f>
        <v>6.75</v>
      </c>
      <c r="E51" s="18">
        <f t="shared" si="9"/>
        <v>16.45</v>
      </c>
      <c r="F51" s="22">
        <v>4</v>
      </c>
      <c r="G51" s="20">
        <v>2.4899999999999999E-2</v>
      </c>
      <c r="H51" s="20">
        <f t="shared" si="10"/>
        <v>1.2449999999999999E-2</v>
      </c>
      <c r="I51" s="20">
        <v>2.3900000000000001E-2</v>
      </c>
      <c r="J51" s="20">
        <f t="shared" si="11"/>
        <v>1.1950000000000001E-2</v>
      </c>
      <c r="K51" s="20">
        <v>1.06E-2</v>
      </c>
      <c r="L51" s="20">
        <f t="shared" si="12"/>
        <v>5.3E-3</v>
      </c>
      <c r="M51">
        <v>2</v>
      </c>
      <c r="N51" s="20">
        <f t="shared" si="13"/>
        <v>2.9699999999999997E-2</v>
      </c>
      <c r="O51" s="20">
        <f t="shared" si="14"/>
        <v>2.3018867924528301</v>
      </c>
      <c r="P51" s="20">
        <f t="shared" si="15"/>
        <v>0.41919191919191923</v>
      </c>
      <c r="Q51" s="20">
        <f t="shared" si="16"/>
        <v>0.40235690235690241</v>
      </c>
      <c r="R51" s="20">
        <f t="shared" si="17"/>
        <v>0.17845117845117847</v>
      </c>
    </row>
    <row r="52" spans="1:18" x14ac:dyDescent="0.25">
      <c r="A52" s="2" t="s">
        <v>379</v>
      </c>
      <c r="B52" t="s">
        <v>170</v>
      </c>
      <c r="C52" s="18">
        <v>12</v>
      </c>
      <c r="D52" s="18">
        <v>8.4</v>
      </c>
      <c r="E52" s="18">
        <f t="shared" si="9"/>
        <v>20.399999999999999</v>
      </c>
      <c r="F52" s="22">
        <v>4</v>
      </c>
      <c r="G52" s="20">
        <v>1.7999999999999999E-2</v>
      </c>
      <c r="H52" s="20">
        <f t="shared" si="10"/>
        <v>1.7999999999999999E-2</v>
      </c>
      <c r="I52" s="20">
        <v>2.29E-2</v>
      </c>
      <c r="J52" s="20">
        <f t="shared" si="11"/>
        <v>2.29E-2</v>
      </c>
      <c r="K52" s="20">
        <v>6.8999999999999999E-3</v>
      </c>
      <c r="L52" s="20">
        <f t="shared" si="12"/>
        <v>6.8999999999999999E-3</v>
      </c>
      <c r="M52">
        <v>1</v>
      </c>
      <c r="N52" s="20">
        <f t="shared" si="13"/>
        <v>4.7799999999999995E-2</v>
      </c>
      <c r="O52" s="20">
        <f t="shared" si="14"/>
        <v>5.9275362318840576</v>
      </c>
      <c r="P52" s="20">
        <f t="shared" si="15"/>
        <v>0.37656903765690375</v>
      </c>
      <c r="Q52" s="20">
        <f t="shared" si="16"/>
        <v>0.47907949790794985</v>
      </c>
      <c r="R52" s="20">
        <f t="shared" si="17"/>
        <v>0.14435146443514646</v>
      </c>
    </row>
    <row r="53" spans="1:18" x14ac:dyDescent="0.25">
      <c r="A53" s="2" t="s">
        <v>379</v>
      </c>
      <c r="B53" t="s">
        <v>171</v>
      </c>
      <c r="C53" s="18">
        <v>13.5</v>
      </c>
      <c r="D53" s="18">
        <v>12.2</v>
      </c>
      <c r="E53" s="18">
        <f t="shared" si="9"/>
        <v>25.7</v>
      </c>
      <c r="F53" s="22">
        <v>3</v>
      </c>
      <c r="G53" s="20">
        <v>2.3599999999999999E-2</v>
      </c>
      <c r="H53" s="20">
        <f t="shared" si="10"/>
        <v>2.3599999999999999E-2</v>
      </c>
      <c r="I53" s="20">
        <v>2.76E-2</v>
      </c>
      <c r="J53" s="20">
        <f t="shared" si="11"/>
        <v>2.76E-2</v>
      </c>
      <c r="K53" s="20">
        <v>1.6400000000000001E-2</v>
      </c>
      <c r="L53" s="20">
        <f t="shared" si="12"/>
        <v>1.6400000000000001E-2</v>
      </c>
      <c r="M53">
        <v>1</v>
      </c>
      <c r="N53" s="20">
        <f t="shared" si="13"/>
        <v>6.7599999999999993E-2</v>
      </c>
      <c r="O53" s="20">
        <f t="shared" si="14"/>
        <v>3.1219512195121948</v>
      </c>
      <c r="P53" s="20">
        <f t="shared" si="15"/>
        <v>0.34911242603550297</v>
      </c>
      <c r="Q53" s="20">
        <f t="shared" si="16"/>
        <v>0.40828402366863908</v>
      </c>
      <c r="R53" s="20">
        <f t="shared" si="17"/>
        <v>0.24260355029585803</v>
      </c>
    </row>
    <row r="54" spans="1:18" x14ac:dyDescent="0.25">
      <c r="A54" s="2" t="s">
        <v>379</v>
      </c>
      <c r="B54" t="s">
        <v>172</v>
      </c>
      <c r="C54" s="18">
        <v>10</v>
      </c>
      <c r="D54" s="18">
        <v>3</v>
      </c>
      <c r="E54" s="18">
        <f t="shared" si="9"/>
        <v>13</v>
      </c>
      <c r="F54" s="22">
        <v>2</v>
      </c>
      <c r="G54" s="20">
        <v>1.7399999999999999E-2</v>
      </c>
      <c r="H54" s="20">
        <f t="shared" si="10"/>
        <v>1.7399999999999999E-2</v>
      </c>
      <c r="I54" s="20">
        <v>1.52E-2</v>
      </c>
      <c r="J54" s="20">
        <f t="shared" si="11"/>
        <v>1.52E-2</v>
      </c>
      <c r="K54" s="20">
        <v>2E-3</v>
      </c>
      <c r="L54" s="20">
        <f t="shared" si="12"/>
        <v>2E-3</v>
      </c>
      <c r="M54">
        <v>1</v>
      </c>
      <c r="N54" s="20">
        <f t="shared" si="13"/>
        <v>3.4599999999999999E-2</v>
      </c>
      <c r="O54" s="20">
        <f t="shared" si="14"/>
        <v>16.299999999999997</v>
      </c>
      <c r="P54" s="20">
        <f t="shared" si="15"/>
        <v>0.50289017341040465</v>
      </c>
      <c r="Q54" s="20">
        <f t="shared" si="16"/>
        <v>0.43930635838150289</v>
      </c>
      <c r="R54" s="20">
        <f t="shared" si="17"/>
        <v>5.7803468208092491E-2</v>
      </c>
    </row>
    <row r="55" spans="1:18" x14ac:dyDescent="0.25">
      <c r="A55" s="2" t="s">
        <v>379</v>
      </c>
      <c r="B55" t="s">
        <v>173</v>
      </c>
      <c r="C55" s="18">
        <f>(8+7.3)/2</f>
        <v>7.65</v>
      </c>
      <c r="D55" s="18">
        <f>(11+5.5)/2</f>
        <v>8.25</v>
      </c>
      <c r="E55" s="18">
        <f t="shared" si="9"/>
        <v>15.9</v>
      </c>
      <c r="F55" s="22">
        <v>2</v>
      </c>
      <c r="G55" s="20">
        <v>2.9899999999999999E-2</v>
      </c>
      <c r="H55" s="20">
        <f t="shared" si="10"/>
        <v>1.495E-2</v>
      </c>
      <c r="I55" s="20">
        <v>0.03</v>
      </c>
      <c r="J55" s="20">
        <f t="shared" si="11"/>
        <v>1.4999999999999999E-2</v>
      </c>
      <c r="K55" s="20">
        <v>1.6E-2</v>
      </c>
      <c r="L55" s="20">
        <f t="shared" si="12"/>
        <v>8.0000000000000002E-3</v>
      </c>
      <c r="M55">
        <v>2</v>
      </c>
      <c r="N55" s="20">
        <f t="shared" si="13"/>
        <v>3.7949999999999998E-2</v>
      </c>
      <c r="O55" s="20">
        <f t="shared" si="14"/>
        <v>1.8718749999999997</v>
      </c>
      <c r="P55" s="20">
        <f t="shared" si="15"/>
        <v>0.39393939393939398</v>
      </c>
      <c r="Q55" s="20">
        <f t="shared" si="16"/>
        <v>0.39525691699604742</v>
      </c>
      <c r="R55" s="20">
        <f t="shared" si="17"/>
        <v>0.21080368906455865</v>
      </c>
    </row>
    <row r="56" spans="1:18" x14ac:dyDescent="0.25">
      <c r="A56" s="2" t="s">
        <v>379</v>
      </c>
      <c r="B56" t="s">
        <v>174</v>
      </c>
      <c r="C56" s="18">
        <f>(7+6.5+6)/3</f>
        <v>6.5</v>
      </c>
      <c r="D56" s="18">
        <f>(2+1.8+5)/3</f>
        <v>2.9333333333333336</v>
      </c>
      <c r="E56" s="18">
        <f t="shared" si="9"/>
        <v>9.4333333333333336</v>
      </c>
      <c r="F56" s="22">
        <v>2.3333333333333335</v>
      </c>
      <c r="G56" s="20">
        <v>2.7199999999999998E-2</v>
      </c>
      <c r="H56" s="20">
        <f t="shared" si="10"/>
        <v>9.0666666666666656E-3</v>
      </c>
      <c r="I56" s="20">
        <v>2.9399999999999999E-2</v>
      </c>
      <c r="J56" s="20">
        <f t="shared" si="11"/>
        <v>9.7999999999999997E-3</v>
      </c>
      <c r="K56" s="20">
        <v>8.0000000000000002E-3</v>
      </c>
      <c r="L56" s="20">
        <f t="shared" si="12"/>
        <v>2.6666666666666666E-3</v>
      </c>
      <c r="M56">
        <v>3</v>
      </c>
      <c r="N56" s="20">
        <f t="shared" si="13"/>
        <v>2.1533333333333331E-2</v>
      </c>
      <c r="O56" s="20">
        <f t="shared" si="14"/>
        <v>2.3583333333333329</v>
      </c>
      <c r="P56" s="20">
        <f t="shared" si="15"/>
        <v>0.42105263157894735</v>
      </c>
      <c r="Q56" s="20">
        <f t="shared" si="16"/>
        <v>0.45510835913312697</v>
      </c>
      <c r="R56" s="20">
        <f t="shared" si="17"/>
        <v>0.1238390092879257</v>
      </c>
    </row>
    <row r="57" spans="1:18" x14ac:dyDescent="0.25">
      <c r="A57" s="2" t="s">
        <v>379</v>
      </c>
      <c r="B57" t="s">
        <v>175</v>
      </c>
      <c r="C57" s="18">
        <v>9</v>
      </c>
      <c r="D57" s="18">
        <v>5.5</v>
      </c>
      <c r="E57" s="18">
        <f t="shared" si="9"/>
        <v>14.5</v>
      </c>
      <c r="F57" s="22">
        <v>2</v>
      </c>
      <c r="G57" s="20">
        <v>1.26E-2</v>
      </c>
      <c r="H57" s="20">
        <f t="shared" si="10"/>
        <v>1.26E-2</v>
      </c>
      <c r="I57" s="20">
        <v>1.4E-2</v>
      </c>
      <c r="J57" s="20">
        <f t="shared" si="11"/>
        <v>1.4E-2</v>
      </c>
      <c r="K57" s="20">
        <v>4.0000000000000001E-3</v>
      </c>
      <c r="L57" s="20">
        <f t="shared" si="12"/>
        <v>4.0000000000000001E-3</v>
      </c>
      <c r="M57">
        <v>1</v>
      </c>
      <c r="N57" s="20">
        <f t="shared" si="13"/>
        <v>3.0599999999999999E-2</v>
      </c>
      <c r="O57" s="20">
        <f t="shared" si="14"/>
        <v>6.6499999999999995</v>
      </c>
      <c r="P57" s="20">
        <f t="shared" si="15"/>
        <v>0.41176470588235298</v>
      </c>
      <c r="Q57" s="20">
        <f t="shared" si="16"/>
        <v>0.45751633986928109</v>
      </c>
      <c r="R57" s="20">
        <f t="shared" si="17"/>
        <v>0.13071895424836602</v>
      </c>
    </row>
    <row r="58" spans="1:18" x14ac:dyDescent="0.25">
      <c r="A58" s="2" t="s">
        <v>379</v>
      </c>
      <c r="B58" t="s">
        <v>176</v>
      </c>
      <c r="C58" s="18">
        <v>9</v>
      </c>
      <c r="D58" s="18">
        <v>9</v>
      </c>
      <c r="E58" s="18">
        <f t="shared" si="9"/>
        <v>18</v>
      </c>
      <c r="F58" s="22">
        <v>3</v>
      </c>
      <c r="G58" s="20">
        <v>2.06E-2</v>
      </c>
      <c r="H58" s="20">
        <f t="shared" si="10"/>
        <v>2.06E-2</v>
      </c>
      <c r="I58" s="20">
        <v>3.4500000000000003E-2</v>
      </c>
      <c r="J58" s="20">
        <f t="shared" si="11"/>
        <v>3.4500000000000003E-2</v>
      </c>
      <c r="K58" s="20">
        <v>1.2500000000000001E-2</v>
      </c>
      <c r="L58" s="20">
        <f t="shared" si="12"/>
        <v>1.2500000000000001E-2</v>
      </c>
      <c r="M58">
        <v>1</v>
      </c>
      <c r="N58" s="20">
        <f t="shared" si="13"/>
        <v>6.7600000000000007E-2</v>
      </c>
      <c r="O58" s="20">
        <f t="shared" si="14"/>
        <v>4.4080000000000004</v>
      </c>
      <c r="P58" s="20">
        <f t="shared" si="15"/>
        <v>0.30473372781065083</v>
      </c>
      <c r="Q58" s="20">
        <f t="shared" si="16"/>
        <v>0.51035502958579881</v>
      </c>
      <c r="R58" s="20">
        <f t="shared" si="17"/>
        <v>0.1849112426035503</v>
      </c>
    </row>
    <row r="59" spans="1:18" x14ac:dyDescent="0.25">
      <c r="A59" s="2" t="s">
        <v>379</v>
      </c>
      <c r="B59" t="s">
        <v>177</v>
      </c>
      <c r="C59" s="18">
        <v>8.5</v>
      </c>
      <c r="D59" s="18">
        <v>10</v>
      </c>
      <c r="E59" s="18">
        <f t="shared" si="9"/>
        <v>18.5</v>
      </c>
      <c r="F59" s="22">
        <v>4</v>
      </c>
      <c r="G59" s="20">
        <v>3.1800000000000002E-2</v>
      </c>
      <c r="H59" s="20">
        <f t="shared" si="10"/>
        <v>3.1800000000000002E-2</v>
      </c>
      <c r="I59" s="20">
        <v>6.1499999999999999E-2</v>
      </c>
      <c r="J59" s="20">
        <f t="shared" si="11"/>
        <v>6.1499999999999999E-2</v>
      </c>
      <c r="K59" s="20">
        <v>2.64E-2</v>
      </c>
      <c r="L59" s="20">
        <f t="shared" si="12"/>
        <v>2.64E-2</v>
      </c>
      <c r="M59">
        <v>1</v>
      </c>
      <c r="N59" s="20">
        <f t="shared" si="13"/>
        <v>0.1197</v>
      </c>
      <c r="O59" s="20">
        <f t="shared" si="14"/>
        <v>3.5340909090909087</v>
      </c>
      <c r="P59" s="20">
        <f t="shared" si="15"/>
        <v>0.26566416040100255</v>
      </c>
      <c r="Q59" s="20">
        <f t="shared" si="16"/>
        <v>0.51378446115288223</v>
      </c>
      <c r="R59" s="20">
        <f t="shared" si="17"/>
        <v>0.22055137844611528</v>
      </c>
    </row>
    <row r="60" spans="1:18" x14ac:dyDescent="0.25">
      <c r="A60" s="2" t="s">
        <v>379</v>
      </c>
      <c r="B60" t="s">
        <v>178</v>
      </c>
      <c r="C60" s="18">
        <f>(7.5+8)/2</f>
        <v>7.75</v>
      </c>
      <c r="D60" s="18">
        <f>(8.5+9)/2</f>
        <v>8.75</v>
      </c>
      <c r="E60" s="18">
        <f t="shared" si="9"/>
        <v>16.5</v>
      </c>
      <c r="F60" s="22">
        <v>3.5</v>
      </c>
      <c r="G60" s="20">
        <v>3.5499999999999997E-2</v>
      </c>
      <c r="H60" s="20">
        <f t="shared" si="10"/>
        <v>1.7749999999999998E-2</v>
      </c>
      <c r="I60" s="20">
        <v>5.5E-2</v>
      </c>
      <c r="J60" s="20">
        <f t="shared" si="11"/>
        <v>2.75E-2</v>
      </c>
      <c r="K60" s="20">
        <v>2.6599999999999999E-2</v>
      </c>
      <c r="L60" s="20">
        <f t="shared" si="12"/>
        <v>1.3299999999999999E-2</v>
      </c>
      <c r="M60">
        <v>2</v>
      </c>
      <c r="N60" s="20">
        <f t="shared" si="13"/>
        <v>5.8549999999999998E-2</v>
      </c>
      <c r="O60" s="20">
        <f t="shared" si="14"/>
        <v>1.7011278195488722</v>
      </c>
      <c r="P60" s="20">
        <f t="shared" si="15"/>
        <v>0.30315969257045261</v>
      </c>
      <c r="Q60" s="20">
        <f t="shared" si="16"/>
        <v>0.46968403074295478</v>
      </c>
      <c r="R60" s="20">
        <f t="shared" si="17"/>
        <v>0.22715627668659266</v>
      </c>
    </row>
    <row r="61" spans="1:18" x14ac:dyDescent="0.25">
      <c r="A61" s="2" t="s">
        <v>379</v>
      </c>
      <c r="B61" t="s">
        <v>179</v>
      </c>
      <c r="C61" s="18" t="s">
        <v>360</v>
      </c>
      <c r="D61" s="18" t="s">
        <v>360</v>
      </c>
      <c r="E61" s="18" t="s">
        <v>360</v>
      </c>
      <c r="F61" s="21" t="s">
        <v>360</v>
      </c>
      <c r="G61" s="20" t="s">
        <v>360</v>
      </c>
      <c r="H61" s="20" t="s">
        <v>360</v>
      </c>
      <c r="I61" s="20" t="s">
        <v>360</v>
      </c>
      <c r="J61" s="20" t="s">
        <v>360</v>
      </c>
      <c r="K61" s="20" t="s">
        <v>360</v>
      </c>
      <c r="L61" s="20" t="s">
        <v>360</v>
      </c>
      <c r="M61" s="21" t="s">
        <v>360</v>
      </c>
      <c r="N61" s="20" t="s">
        <v>360</v>
      </c>
      <c r="O61" s="20" t="s">
        <v>360</v>
      </c>
      <c r="P61" s="20" t="s">
        <v>360</v>
      </c>
      <c r="Q61" s="20" t="s">
        <v>360</v>
      </c>
      <c r="R61" s="20" t="s">
        <v>360</v>
      </c>
    </row>
    <row r="62" spans="1:18" x14ac:dyDescent="0.25">
      <c r="A62" s="3" t="s">
        <v>380</v>
      </c>
      <c r="B62" t="s">
        <v>180</v>
      </c>
      <c r="C62" s="18">
        <v>6</v>
      </c>
      <c r="D62" s="18">
        <v>9.1</v>
      </c>
      <c r="E62" s="18">
        <f t="shared" ref="E62:E93" si="18">C62+D62</f>
        <v>15.1</v>
      </c>
      <c r="F62" s="22">
        <v>3</v>
      </c>
      <c r="G62" s="20">
        <v>8.8000000000000005E-3</v>
      </c>
      <c r="H62" s="20">
        <f t="shared" ref="H62:H93" si="19">G62/M62</f>
        <v>8.8000000000000005E-3</v>
      </c>
      <c r="I62" s="20">
        <v>1.38E-2</v>
      </c>
      <c r="J62" s="20">
        <f t="shared" ref="J62:J93" si="20">I62/M62</f>
        <v>1.38E-2</v>
      </c>
      <c r="K62" s="20">
        <v>6.1999999999999998E-3</v>
      </c>
      <c r="L62" s="20">
        <f t="shared" ref="L62:L93" si="21">K62/M62</f>
        <v>6.1999999999999998E-3</v>
      </c>
      <c r="M62">
        <v>1</v>
      </c>
      <c r="N62" s="20">
        <f t="shared" ref="N62:N93" si="22">H62+J62+L62</f>
        <v>2.8800000000000003E-2</v>
      </c>
      <c r="O62" s="20">
        <f t="shared" ref="O62:O93" si="23">(H62+J62)/K62</f>
        <v>3.645161290322581</v>
      </c>
      <c r="P62" s="20">
        <f t="shared" ref="P62:P93" si="24">H62/N62</f>
        <v>0.30555555555555552</v>
      </c>
      <c r="Q62" s="20">
        <f t="shared" ref="Q62:Q93" si="25">J62/N62</f>
        <v>0.47916666666666663</v>
      </c>
      <c r="R62" s="20">
        <f t="shared" ref="R62:R93" si="26">L62/N62</f>
        <v>0.21527777777777776</v>
      </c>
    </row>
    <row r="63" spans="1:18" x14ac:dyDescent="0.25">
      <c r="A63" s="3" t="s">
        <v>380</v>
      </c>
      <c r="B63" t="s">
        <v>181</v>
      </c>
      <c r="C63" s="18">
        <v>10.8</v>
      </c>
      <c r="D63" s="18">
        <v>14.6</v>
      </c>
      <c r="E63" s="18">
        <f t="shared" si="18"/>
        <v>25.4</v>
      </c>
      <c r="F63" s="22">
        <v>3</v>
      </c>
      <c r="G63" s="20">
        <v>2.7400000000000001E-2</v>
      </c>
      <c r="H63" s="20">
        <f t="shared" si="19"/>
        <v>2.7400000000000001E-2</v>
      </c>
      <c r="I63" s="20">
        <v>3.2399999999999998E-2</v>
      </c>
      <c r="J63" s="20">
        <f t="shared" si="20"/>
        <v>3.2399999999999998E-2</v>
      </c>
      <c r="K63" s="20">
        <v>1.44E-2</v>
      </c>
      <c r="L63" s="20">
        <f t="shared" si="21"/>
        <v>1.44E-2</v>
      </c>
      <c r="M63">
        <v>1</v>
      </c>
      <c r="N63" s="20">
        <f t="shared" si="22"/>
        <v>7.4200000000000002E-2</v>
      </c>
      <c r="O63" s="20">
        <f t="shared" si="23"/>
        <v>4.1527777777777777</v>
      </c>
      <c r="P63" s="20">
        <f t="shared" si="24"/>
        <v>0.3692722371967655</v>
      </c>
      <c r="Q63" s="20">
        <f t="shared" si="25"/>
        <v>0.43665768194070076</v>
      </c>
      <c r="R63" s="20">
        <f t="shared" si="26"/>
        <v>0.19407008086253369</v>
      </c>
    </row>
    <row r="64" spans="1:18" x14ac:dyDescent="0.25">
      <c r="A64" s="3" t="s">
        <v>380</v>
      </c>
      <c r="B64" t="s">
        <v>182</v>
      </c>
      <c r="C64" s="18">
        <v>10.199999999999999</v>
      </c>
      <c r="D64" s="18">
        <v>4.5999999999999996</v>
      </c>
      <c r="E64" s="18">
        <f t="shared" si="18"/>
        <v>14.799999999999999</v>
      </c>
      <c r="F64" s="22">
        <v>3</v>
      </c>
      <c r="G64" s="20">
        <v>2.4299999999999999E-2</v>
      </c>
      <c r="H64" s="20">
        <f t="shared" si="19"/>
        <v>2.4299999999999999E-2</v>
      </c>
      <c r="I64" s="20">
        <v>2.5899999999999999E-2</v>
      </c>
      <c r="J64" s="20">
        <f t="shared" si="20"/>
        <v>2.5899999999999999E-2</v>
      </c>
      <c r="K64" s="20">
        <v>8.0999999999999996E-3</v>
      </c>
      <c r="L64" s="20">
        <f t="shared" si="21"/>
        <v>8.0999999999999996E-3</v>
      </c>
      <c r="M64">
        <v>1</v>
      </c>
      <c r="N64" s="20">
        <f t="shared" si="22"/>
        <v>5.8299999999999991E-2</v>
      </c>
      <c r="O64" s="20">
        <f t="shared" si="23"/>
        <v>6.1975308641975309</v>
      </c>
      <c r="P64" s="20">
        <f t="shared" si="24"/>
        <v>0.41680960548885082</v>
      </c>
      <c r="Q64" s="20">
        <f t="shared" si="25"/>
        <v>0.44425385934819905</v>
      </c>
      <c r="R64" s="20">
        <f t="shared" si="26"/>
        <v>0.13893653516295026</v>
      </c>
    </row>
    <row r="65" spans="1:18" x14ac:dyDescent="0.25">
      <c r="A65" s="3" t="s">
        <v>380</v>
      </c>
      <c r="B65" t="s">
        <v>183</v>
      </c>
      <c r="C65" s="18">
        <f>(8.8+10.1)/2</f>
        <v>9.4499999999999993</v>
      </c>
      <c r="D65" s="18">
        <f>(5.5+7.8)/2</f>
        <v>6.65</v>
      </c>
      <c r="E65" s="18">
        <f t="shared" si="18"/>
        <v>16.100000000000001</v>
      </c>
      <c r="F65" s="22">
        <f>5/2</f>
        <v>2.5</v>
      </c>
      <c r="G65" s="20">
        <v>2.9000000000000001E-2</v>
      </c>
      <c r="H65" s="20">
        <f t="shared" si="19"/>
        <v>1.4500000000000001E-2</v>
      </c>
      <c r="I65" s="20">
        <v>3.1600000000000003E-2</v>
      </c>
      <c r="J65" s="20">
        <f t="shared" si="20"/>
        <v>1.5800000000000002E-2</v>
      </c>
      <c r="K65" s="20">
        <v>1.1900000000000001E-2</v>
      </c>
      <c r="L65" s="20">
        <f t="shared" si="21"/>
        <v>5.9500000000000004E-3</v>
      </c>
      <c r="M65">
        <v>2</v>
      </c>
      <c r="N65" s="20">
        <f t="shared" si="22"/>
        <v>3.6250000000000004E-2</v>
      </c>
      <c r="O65" s="20">
        <f t="shared" si="23"/>
        <v>2.5462184873949578</v>
      </c>
      <c r="P65" s="20">
        <f t="shared" si="24"/>
        <v>0.39999999999999997</v>
      </c>
      <c r="Q65" s="20">
        <f t="shared" si="25"/>
        <v>0.43586206896551721</v>
      </c>
      <c r="R65" s="20">
        <f t="shared" si="26"/>
        <v>0.16413793103448274</v>
      </c>
    </row>
    <row r="66" spans="1:18" x14ac:dyDescent="0.25">
      <c r="A66" s="3" t="s">
        <v>380</v>
      </c>
      <c r="B66" t="s">
        <v>184</v>
      </c>
      <c r="C66" s="18">
        <f>(9.7+9.7+9.5)/3</f>
        <v>9.6333333333333329</v>
      </c>
      <c r="D66" s="18">
        <f>(6.5+7.7+11.8)/3</f>
        <v>8.6666666666666661</v>
      </c>
      <c r="E66" s="18">
        <f t="shared" si="18"/>
        <v>18.299999999999997</v>
      </c>
      <c r="F66" s="22">
        <v>3</v>
      </c>
      <c r="G66" s="20">
        <v>3.8800000000000001E-2</v>
      </c>
      <c r="H66" s="20">
        <f t="shared" si="19"/>
        <v>1.2933333333333333E-2</v>
      </c>
      <c r="I66" s="20">
        <v>3.8199999999999998E-2</v>
      </c>
      <c r="J66" s="20">
        <f t="shared" si="20"/>
        <v>1.2733333333333333E-2</v>
      </c>
      <c r="K66" s="20">
        <v>2.1000000000000001E-2</v>
      </c>
      <c r="L66" s="20">
        <f t="shared" si="21"/>
        <v>7.0000000000000001E-3</v>
      </c>
      <c r="M66">
        <v>3</v>
      </c>
      <c r="N66" s="20">
        <f t="shared" si="22"/>
        <v>3.2666666666666663E-2</v>
      </c>
      <c r="O66" s="20">
        <f t="shared" si="23"/>
        <v>1.2222222222222221</v>
      </c>
      <c r="P66" s="20">
        <f t="shared" si="24"/>
        <v>0.3959183673469388</v>
      </c>
      <c r="Q66" s="20">
        <f t="shared" si="25"/>
        <v>0.38979591836734695</v>
      </c>
      <c r="R66" s="20">
        <f t="shared" si="26"/>
        <v>0.2142857142857143</v>
      </c>
    </row>
    <row r="67" spans="1:18" x14ac:dyDescent="0.25">
      <c r="A67" s="3" t="s">
        <v>380</v>
      </c>
      <c r="B67" t="s">
        <v>185</v>
      </c>
      <c r="C67" s="18">
        <f>(9+8+7.9)/3</f>
        <v>8.2999999999999989</v>
      </c>
      <c r="D67" s="18">
        <f>(6+5.6+9)/3</f>
        <v>6.8666666666666671</v>
      </c>
      <c r="E67" s="18">
        <f t="shared" si="18"/>
        <v>15.166666666666666</v>
      </c>
      <c r="F67" s="22">
        <v>3</v>
      </c>
      <c r="G67" s="20">
        <v>3.3099999999999997E-2</v>
      </c>
      <c r="H67" s="20">
        <f t="shared" si="19"/>
        <v>1.1033333333333332E-2</v>
      </c>
      <c r="I67" s="20">
        <v>3.0300000000000001E-2</v>
      </c>
      <c r="J67" s="20">
        <f t="shared" si="20"/>
        <v>1.01E-2</v>
      </c>
      <c r="K67" s="20">
        <v>1.0999999999999999E-2</v>
      </c>
      <c r="L67" s="20">
        <f t="shared" si="21"/>
        <v>3.6666666666666666E-3</v>
      </c>
      <c r="M67">
        <v>3</v>
      </c>
      <c r="N67" s="20">
        <f t="shared" si="22"/>
        <v>2.4799999999999996E-2</v>
      </c>
      <c r="O67" s="20">
        <f t="shared" si="23"/>
        <v>1.9212121212121211</v>
      </c>
      <c r="P67" s="20">
        <f t="shared" si="24"/>
        <v>0.44489247311827962</v>
      </c>
      <c r="Q67" s="20">
        <f t="shared" si="25"/>
        <v>0.40725806451612911</v>
      </c>
      <c r="R67" s="20">
        <f t="shared" si="26"/>
        <v>0.14784946236559143</v>
      </c>
    </row>
    <row r="68" spans="1:18" x14ac:dyDescent="0.25">
      <c r="A68" s="3" t="s">
        <v>380</v>
      </c>
      <c r="B68" t="s">
        <v>186</v>
      </c>
      <c r="C68" s="18">
        <f>(7.5+7.6)/2</f>
        <v>7.55</v>
      </c>
      <c r="D68" s="18">
        <f>(8.5+10)/2</f>
        <v>9.25</v>
      </c>
      <c r="E68" s="18">
        <f t="shared" si="18"/>
        <v>16.8</v>
      </c>
      <c r="F68" s="22">
        <v>3</v>
      </c>
      <c r="G68" s="20">
        <v>1.67E-2</v>
      </c>
      <c r="H68" s="20">
        <f t="shared" si="19"/>
        <v>8.3499999999999998E-3</v>
      </c>
      <c r="I68" s="20">
        <v>2.1399999999999999E-2</v>
      </c>
      <c r="J68" s="20">
        <f t="shared" si="20"/>
        <v>1.0699999999999999E-2</v>
      </c>
      <c r="K68" s="20">
        <v>1.2200000000000001E-2</v>
      </c>
      <c r="L68" s="20">
        <f t="shared" si="21"/>
        <v>6.1000000000000004E-3</v>
      </c>
      <c r="M68">
        <v>2</v>
      </c>
      <c r="N68" s="20">
        <f t="shared" si="22"/>
        <v>2.5149999999999999E-2</v>
      </c>
      <c r="O68" s="20">
        <f t="shared" si="23"/>
        <v>1.5614754098360653</v>
      </c>
      <c r="P68" s="20">
        <f t="shared" si="24"/>
        <v>0.33200795228628233</v>
      </c>
      <c r="Q68" s="20">
        <f t="shared" si="25"/>
        <v>0.42544731610337971</v>
      </c>
      <c r="R68" s="20">
        <f t="shared" si="26"/>
        <v>0.24254473161033799</v>
      </c>
    </row>
    <row r="69" spans="1:18" x14ac:dyDescent="0.25">
      <c r="A69" s="3" t="s">
        <v>380</v>
      </c>
      <c r="B69" t="s">
        <v>187</v>
      </c>
      <c r="C69" s="18">
        <v>11.6</v>
      </c>
      <c r="D69" s="18">
        <v>9.3000000000000007</v>
      </c>
      <c r="E69" s="18">
        <f t="shared" si="18"/>
        <v>20.9</v>
      </c>
      <c r="F69" s="22">
        <v>5</v>
      </c>
      <c r="G69" s="20">
        <v>4.3999999999999997E-2</v>
      </c>
      <c r="H69" s="20">
        <f t="shared" si="19"/>
        <v>4.3999999999999997E-2</v>
      </c>
      <c r="I69" s="20">
        <v>5.1700000000000003E-2</v>
      </c>
      <c r="J69" s="20">
        <f t="shared" si="20"/>
        <v>5.1700000000000003E-2</v>
      </c>
      <c r="K69" s="20">
        <v>1.26E-2</v>
      </c>
      <c r="L69" s="20">
        <f t="shared" si="21"/>
        <v>1.26E-2</v>
      </c>
      <c r="M69">
        <v>1</v>
      </c>
      <c r="N69" s="20">
        <f t="shared" si="22"/>
        <v>0.10830000000000001</v>
      </c>
      <c r="O69" s="20">
        <f t="shared" si="23"/>
        <v>7.5952380952380958</v>
      </c>
      <c r="P69" s="20">
        <f t="shared" si="24"/>
        <v>0.40627885503231759</v>
      </c>
      <c r="Q69" s="20">
        <f t="shared" si="25"/>
        <v>0.47737765466297322</v>
      </c>
      <c r="R69" s="20">
        <f t="shared" si="26"/>
        <v>0.11634349030470914</v>
      </c>
    </row>
    <row r="70" spans="1:18" x14ac:dyDescent="0.25">
      <c r="A70" s="3" t="s">
        <v>380</v>
      </c>
      <c r="B70" t="s">
        <v>188</v>
      </c>
      <c r="C70" s="18">
        <f>(8.1+9.8+11)/3</f>
        <v>9.6333333333333329</v>
      </c>
      <c r="D70" s="18">
        <f>(10.6+5.5+8)/3</f>
        <v>8.0333333333333332</v>
      </c>
      <c r="E70" s="18">
        <f t="shared" si="18"/>
        <v>17.666666666666664</v>
      </c>
      <c r="F70" s="21">
        <v>2</v>
      </c>
      <c r="G70" s="20">
        <v>3.6200000000000003E-2</v>
      </c>
      <c r="H70" s="20">
        <f t="shared" si="19"/>
        <v>1.2066666666666668E-2</v>
      </c>
      <c r="I70" s="20">
        <v>3.56E-2</v>
      </c>
      <c r="J70" s="20">
        <f t="shared" si="20"/>
        <v>1.1866666666666666E-2</v>
      </c>
      <c r="K70" s="20">
        <v>1.6E-2</v>
      </c>
      <c r="L70" s="20">
        <f t="shared" si="21"/>
        <v>5.3333333333333332E-3</v>
      </c>
      <c r="M70">
        <v>3</v>
      </c>
      <c r="N70" s="20">
        <f t="shared" si="22"/>
        <v>2.9266666666666667E-2</v>
      </c>
      <c r="O70" s="20">
        <f t="shared" si="23"/>
        <v>1.4958333333333333</v>
      </c>
      <c r="P70" s="20">
        <f t="shared" si="24"/>
        <v>0.41230068337129844</v>
      </c>
      <c r="Q70" s="20">
        <f t="shared" si="25"/>
        <v>0.40546697038724372</v>
      </c>
      <c r="R70" s="20">
        <f t="shared" si="26"/>
        <v>0.18223234624145784</v>
      </c>
    </row>
    <row r="71" spans="1:18" x14ac:dyDescent="0.25">
      <c r="A71" s="3" t="s">
        <v>380</v>
      </c>
      <c r="B71" t="s">
        <v>189</v>
      </c>
      <c r="C71" s="18">
        <f>(10+8.9)/2</f>
        <v>9.4499999999999993</v>
      </c>
      <c r="D71" s="18">
        <f>(7+6.2)/2</f>
        <v>6.6</v>
      </c>
      <c r="E71" s="18">
        <f t="shared" si="18"/>
        <v>16.049999999999997</v>
      </c>
      <c r="F71" s="22">
        <v>3</v>
      </c>
      <c r="G71" s="20">
        <v>3.5400000000000001E-2</v>
      </c>
      <c r="H71" s="20">
        <f t="shared" si="19"/>
        <v>1.77E-2</v>
      </c>
      <c r="I71" s="20">
        <v>3.1399999999999997E-2</v>
      </c>
      <c r="J71" s="20">
        <f t="shared" si="20"/>
        <v>1.5699999999999999E-2</v>
      </c>
      <c r="K71" s="20">
        <v>1.5699999999999999E-2</v>
      </c>
      <c r="L71" s="20">
        <f t="shared" si="21"/>
        <v>7.8499999999999993E-3</v>
      </c>
      <c r="M71">
        <v>2</v>
      </c>
      <c r="N71" s="20">
        <f t="shared" si="22"/>
        <v>4.1249999999999995E-2</v>
      </c>
      <c r="O71" s="20">
        <f t="shared" si="23"/>
        <v>2.1273885350318471</v>
      </c>
      <c r="P71" s="20">
        <f t="shared" si="24"/>
        <v>0.42909090909090913</v>
      </c>
      <c r="Q71" s="20">
        <f t="shared" si="25"/>
        <v>0.38060606060606061</v>
      </c>
      <c r="R71" s="20">
        <f t="shared" si="26"/>
        <v>0.19030303030303031</v>
      </c>
    </row>
    <row r="72" spans="1:18" x14ac:dyDescent="0.25">
      <c r="A72" s="3" t="s">
        <v>380</v>
      </c>
      <c r="B72" t="s">
        <v>190</v>
      </c>
      <c r="C72" s="18">
        <f>(10.2+8.5+9.3)/3</f>
        <v>9.3333333333333339</v>
      </c>
      <c r="D72" s="18">
        <f>(6.6+5.3+7.1)/3</f>
        <v>6.333333333333333</v>
      </c>
      <c r="E72" s="18">
        <f t="shared" si="18"/>
        <v>15.666666666666668</v>
      </c>
      <c r="F72">
        <f>9/3</f>
        <v>3</v>
      </c>
      <c r="G72" s="20">
        <v>4.99E-2</v>
      </c>
      <c r="H72" s="20">
        <f t="shared" si="19"/>
        <v>1.6633333333333333E-2</v>
      </c>
      <c r="I72" s="20">
        <v>5.1700000000000003E-2</v>
      </c>
      <c r="J72" s="20">
        <f t="shared" si="20"/>
        <v>1.7233333333333333E-2</v>
      </c>
      <c r="K72" s="20">
        <v>1.95E-2</v>
      </c>
      <c r="L72" s="20">
        <f t="shared" si="21"/>
        <v>6.4999999999999997E-3</v>
      </c>
      <c r="M72">
        <v>3</v>
      </c>
      <c r="N72" s="20">
        <f t="shared" si="22"/>
        <v>4.0366666666666669E-2</v>
      </c>
      <c r="O72" s="20">
        <f t="shared" si="23"/>
        <v>1.736752136752137</v>
      </c>
      <c r="P72" s="20">
        <f t="shared" si="24"/>
        <v>0.41205615194054496</v>
      </c>
      <c r="Q72" s="20">
        <f t="shared" si="25"/>
        <v>0.4269199009083402</v>
      </c>
      <c r="R72" s="20">
        <f t="shared" si="26"/>
        <v>0.16102394715111476</v>
      </c>
    </row>
    <row r="73" spans="1:18" x14ac:dyDescent="0.25">
      <c r="A73" s="3" t="s">
        <v>380</v>
      </c>
      <c r="B73" t="s">
        <v>191</v>
      </c>
      <c r="C73" s="18">
        <f>(8.6+9.1+10.5)/3</f>
        <v>9.4</v>
      </c>
      <c r="D73" s="18">
        <f>(6.5+5+4.3)/3</f>
        <v>5.2666666666666666</v>
      </c>
      <c r="E73" s="18">
        <f t="shared" si="18"/>
        <v>14.666666666666668</v>
      </c>
      <c r="F73" s="21">
        <v>3</v>
      </c>
      <c r="G73" s="20">
        <v>4.2500000000000003E-2</v>
      </c>
      <c r="H73" s="20">
        <f t="shared" si="19"/>
        <v>1.4166666666666668E-2</v>
      </c>
      <c r="I73" s="20">
        <v>3.7499999999999999E-2</v>
      </c>
      <c r="J73" s="20">
        <f t="shared" si="20"/>
        <v>1.2499999999999999E-2</v>
      </c>
      <c r="K73" s="20">
        <v>1.6E-2</v>
      </c>
      <c r="L73" s="20">
        <f t="shared" si="21"/>
        <v>5.3333333333333332E-3</v>
      </c>
      <c r="M73">
        <v>3</v>
      </c>
      <c r="N73" s="20">
        <f t="shared" si="22"/>
        <v>3.2000000000000001E-2</v>
      </c>
      <c r="O73" s="20">
        <f t="shared" si="23"/>
        <v>1.6666666666666665</v>
      </c>
      <c r="P73" s="20">
        <f t="shared" si="24"/>
        <v>0.44270833333333337</v>
      </c>
      <c r="Q73" s="20">
        <f t="shared" si="25"/>
        <v>0.39062499999999994</v>
      </c>
      <c r="R73" s="20">
        <f t="shared" si="26"/>
        <v>0.16666666666666666</v>
      </c>
    </row>
    <row r="74" spans="1:18" x14ac:dyDescent="0.25">
      <c r="A74" s="3" t="s">
        <v>380</v>
      </c>
      <c r="B74" t="s">
        <v>192</v>
      </c>
      <c r="C74" s="18">
        <v>12.5</v>
      </c>
      <c r="D74" s="18">
        <v>10.4</v>
      </c>
      <c r="E74" s="18">
        <f t="shared" si="18"/>
        <v>22.9</v>
      </c>
      <c r="F74">
        <v>4</v>
      </c>
      <c r="G74" s="20">
        <v>3.4000000000000002E-2</v>
      </c>
      <c r="H74" s="20">
        <f t="shared" si="19"/>
        <v>3.4000000000000002E-2</v>
      </c>
      <c r="I74" s="20">
        <v>5.04E-2</v>
      </c>
      <c r="J74" s="20">
        <f t="shared" si="20"/>
        <v>5.04E-2</v>
      </c>
      <c r="K74" s="20">
        <v>2.1299999999999999E-2</v>
      </c>
      <c r="L74" s="20">
        <f t="shared" si="21"/>
        <v>2.1299999999999999E-2</v>
      </c>
      <c r="M74">
        <v>1</v>
      </c>
      <c r="N74" s="20">
        <f t="shared" si="22"/>
        <v>0.1057</v>
      </c>
      <c r="O74" s="20">
        <f t="shared" si="23"/>
        <v>3.962441314553991</v>
      </c>
      <c r="P74" s="20">
        <f t="shared" si="24"/>
        <v>0.32166508987701042</v>
      </c>
      <c r="Q74" s="20">
        <f t="shared" si="25"/>
        <v>0.47682119205298013</v>
      </c>
      <c r="R74" s="20">
        <f t="shared" si="26"/>
        <v>0.20151371807000945</v>
      </c>
    </row>
    <row r="75" spans="1:18" x14ac:dyDescent="0.25">
      <c r="A75" s="3" t="s">
        <v>380</v>
      </c>
      <c r="B75" t="s">
        <v>193</v>
      </c>
      <c r="C75" s="18">
        <f>(9.5+9.5+10.5)/3</f>
        <v>9.8333333333333339</v>
      </c>
      <c r="D75" s="18">
        <f>(11+5.7+8)/3</f>
        <v>8.2333333333333325</v>
      </c>
      <c r="E75" s="18">
        <f t="shared" si="18"/>
        <v>18.066666666666666</v>
      </c>
      <c r="F75">
        <f>9/3</f>
        <v>3</v>
      </c>
      <c r="G75" s="20">
        <v>4.82E-2</v>
      </c>
      <c r="H75" s="20">
        <f t="shared" si="19"/>
        <v>1.6066666666666667E-2</v>
      </c>
      <c r="I75" s="20">
        <v>4.0599999999999997E-2</v>
      </c>
      <c r="J75" s="20">
        <f t="shared" si="20"/>
        <v>1.3533333333333333E-2</v>
      </c>
      <c r="K75" s="20">
        <v>2.7400000000000001E-2</v>
      </c>
      <c r="L75" s="20">
        <f t="shared" si="21"/>
        <v>9.1333333333333336E-3</v>
      </c>
      <c r="M75">
        <v>3</v>
      </c>
      <c r="N75" s="20">
        <f t="shared" si="22"/>
        <v>3.8733333333333335E-2</v>
      </c>
      <c r="O75" s="20">
        <f t="shared" si="23"/>
        <v>1.0802919708029197</v>
      </c>
      <c r="P75" s="20">
        <f t="shared" si="24"/>
        <v>0.41480206540447501</v>
      </c>
      <c r="Q75" s="20">
        <f t="shared" si="25"/>
        <v>0.34939759036144574</v>
      </c>
      <c r="R75" s="20">
        <f t="shared" si="26"/>
        <v>0.23580034423407917</v>
      </c>
    </row>
    <row r="76" spans="1:18" x14ac:dyDescent="0.25">
      <c r="A76" s="3" t="s">
        <v>380</v>
      </c>
      <c r="B76" t="s">
        <v>194</v>
      </c>
      <c r="C76" s="18">
        <f>(12.8+12.1)/2</f>
        <v>12.45</v>
      </c>
      <c r="D76" s="18">
        <f>(8.9+9.5)/2</f>
        <v>9.1999999999999993</v>
      </c>
      <c r="E76" s="18">
        <f t="shared" si="18"/>
        <v>21.65</v>
      </c>
      <c r="F76" s="21">
        <f>6/2</f>
        <v>3</v>
      </c>
      <c r="G76" s="20">
        <v>4.9200000000000001E-2</v>
      </c>
      <c r="H76" s="20">
        <f t="shared" si="19"/>
        <v>2.46E-2</v>
      </c>
      <c r="I76" s="20">
        <v>3.7499999999999999E-2</v>
      </c>
      <c r="J76" s="20">
        <f t="shared" si="20"/>
        <v>1.8749999999999999E-2</v>
      </c>
      <c r="K76" s="20">
        <v>1.6899999999999998E-2</v>
      </c>
      <c r="L76" s="20">
        <f t="shared" si="21"/>
        <v>8.4499999999999992E-3</v>
      </c>
      <c r="M76">
        <v>2</v>
      </c>
      <c r="N76" s="20">
        <f t="shared" si="22"/>
        <v>5.1799999999999999E-2</v>
      </c>
      <c r="O76" s="20">
        <f t="shared" si="23"/>
        <v>2.5650887573964498</v>
      </c>
      <c r="P76" s="20">
        <f t="shared" si="24"/>
        <v>0.4749034749034749</v>
      </c>
      <c r="Q76" s="20">
        <f t="shared" si="25"/>
        <v>0.36196911196911197</v>
      </c>
      <c r="R76" s="20">
        <f t="shared" si="26"/>
        <v>0.16312741312741311</v>
      </c>
    </row>
    <row r="77" spans="1:18" x14ac:dyDescent="0.25">
      <c r="A77" s="3" t="s">
        <v>380</v>
      </c>
      <c r="B77" t="s">
        <v>195</v>
      </c>
      <c r="C77" s="18">
        <v>14.1</v>
      </c>
      <c r="D77" s="18">
        <v>7.6</v>
      </c>
      <c r="E77" s="18">
        <f t="shared" si="18"/>
        <v>21.7</v>
      </c>
      <c r="F77">
        <v>4</v>
      </c>
      <c r="G77" s="20">
        <v>4.3499999999999997E-2</v>
      </c>
      <c r="H77" s="20">
        <f t="shared" si="19"/>
        <v>4.3499999999999997E-2</v>
      </c>
      <c r="I77" s="20">
        <v>3.6299999999999999E-2</v>
      </c>
      <c r="J77" s="20">
        <f t="shared" si="20"/>
        <v>3.6299999999999999E-2</v>
      </c>
      <c r="K77" s="20">
        <v>1.52E-2</v>
      </c>
      <c r="L77" s="20">
        <f t="shared" si="21"/>
        <v>1.52E-2</v>
      </c>
      <c r="M77">
        <v>1</v>
      </c>
      <c r="N77" s="20">
        <f t="shared" si="22"/>
        <v>9.5000000000000001E-2</v>
      </c>
      <c r="O77" s="20">
        <f t="shared" si="23"/>
        <v>5.25</v>
      </c>
      <c r="P77" s="20">
        <f t="shared" si="24"/>
        <v>0.45789473684210524</v>
      </c>
      <c r="Q77" s="20">
        <f t="shared" si="25"/>
        <v>0.38210526315789473</v>
      </c>
      <c r="R77" s="20">
        <f t="shared" si="26"/>
        <v>0.16</v>
      </c>
    </row>
    <row r="78" spans="1:18" x14ac:dyDescent="0.25">
      <c r="A78" s="3" t="s">
        <v>380</v>
      </c>
      <c r="B78" t="s">
        <v>196</v>
      </c>
      <c r="C78" s="18">
        <v>12.4</v>
      </c>
      <c r="D78" s="18">
        <v>9.6999999999999993</v>
      </c>
      <c r="E78" s="18">
        <f t="shared" si="18"/>
        <v>22.1</v>
      </c>
      <c r="F78" s="21">
        <v>3</v>
      </c>
      <c r="G78" s="20">
        <v>3.1600000000000003E-2</v>
      </c>
      <c r="H78" s="20">
        <f t="shared" si="19"/>
        <v>3.1600000000000003E-2</v>
      </c>
      <c r="I78" s="20">
        <v>3.3399999999999999E-2</v>
      </c>
      <c r="J78" s="20">
        <f t="shared" si="20"/>
        <v>3.3399999999999999E-2</v>
      </c>
      <c r="K78" s="20">
        <v>1.7899999999999999E-2</v>
      </c>
      <c r="L78" s="20">
        <f t="shared" si="21"/>
        <v>1.7899999999999999E-2</v>
      </c>
      <c r="M78">
        <v>1</v>
      </c>
      <c r="N78" s="20">
        <f t="shared" si="22"/>
        <v>8.2900000000000001E-2</v>
      </c>
      <c r="O78" s="20">
        <f t="shared" si="23"/>
        <v>3.6312849162011176</v>
      </c>
      <c r="P78" s="20">
        <f t="shared" si="24"/>
        <v>0.38118214716525939</v>
      </c>
      <c r="Q78" s="20">
        <f t="shared" si="25"/>
        <v>0.40289505428226779</v>
      </c>
      <c r="R78" s="20">
        <f t="shared" si="26"/>
        <v>0.21592279855247284</v>
      </c>
    </row>
    <row r="79" spans="1:18" x14ac:dyDescent="0.25">
      <c r="A79" s="3" t="s">
        <v>380</v>
      </c>
      <c r="B79" t="s">
        <v>197</v>
      </c>
      <c r="C79" s="18">
        <v>11.5</v>
      </c>
      <c r="D79" s="18">
        <v>11.6</v>
      </c>
      <c r="E79" s="18">
        <f t="shared" si="18"/>
        <v>23.1</v>
      </c>
      <c r="F79" s="21">
        <v>3</v>
      </c>
      <c r="G79" s="20">
        <v>2.47E-2</v>
      </c>
      <c r="H79" s="20">
        <f t="shared" si="19"/>
        <v>2.47E-2</v>
      </c>
      <c r="I79" s="20">
        <v>2.9600000000000001E-2</v>
      </c>
      <c r="J79" s="20">
        <f t="shared" si="20"/>
        <v>2.9600000000000001E-2</v>
      </c>
      <c r="K79" s="20">
        <v>1.3599999999999999E-2</v>
      </c>
      <c r="L79" s="20">
        <f t="shared" si="21"/>
        <v>1.3599999999999999E-2</v>
      </c>
      <c r="M79">
        <v>1</v>
      </c>
      <c r="N79" s="20">
        <f t="shared" si="22"/>
        <v>6.7900000000000002E-2</v>
      </c>
      <c r="O79" s="20">
        <f t="shared" si="23"/>
        <v>3.9926470588235299</v>
      </c>
      <c r="P79" s="20">
        <f t="shared" si="24"/>
        <v>0.3637702503681885</v>
      </c>
      <c r="Q79" s="20">
        <f t="shared" si="25"/>
        <v>0.43593519882179677</v>
      </c>
      <c r="R79" s="20">
        <f t="shared" si="26"/>
        <v>0.20029455081001471</v>
      </c>
    </row>
    <row r="80" spans="1:18" x14ac:dyDescent="0.25">
      <c r="A80" s="3" t="s">
        <v>380</v>
      </c>
      <c r="B80" t="s">
        <v>198</v>
      </c>
      <c r="C80" s="18">
        <v>12.5</v>
      </c>
      <c r="D80" s="18">
        <v>7.7</v>
      </c>
      <c r="E80" s="18">
        <f t="shared" si="18"/>
        <v>20.2</v>
      </c>
      <c r="F80" s="21">
        <v>3</v>
      </c>
      <c r="G80" s="20">
        <v>2.2100000000000002E-2</v>
      </c>
      <c r="H80" s="20">
        <f t="shared" si="19"/>
        <v>2.2100000000000002E-2</v>
      </c>
      <c r="I80" s="20">
        <v>1.9900000000000001E-2</v>
      </c>
      <c r="J80" s="20">
        <f t="shared" si="20"/>
        <v>1.9900000000000001E-2</v>
      </c>
      <c r="K80" s="20">
        <v>8.3999999999999995E-3</v>
      </c>
      <c r="L80" s="20">
        <f t="shared" si="21"/>
        <v>8.3999999999999995E-3</v>
      </c>
      <c r="M80">
        <v>1</v>
      </c>
      <c r="N80" s="20">
        <f t="shared" si="22"/>
        <v>5.04E-2</v>
      </c>
      <c r="O80" s="20">
        <f t="shared" si="23"/>
        <v>5.0000000000000009</v>
      </c>
      <c r="P80" s="20">
        <f t="shared" si="24"/>
        <v>0.43849206349206354</v>
      </c>
      <c r="Q80" s="20">
        <f t="shared" si="25"/>
        <v>0.39484126984126988</v>
      </c>
      <c r="R80" s="20">
        <f t="shared" si="26"/>
        <v>0.16666666666666666</v>
      </c>
    </row>
    <row r="81" spans="1:18" x14ac:dyDescent="0.25">
      <c r="A81" s="3" t="s">
        <v>380</v>
      </c>
      <c r="B81" t="s">
        <v>199</v>
      </c>
      <c r="C81" s="18">
        <v>10.8</v>
      </c>
      <c r="D81" s="18">
        <v>10.1</v>
      </c>
      <c r="E81" s="18">
        <f t="shared" si="18"/>
        <v>20.9</v>
      </c>
      <c r="F81">
        <v>3</v>
      </c>
      <c r="G81" s="20">
        <v>1.8200000000000001E-2</v>
      </c>
      <c r="H81" s="20">
        <f t="shared" si="19"/>
        <v>1.8200000000000001E-2</v>
      </c>
      <c r="I81" s="20">
        <v>2.01E-2</v>
      </c>
      <c r="J81" s="20">
        <f t="shared" si="20"/>
        <v>2.01E-2</v>
      </c>
      <c r="K81" s="20">
        <v>1.12E-2</v>
      </c>
      <c r="L81" s="20">
        <f t="shared" si="21"/>
        <v>1.12E-2</v>
      </c>
      <c r="M81">
        <v>1</v>
      </c>
      <c r="N81" s="20">
        <f t="shared" si="22"/>
        <v>4.9500000000000002E-2</v>
      </c>
      <c r="O81" s="20">
        <f t="shared" si="23"/>
        <v>3.4196428571428572</v>
      </c>
      <c r="P81" s="20">
        <f t="shared" si="24"/>
        <v>0.36767676767676766</v>
      </c>
      <c r="Q81" s="20">
        <f t="shared" si="25"/>
        <v>0.40606060606060601</v>
      </c>
      <c r="R81" s="20">
        <f t="shared" si="26"/>
        <v>0.22626262626262625</v>
      </c>
    </row>
    <row r="82" spans="1:18" x14ac:dyDescent="0.25">
      <c r="A82" s="3" t="s">
        <v>380</v>
      </c>
      <c r="B82" t="s">
        <v>200</v>
      </c>
      <c r="C82" s="18">
        <v>7.6</v>
      </c>
      <c r="D82" s="18">
        <v>3.5</v>
      </c>
      <c r="E82" s="18">
        <f t="shared" si="18"/>
        <v>11.1</v>
      </c>
      <c r="F82" s="21">
        <v>3</v>
      </c>
      <c r="G82" s="20">
        <v>1.26E-2</v>
      </c>
      <c r="H82" s="20">
        <f t="shared" si="19"/>
        <v>1.26E-2</v>
      </c>
      <c r="I82" s="20">
        <v>1.7299999999999999E-2</v>
      </c>
      <c r="J82" s="20">
        <f t="shared" si="20"/>
        <v>1.7299999999999999E-2</v>
      </c>
      <c r="K82" s="20">
        <v>3.7000000000000002E-3</v>
      </c>
      <c r="L82" s="20">
        <f t="shared" si="21"/>
        <v>3.7000000000000002E-3</v>
      </c>
      <c r="M82">
        <v>1</v>
      </c>
      <c r="N82" s="20">
        <f t="shared" si="22"/>
        <v>3.3599999999999998E-2</v>
      </c>
      <c r="O82" s="20">
        <f t="shared" si="23"/>
        <v>8.0810810810810807</v>
      </c>
      <c r="P82" s="20">
        <f t="shared" si="24"/>
        <v>0.375</v>
      </c>
      <c r="Q82" s="20">
        <f t="shared" si="25"/>
        <v>0.51488095238095244</v>
      </c>
      <c r="R82" s="20">
        <f t="shared" si="26"/>
        <v>0.11011904761904763</v>
      </c>
    </row>
    <row r="83" spans="1:18" x14ac:dyDescent="0.25">
      <c r="A83" s="3" t="s">
        <v>380</v>
      </c>
      <c r="B83" t="s">
        <v>201</v>
      </c>
      <c r="C83" s="18">
        <f>(11.4+9.7)/2</f>
        <v>10.55</v>
      </c>
      <c r="D83" s="18">
        <f>(6.6+12.4)/2</f>
        <v>9.5</v>
      </c>
      <c r="E83" s="18">
        <f t="shared" si="18"/>
        <v>20.05</v>
      </c>
      <c r="F83">
        <v>7</v>
      </c>
      <c r="G83" s="20">
        <v>4.3900000000000002E-2</v>
      </c>
      <c r="H83" s="20">
        <f t="shared" si="19"/>
        <v>2.1950000000000001E-2</v>
      </c>
      <c r="I83" s="20">
        <v>4.9099999999999998E-2</v>
      </c>
      <c r="J83" s="20">
        <f t="shared" si="20"/>
        <v>2.4549999999999999E-2</v>
      </c>
      <c r="K83" s="20">
        <v>2.3199999999999998E-2</v>
      </c>
      <c r="L83" s="20">
        <f t="shared" si="21"/>
        <v>1.1599999999999999E-2</v>
      </c>
      <c r="M83">
        <v>2</v>
      </c>
      <c r="N83" s="20">
        <f t="shared" si="22"/>
        <v>5.8099999999999999E-2</v>
      </c>
      <c r="O83" s="20">
        <f t="shared" si="23"/>
        <v>2.0043103448275863</v>
      </c>
      <c r="P83" s="20">
        <f t="shared" si="24"/>
        <v>0.37779690189328746</v>
      </c>
      <c r="Q83" s="20">
        <f t="shared" si="25"/>
        <v>0.42254733218588642</v>
      </c>
      <c r="R83" s="20">
        <f t="shared" si="26"/>
        <v>0.19965576592082615</v>
      </c>
    </row>
    <row r="84" spans="1:18" x14ac:dyDescent="0.25">
      <c r="A84" s="3" t="s">
        <v>380</v>
      </c>
      <c r="B84" t="s">
        <v>202</v>
      </c>
      <c r="C84" s="18">
        <f>(13+10.6+10.8+11.8)/4</f>
        <v>11.55</v>
      </c>
      <c r="D84" s="18">
        <f>(8.7+6.8+7.4+9.6)/4</f>
        <v>8.125</v>
      </c>
      <c r="E84" s="18">
        <f t="shared" si="18"/>
        <v>19.675000000000001</v>
      </c>
      <c r="F84">
        <f>12/4</f>
        <v>3</v>
      </c>
      <c r="G84" s="20">
        <v>7.0000000000000007E-2</v>
      </c>
      <c r="H84" s="20">
        <f t="shared" si="19"/>
        <v>1.7500000000000002E-2</v>
      </c>
      <c r="I84" s="20">
        <v>6.2899999999999998E-2</v>
      </c>
      <c r="J84" s="20">
        <f t="shared" si="20"/>
        <v>1.5724999999999999E-2</v>
      </c>
      <c r="K84" s="20">
        <v>3.2800000000000003E-2</v>
      </c>
      <c r="L84" s="20">
        <f t="shared" si="21"/>
        <v>8.2000000000000007E-3</v>
      </c>
      <c r="M84">
        <v>4</v>
      </c>
      <c r="N84" s="20">
        <f t="shared" si="22"/>
        <v>4.1425000000000003E-2</v>
      </c>
      <c r="O84" s="20">
        <f t="shared" si="23"/>
        <v>1.0129573170731707</v>
      </c>
      <c r="P84" s="20">
        <f t="shared" si="24"/>
        <v>0.42245021122510562</v>
      </c>
      <c r="Q84" s="20">
        <f t="shared" si="25"/>
        <v>0.37960168980084485</v>
      </c>
      <c r="R84" s="20">
        <f t="shared" si="26"/>
        <v>0.1979480989740495</v>
      </c>
    </row>
    <row r="85" spans="1:18" x14ac:dyDescent="0.25">
      <c r="A85" s="3" t="s">
        <v>380</v>
      </c>
      <c r="B85" t="s">
        <v>203</v>
      </c>
      <c r="C85" s="18">
        <v>11.5</v>
      </c>
      <c r="D85" s="18">
        <v>13.6</v>
      </c>
      <c r="E85" s="18">
        <f t="shared" si="18"/>
        <v>25.1</v>
      </c>
      <c r="F85" s="21">
        <v>4</v>
      </c>
      <c r="G85" s="20">
        <v>3.0599999999999999E-2</v>
      </c>
      <c r="H85" s="20">
        <f t="shared" si="19"/>
        <v>3.0599999999999999E-2</v>
      </c>
      <c r="I85" s="20">
        <v>2.7099999999999999E-2</v>
      </c>
      <c r="J85" s="20">
        <f t="shared" si="20"/>
        <v>2.7099999999999999E-2</v>
      </c>
      <c r="K85" s="20">
        <v>1.4200000000000001E-2</v>
      </c>
      <c r="L85" s="20">
        <f t="shared" si="21"/>
        <v>1.4200000000000001E-2</v>
      </c>
      <c r="M85">
        <v>1</v>
      </c>
      <c r="N85" s="20">
        <f t="shared" si="22"/>
        <v>7.1900000000000006E-2</v>
      </c>
      <c r="O85" s="20">
        <f t="shared" si="23"/>
        <v>4.063380281690141</v>
      </c>
      <c r="P85" s="20">
        <f t="shared" si="24"/>
        <v>0.4255910987482614</v>
      </c>
      <c r="Q85" s="20">
        <f t="shared" si="25"/>
        <v>0.37691237830319885</v>
      </c>
      <c r="R85" s="20">
        <f t="shared" si="26"/>
        <v>0.19749652294853964</v>
      </c>
    </row>
    <row r="86" spans="1:18" x14ac:dyDescent="0.25">
      <c r="A86" s="3" t="s">
        <v>380</v>
      </c>
      <c r="B86" t="s">
        <v>204</v>
      </c>
      <c r="C86" s="18">
        <v>12.3</v>
      </c>
      <c r="D86" s="18">
        <v>10.7</v>
      </c>
      <c r="E86" s="18">
        <f t="shared" si="18"/>
        <v>23</v>
      </c>
      <c r="F86" s="21">
        <v>6</v>
      </c>
      <c r="G86" s="20">
        <v>3.5999999999999997E-2</v>
      </c>
      <c r="H86" s="20">
        <f t="shared" si="19"/>
        <v>3.5999999999999997E-2</v>
      </c>
      <c r="I86" s="20">
        <v>4.9599999999999998E-2</v>
      </c>
      <c r="J86" s="20">
        <f t="shared" si="20"/>
        <v>4.9599999999999998E-2</v>
      </c>
      <c r="K86" s="20">
        <v>1.26E-2</v>
      </c>
      <c r="L86" s="20">
        <f t="shared" si="21"/>
        <v>1.26E-2</v>
      </c>
      <c r="M86">
        <v>1</v>
      </c>
      <c r="N86" s="20">
        <f t="shared" si="22"/>
        <v>9.8199999999999996E-2</v>
      </c>
      <c r="O86" s="20">
        <f t="shared" si="23"/>
        <v>6.7936507936507935</v>
      </c>
      <c r="P86" s="20">
        <f t="shared" si="24"/>
        <v>0.36659877800407331</v>
      </c>
      <c r="Q86" s="20">
        <f t="shared" si="25"/>
        <v>0.50509164969450104</v>
      </c>
      <c r="R86" s="20">
        <f t="shared" si="26"/>
        <v>0.12830957230142567</v>
      </c>
    </row>
    <row r="87" spans="1:18" x14ac:dyDescent="0.25">
      <c r="A87" s="3" t="s">
        <v>380</v>
      </c>
      <c r="B87" t="s">
        <v>205</v>
      </c>
      <c r="C87" s="18">
        <f>(9+8.9+8.5)/3</f>
        <v>8.7999999999999989</v>
      </c>
      <c r="D87" s="18">
        <f>(10+13+6.7)/3</f>
        <v>9.9</v>
      </c>
      <c r="E87" s="18">
        <f t="shared" si="18"/>
        <v>18.7</v>
      </c>
      <c r="F87" s="22">
        <f>8/3</f>
        <v>2.6666666666666665</v>
      </c>
      <c r="G87" s="20">
        <v>4.4600000000000001E-2</v>
      </c>
      <c r="H87" s="20">
        <f t="shared" si="19"/>
        <v>1.4866666666666667E-2</v>
      </c>
      <c r="I87" s="20">
        <v>4.1000000000000002E-2</v>
      </c>
      <c r="J87" s="20">
        <f t="shared" si="20"/>
        <v>1.3666666666666667E-2</v>
      </c>
      <c r="K87" s="20">
        <v>2.7E-2</v>
      </c>
      <c r="L87" s="20">
        <f t="shared" si="21"/>
        <v>8.9999999999999993E-3</v>
      </c>
      <c r="M87">
        <v>3</v>
      </c>
      <c r="N87" s="20">
        <f t="shared" si="22"/>
        <v>3.7533333333333335E-2</v>
      </c>
      <c r="O87" s="20">
        <f t="shared" si="23"/>
        <v>1.0567901234567902</v>
      </c>
      <c r="P87" s="20">
        <f t="shared" si="24"/>
        <v>0.39609236234458256</v>
      </c>
      <c r="Q87" s="20">
        <f t="shared" si="25"/>
        <v>0.36412078152753108</v>
      </c>
      <c r="R87" s="20">
        <f t="shared" si="26"/>
        <v>0.23978685612788631</v>
      </c>
    </row>
    <row r="88" spans="1:18" x14ac:dyDescent="0.25">
      <c r="A88" s="3" t="s">
        <v>380</v>
      </c>
      <c r="B88" t="s">
        <v>206</v>
      </c>
      <c r="C88" s="18">
        <f>(12.3+13.1+12.3)/3</f>
        <v>12.566666666666668</v>
      </c>
      <c r="D88" s="18">
        <f>(7.7+11.4+10.1)/3</f>
        <v>9.7333333333333343</v>
      </c>
      <c r="E88" s="18">
        <f t="shared" si="18"/>
        <v>22.300000000000004</v>
      </c>
      <c r="F88" s="21">
        <f>9/3</f>
        <v>3</v>
      </c>
      <c r="G88" s="20">
        <v>6.6699999999999995E-2</v>
      </c>
      <c r="H88" s="20">
        <f t="shared" si="19"/>
        <v>2.2233333333333331E-2</v>
      </c>
      <c r="I88" s="20">
        <v>5.2999999999999999E-2</v>
      </c>
      <c r="J88" s="20">
        <f t="shared" si="20"/>
        <v>1.7666666666666667E-2</v>
      </c>
      <c r="K88" s="20">
        <v>2.5600000000000001E-2</v>
      </c>
      <c r="L88" s="20">
        <f t="shared" si="21"/>
        <v>8.5333333333333337E-3</v>
      </c>
      <c r="M88">
        <v>3</v>
      </c>
      <c r="N88" s="20">
        <f t="shared" si="22"/>
        <v>4.8433333333333328E-2</v>
      </c>
      <c r="O88" s="20">
        <f t="shared" si="23"/>
        <v>1.5585937499999998</v>
      </c>
      <c r="P88" s="20">
        <f t="shared" si="24"/>
        <v>0.45905024088093599</v>
      </c>
      <c r="Q88" s="20">
        <f t="shared" si="25"/>
        <v>0.36476256022023407</v>
      </c>
      <c r="R88" s="20">
        <f t="shared" si="26"/>
        <v>0.17618719889883003</v>
      </c>
    </row>
    <row r="89" spans="1:18" x14ac:dyDescent="0.25">
      <c r="A89" s="3" t="s">
        <v>380</v>
      </c>
      <c r="B89" t="s">
        <v>207</v>
      </c>
      <c r="C89" s="18">
        <v>13.5</v>
      </c>
      <c r="D89" s="18">
        <v>9.6999999999999993</v>
      </c>
      <c r="E89" s="18">
        <f t="shared" si="18"/>
        <v>23.2</v>
      </c>
      <c r="F89" s="21">
        <v>3</v>
      </c>
      <c r="G89" s="20">
        <v>2.8400000000000002E-2</v>
      </c>
      <c r="H89" s="20">
        <f t="shared" si="19"/>
        <v>2.8400000000000002E-2</v>
      </c>
      <c r="I89" s="20">
        <v>1.83E-2</v>
      </c>
      <c r="J89" s="20">
        <f t="shared" si="20"/>
        <v>1.83E-2</v>
      </c>
      <c r="K89" s="20">
        <v>7.4000000000000003E-3</v>
      </c>
      <c r="L89" s="20">
        <f t="shared" si="21"/>
        <v>7.4000000000000003E-3</v>
      </c>
      <c r="M89">
        <v>1</v>
      </c>
      <c r="N89" s="20">
        <f t="shared" si="22"/>
        <v>5.4100000000000009E-2</v>
      </c>
      <c r="O89" s="20">
        <f t="shared" si="23"/>
        <v>6.3108108108108114</v>
      </c>
      <c r="P89" s="20">
        <f t="shared" si="24"/>
        <v>0.52495378927911274</v>
      </c>
      <c r="Q89" s="20">
        <f t="shared" si="25"/>
        <v>0.33826247689463951</v>
      </c>
      <c r="R89" s="20">
        <f t="shared" si="26"/>
        <v>0.13678373382624767</v>
      </c>
    </row>
    <row r="90" spans="1:18" x14ac:dyDescent="0.25">
      <c r="A90" s="3" t="s">
        <v>380</v>
      </c>
      <c r="B90" t="s">
        <v>208</v>
      </c>
      <c r="C90" s="18">
        <f>(11.3+10.9)/2</f>
        <v>11.100000000000001</v>
      </c>
      <c r="D90" s="18">
        <f>(11.7+7.9)/2</f>
        <v>9.8000000000000007</v>
      </c>
      <c r="E90" s="18">
        <f t="shared" si="18"/>
        <v>20.900000000000002</v>
      </c>
      <c r="F90">
        <f>6/2</f>
        <v>3</v>
      </c>
      <c r="G90" s="20">
        <v>4.2000000000000003E-2</v>
      </c>
      <c r="H90" s="20">
        <f t="shared" si="19"/>
        <v>2.1000000000000001E-2</v>
      </c>
      <c r="I90" s="20">
        <v>3.4099999999999998E-2</v>
      </c>
      <c r="J90" s="20">
        <f t="shared" si="20"/>
        <v>1.7049999999999999E-2</v>
      </c>
      <c r="K90" s="20">
        <v>2.24E-2</v>
      </c>
      <c r="L90" s="20">
        <f t="shared" si="21"/>
        <v>1.12E-2</v>
      </c>
      <c r="M90">
        <v>2</v>
      </c>
      <c r="N90" s="20">
        <f t="shared" si="22"/>
        <v>4.9250000000000002E-2</v>
      </c>
      <c r="O90" s="20">
        <f t="shared" si="23"/>
        <v>1.6986607142857144</v>
      </c>
      <c r="P90" s="20">
        <f t="shared" si="24"/>
        <v>0.42639593908629442</v>
      </c>
      <c r="Q90" s="20">
        <f t="shared" si="25"/>
        <v>0.34619289340101522</v>
      </c>
      <c r="R90" s="20">
        <f t="shared" si="26"/>
        <v>0.22741116751269033</v>
      </c>
    </row>
    <row r="91" spans="1:18" x14ac:dyDescent="0.25">
      <c r="A91" s="3" t="s">
        <v>380</v>
      </c>
      <c r="B91" t="s">
        <v>209</v>
      </c>
      <c r="C91" s="18">
        <f>(11.6+11.2)/2</f>
        <v>11.399999999999999</v>
      </c>
      <c r="D91" s="18">
        <f>(7.4+12.4)/2</f>
        <v>9.9</v>
      </c>
      <c r="E91" s="18">
        <f t="shared" si="18"/>
        <v>21.299999999999997</v>
      </c>
      <c r="F91">
        <v>3</v>
      </c>
      <c r="G91" s="20">
        <v>3.6799999999999999E-2</v>
      </c>
      <c r="H91" s="20">
        <f t="shared" si="19"/>
        <v>1.84E-2</v>
      </c>
      <c r="I91" s="20">
        <v>3.15E-2</v>
      </c>
      <c r="J91" s="20">
        <f t="shared" si="20"/>
        <v>1.575E-2</v>
      </c>
      <c r="K91" s="20">
        <v>1.6299999999999999E-2</v>
      </c>
      <c r="L91" s="20">
        <f t="shared" si="21"/>
        <v>8.1499999999999993E-3</v>
      </c>
      <c r="M91">
        <v>2</v>
      </c>
      <c r="N91" s="20">
        <f t="shared" si="22"/>
        <v>4.2299999999999997E-2</v>
      </c>
      <c r="O91" s="20">
        <f t="shared" si="23"/>
        <v>2.0950920245398774</v>
      </c>
      <c r="P91" s="20">
        <f t="shared" si="24"/>
        <v>0.43498817966903075</v>
      </c>
      <c r="Q91" s="20">
        <f t="shared" si="25"/>
        <v>0.37234042553191493</v>
      </c>
      <c r="R91" s="20">
        <f t="shared" si="26"/>
        <v>0.19267139479905437</v>
      </c>
    </row>
    <row r="92" spans="1:18" x14ac:dyDescent="0.25">
      <c r="A92" s="3" t="s">
        <v>380</v>
      </c>
      <c r="B92" t="s">
        <v>210</v>
      </c>
      <c r="C92" s="18">
        <f>(8.4+8.3)/2</f>
        <v>8.3500000000000014</v>
      </c>
      <c r="D92" s="18">
        <f>(9.1+7.2)/2</f>
        <v>8.15</v>
      </c>
      <c r="E92" s="18">
        <f t="shared" si="18"/>
        <v>16.5</v>
      </c>
      <c r="F92">
        <v>3</v>
      </c>
      <c r="G92" s="20">
        <v>2.2800000000000001E-2</v>
      </c>
      <c r="H92" s="20">
        <f t="shared" si="19"/>
        <v>1.14E-2</v>
      </c>
      <c r="I92" s="20">
        <v>3.3799999999999997E-2</v>
      </c>
      <c r="J92" s="20">
        <f t="shared" si="20"/>
        <v>1.6899999999999998E-2</v>
      </c>
      <c r="K92" s="20">
        <v>1.11E-2</v>
      </c>
      <c r="L92" s="20">
        <f t="shared" si="21"/>
        <v>5.5500000000000002E-3</v>
      </c>
      <c r="M92">
        <v>2</v>
      </c>
      <c r="N92" s="20">
        <f t="shared" si="22"/>
        <v>3.3849999999999998E-2</v>
      </c>
      <c r="O92" s="20">
        <f t="shared" si="23"/>
        <v>2.5495495495495493</v>
      </c>
      <c r="P92" s="20">
        <f t="shared" si="24"/>
        <v>0.33677991137370755</v>
      </c>
      <c r="Q92" s="20">
        <f t="shared" si="25"/>
        <v>0.49926144756277696</v>
      </c>
      <c r="R92" s="20">
        <f t="shared" si="26"/>
        <v>0.16395864106351551</v>
      </c>
    </row>
    <row r="93" spans="1:18" x14ac:dyDescent="0.25">
      <c r="A93" s="3" t="s">
        <v>380</v>
      </c>
      <c r="B93" t="s">
        <v>211</v>
      </c>
      <c r="C93" s="18">
        <f>(11.6+11.2)/2</f>
        <v>11.399999999999999</v>
      </c>
      <c r="D93" s="18">
        <f>(8.6+6.5)/2</f>
        <v>7.55</v>
      </c>
      <c r="E93" s="18">
        <f t="shared" si="18"/>
        <v>18.95</v>
      </c>
      <c r="F93">
        <v>3</v>
      </c>
      <c r="G93" s="20">
        <v>5.67E-2</v>
      </c>
      <c r="H93" s="20">
        <f t="shared" si="19"/>
        <v>2.835E-2</v>
      </c>
      <c r="I93" s="20">
        <v>6.0499999999999998E-2</v>
      </c>
      <c r="J93" s="20">
        <f t="shared" si="20"/>
        <v>3.0249999999999999E-2</v>
      </c>
      <c r="K93" s="20">
        <v>2.5899999999999999E-2</v>
      </c>
      <c r="L93" s="20">
        <f t="shared" si="21"/>
        <v>1.295E-2</v>
      </c>
      <c r="M93">
        <v>2</v>
      </c>
      <c r="N93" s="20">
        <f t="shared" si="22"/>
        <v>7.1550000000000002E-2</v>
      </c>
      <c r="O93" s="20">
        <f t="shared" si="23"/>
        <v>2.2625482625482625</v>
      </c>
      <c r="P93" s="20">
        <f t="shared" si="24"/>
        <v>0.39622641509433959</v>
      </c>
      <c r="Q93" s="20">
        <f t="shared" si="25"/>
        <v>0.42278127183787556</v>
      </c>
      <c r="R93" s="20">
        <f t="shared" si="26"/>
        <v>0.18099231306778477</v>
      </c>
    </row>
    <row r="94" spans="1:18" x14ac:dyDescent="0.25">
      <c r="A94" s="3" t="s">
        <v>380</v>
      </c>
      <c r="B94" t="s">
        <v>212</v>
      </c>
      <c r="C94" s="18">
        <v>12.7</v>
      </c>
      <c r="D94" s="18">
        <v>12</v>
      </c>
      <c r="E94" s="18">
        <f t="shared" ref="E94:E115" si="27">C94+D94</f>
        <v>24.7</v>
      </c>
      <c r="F94" s="21">
        <v>4</v>
      </c>
      <c r="G94" s="20">
        <v>4.6899999999999997E-2</v>
      </c>
      <c r="H94" s="20">
        <f t="shared" ref="H94:H115" si="28">G94/M94</f>
        <v>4.6899999999999997E-2</v>
      </c>
      <c r="I94" s="20">
        <v>0.05</v>
      </c>
      <c r="J94" s="20">
        <f t="shared" ref="J94:J115" si="29">I94/M94</f>
        <v>0.05</v>
      </c>
      <c r="K94" s="20">
        <v>2.47E-2</v>
      </c>
      <c r="L94" s="20">
        <f t="shared" ref="L94:L115" si="30">K94/M94</f>
        <v>2.47E-2</v>
      </c>
      <c r="M94">
        <v>1</v>
      </c>
      <c r="N94" s="20">
        <f t="shared" ref="N94:N115" si="31">H94+J94+L94</f>
        <v>0.1216</v>
      </c>
      <c r="O94" s="20">
        <f t="shared" ref="O94:O115" si="32">(H94+J94)/K94</f>
        <v>3.9230769230769229</v>
      </c>
      <c r="P94" s="20">
        <f t="shared" ref="P94:P115" si="33">H94/N94</f>
        <v>0.38569078947368418</v>
      </c>
      <c r="Q94" s="20">
        <f t="shared" ref="Q94:Q115" si="34">J94/N94</f>
        <v>0.41118421052631582</v>
      </c>
      <c r="R94" s="20">
        <f t="shared" ref="R94:R115" si="35">L94/N94</f>
        <v>0.203125</v>
      </c>
    </row>
    <row r="95" spans="1:18" x14ac:dyDescent="0.25">
      <c r="A95" s="3" t="s">
        <v>380</v>
      </c>
      <c r="B95" t="s">
        <v>213</v>
      </c>
      <c r="C95" s="18">
        <v>13.7</v>
      </c>
      <c r="D95" s="18">
        <v>12.2</v>
      </c>
      <c r="E95" s="18">
        <f t="shared" si="27"/>
        <v>25.9</v>
      </c>
      <c r="F95" s="21">
        <v>3</v>
      </c>
      <c r="G95" s="20">
        <v>5.3900000000000003E-2</v>
      </c>
      <c r="H95" s="20">
        <f t="shared" si="28"/>
        <v>5.3900000000000003E-2</v>
      </c>
      <c r="I95" s="20">
        <v>5.4600000000000003E-2</v>
      </c>
      <c r="J95" s="20">
        <f t="shared" si="29"/>
        <v>5.4600000000000003E-2</v>
      </c>
      <c r="K95" s="20">
        <v>2.5399999999999999E-2</v>
      </c>
      <c r="L95" s="20">
        <f t="shared" si="30"/>
        <v>2.5399999999999999E-2</v>
      </c>
      <c r="M95">
        <v>1</v>
      </c>
      <c r="N95" s="20">
        <f t="shared" si="31"/>
        <v>0.13390000000000002</v>
      </c>
      <c r="O95" s="20">
        <f t="shared" si="32"/>
        <v>4.271653543307087</v>
      </c>
      <c r="P95" s="20">
        <f t="shared" si="33"/>
        <v>0.40253920836445106</v>
      </c>
      <c r="Q95" s="20">
        <f t="shared" si="34"/>
        <v>0.40776699029126212</v>
      </c>
      <c r="R95" s="20">
        <f t="shared" si="35"/>
        <v>0.18969380134428673</v>
      </c>
    </row>
    <row r="96" spans="1:18" x14ac:dyDescent="0.25">
      <c r="A96" s="3" t="s">
        <v>380</v>
      </c>
      <c r="B96" t="s">
        <v>214</v>
      </c>
      <c r="C96" s="18">
        <v>15</v>
      </c>
      <c r="D96" s="18">
        <v>10.4</v>
      </c>
      <c r="E96" s="18">
        <f t="shared" si="27"/>
        <v>25.4</v>
      </c>
      <c r="F96">
        <v>3</v>
      </c>
      <c r="G96" s="20">
        <v>5.0299999999999997E-2</v>
      </c>
      <c r="H96" s="20">
        <f t="shared" si="28"/>
        <v>5.0299999999999997E-2</v>
      </c>
      <c r="I96" s="20">
        <v>4.9000000000000002E-2</v>
      </c>
      <c r="J96" s="20">
        <f t="shared" si="29"/>
        <v>4.9000000000000002E-2</v>
      </c>
      <c r="K96" s="20">
        <v>2.0299999999999999E-2</v>
      </c>
      <c r="L96" s="20">
        <f t="shared" si="30"/>
        <v>2.0299999999999999E-2</v>
      </c>
      <c r="M96">
        <v>1</v>
      </c>
      <c r="N96" s="20">
        <f t="shared" si="31"/>
        <v>0.1196</v>
      </c>
      <c r="O96" s="20">
        <f t="shared" si="32"/>
        <v>4.8916256157635472</v>
      </c>
      <c r="P96" s="20">
        <f t="shared" si="33"/>
        <v>0.4205685618729097</v>
      </c>
      <c r="Q96" s="20">
        <f t="shared" si="34"/>
        <v>0.4096989966555184</v>
      </c>
      <c r="R96" s="20">
        <f t="shared" si="35"/>
        <v>0.1697324414715719</v>
      </c>
    </row>
    <row r="97" spans="1:18" x14ac:dyDescent="0.25">
      <c r="A97" s="3" t="s">
        <v>380</v>
      </c>
      <c r="B97" t="s">
        <v>215</v>
      </c>
      <c r="C97" s="18">
        <f>(11.4+10.1)/2</f>
        <v>10.75</v>
      </c>
      <c r="D97" s="18">
        <f>(8.5+11.4)/2</f>
        <v>9.9499999999999993</v>
      </c>
      <c r="E97" s="18">
        <f t="shared" si="27"/>
        <v>20.7</v>
      </c>
      <c r="F97">
        <v>3</v>
      </c>
      <c r="G97" s="20">
        <v>3.85E-2</v>
      </c>
      <c r="H97" s="20">
        <f t="shared" si="28"/>
        <v>1.925E-2</v>
      </c>
      <c r="I97" s="20">
        <v>3.4200000000000001E-2</v>
      </c>
      <c r="J97" s="20">
        <f t="shared" si="29"/>
        <v>1.7100000000000001E-2</v>
      </c>
      <c r="K97" s="20">
        <v>1.9199999999999998E-2</v>
      </c>
      <c r="L97" s="20">
        <f t="shared" si="30"/>
        <v>9.5999999999999992E-3</v>
      </c>
      <c r="M97">
        <v>2</v>
      </c>
      <c r="N97" s="20">
        <f t="shared" si="31"/>
        <v>4.5949999999999998E-2</v>
      </c>
      <c r="O97" s="20">
        <f t="shared" si="32"/>
        <v>1.8932291666666667</v>
      </c>
      <c r="P97" s="20">
        <f t="shared" si="33"/>
        <v>0.41893362350380853</v>
      </c>
      <c r="Q97" s="20">
        <f t="shared" si="34"/>
        <v>0.37214363438520132</v>
      </c>
      <c r="R97" s="20">
        <f t="shared" si="35"/>
        <v>0.20892274211099021</v>
      </c>
    </row>
    <row r="98" spans="1:18" x14ac:dyDescent="0.25">
      <c r="A98" s="3" t="s">
        <v>380</v>
      </c>
      <c r="B98" t="s">
        <v>216</v>
      </c>
      <c r="C98" s="18">
        <f>(9+9.2)/2</f>
        <v>9.1</v>
      </c>
      <c r="D98" s="18">
        <f>(10+11.6)/2</f>
        <v>10.8</v>
      </c>
      <c r="E98" s="18">
        <f t="shared" si="27"/>
        <v>19.899999999999999</v>
      </c>
      <c r="F98" s="13">
        <v>4</v>
      </c>
      <c r="G98" s="20">
        <v>2.6700000000000002E-2</v>
      </c>
      <c r="H98" s="20">
        <f t="shared" si="28"/>
        <v>1.3350000000000001E-2</v>
      </c>
      <c r="I98" s="20">
        <v>4.02E-2</v>
      </c>
      <c r="J98" s="20">
        <f t="shared" si="29"/>
        <v>2.01E-2</v>
      </c>
      <c r="K98" s="20">
        <v>1.54E-2</v>
      </c>
      <c r="L98" s="20">
        <f t="shared" si="30"/>
        <v>7.7000000000000002E-3</v>
      </c>
      <c r="M98">
        <v>2</v>
      </c>
      <c r="N98" s="20">
        <f t="shared" si="31"/>
        <v>4.1149999999999999E-2</v>
      </c>
      <c r="O98" s="20">
        <f t="shared" si="32"/>
        <v>2.1720779220779218</v>
      </c>
      <c r="P98" s="20">
        <f t="shared" si="33"/>
        <v>0.3244228432563791</v>
      </c>
      <c r="Q98" s="20">
        <f t="shared" si="34"/>
        <v>0.48845686512758202</v>
      </c>
      <c r="R98" s="20">
        <f t="shared" si="35"/>
        <v>0.18712029161603888</v>
      </c>
    </row>
    <row r="99" spans="1:18" x14ac:dyDescent="0.25">
      <c r="A99" s="3" t="s">
        <v>380</v>
      </c>
      <c r="B99" t="s">
        <v>217</v>
      </c>
      <c r="C99" s="18">
        <v>11</v>
      </c>
      <c r="D99" s="18">
        <v>14.7</v>
      </c>
      <c r="E99" s="18">
        <f t="shared" si="27"/>
        <v>25.7</v>
      </c>
      <c r="F99" s="13">
        <v>3</v>
      </c>
      <c r="G99" s="20">
        <v>3.2800000000000003E-2</v>
      </c>
      <c r="H99" s="20">
        <f t="shared" si="28"/>
        <v>3.2800000000000003E-2</v>
      </c>
      <c r="I99" s="20">
        <v>4.3700000000000003E-2</v>
      </c>
      <c r="J99" s="20">
        <f t="shared" si="29"/>
        <v>4.3700000000000003E-2</v>
      </c>
      <c r="K99" s="20">
        <v>1.8100000000000002E-2</v>
      </c>
      <c r="L99" s="20">
        <f t="shared" si="30"/>
        <v>1.8100000000000002E-2</v>
      </c>
      <c r="M99">
        <v>1</v>
      </c>
      <c r="N99" s="20">
        <f t="shared" si="31"/>
        <v>9.4600000000000017E-2</v>
      </c>
      <c r="O99" s="20">
        <f t="shared" si="32"/>
        <v>4.2265193370165752</v>
      </c>
      <c r="P99" s="20">
        <f t="shared" si="33"/>
        <v>0.34672304439746299</v>
      </c>
      <c r="Q99" s="20">
        <f t="shared" si="34"/>
        <v>0.46194503171247353</v>
      </c>
      <c r="R99" s="20">
        <f t="shared" si="35"/>
        <v>0.1913319238900634</v>
      </c>
    </row>
    <row r="100" spans="1:18" x14ac:dyDescent="0.25">
      <c r="A100" s="3" t="s">
        <v>380</v>
      </c>
      <c r="B100" t="s">
        <v>218</v>
      </c>
      <c r="C100" s="18">
        <f>(11.2+11.1)/2</f>
        <v>11.149999999999999</v>
      </c>
      <c r="D100" s="18">
        <f>(8+8.1)/2</f>
        <v>8.0500000000000007</v>
      </c>
      <c r="E100" s="18">
        <f t="shared" si="27"/>
        <v>19.2</v>
      </c>
      <c r="F100" s="13">
        <v>3</v>
      </c>
      <c r="G100" s="20">
        <v>5.0700000000000002E-2</v>
      </c>
      <c r="H100" s="20">
        <f t="shared" si="28"/>
        <v>2.5350000000000001E-2</v>
      </c>
      <c r="I100" s="20">
        <v>4.0800000000000003E-2</v>
      </c>
      <c r="J100" s="20">
        <f t="shared" si="29"/>
        <v>2.0400000000000001E-2</v>
      </c>
      <c r="K100" s="20">
        <v>1.67E-2</v>
      </c>
      <c r="L100" s="20">
        <f t="shared" si="30"/>
        <v>8.3499999999999998E-3</v>
      </c>
      <c r="M100">
        <v>2</v>
      </c>
      <c r="N100" s="20">
        <f t="shared" si="31"/>
        <v>5.4099999999999995E-2</v>
      </c>
      <c r="O100" s="20">
        <f t="shared" si="32"/>
        <v>2.7395209580838324</v>
      </c>
      <c r="P100" s="20">
        <f t="shared" si="33"/>
        <v>0.46857670979667287</v>
      </c>
      <c r="Q100" s="20">
        <f t="shared" si="34"/>
        <v>0.37707948243992612</v>
      </c>
      <c r="R100" s="20">
        <f t="shared" si="35"/>
        <v>0.15434380776340112</v>
      </c>
    </row>
    <row r="101" spans="1:18" x14ac:dyDescent="0.25">
      <c r="A101" s="3" t="s">
        <v>380</v>
      </c>
      <c r="B101" t="s">
        <v>219</v>
      </c>
      <c r="C101" s="18">
        <f>(10.5+11.2+12.2)/3</f>
        <v>11.299999999999999</v>
      </c>
      <c r="D101" s="18">
        <f>(6.5+6.8+8.7)/3</f>
        <v>7.333333333333333</v>
      </c>
      <c r="E101" s="18">
        <f t="shared" si="27"/>
        <v>18.633333333333333</v>
      </c>
      <c r="F101" s="13">
        <v>3</v>
      </c>
      <c r="G101" s="20">
        <v>6.8400000000000002E-2</v>
      </c>
      <c r="H101" s="20">
        <f t="shared" si="28"/>
        <v>2.2800000000000001E-2</v>
      </c>
      <c r="I101" s="20">
        <v>5.7099999999999998E-2</v>
      </c>
      <c r="J101" s="20">
        <f t="shared" si="29"/>
        <v>1.9033333333333333E-2</v>
      </c>
      <c r="K101" s="20">
        <v>2.6800000000000001E-2</v>
      </c>
      <c r="L101" s="20">
        <f t="shared" si="30"/>
        <v>8.9333333333333331E-3</v>
      </c>
      <c r="M101">
        <v>3</v>
      </c>
      <c r="N101" s="20">
        <f t="shared" si="31"/>
        <v>5.0766666666666668E-2</v>
      </c>
      <c r="O101" s="20">
        <f t="shared" si="32"/>
        <v>1.5609452736318408</v>
      </c>
      <c r="P101" s="20">
        <f t="shared" si="33"/>
        <v>0.44911359159553516</v>
      </c>
      <c r="Q101" s="20">
        <f t="shared" si="34"/>
        <v>0.3749179251477347</v>
      </c>
      <c r="R101" s="20">
        <f t="shared" si="35"/>
        <v>0.17596848325673012</v>
      </c>
    </row>
    <row r="102" spans="1:18" x14ac:dyDescent="0.25">
      <c r="A102" s="3" t="s">
        <v>380</v>
      </c>
      <c r="B102" t="s">
        <v>220</v>
      </c>
      <c r="C102" s="18">
        <v>15.7</v>
      </c>
      <c r="D102" s="18">
        <v>14.1</v>
      </c>
      <c r="E102" s="18">
        <f t="shared" si="27"/>
        <v>29.799999999999997</v>
      </c>
      <c r="F102" s="13">
        <v>3</v>
      </c>
      <c r="G102" s="20">
        <v>4.19E-2</v>
      </c>
      <c r="H102" s="20">
        <f t="shared" si="28"/>
        <v>4.19E-2</v>
      </c>
      <c r="I102" s="20">
        <v>3.4799999999999998E-2</v>
      </c>
      <c r="J102" s="20">
        <f t="shared" si="29"/>
        <v>3.4799999999999998E-2</v>
      </c>
      <c r="K102" s="20">
        <v>1.6400000000000001E-2</v>
      </c>
      <c r="L102" s="20">
        <f t="shared" si="30"/>
        <v>1.6400000000000001E-2</v>
      </c>
      <c r="M102">
        <v>1</v>
      </c>
      <c r="N102" s="20">
        <f t="shared" si="31"/>
        <v>9.3099999999999988E-2</v>
      </c>
      <c r="O102" s="20">
        <f t="shared" si="32"/>
        <v>4.676829268292682</v>
      </c>
      <c r="P102" s="20">
        <f t="shared" si="33"/>
        <v>0.45005370569280351</v>
      </c>
      <c r="Q102" s="20">
        <f t="shared" si="34"/>
        <v>0.37379162191192267</v>
      </c>
      <c r="R102" s="20">
        <f t="shared" si="35"/>
        <v>0.17615467239527394</v>
      </c>
    </row>
    <row r="103" spans="1:18" x14ac:dyDescent="0.25">
      <c r="A103" s="3" t="s">
        <v>380</v>
      </c>
      <c r="B103" t="s">
        <v>221</v>
      </c>
      <c r="C103" s="18">
        <f>(10+10.2)/2</f>
        <v>10.1</v>
      </c>
      <c r="D103" s="18">
        <f>(9.6+7.8)/2</f>
        <v>8.6999999999999993</v>
      </c>
      <c r="E103" s="18">
        <f t="shared" si="27"/>
        <v>18.799999999999997</v>
      </c>
      <c r="F103" s="13">
        <v>3</v>
      </c>
      <c r="G103" s="20">
        <v>3.1E-2</v>
      </c>
      <c r="H103" s="20">
        <f t="shared" si="28"/>
        <v>1.55E-2</v>
      </c>
      <c r="I103" s="20">
        <v>2.7900000000000001E-2</v>
      </c>
      <c r="J103" s="20">
        <f t="shared" si="29"/>
        <v>1.3950000000000001E-2</v>
      </c>
      <c r="K103" s="20">
        <v>1.7399999999999999E-2</v>
      </c>
      <c r="L103" s="20">
        <f t="shared" si="30"/>
        <v>8.6999999999999994E-3</v>
      </c>
      <c r="M103">
        <v>2</v>
      </c>
      <c r="N103" s="20">
        <f t="shared" si="31"/>
        <v>3.8150000000000003E-2</v>
      </c>
      <c r="O103" s="20">
        <f t="shared" si="32"/>
        <v>1.6925287356321841</v>
      </c>
      <c r="P103" s="20">
        <f t="shared" si="33"/>
        <v>0.40629095674967231</v>
      </c>
      <c r="Q103" s="20">
        <f t="shared" si="34"/>
        <v>0.36566186107470511</v>
      </c>
      <c r="R103" s="20">
        <f t="shared" si="35"/>
        <v>0.2280471821756225</v>
      </c>
    </row>
    <row r="104" spans="1:18" x14ac:dyDescent="0.25">
      <c r="A104" s="3" t="s">
        <v>380</v>
      </c>
      <c r="B104" t="s">
        <v>222</v>
      </c>
      <c r="C104" s="18">
        <f>(8.4+8.5)/2</f>
        <v>8.4499999999999993</v>
      </c>
      <c r="D104" s="18">
        <f>(5.8+6.7)/2</f>
        <v>6.25</v>
      </c>
      <c r="E104" s="18">
        <f t="shared" si="27"/>
        <v>14.7</v>
      </c>
      <c r="F104" s="13">
        <v>4</v>
      </c>
      <c r="G104" s="20">
        <v>2.5000000000000001E-2</v>
      </c>
      <c r="H104" s="20">
        <f t="shared" si="28"/>
        <v>1.2500000000000001E-2</v>
      </c>
      <c r="I104" s="20">
        <v>3.3399999999999999E-2</v>
      </c>
      <c r="J104" s="20">
        <f t="shared" si="29"/>
        <v>1.67E-2</v>
      </c>
      <c r="K104" s="20">
        <v>9.1999999999999998E-3</v>
      </c>
      <c r="L104" s="20">
        <f t="shared" si="30"/>
        <v>4.5999999999999999E-3</v>
      </c>
      <c r="M104">
        <v>2</v>
      </c>
      <c r="N104" s="20">
        <f t="shared" si="31"/>
        <v>3.3799999999999997E-2</v>
      </c>
      <c r="O104" s="20">
        <f t="shared" si="32"/>
        <v>3.1739130434782608</v>
      </c>
      <c r="P104" s="20">
        <f t="shared" si="33"/>
        <v>0.36982248520710065</v>
      </c>
      <c r="Q104" s="20">
        <f t="shared" si="34"/>
        <v>0.49408284023668642</v>
      </c>
      <c r="R104" s="20">
        <f t="shared" si="35"/>
        <v>0.13609467455621302</v>
      </c>
    </row>
    <row r="105" spans="1:18" x14ac:dyDescent="0.25">
      <c r="A105" s="3" t="s">
        <v>380</v>
      </c>
      <c r="B105" t="s">
        <v>223</v>
      </c>
      <c r="C105" s="18">
        <f>(10+9.8+9.7+9.7)/4</f>
        <v>9.8000000000000007</v>
      </c>
      <c r="D105" s="18">
        <f>(5.8+9+7.2+9.1)/4</f>
        <v>7.7750000000000004</v>
      </c>
      <c r="E105" s="18">
        <f t="shared" si="27"/>
        <v>17.575000000000003</v>
      </c>
      <c r="F105" s="13">
        <v>3</v>
      </c>
      <c r="G105" s="20">
        <v>8.09E-2</v>
      </c>
      <c r="H105" s="20">
        <f t="shared" si="28"/>
        <v>2.0225E-2</v>
      </c>
      <c r="I105" s="20">
        <v>6.8699999999999997E-2</v>
      </c>
      <c r="J105" s="20">
        <f t="shared" si="29"/>
        <v>1.7174999999999999E-2</v>
      </c>
      <c r="K105" s="20">
        <v>3.4099999999999998E-2</v>
      </c>
      <c r="L105" s="20">
        <f t="shared" si="30"/>
        <v>8.5249999999999996E-3</v>
      </c>
      <c r="M105">
        <v>4</v>
      </c>
      <c r="N105" s="20">
        <f t="shared" si="31"/>
        <v>4.5925000000000001E-2</v>
      </c>
      <c r="O105" s="20">
        <f t="shared" si="32"/>
        <v>1.0967741935483872</v>
      </c>
      <c r="P105" s="20">
        <f t="shared" si="33"/>
        <v>0.44039194338595533</v>
      </c>
      <c r="Q105" s="20">
        <f t="shared" si="34"/>
        <v>0.37397931409907453</v>
      </c>
      <c r="R105" s="20">
        <f t="shared" si="35"/>
        <v>0.18562874251497005</v>
      </c>
    </row>
    <row r="106" spans="1:18" x14ac:dyDescent="0.25">
      <c r="A106" s="3" t="s">
        <v>380</v>
      </c>
      <c r="B106" t="s">
        <v>224</v>
      </c>
      <c r="C106" s="18">
        <f>(10.9+10.4+10.5+9.7)/4</f>
        <v>10.375</v>
      </c>
      <c r="D106" s="18">
        <f>(9.2+11.3+7.1+7.5)/4</f>
        <v>8.7750000000000004</v>
      </c>
      <c r="E106" s="18">
        <f t="shared" si="27"/>
        <v>19.149999999999999</v>
      </c>
      <c r="F106" s="13">
        <v>3</v>
      </c>
      <c r="G106" s="20">
        <v>7.3899999999999993E-2</v>
      </c>
      <c r="H106" s="20">
        <f t="shared" si="28"/>
        <v>1.8474999999999998E-2</v>
      </c>
      <c r="I106" s="20">
        <v>6.08E-2</v>
      </c>
      <c r="J106" s="20">
        <f t="shared" si="29"/>
        <v>1.52E-2</v>
      </c>
      <c r="K106" s="20">
        <v>3.4200000000000001E-2</v>
      </c>
      <c r="L106" s="20">
        <f t="shared" si="30"/>
        <v>8.5500000000000003E-3</v>
      </c>
      <c r="M106">
        <v>4</v>
      </c>
      <c r="N106" s="20">
        <f t="shared" si="31"/>
        <v>4.2224999999999999E-2</v>
      </c>
      <c r="O106" s="20">
        <f t="shared" si="32"/>
        <v>0.98464912280701744</v>
      </c>
      <c r="P106" s="20">
        <f t="shared" si="33"/>
        <v>0.43753700414446417</v>
      </c>
      <c r="Q106" s="20">
        <f t="shared" si="34"/>
        <v>0.35997631734754293</v>
      </c>
      <c r="R106" s="20">
        <f t="shared" si="35"/>
        <v>0.2024866785079929</v>
      </c>
    </row>
    <row r="107" spans="1:18" x14ac:dyDescent="0.25">
      <c r="A107" s="3" t="s">
        <v>380</v>
      </c>
      <c r="B107" t="s">
        <v>225</v>
      </c>
      <c r="C107" s="18">
        <f>(11.3+9.9+11.4+10.2)/4</f>
        <v>10.7</v>
      </c>
      <c r="D107" s="18">
        <f>(7.3+6.9+10.2+9.2)/4</f>
        <v>8.3999999999999986</v>
      </c>
      <c r="E107" s="18">
        <f t="shared" si="27"/>
        <v>19.099999999999998</v>
      </c>
      <c r="F107" s="13">
        <v>3</v>
      </c>
      <c r="G107" s="20">
        <v>6.5199999999999994E-2</v>
      </c>
      <c r="H107" s="20">
        <f t="shared" si="28"/>
        <v>1.6299999999999999E-2</v>
      </c>
      <c r="I107" s="20">
        <v>5.16E-2</v>
      </c>
      <c r="J107" s="20">
        <f t="shared" si="29"/>
        <v>1.29E-2</v>
      </c>
      <c r="K107" s="20">
        <v>2.8400000000000002E-2</v>
      </c>
      <c r="L107" s="20">
        <f t="shared" si="30"/>
        <v>7.1000000000000004E-3</v>
      </c>
      <c r="M107">
        <v>4</v>
      </c>
      <c r="N107" s="20">
        <f t="shared" si="31"/>
        <v>3.6299999999999999E-2</v>
      </c>
      <c r="O107" s="20">
        <f t="shared" si="32"/>
        <v>1.0281690140845068</v>
      </c>
      <c r="P107" s="20">
        <f t="shared" si="33"/>
        <v>0.44903581267217629</v>
      </c>
      <c r="Q107" s="20">
        <f t="shared" si="34"/>
        <v>0.35537190082644632</v>
      </c>
      <c r="R107" s="20">
        <f t="shared" si="35"/>
        <v>0.19559228650137742</v>
      </c>
    </row>
    <row r="108" spans="1:18" x14ac:dyDescent="0.25">
      <c r="A108" s="3" t="s">
        <v>380</v>
      </c>
      <c r="B108" t="s">
        <v>226</v>
      </c>
      <c r="C108" s="18">
        <f>(11.1+12.7)/2</f>
        <v>11.899999999999999</v>
      </c>
      <c r="D108" s="18">
        <f>(10.7+9.4)/2</f>
        <v>10.050000000000001</v>
      </c>
      <c r="E108" s="18">
        <f t="shared" si="27"/>
        <v>21.95</v>
      </c>
      <c r="F108" s="13">
        <v>3</v>
      </c>
      <c r="G108" s="20">
        <v>5.7799999999999997E-2</v>
      </c>
      <c r="H108" s="20">
        <f t="shared" si="28"/>
        <v>2.8899999999999999E-2</v>
      </c>
      <c r="I108" s="20">
        <v>5.21E-2</v>
      </c>
      <c r="J108" s="20">
        <f t="shared" si="29"/>
        <v>2.605E-2</v>
      </c>
      <c r="K108" s="20">
        <v>2.6200000000000001E-2</v>
      </c>
      <c r="L108" s="20">
        <f t="shared" si="30"/>
        <v>1.3100000000000001E-2</v>
      </c>
      <c r="M108">
        <v>2</v>
      </c>
      <c r="N108" s="20">
        <f t="shared" si="31"/>
        <v>6.8049999999999999E-2</v>
      </c>
      <c r="O108" s="20">
        <f t="shared" si="32"/>
        <v>2.0973282442748089</v>
      </c>
      <c r="P108" s="20">
        <f t="shared" si="33"/>
        <v>0.42468772961058043</v>
      </c>
      <c r="Q108" s="20">
        <f t="shared" si="34"/>
        <v>0.38280675973548861</v>
      </c>
      <c r="R108" s="20">
        <f t="shared" si="35"/>
        <v>0.19250551065393096</v>
      </c>
    </row>
    <row r="109" spans="1:18" x14ac:dyDescent="0.25">
      <c r="A109" s="3" t="s">
        <v>380</v>
      </c>
      <c r="B109" t="s">
        <v>227</v>
      </c>
      <c r="C109" s="18">
        <f>(13.4+14.2)/2</f>
        <v>13.8</v>
      </c>
      <c r="D109" s="18">
        <f>(8.7+6.1)/2</f>
        <v>7.3999999999999995</v>
      </c>
      <c r="E109" s="18">
        <f t="shared" si="27"/>
        <v>21.2</v>
      </c>
      <c r="F109" s="13">
        <v>4</v>
      </c>
      <c r="G109" s="20">
        <v>5.57E-2</v>
      </c>
      <c r="H109" s="20">
        <f t="shared" si="28"/>
        <v>2.785E-2</v>
      </c>
      <c r="I109" s="20">
        <v>4.2700000000000002E-2</v>
      </c>
      <c r="J109" s="20">
        <f t="shared" si="29"/>
        <v>2.1350000000000001E-2</v>
      </c>
      <c r="K109" s="20">
        <v>1.12E-2</v>
      </c>
      <c r="L109" s="20">
        <f t="shared" si="30"/>
        <v>5.5999999999999999E-3</v>
      </c>
      <c r="M109">
        <v>2</v>
      </c>
      <c r="N109" s="20">
        <f t="shared" si="31"/>
        <v>5.4800000000000001E-2</v>
      </c>
      <c r="O109" s="20">
        <f t="shared" si="32"/>
        <v>4.3928571428571432</v>
      </c>
      <c r="P109" s="20">
        <f t="shared" si="33"/>
        <v>0.50821167883211682</v>
      </c>
      <c r="Q109" s="20">
        <f t="shared" si="34"/>
        <v>0.38959854014598538</v>
      </c>
      <c r="R109" s="20">
        <f t="shared" si="35"/>
        <v>0.10218978102189781</v>
      </c>
    </row>
    <row r="110" spans="1:18" x14ac:dyDescent="0.25">
      <c r="A110" s="3" t="s">
        <v>380</v>
      </c>
      <c r="B110" t="s">
        <v>228</v>
      </c>
      <c r="C110" s="18">
        <v>7.8</v>
      </c>
      <c r="D110" s="18">
        <v>3.6</v>
      </c>
      <c r="E110" s="18">
        <f t="shared" si="27"/>
        <v>11.4</v>
      </c>
      <c r="F110" s="13">
        <v>3</v>
      </c>
      <c r="G110" s="20">
        <v>8.9999999999999993E-3</v>
      </c>
      <c r="H110" s="26">
        <f t="shared" si="28"/>
        <v>8.9999999999999993E-3</v>
      </c>
      <c r="I110" s="20">
        <v>8.8999999999999999E-3</v>
      </c>
      <c r="J110" s="20">
        <f t="shared" si="29"/>
        <v>8.8999999999999999E-3</v>
      </c>
      <c r="K110" s="20">
        <v>3.8E-3</v>
      </c>
      <c r="L110" s="20">
        <f t="shared" si="30"/>
        <v>3.8E-3</v>
      </c>
      <c r="M110">
        <v>1</v>
      </c>
      <c r="N110" s="20">
        <f t="shared" si="31"/>
        <v>2.1700000000000001E-2</v>
      </c>
      <c r="O110" s="20">
        <f t="shared" si="32"/>
        <v>4.7105263157894735</v>
      </c>
      <c r="P110" s="20">
        <f t="shared" si="33"/>
        <v>0.41474654377880182</v>
      </c>
      <c r="Q110" s="20">
        <f t="shared" si="34"/>
        <v>0.41013824884792627</v>
      </c>
      <c r="R110" s="20">
        <f t="shared" si="35"/>
        <v>0.17511520737327188</v>
      </c>
    </row>
    <row r="111" spans="1:18" x14ac:dyDescent="0.25">
      <c r="A111" s="3" t="s">
        <v>380</v>
      </c>
      <c r="B111" t="s">
        <v>229</v>
      </c>
      <c r="C111" s="18">
        <f>(9.7+8.7+9.1)/3</f>
        <v>9.1666666666666661</v>
      </c>
      <c r="D111" s="18">
        <f>(13.5+9+11)/3</f>
        <v>11.166666666666666</v>
      </c>
      <c r="E111" s="18">
        <f t="shared" si="27"/>
        <v>20.333333333333332</v>
      </c>
      <c r="F111" s="13">
        <v>3</v>
      </c>
      <c r="G111" s="20">
        <v>4.5199999999999997E-2</v>
      </c>
      <c r="H111" s="20">
        <f t="shared" si="28"/>
        <v>1.5066666666666666E-2</v>
      </c>
      <c r="I111" s="20">
        <v>4.7899999999999998E-2</v>
      </c>
      <c r="J111" s="20">
        <f t="shared" si="29"/>
        <v>1.5966666666666667E-2</v>
      </c>
      <c r="K111" s="20">
        <v>2.5899999999999999E-2</v>
      </c>
      <c r="L111" s="20">
        <f t="shared" si="30"/>
        <v>8.6333333333333331E-3</v>
      </c>
      <c r="M111">
        <v>3</v>
      </c>
      <c r="N111" s="20">
        <f t="shared" si="31"/>
        <v>3.966666666666667E-2</v>
      </c>
      <c r="O111" s="20">
        <f t="shared" si="32"/>
        <v>1.1981981981981982</v>
      </c>
      <c r="P111" s="20">
        <f t="shared" si="33"/>
        <v>0.37983193277310917</v>
      </c>
      <c r="Q111" s="20">
        <f t="shared" si="34"/>
        <v>0.4025210084033613</v>
      </c>
      <c r="R111" s="20">
        <f t="shared" si="35"/>
        <v>0.21764705882352939</v>
      </c>
    </row>
    <row r="112" spans="1:18" x14ac:dyDescent="0.25">
      <c r="A112" s="3" t="s">
        <v>380</v>
      </c>
      <c r="B112" t="s">
        <v>230</v>
      </c>
      <c r="C112" s="18">
        <f>(7.4+6.9+8)/3</f>
        <v>7.4333333333333336</v>
      </c>
      <c r="D112" s="18">
        <f>(6.9+10.3+6.5)/3</f>
        <v>7.9000000000000012</v>
      </c>
      <c r="E112" s="18">
        <f t="shared" si="27"/>
        <v>15.333333333333336</v>
      </c>
      <c r="F112" s="13">
        <v>2</v>
      </c>
      <c r="G112" s="20">
        <v>2.86E-2</v>
      </c>
      <c r="H112" s="20">
        <f t="shared" si="28"/>
        <v>9.5333333333333329E-3</v>
      </c>
      <c r="I112" s="20">
        <v>2.8000000000000001E-2</v>
      </c>
      <c r="J112" s="20">
        <f t="shared" si="29"/>
        <v>9.3333333333333341E-3</v>
      </c>
      <c r="K112" s="20">
        <v>1.9800000000000002E-2</v>
      </c>
      <c r="L112" s="20">
        <f t="shared" si="30"/>
        <v>6.6000000000000008E-3</v>
      </c>
      <c r="M112">
        <v>3</v>
      </c>
      <c r="N112" s="20">
        <f t="shared" si="31"/>
        <v>2.5466666666666669E-2</v>
      </c>
      <c r="O112" s="20">
        <f t="shared" si="32"/>
        <v>0.95286195286195285</v>
      </c>
      <c r="P112" s="20">
        <f t="shared" si="33"/>
        <v>0.37434554973821987</v>
      </c>
      <c r="Q112" s="20">
        <f t="shared" si="34"/>
        <v>0.36649214659685864</v>
      </c>
      <c r="R112" s="20">
        <f t="shared" si="35"/>
        <v>0.25916230366492149</v>
      </c>
    </row>
    <row r="113" spans="1:18" x14ac:dyDescent="0.25">
      <c r="A113" s="3" t="s">
        <v>380</v>
      </c>
      <c r="B113" t="s">
        <v>231</v>
      </c>
      <c r="C113" s="18">
        <f>(9.9+9.2)/2</f>
        <v>9.5500000000000007</v>
      </c>
      <c r="D113" s="18">
        <f>(5.8+9.2)/2</f>
        <v>7.5</v>
      </c>
      <c r="E113" s="18">
        <f t="shared" si="27"/>
        <v>17.05</v>
      </c>
      <c r="F113" s="13">
        <v>3</v>
      </c>
      <c r="G113" s="20">
        <v>2.92E-2</v>
      </c>
      <c r="H113" s="20">
        <f t="shared" si="28"/>
        <v>1.46E-2</v>
      </c>
      <c r="I113" s="20">
        <v>3.2599999999999997E-2</v>
      </c>
      <c r="J113" s="20">
        <f t="shared" si="29"/>
        <v>1.6299999999999999E-2</v>
      </c>
      <c r="K113" s="20">
        <v>1.55E-2</v>
      </c>
      <c r="L113" s="20">
        <f t="shared" si="30"/>
        <v>7.7499999999999999E-3</v>
      </c>
      <c r="M113">
        <v>2</v>
      </c>
      <c r="N113" s="20">
        <f t="shared" si="31"/>
        <v>3.8649999999999997E-2</v>
      </c>
      <c r="O113" s="20">
        <f t="shared" si="32"/>
        <v>1.9935483870967741</v>
      </c>
      <c r="P113" s="20">
        <f t="shared" si="33"/>
        <v>0.37774902975420444</v>
      </c>
      <c r="Q113" s="20">
        <f t="shared" si="34"/>
        <v>0.42173350582147479</v>
      </c>
      <c r="R113" s="20">
        <f t="shared" si="35"/>
        <v>0.20051746442432083</v>
      </c>
    </row>
    <row r="114" spans="1:18" x14ac:dyDescent="0.25">
      <c r="A114" s="3" t="s">
        <v>380</v>
      </c>
      <c r="B114" t="s">
        <v>232</v>
      </c>
      <c r="C114" s="18">
        <f>(10.2+10)/2</f>
        <v>10.1</v>
      </c>
      <c r="D114" s="18">
        <f>(8.5+7.9)/2</f>
        <v>8.1999999999999993</v>
      </c>
      <c r="E114" s="18">
        <f t="shared" si="27"/>
        <v>18.299999999999997</v>
      </c>
      <c r="F114" s="13">
        <v>3</v>
      </c>
      <c r="G114" s="20">
        <v>4.6399999999999997E-2</v>
      </c>
      <c r="H114" s="20">
        <f t="shared" si="28"/>
        <v>2.3199999999999998E-2</v>
      </c>
      <c r="I114" s="20">
        <v>4.2000000000000003E-2</v>
      </c>
      <c r="J114" s="20">
        <f t="shared" si="29"/>
        <v>2.1000000000000001E-2</v>
      </c>
      <c r="K114" s="20">
        <v>2.2599999999999999E-2</v>
      </c>
      <c r="L114" s="20">
        <f t="shared" si="30"/>
        <v>1.1299999999999999E-2</v>
      </c>
      <c r="M114">
        <v>2</v>
      </c>
      <c r="N114" s="20">
        <f t="shared" si="31"/>
        <v>5.5500000000000001E-2</v>
      </c>
      <c r="O114" s="20">
        <f t="shared" si="32"/>
        <v>1.9557522123893809</v>
      </c>
      <c r="P114" s="20">
        <f t="shared" si="33"/>
        <v>0.41801801801801797</v>
      </c>
      <c r="Q114" s="20">
        <f t="shared" si="34"/>
        <v>0.3783783783783784</v>
      </c>
      <c r="R114" s="20">
        <f t="shared" si="35"/>
        <v>0.20360360360360358</v>
      </c>
    </row>
    <row r="115" spans="1:18" x14ac:dyDescent="0.25">
      <c r="A115" s="3" t="s">
        <v>380</v>
      </c>
      <c r="B115" t="s">
        <v>233</v>
      </c>
      <c r="C115" s="18">
        <f>(11.1+11.4)/2</f>
        <v>11.25</v>
      </c>
      <c r="D115" s="18">
        <f>(9.4+6.6)/2</f>
        <v>8</v>
      </c>
      <c r="E115" s="18">
        <f t="shared" si="27"/>
        <v>19.25</v>
      </c>
      <c r="F115" s="13">
        <v>5</v>
      </c>
      <c r="G115" s="20">
        <v>3.9699999999999999E-2</v>
      </c>
      <c r="H115" s="20">
        <f t="shared" si="28"/>
        <v>1.985E-2</v>
      </c>
      <c r="I115" s="20">
        <v>3.9E-2</v>
      </c>
      <c r="J115" s="20">
        <f t="shared" si="29"/>
        <v>1.95E-2</v>
      </c>
      <c r="K115" s="20">
        <v>1.7399999999999999E-2</v>
      </c>
      <c r="L115" s="20">
        <f t="shared" si="30"/>
        <v>8.6999999999999994E-3</v>
      </c>
      <c r="M115">
        <v>2</v>
      </c>
      <c r="N115" s="20">
        <f t="shared" si="31"/>
        <v>4.8049999999999995E-2</v>
      </c>
      <c r="O115" s="20">
        <f t="shared" si="32"/>
        <v>2.2614942528735633</v>
      </c>
      <c r="P115" s="20">
        <f t="shared" si="33"/>
        <v>0.41311134235171698</v>
      </c>
      <c r="Q115" s="20">
        <f t="shared" si="34"/>
        <v>0.40582726326742979</v>
      </c>
      <c r="R115" s="20">
        <f t="shared" si="35"/>
        <v>0.18106139438085328</v>
      </c>
    </row>
    <row r="116" spans="1:18" x14ac:dyDescent="0.25">
      <c r="A116" s="3" t="s">
        <v>380</v>
      </c>
      <c r="B116" t="s">
        <v>234</v>
      </c>
      <c r="C116" s="18" t="s">
        <v>360</v>
      </c>
      <c r="D116" s="18" t="s">
        <v>360</v>
      </c>
      <c r="E116" s="18" t="s">
        <v>360</v>
      </c>
      <c r="F116" t="s">
        <v>360</v>
      </c>
      <c r="G116" s="20" t="s">
        <v>360</v>
      </c>
      <c r="H116" s="20" t="s">
        <v>360</v>
      </c>
      <c r="I116" s="20" t="s">
        <v>360</v>
      </c>
      <c r="J116" s="20" t="s">
        <v>360</v>
      </c>
      <c r="K116" s="20" t="s">
        <v>360</v>
      </c>
      <c r="L116" s="20" t="s">
        <v>360</v>
      </c>
      <c r="M116" s="15" t="s">
        <v>360</v>
      </c>
      <c r="N116" s="20" t="s">
        <v>360</v>
      </c>
      <c r="O116" s="20" t="s">
        <v>360</v>
      </c>
      <c r="P116" s="20" t="s">
        <v>360</v>
      </c>
      <c r="Q116" s="20" t="s">
        <v>360</v>
      </c>
      <c r="R116" s="20" t="s">
        <v>360</v>
      </c>
    </row>
    <row r="117" spans="1:18" x14ac:dyDescent="0.25">
      <c r="A117" s="3" t="s">
        <v>380</v>
      </c>
      <c r="B117" t="s">
        <v>235</v>
      </c>
      <c r="C117" s="18">
        <v>6.6</v>
      </c>
      <c r="D117" s="18">
        <v>3.3</v>
      </c>
      <c r="E117" s="18">
        <f t="shared" ref="E117:E148" si="36">C117+D117</f>
        <v>9.8999999999999986</v>
      </c>
      <c r="F117">
        <v>3</v>
      </c>
      <c r="G117" s="20">
        <v>7.7000000000000002E-3</v>
      </c>
      <c r="H117" s="20">
        <f t="shared" ref="H117:H148" si="37">G117/M117</f>
        <v>7.7000000000000002E-3</v>
      </c>
      <c r="I117" s="20">
        <v>4.7999999999999996E-3</v>
      </c>
      <c r="J117" s="20">
        <f t="shared" ref="J117:J148" si="38">I117/M117</f>
        <v>4.7999999999999996E-3</v>
      </c>
      <c r="K117" s="20">
        <v>2E-3</v>
      </c>
      <c r="L117" s="20">
        <f t="shared" ref="L117:L148" si="39">K117/M117</f>
        <v>2E-3</v>
      </c>
      <c r="M117">
        <v>1</v>
      </c>
      <c r="N117" s="20">
        <f t="shared" ref="N117:N148" si="40">H117+J117+L117</f>
        <v>1.4500000000000001E-2</v>
      </c>
      <c r="O117" s="20">
        <f t="shared" ref="O117:O148" si="41">(H117+J117)/K117</f>
        <v>6.25</v>
      </c>
      <c r="P117" s="20">
        <f t="shared" ref="P117:P148" si="42">H117/N117</f>
        <v>0.53103448275862064</v>
      </c>
      <c r="Q117" s="20">
        <f t="shared" ref="Q117:Q148" si="43">J117/N117</f>
        <v>0.33103448275862063</v>
      </c>
      <c r="R117" s="20">
        <f t="shared" ref="R117:R148" si="44">L117/N117</f>
        <v>0.13793103448275862</v>
      </c>
    </row>
    <row r="118" spans="1:18" x14ac:dyDescent="0.25">
      <c r="A118" s="3" t="s">
        <v>380</v>
      </c>
      <c r="B118" t="s">
        <v>236</v>
      </c>
      <c r="C118" s="18">
        <v>7.5</v>
      </c>
      <c r="D118" s="27">
        <v>10.8</v>
      </c>
      <c r="E118" s="18">
        <f t="shared" si="36"/>
        <v>18.3</v>
      </c>
      <c r="F118">
        <v>4</v>
      </c>
      <c r="G118" s="20">
        <v>1.2699999999999999E-2</v>
      </c>
      <c r="H118" s="20">
        <f t="shared" si="37"/>
        <v>1.2699999999999999E-2</v>
      </c>
      <c r="I118" s="20">
        <v>1.6899999999999998E-2</v>
      </c>
      <c r="J118" s="20">
        <f t="shared" si="38"/>
        <v>1.6899999999999998E-2</v>
      </c>
      <c r="K118" s="20">
        <v>1.0800000000000001E-2</v>
      </c>
      <c r="L118" s="20">
        <f t="shared" si="39"/>
        <v>1.0800000000000001E-2</v>
      </c>
      <c r="M118">
        <v>1</v>
      </c>
      <c r="N118" s="20">
        <f t="shared" si="40"/>
        <v>4.0399999999999998E-2</v>
      </c>
      <c r="O118" s="20">
        <f t="shared" si="41"/>
        <v>2.7407407407407405</v>
      </c>
      <c r="P118" s="20">
        <f t="shared" si="42"/>
        <v>0.31435643564356436</v>
      </c>
      <c r="Q118" s="20">
        <f t="shared" si="43"/>
        <v>0.4183168316831683</v>
      </c>
      <c r="R118" s="20">
        <f t="shared" si="44"/>
        <v>0.26732673267326734</v>
      </c>
    </row>
    <row r="119" spans="1:18" x14ac:dyDescent="0.25">
      <c r="A119" s="3" t="s">
        <v>380</v>
      </c>
      <c r="B119" t="s">
        <v>237</v>
      </c>
      <c r="C119" s="18">
        <v>9.6</v>
      </c>
      <c r="D119" s="18">
        <v>3.9</v>
      </c>
      <c r="E119" s="18">
        <f t="shared" si="36"/>
        <v>13.5</v>
      </c>
      <c r="F119">
        <v>3</v>
      </c>
      <c r="G119" s="20">
        <v>1.8100000000000002E-2</v>
      </c>
      <c r="H119" s="20">
        <f t="shared" si="37"/>
        <v>1.8100000000000002E-2</v>
      </c>
      <c r="I119" s="20">
        <v>2.8899999999999999E-2</v>
      </c>
      <c r="J119" s="20">
        <f t="shared" si="38"/>
        <v>2.8899999999999999E-2</v>
      </c>
      <c r="K119" s="20">
        <v>9.2999999999999992E-3</v>
      </c>
      <c r="L119" s="20">
        <f t="shared" si="39"/>
        <v>9.2999999999999992E-3</v>
      </c>
      <c r="M119">
        <v>1</v>
      </c>
      <c r="N119" s="20">
        <f t="shared" si="40"/>
        <v>5.6300000000000003E-2</v>
      </c>
      <c r="O119" s="20">
        <f t="shared" si="41"/>
        <v>5.0537634408602159</v>
      </c>
      <c r="P119" s="20">
        <f t="shared" si="42"/>
        <v>0.32149200710479575</v>
      </c>
      <c r="Q119" s="20">
        <f t="shared" si="43"/>
        <v>0.51332149200710475</v>
      </c>
      <c r="R119" s="20">
        <f t="shared" si="44"/>
        <v>0.16518650088809944</v>
      </c>
    </row>
    <row r="120" spans="1:18" x14ac:dyDescent="0.25">
      <c r="A120" s="3" t="s">
        <v>380</v>
      </c>
      <c r="B120" t="s">
        <v>238</v>
      </c>
      <c r="C120" s="18">
        <v>8.4</v>
      </c>
      <c r="D120" s="18">
        <v>6.2</v>
      </c>
      <c r="E120" s="18">
        <f t="shared" si="36"/>
        <v>14.600000000000001</v>
      </c>
      <c r="F120" s="21">
        <v>4</v>
      </c>
      <c r="G120" s="20">
        <v>3.5299999999999998E-2</v>
      </c>
      <c r="H120" s="20">
        <f t="shared" si="37"/>
        <v>3.5299999999999998E-2</v>
      </c>
      <c r="I120" s="20">
        <v>5.74E-2</v>
      </c>
      <c r="J120" s="20">
        <f t="shared" si="38"/>
        <v>5.74E-2</v>
      </c>
      <c r="K120" s="20">
        <v>1.6799999999999999E-2</v>
      </c>
      <c r="L120" s="20">
        <f t="shared" si="39"/>
        <v>1.6799999999999999E-2</v>
      </c>
      <c r="M120">
        <v>1</v>
      </c>
      <c r="N120" s="20">
        <f t="shared" si="40"/>
        <v>0.1095</v>
      </c>
      <c r="O120" s="20">
        <f t="shared" si="41"/>
        <v>5.5178571428571432</v>
      </c>
      <c r="P120" s="20">
        <f t="shared" si="42"/>
        <v>0.32237442922374426</v>
      </c>
      <c r="Q120" s="20">
        <f t="shared" si="43"/>
        <v>0.52420091324200913</v>
      </c>
      <c r="R120" s="20">
        <f t="shared" si="44"/>
        <v>0.15342465753424656</v>
      </c>
    </row>
    <row r="121" spans="1:18" x14ac:dyDescent="0.25">
      <c r="A121" s="3" t="s">
        <v>380</v>
      </c>
      <c r="B121" t="s">
        <v>239</v>
      </c>
      <c r="C121" s="18">
        <v>10</v>
      </c>
      <c r="D121" s="25">
        <v>5.5</v>
      </c>
      <c r="E121" s="18">
        <f t="shared" si="36"/>
        <v>15.5</v>
      </c>
      <c r="F121">
        <v>3</v>
      </c>
      <c r="G121" s="20">
        <v>1.8499999999999999E-2</v>
      </c>
      <c r="H121" s="20">
        <f t="shared" si="37"/>
        <v>1.8499999999999999E-2</v>
      </c>
      <c r="I121" s="20">
        <v>3.4099999999999998E-2</v>
      </c>
      <c r="J121" s="20">
        <f t="shared" si="38"/>
        <v>3.4099999999999998E-2</v>
      </c>
      <c r="K121" s="20">
        <v>7.9000000000000008E-3</v>
      </c>
      <c r="L121" s="20">
        <f t="shared" si="39"/>
        <v>7.9000000000000008E-3</v>
      </c>
      <c r="M121">
        <v>1</v>
      </c>
      <c r="N121" s="20">
        <f t="shared" si="40"/>
        <v>6.0499999999999998E-2</v>
      </c>
      <c r="O121" s="20">
        <f t="shared" si="41"/>
        <v>6.658227848101264</v>
      </c>
      <c r="P121" s="20">
        <f t="shared" si="42"/>
        <v>0.30578512396694213</v>
      </c>
      <c r="Q121" s="20">
        <f t="shared" si="43"/>
        <v>0.5636363636363636</v>
      </c>
      <c r="R121" s="20">
        <f t="shared" si="44"/>
        <v>0.13057851239669424</v>
      </c>
    </row>
    <row r="122" spans="1:18" x14ac:dyDescent="0.25">
      <c r="A122" s="6" t="s">
        <v>381</v>
      </c>
      <c r="B122" t="s">
        <v>60</v>
      </c>
      <c r="C122" s="18">
        <v>7.2</v>
      </c>
      <c r="D122" s="18">
        <v>8</v>
      </c>
      <c r="E122" s="18">
        <f t="shared" si="36"/>
        <v>15.2</v>
      </c>
      <c r="F122" s="21">
        <v>5</v>
      </c>
      <c r="G122" s="20">
        <v>1.7100000000000001E-2</v>
      </c>
      <c r="H122" s="20">
        <f t="shared" si="37"/>
        <v>1.7100000000000001E-2</v>
      </c>
      <c r="I122" s="20">
        <v>5.2200000000000003E-2</v>
      </c>
      <c r="J122" s="20">
        <f t="shared" si="38"/>
        <v>5.2200000000000003E-2</v>
      </c>
      <c r="K122" s="20">
        <v>1.2699999999999999E-2</v>
      </c>
      <c r="L122" s="20">
        <f t="shared" si="39"/>
        <v>1.2699999999999999E-2</v>
      </c>
      <c r="M122" s="19">
        <v>1</v>
      </c>
      <c r="N122" s="20">
        <f t="shared" si="40"/>
        <v>8.2000000000000003E-2</v>
      </c>
      <c r="O122" s="20">
        <f t="shared" si="41"/>
        <v>5.4566929133858268</v>
      </c>
      <c r="P122" s="20">
        <f t="shared" si="42"/>
        <v>0.20853658536585365</v>
      </c>
      <c r="Q122" s="20">
        <f t="shared" si="43"/>
        <v>0.63658536585365855</v>
      </c>
      <c r="R122" s="20">
        <f t="shared" si="44"/>
        <v>0.1548780487804878</v>
      </c>
    </row>
    <row r="123" spans="1:18" x14ac:dyDescent="0.25">
      <c r="A123" s="6" t="s">
        <v>381</v>
      </c>
      <c r="B123" t="s">
        <v>61</v>
      </c>
      <c r="C123" s="18">
        <v>8</v>
      </c>
      <c r="D123" s="18">
        <v>9.6999999999999993</v>
      </c>
      <c r="E123" s="18">
        <f t="shared" si="36"/>
        <v>17.7</v>
      </c>
      <c r="F123" s="21">
        <v>5</v>
      </c>
      <c r="G123" s="20">
        <v>2.4500000000000001E-2</v>
      </c>
      <c r="H123" s="20">
        <f t="shared" si="37"/>
        <v>2.4500000000000001E-2</v>
      </c>
      <c r="I123" s="20">
        <v>7.6399999999999996E-2</v>
      </c>
      <c r="J123" s="20">
        <f t="shared" si="38"/>
        <v>7.6399999999999996E-2</v>
      </c>
      <c r="K123" s="20">
        <v>2.81E-2</v>
      </c>
      <c r="L123" s="20">
        <f t="shared" si="39"/>
        <v>2.81E-2</v>
      </c>
      <c r="M123" s="19">
        <v>1</v>
      </c>
      <c r="N123" s="20">
        <f t="shared" si="40"/>
        <v>0.129</v>
      </c>
      <c r="O123" s="20">
        <f t="shared" si="41"/>
        <v>3.5907473309608537</v>
      </c>
      <c r="P123" s="20">
        <f t="shared" si="42"/>
        <v>0.18992248062015504</v>
      </c>
      <c r="Q123" s="20">
        <f t="shared" si="43"/>
        <v>0.59224806201550384</v>
      </c>
      <c r="R123" s="20">
        <f t="shared" si="44"/>
        <v>0.21782945736434109</v>
      </c>
    </row>
    <row r="124" spans="1:18" x14ac:dyDescent="0.25">
      <c r="A124" s="6" t="s">
        <v>381</v>
      </c>
      <c r="B124" t="s">
        <v>62</v>
      </c>
      <c r="C124" s="18">
        <f>(10.5+11.3)/2</f>
        <v>10.9</v>
      </c>
      <c r="D124" s="18">
        <f>(5.5+13.5)/2</f>
        <v>9.5</v>
      </c>
      <c r="E124" s="18">
        <f t="shared" si="36"/>
        <v>20.399999999999999</v>
      </c>
      <c r="F124" s="21">
        <v>4</v>
      </c>
      <c r="G124" s="20">
        <v>4.6800000000000001E-2</v>
      </c>
      <c r="H124" s="20">
        <f t="shared" si="37"/>
        <v>2.3400000000000001E-2</v>
      </c>
      <c r="I124" s="20">
        <v>9.5600000000000004E-2</v>
      </c>
      <c r="J124" s="20">
        <f t="shared" si="38"/>
        <v>4.7800000000000002E-2</v>
      </c>
      <c r="K124" s="20">
        <v>1.6799999999999999E-2</v>
      </c>
      <c r="L124" s="20">
        <f t="shared" si="39"/>
        <v>8.3999999999999995E-3</v>
      </c>
      <c r="M124" s="19">
        <v>2</v>
      </c>
      <c r="N124" s="20">
        <f t="shared" si="40"/>
        <v>7.9600000000000004E-2</v>
      </c>
      <c r="O124" s="20">
        <f t="shared" si="41"/>
        <v>4.2380952380952381</v>
      </c>
      <c r="P124" s="20">
        <f t="shared" si="42"/>
        <v>0.29396984924623115</v>
      </c>
      <c r="Q124" s="20">
        <f t="shared" si="43"/>
        <v>0.60050251256281406</v>
      </c>
      <c r="R124" s="20">
        <f t="shared" si="44"/>
        <v>0.10552763819095476</v>
      </c>
    </row>
    <row r="125" spans="1:18" x14ac:dyDescent="0.25">
      <c r="A125" s="6" t="s">
        <v>381</v>
      </c>
      <c r="B125" t="s">
        <v>63</v>
      </c>
      <c r="C125" s="18">
        <f>(10.7+10.9)/2</f>
        <v>10.8</v>
      </c>
      <c r="D125" s="18">
        <v>6.5</v>
      </c>
      <c r="E125" s="18">
        <f t="shared" si="36"/>
        <v>17.3</v>
      </c>
      <c r="F125" s="21">
        <v>4</v>
      </c>
      <c r="G125" s="20">
        <v>6.0999999999999999E-2</v>
      </c>
      <c r="H125" s="20">
        <f t="shared" si="37"/>
        <v>3.0499999999999999E-2</v>
      </c>
      <c r="I125" s="20">
        <v>0.106</v>
      </c>
      <c r="J125" s="20">
        <f t="shared" si="38"/>
        <v>5.2999999999999999E-2</v>
      </c>
      <c r="K125" s="20">
        <v>2.6200000000000001E-2</v>
      </c>
      <c r="L125" s="20">
        <f t="shared" si="39"/>
        <v>1.3100000000000001E-2</v>
      </c>
      <c r="M125" s="19">
        <v>2</v>
      </c>
      <c r="N125" s="20">
        <f t="shared" si="40"/>
        <v>9.6599999999999991E-2</v>
      </c>
      <c r="O125" s="20">
        <f t="shared" si="41"/>
        <v>3.1870229007633584</v>
      </c>
      <c r="P125" s="20">
        <f t="shared" si="42"/>
        <v>0.31573498964803315</v>
      </c>
      <c r="Q125" s="20">
        <f t="shared" si="43"/>
        <v>0.54865424430641829</v>
      </c>
      <c r="R125" s="20">
        <f t="shared" si="44"/>
        <v>0.13561076604554867</v>
      </c>
    </row>
    <row r="126" spans="1:18" x14ac:dyDescent="0.25">
      <c r="A126" s="6" t="s">
        <v>381</v>
      </c>
      <c r="B126" t="s">
        <v>64</v>
      </c>
      <c r="C126" s="18">
        <f>(9.2+12.4)/2</f>
        <v>10.8</v>
      </c>
      <c r="D126" s="18">
        <f>(7.6+6.7)/2</f>
        <v>7.15</v>
      </c>
      <c r="E126" s="18">
        <f t="shared" si="36"/>
        <v>17.950000000000003</v>
      </c>
      <c r="F126" s="21">
        <v>4</v>
      </c>
      <c r="G126" s="20">
        <v>3.6499999999999998E-2</v>
      </c>
      <c r="H126" s="20">
        <f t="shared" si="37"/>
        <v>1.8249999999999999E-2</v>
      </c>
      <c r="I126" s="20">
        <v>7.2099999999999997E-2</v>
      </c>
      <c r="J126" s="20">
        <f t="shared" si="38"/>
        <v>3.6049999999999999E-2</v>
      </c>
      <c r="K126" s="20">
        <v>1.6199999999999999E-2</v>
      </c>
      <c r="L126" s="20">
        <f t="shared" si="39"/>
        <v>8.0999999999999996E-3</v>
      </c>
      <c r="M126" s="19">
        <v>2</v>
      </c>
      <c r="N126" s="20">
        <f t="shared" si="40"/>
        <v>6.2399999999999997E-2</v>
      </c>
      <c r="O126" s="20">
        <f t="shared" si="41"/>
        <v>3.3518518518518521</v>
      </c>
      <c r="P126" s="20">
        <f t="shared" si="42"/>
        <v>0.29246794871794873</v>
      </c>
      <c r="Q126" s="20">
        <f t="shared" si="43"/>
        <v>0.57772435897435903</v>
      </c>
      <c r="R126" s="20">
        <f t="shared" si="44"/>
        <v>0.12980769230769232</v>
      </c>
    </row>
    <row r="127" spans="1:18" x14ac:dyDescent="0.25">
      <c r="A127" s="6" t="s">
        <v>381</v>
      </c>
      <c r="B127" t="s">
        <v>65</v>
      </c>
      <c r="C127" s="18">
        <v>9.9</v>
      </c>
      <c r="D127" s="18">
        <v>4.5</v>
      </c>
      <c r="E127" s="18">
        <f t="shared" si="36"/>
        <v>14.4</v>
      </c>
      <c r="F127">
        <v>4</v>
      </c>
      <c r="G127" s="20">
        <v>1.44E-2</v>
      </c>
      <c r="H127" s="20">
        <f t="shared" si="37"/>
        <v>1.44E-2</v>
      </c>
      <c r="I127" s="20">
        <v>2.46E-2</v>
      </c>
      <c r="J127" s="20">
        <f t="shared" si="38"/>
        <v>2.46E-2</v>
      </c>
      <c r="K127" s="20">
        <v>5.3E-3</v>
      </c>
      <c r="L127" s="20">
        <f t="shared" si="39"/>
        <v>5.3E-3</v>
      </c>
      <c r="M127" s="19">
        <v>1</v>
      </c>
      <c r="N127" s="20">
        <f t="shared" si="40"/>
        <v>4.4299999999999999E-2</v>
      </c>
      <c r="O127" s="20">
        <f t="shared" si="41"/>
        <v>7.3584905660377355</v>
      </c>
      <c r="P127" s="20">
        <f t="shared" si="42"/>
        <v>0.32505643340857787</v>
      </c>
      <c r="Q127" s="20">
        <f t="shared" si="43"/>
        <v>0.55530474040632061</v>
      </c>
      <c r="R127" s="20">
        <f t="shared" si="44"/>
        <v>0.11963882618510158</v>
      </c>
    </row>
    <row r="128" spans="1:18" x14ac:dyDescent="0.25">
      <c r="A128" s="6" t="s">
        <v>381</v>
      </c>
      <c r="B128" t="s">
        <v>66</v>
      </c>
      <c r="C128" s="18">
        <f>(8.9+9.5+9.2)/3</f>
        <v>9.1999999999999993</v>
      </c>
      <c r="D128" s="18">
        <f>(7+11.8+6.7)/3</f>
        <v>8.5</v>
      </c>
      <c r="E128" s="18">
        <f t="shared" si="36"/>
        <v>17.7</v>
      </c>
      <c r="F128">
        <v>4</v>
      </c>
      <c r="G128" s="20">
        <v>6.0499999999999998E-2</v>
      </c>
      <c r="H128" s="20">
        <f t="shared" si="37"/>
        <v>2.0166666666666666E-2</v>
      </c>
      <c r="I128" s="20">
        <v>8.8599999999999998E-2</v>
      </c>
      <c r="J128" s="20">
        <f t="shared" si="38"/>
        <v>2.9533333333333332E-2</v>
      </c>
      <c r="K128" s="20">
        <v>3.78E-2</v>
      </c>
      <c r="L128" s="20">
        <f t="shared" si="39"/>
        <v>1.26E-2</v>
      </c>
      <c r="M128" s="19">
        <v>3</v>
      </c>
      <c r="N128" s="20">
        <f t="shared" si="40"/>
        <v>6.2299999999999994E-2</v>
      </c>
      <c r="O128" s="20">
        <f t="shared" si="41"/>
        <v>1.3148148148148147</v>
      </c>
      <c r="P128" s="20">
        <f t="shared" si="42"/>
        <v>0.32370251471375067</v>
      </c>
      <c r="Q128" s="20">
        <f t="shared" si="43"/>
        <v>0.47405029427501338</v>
      </c>
      <c r="R128" s="20">
        <f t="shared" si="44"/>
        <v>0.20224719101123598</v>
      </c>
    </row>
    <row r="129" spans="1:18" x14ac:dyDescent="0.25">
      <c r="A129" s="6" t="s">
        <v>381</v>
      </c>
      <c r="B129" t="s">
        <v>67</v>
      </c>
      <c r="C129" s="18">
        <v>10.199999999999999</v>
      </c>
      <c r="D129" s="18">
        <v>7.9</v>
      </c>
      <c r="E129" s="18">
        <f t="shared" si="36"/>
        <v>18.100000000000001</v>
      </c>
      <c r="F129" s="21">
        <v>5</v>
      </c>
      <c r="G129" s="20">
        <v>5.2699999999999997E-2</v>
      </c>
      <c r="H129" s="20">
        <f t="shared" si="37"/>
        <v>5.2699999999999997E-2</v>
      </c>
      <c r="I129" s="20">
        <v>0.1028</v>
      </c>
      <c r="J129" s="20">
        <f t="shared" si="38"/>
        <v>0.1028</v>
      </c>
      <c r="K129" s="20">
        <v>4.6800000000000001E-2</v>
      </c>
      <c r="L129" s="20">
        <f t="shared" si="39"/>
        <v>4.6800000000000001E-2</v>
      </c>
      <c r="M129" s="19">
        <v>1</v>
      </c>
      <c r="N129" s="20">
        <f t="shared" si="40"/>
        <v>0.20230000000000001</v>
      </c>
      <c r="O129" s="20">
        <f t="shared" si="41"/>
        <v>3.3226495726495724</v>
      </c>
      <c r="P129" s="20">
        <f t="shared" si="42"/>
        <v>0.26050420168067223</v>
      </c>
      <c r="Q129" s="20">
        <f t="shared" si="43"/>
        <v>0.50815620365793379</v>
      </c>
      <c r="R129" s="20">
        <f t="shared" si="44"/>
        <v>0.23133959466139398</v>
      </c>
    </row>
    <row r="130" spans="1:18" x14ac:dyDescent="0.25">
      <c r="A130" s="6" t="s">
        <v>381</v>
      </c>
      <c r="B130" t="s">
        <v>68</v>
      </c>
      <c r="C130" s="18">
        <f>(12.6+11.6)/2</f>
        <v>12.1</v>
      </c>
      <c r="D130" s="18">
        <f>(9.7+8.1)/2</f>
        <v>8.8999999999999986</v>
      </c>
      <c r="E130" s="18">
        <f t="shared" si="36"/>
        <v>21</v>
      </c>
      <c r="F130" s="21">
        <v>3</v>
      </c>
      <c r="G130" s="20">
        <v>5.5800000000000002E-2</v>
      </c>
      <c r="H130" s="20">
        <f t="shared" si="37"/>
        <v>2.7900000000000001E-2</v>
      </c>
      <c r="I130" s="20">
        <v>6.9500000000000006E-2</v>
      </c>
      <c r="J130" s="20">
        <f t="shared" si="38"/>
        <v>3.4750000000000003E-2</v>
      </c>
      <c r="K130" s="20">
        <v>2.41E-2</v>
      </c>
      <c r="L130" s="20">
        <f t="shared" si="39"/>
        <v>1.205E-2</v>
      </c>
      <c r="M130" s="19">
        <v>2</v>
      </c>
      <c r="N130" s="20">
        <f t="shared" si="40"/>
        <v>7.4700000000000016E-2</v>
      </c>
      <c r="O130" s="20">
        <f t="shared" si="41"/>
        <v>2.5995850622406644</v>
      </c>
      <c r="P130" s="20">
        <f t="shared" si="42"/>
        <v>0.37349397590361438</v>
      </c>
      <c r="Q130" s="20">
        <f t="shared" si="43"/>
        <v>0.46519410977242298</v>
      </c>
      <c r="R130" s="20">
        <f t="shared" si="44"/>
        <v>0.16131191432396247</v>
      </c>
    </row>
    <row r="131" spans="1:18" x14ac:dyDescent="0.25">
      <c r="A131" s="6" t="s">
        <v>381</v>
      </c>
      <c r="B131" t="s">
        <v>69</v>
      </c>
      <c r="C131" s="18">
        <f>(10+10.9+12)/3</f>
        <v>10.966666666666667</v>
      </c>
      <c r="D131" s="18">
        <f>(7.6+6.5+12.2)/3</f>
        <v>8.7666666666666657</v>
      </c>
      <c r="E131" s="18">
        <f t="shared" si="36"/>
        <v>19.733333333333334</v>
      </c>
      <c r="F131" s="21">
        <v>5</v>
      </c>
      <c r="G131" s="20">
        <v>7.7399999999999997E-2</v>
      </c>
      <c r="H131" s="20">
        <f t="shared" si="37"/>
        <v>2.58E-2</v>
      </c>
      <c r="I131" s="20">
        <v>0.1148</v>
      </c>
      <c r="J131" s="20">
        <f t="shared" si="38"/>
        <v>3.8266666666666664E-2</v>
      </c>
      <c r="K131" s="20">
        <v>4.58E-2</v>
      </c>
      <c r="L131" s="20">
        <f t="shared" si="39"/>
        <v>1.5266666666666666E-2</v>
      </c>
      <c r="M131" s="19">
        <v>3</v>
      </c>
      <c r="N131" s="20">
        <f t="shared" si="40"/>
        <v>7.9333333333333325E-2</v>
      </c>
      <c r="O131" s="20">
        <f t="shared" si="41"/>
        <v>1.3988355167394466</v>
      </c>
      <c r="P131" s="20">
        <f t="shared" si="42"/>
        <v>0.32521008403361346</v>
      </c>
      <c r="Q131" s="20">
        <f t="shared" si="43"/>
        <v>0.4823529411764706</v>
      </c>
      <c r="R131" s="20">
        <f t="shared" si="44"/>
        <v>0.19243697478991598</v>
      </c>
    </row>
    <row r="132" spans="1:18" x14ac:dyDescent="0.25">
      <c r="A132" s="6" t="s">
        <v>381</v>
      </c>
      <c r="B132" t="s">
        <v>70</v>
      </c>
      <c r="C132" s="18">
        <f>(11.3+12+9)/3</f>
        <v>10.766666666666666</v>
      </c>
      <c r="D132" s="18">
        <f>(8+7.3+10.9)/3</f>
        <v>8.7333333333333343</v>
      </c>
      <c r="E132" s="18">
        <f t="shared" si="36"/>
        <v>19.5</v>
      </c>
      <c r="F132" s="21">
        <v>5</v>
      </c>
      <c r="G132" s="20">
        <v>9.9599999999999994E-2</v>
      </c>
      <c r="H132" s="20">
        <f t="shared" si="37"/>
        <v>3.32E-2</v>
      </c>
      <c r="I132" s="20">
        <v>0.1235</v>
      </c>
      <c r="J132" s="20">
        <f t="shared" si="38"/>
        <v>4.1166666666666664E-2</v>
      </c>
      <c r="K132" s="20">
        <v>5.2400000000000002E-2</v>
      </c>
      <c r="L132" s="20">
        <f t="shared" si="39"/>
        <v>1.7466666666666669E-2</v>
      </c>
      <c r="M132" s="19">
        <v>3</v>
      </c>
      <c r="N132" s="20">
        <f t="shared" si="40"/>
        <v>9.1833333333333336E-2</v>
      </c>
      <c r="O132" s="20">
        <f t="shared" si="41"/>
        <v>1.419211195928753</v>
      </c>
      <c r="P132" s="20">
        <f t="shared" si="42"/>
        <v>0.36152450090744098</v>
      </c>
      <c r="Q132" s="20">
        <f t="shared" si="43"/>
        <v>0.44827586206896547</v>
      </c>
      <c r="R132" s="20">
        <f t="shared" si="44"/>
        <v>0.19019963702359349</v>
      </c>
    </row>
    <row r="133" spans="1:18" x14ac:dyDescent="0.25">
      <c r="A133" s="6" t="s">
        <v>381</v>
      </c>
      <c r="B133" t="s">
        <v>71</v>
      </c>
      <c r="C133" s="18">
        <f>(11.5+11.5+10.6)/3</f>
        <v>11.200000000000001</v>
      </c>
      <c r="D133" s="18">
        <f>(10.7+7.2+6.5)/3</f>
        <v>8.1333333333333329</v>
      </c>
      <c r="E133" s="18">
        <f t="shared" si="36"/>
        <v>19.333333333333336</v>
      </c>
      <c r="F133">
        <v>4</v>
      </c>
      <c r="G133" s="20">
        <v>7.7100000000000002E-2</v>
      </c>
      <c r="H133" s="20">
        <f t="shared" si="37"/>
        <v>2.5700000000000001E-2</v>
      </c>
      <c r="I133" s="20">
        <v>0.1343</v>
      </c>
      <c r="J133" s="20">
        <f t="shared" si="38"/>
        <v>4.476666666666667E-2</v>
      </c>
      <c r="K133" s="20">
        <v>4.3499999999999997E-2</v>
      </c>
      <c r="L133" s="20">
        <f t="shared" si="39"/>
        <v>1.4499999999999999E-2</v>
      </c>
      <c r="M133" s="19">
        <v>3</v>
      </c>
      <c r="N133" s="20">
        <f t="shared" si="40"/>
        <v>8.4966666666666676E-2</v>
      </c>
      <c r="O133" s="20">
        <f t="shared" si="41"/>
        <v>1.6199233716475099</v>
      </c>
      <c r="P133" s="20">
        <f t="shared" si="42"/>
        <v>0.302471557473519</v>
      </c>
      <c r="Q133" s="20">
        <f t="shared" si="43"/>
        <v>0.52687328364064334</v>
      </c>
      <c r="R133" s="20">
        <f t="shared" si="44"/>
        <v>0.17065515888583754</v>
      </c>
    </row>
    <row r="134" spans="1:18" x14ac:dyDescent="0.25">
      <c r="A134" s="6" t="s">
        <v>381</v>
      </c>
      <c r="B134" t="s">
        <v>72</v>
      </c>
      <c r="C134" s="18">
        <v>9.9</v>
      </c>
      <c r="D134" s="18">
        <v>9.6999999999999993</v>
      </c>
      <c r="E134" s="18">
        <f t="shared" si="36"/>
        <v>19.600000000000001</v>
      </c>
      <c r="F134">
        <v>4</v>
      </c>
      <c r="G134" s="20">
        <v>3.6700000000000003E-2</v>
      </c>
      <c r="H134" s="20">
        <f t="shared" si="37"/>
        <v>3.6700000000000003E-2</v>
      </c>
      <c r="I134" s="20">
        <v>6.1600000000000002E-2</v>
      </c>
      <c r="J134" s="20">
        <f t="shared" si="38"/>
        <v>6.1600000000000002E-2</v>
      </c>
      <c r="K134" s="20">
        <v>3.0700000000000002E-2</v>
      </c>
      <c r="L134" s="20">
        <f t="shared" si="39"/>
        <v>3.0700000000000002E-2</v>
      </c>
      <c r="M134" s="19">
        <v>1</v>
      </c>
      <c r="N134" s="20">
        <f t="shared" si="40"/>
        <v>0.129</v>
      </c>
      <c r="O134" s="20">
        <f t="shared" si="41"/>
        <v>3.2019543973941365</v>
      </c>
      <c r="P134" s="20">
        <f t="shared" si="42"/>
        <v>0.28449612403100777</v>
      </c>
      <c r="Q134" s="20">
        <f t="shared" si="43"/>
        <v>0.47751937984496123</v>
      </c>
      <c r="R134" s="20">
        <f t="shared" si="44"/>
        <v>0.23798449612403103</v>
      </c>
    </row>
    <row r="135" spans="1:18" x14ac:dyDescent="0.25">
      <c r="A135" s="6" t="s">
        <v>381</v>
      </c>
      <c r="B135" t="s">
        <v>73</v>
      </c>
      <c r="C135" s="18">
        <v>17</v>
      </c>
      <c r="D135" s="18">
        <v>10</v>
      </c>
      <c r="E135" s="18">
        <f t="shared" si="36"/>
        <v>27</v>
      </c>
      <c r="F135" s="21">
        <v>6</v>
      </c>
      <c r="G135" s="20">
        <v>8.3099999999999993E-2</v>
      </c>
      <c r="H135" s="20">
        <f t="shared" si="37"/>
        <v>8.3099999999999993E-2</v>
      </c>
      <c r="I135" s="20">
        <v>0.1399</v>
      </c>
      <c r="J135" s="20">
        <f t="shared" si="38"/>
        <v>0.1399</v>
      </c>
      <c r="K135" s="20">
        <v>4.9000000000000002E-2</v>
      </c>
      <c r="L135" s="20">
        <f t="shared" si="39"/>
        <v>4.9000000000000002E-2</v>
      </c>
      <c r="M135" s="19">
        <v>1</v>
      </c>
      <c r="N135" s="20">
        <f t="shared" si="40"/>
        <v>0.27199999999999996</v>
      </c>
      <c r="O135" s="20">
        <f t="shared" si="41"/>
        <v>4.5510204081632644</v>
      </c>
      <c r="P135" s="20">
        <f t="shared" si="42"/>
        <v>0.30551470588235297</v>
      </c>
      <c r="Q135" s="20">
        <f t="shared" si="43"/>
        <v>0.51433823529411771</v>
      </c>
      <c r="R135" s="20">
        <f t="shared" si="44"/>
        <v>0.18014705882352944</v>
      </c>
    </row>
    <row r="136" spans="1:18" x14ac:dyDescent="0.25">
      <c r="A136" s="6" t="s">
        <v>381</v>
      </c>
      <c r="B136" t="s">
        <v>74</v>
      </c>
      <c r="C136" s="18">
        <f>(13.9+10.5)/2</f>
        <v>12.2</v>
      </c>
      <c r="D136" s="18">
        <f>(7+5.7)/2</f>
        <v>6.35</v>
      </c>
      <c r="E136" s="18">
        <f t="shared" si="36"/>
        <v>18.549999999999997</v>
      </c>
      <c r="F136">
        <v>4</v>
      </c>
      <c r="G136" s="20">
        <v>0.04</v>
      </c>
      <c r="H136" s="20">
        <f t="shared" si="37"/>
        <v>0.02</v>
      </c>
      <c r="I136" s="20">
        <v>4.5199999999999997E-2</v>
      </c>
      <c r="J136" s="20">
        <f t="shared" si="38"/>
        <v>2.2599999999999999E-2</v>
      </c>
      <c r="K136" s="20">
        <v>1.3299999999999999E-2</v>
      </c>
      <c r="L136" s="20">
        <f t="shared" si="39"/>
        <v>6.6499999999999997E-3</v>
      </c>
      <c r="M136" s="19">
        <v>2</v>
      </c>
      <c r="N136" s="20">
        <f t="shared" si="40"/>
        <v>4.9250000000000002E-2</v>
      </c>
      <c r="O136" s="20">
        <f t="shared" si="41"/>
        <v>3.2030075187969924</v>
      </c>
      <c r="P136" s="20">
        <f t="shared" si="42"/>
        <v>0.40609137055837563</v>
      </c>
      <c r="Q136" s="20">
        <f t="shared" si="43"/>
        <v>0.45888324873096442</v>
      </c>
      <c r="R136" s="20">
        <f t="shared" si="44"/>
        <v>0.13502538071065989</v>
      </c>
    </row>
    <row r="137" spans="1:18" x14ac:dyDescent="0.25">
      <c r="A137" s="6" t="s">
        <v>381</v>
      </c>
      <c r="B137" t="s">
        <v>75</v>
      </c>
      <c r="C137" s="18">
        <v>16</v>
      </c>
      <c r="D137" s="18">
        <v>9.6999999999999993</v>
      </c>
      <c r="E137" s="18">
        <f t="shared" si="36"/>
        <v>25.7</v>
      </c>
      <c r="F137" s="21">
        <v>4</v>
      </c>
      <c r="G137" s="20">
        <v>4.3400000000000001E-2</v>
      </c>
      <c r="H137" s="20">
        <f t="shared" si="37"/>
        <v>4.3400000000000001E-2</v>
      </c>
      <c r="I137" s="20">
        <v>3.3799999999999997E-2</v>
      </c>
      <c r="J137" s="20">
        <f t="shared" si="38"/>
        <v>3.3799999999999997E-2</v>
      </c>
      <c r="K137" s="20">
        <v>1.32E-2</v>
      </c>
      <c r="L137" s="20">
        <f t="shared" si="39"/>
        <v>1.32E-2</v>
      </c>
      <c r="M137" s="19">
        <v>1</v>
      </c>
      <c r="N137" s="20">
        <f t="shared" si="40"/>
        <v>9.0399999999999994E-2</v>
      </c>
      <c r="O137" s="20">
        <f t="shared" si="41"/>
        <v>5.8484848484848477</v>
      </c>
      <c r="P137" s="20">
        <f t="shared" si="42"/>
        <v>0.48008849557522126</v>
      </c>
      <c r="Q137" s="20">
        <f t="shared" si="43"/>
        <v>0.37389380530973448</v>
      </c>
      <c r="R137" s="20">
        <f t="shared" si="44"/>
        <v>0.14601769911504425</v>
      </c>
    </row>
    <row r="138" spans="1:18" x14ac:dyDescent="0.25">
      <c r="A138" s="6" t="s">
        <v>381</v>
      </c>
      <c r="B138" t="s">
        <v>76</v>
      </c>
      <c r="C138" s="18">
        <f>(13.5+14.9)/2</f>
        <v>14.2</v>
      </c>
      <c r="D138" s="18">
        <f>(10.5+9)/2</f>
        <v>9.75</v>
      </c>
      <c r="E138" s="18">
        <f t="shared" si="36"/>
        <v>23.95</v>
      </c>
      <c r="F138" s="21">
        <v>4</v>
      </c>
      <c r="G138" s="20">
        <v>9.5299999999999996E-2</v>
      </c>
      <c r="H138" s="20">
        <f t="shared" si="37"/>
        <v>4.7649999999999998E-2</v>
      </c>
      <c r="I138" s="20">
        <v>9.7199999999999995E-2</v>
      </c>
      <c r="J138" s="20">
        <f t="shared" si="38"/>
        <v>4.8599999999999997E-2</v>
      </c>
      <c r="K138" s="20">
        <v>3.5900000000000001E-2</v>
      </c>
      <c r="L138" s="20">
        <f t="shared" si="39"/>
        <v>1.7950000000000001E-2</v>
      </c>
      <c r="M138" s="19">
        <v>2</v>
      </c>
      <c r="N138" s="20">
        <f t="shared" si="40"/>
        <v>0.1142</v>
      </c>
      <c r="O138" s="20">
        <f t="shared" si="41"/>
        <v>2.681058495821727</v>
      </c>
      <c r="P138" s="20">
        <f t="shared" si="42"/>
        <v>0.41725043782837129</v>
      </c>
      <c r="Q138" s="20">
        <f t="shared" si="43"/>
        <v>0.42556917688266199</v>
      </c>
      <c r="R138" s="20">
        <f t="shared" si="44"/>
        <v>0.15718038528896675</v>
      </c>
    </row>
    <row r="139" spans="1:18" x14ac:dyDescent="0.25">
      <c r="A139" s="6" t="s">
        <v>381</v>
      </c>
      <c r="B139" t="s">
        <v>77</v>
      </c>
      <c r="C139" s="18">
        <f>(13+12.7)/2</f>
        <v>12.85</v>
      </c>
      <c r="D139" s="18">
        <f>(11+6.7)/2</f>
        <v>8.85</v>
      </c>
      <c r="E139" s="18">
        <f t="shared" si="36"/>
        <v>21.7</v>
      </c>
      <c r="F139" s="21">
        <v>5</v>
      </c>
      <c r="G139" s="20">
        <v>7.8299999999999995E-2</v>
      </c>
      <c r="H139" s="20">
        <f t="shared" si="37"/>
        <v>3.9149999999999997E-2</v>
      </c>
      <c r="I139" s="20">
        <v>0.1147</v>
      </c>
      <c r="J139" s="20">
        <f t="shared" si="38"/>
        <v>5.7349999999999998E-2</v>
      </c>
      <c r="K139" s="20">
        <v>4.4900000000000002E-2</v>
      </c>
      <c r="L139" s="20">
        <f t="shared" si="39"/>
        <v>2.2450000000000001E-2</v>
      </c>
      <c r="M139" s="19">
        <v>2</v>
      </c>
      <c r="N139" s="20">
        <f t="shared" si="40"/>
        <v>0.11895</v>
      </c>
      <c r="O139" s="20">
        <f t="shared" si="41"/>
        <v>2.1492204899777283</v>
      </c>
      <c r="P139" s="20">
        <f t="shared" si="42"/>
        <v>0.32912988650693564</v>
      </c>
      <c r="Q139" s="20">
        <f t="shared" si="43"/>
        <v>0.48213535098780996</v>
      </c>
      <c r="R139" s="20">
        <f t="shared" si="44"/>
        <v>0.18873476250525431</v>
      </c>
    </row>
    <row r="140" spans="1:18" x14ac:dyDescent="0.25">
      <c r="A140" s="6" t="s">
        <v>381</v>
      </c>
      <c r="B140" t="s">
        <v>78</v>
      </c>
      <c r="C140" s="18">
        <f>(13.7+10.5)/2</f>
        <v>12.1</v>
      </c>
      <c r="D140" s="18">
        <f>(10+5.8)/2</f>
        <v>7.9</v>
      </c>
      <c r="E140" s="18">
        <f t="shared" si="36"/>
        <v>20</v>
      </c>
      <c r="F140" s="21">
        <v>5</v>
      </c>
      <c r="G140" s="20">
        <v>5.7099999999999998E-2</v>
      </c>
      <c r="H140" s="20">
        <f t="shared" si="37"/>
        <v>2.8549999999999999E-2</v>
      </c>
      <c r="I140" s="20">
        <v>7.5300000000000006E-2</v>
      </c>
      <c r="J140" s="20">
        <f t="shared" si="38"/>
        <v>3.7650000000000003E-2</v>
      </c>
      <c r="K140" s="20">
        <v>2.12E-2</v>
      </c>
      <c r="L140" s="20">
        <f t="shared" si="39"/>
        <v>1.06E-2</v>
      </c>
      <c r="M140" s="19">
        <v>2</v>
      </c>
      <c r="N140" s="20">
        <f t="shared" si="40"/>
        <v>7.6800000000000007E-2</v>
      </c>
      <c r="O140" s="20">
        <f t="shared" si="41"/>
        <v>3.1226415094339628</v>
      </c>
      <c r="P140" s="20">
        <f t="shared" si="42"/>
        <v>0.37174479166666663</v>
      </c>
      <c r="Q140" s="20">
        <f t="shared" si="43"/>
        <v>0.490234375</v>
      </c>
      <c r="R140" s="20">
        <f t="shared" si="44"/>
        <v>0.13802083333333331</v>
      </c>
    </row>
    <row r="141" spans="1:18" x14ac:dyDescent="0.25">
      <c r="A141" s="6" t="s">
        <v>381</v>
      </c>
      <c r="B141" t="s">
        <v>79</v>
      </c>
      <c r="C141" s="18">
        <f>(12.5+13)/2</f>
        <v>12.75</v>
      </c>
      <c r="D141" s="18">
        <f>(9+6.5)/2</f>
        <v>7.75</v>
      </c>
      <c r="E141" s="18">
        <f t="shared" si="36"/>
        <v>20.5</v>
      </c>
      <c r="F141" s="21">
        <v>5</v>
      </c>
      <c r="G141" s="20">
        <v>6.6699999999999995E-2</v>
      </c>
      <c r="H141" s="20">
        <f t="shared" si="37"/>
        <v>3.3349999999999998E-2</v>
      </c>
      <c r="I141" s="20">
        <v>8.7099999999999997E-2</v>
      </c>
      <c r="J141" s="20">
        <f t="shared" si="38"/>
        <v>4.3549999999999998E-2</v>
      </c>
      <c r="K141" s="20">
        <v>2.23E-2</v>
      </c>
      <c r="L141" s="20">
        <f t="shared" si="39"/>
        <v>1.115E-2</v>
      </c>
      <c r="M141" s="19">
        <v>2</v>
      </c>
      <c r="N141" s="20">
        <f t="shared" si="40"/>
        <v>8.8049999999999989E-2</v>
      </c>
      <c r="O141" s="20">
        <f t="shared" si="41"/>
        <v>3.4484304932735426</v>
      </c>
      <c r="P141" s="20">
        <f t="shared" si="42"/>
        <v>0.37876206700738219</v>
      </c>
      <c r="Q141" s="20">
        <f t="shared" si="43"/>
        <v>0.49460533787620675</v>
      </c>
      <c r="R141" s="20">
        <f t="shared" si="44"/>
        <v>0.12663259511641115</v>
      </c>
    </row>
    <row r="142" spans="1:18" x14ac:dyDescent="0.25">
      <c r="A142" s="6" t="s">
        <v>381</v>
      </c>
      <c r="B142" t="s">
        <v>80</v>
      </c>
      <c r="C142" s="18">
        <f>(14.3+13.5)/2</f>
        <v>13.9</v>
      </c>
      <c r="D142" s="18">
        <f>(9.1+11)/2</f>
        <v>10.050000000000001</v>
      </c>
      <c r="E142" s="18">
        <f t="shared" si="36"/>
        <v>23.950000000000003</v>
      </c>
      <c r="F142" s="21">
        <v>5</v>
      </c>
      <c r="G142" s="20">
        <v>8.8700000000000001E-2</v>
      </c>
      <c r="H142" s="20">
        <f t="shared" si="37"/>
        <v>4.4350000000000001E-2</v>
      </c>
      <c r="I142" s="20">
        <v>0.1132</v>
      </c>
      <c r="J142" s="20">
        <f t="shared" si="38"/>
        <v>5.6599999999999998E-2</v>
      </c>
      <c r="K142" s="20">
        <v>4.6399999999999997E-2</v>
      </c>
      <c r="L142" s="20">
        <f t="shared" si="39"/>
        <v>2.3199999999999998E-2</v>
      </c>
      <c r="M142" s="19">
        <v>2</v>
      </c>
      <c r="N142" s="20">
        <f t="shared" si="40"/>
        <v>0.12415</v>
      </c>
      <c r="O142" s="20">
        <f t="shared" si="41"/>
        <v>2.1756465517241379</v>
      </c>
      <c r="P142" s="20">
        <f t="shared" si="42"/>
        <v>0.35722915827627871</v>
      </c>
      <c r="Q142" s="20">
        <f t="shared" si="43"/>
        <v>0.45590012082158676</v>
      </c>
      <c r="R142" s="20">
        <f t="shared" si="44"/>
        <v>0.1868707209021345</v>
      </c>
    </row>
    <row r="143" spans="1:18" x14ac:dyDescent="0.25">
      <c r="A143" s="6" t="s">
        <v>381</v>
      </c>
      <c r="B143" t="s">
        <v>81</v>
      </c>
      <c r="C143" s="18">
        <f>(12.5+13.7)/2</f>
        <v>13.1</v>
      </c>
      <c r="D143" s="18">
        <f>(9.6+6)/2</f>
        <v>7.8</v>
      </c>
      <c r="E143" s="18">
        <f t="shared" si="36"/>
        <v>20.9</v>
      </c>
      <c r="F143" s="21">
        <v>4</v>
      </c>
      <c r="G143" s="20">
        <v>7.7799999999999994E-2</v>
      </c>
      <c r="H143" s="20">
        <f t="shared" si="37"/>
        <v>3.8899999999999997E-2</v>
      </c>
      <c r="I143" s="20">
        <v>8.7099999999999997E-2</v>
      </c>
      <c r="J143" s="20">
        <f t="shared" si="38"/>
        <v>4.3549999999999998E-2</v>
      </c>
      <c r="K143" s="20">
        <v>4.8300000000000003E-2</v>
      </c>
      <c r="L143" s="20">
        <f t="shared" si="39"/>
        <v>2.4150000000000001E-2</v>
      </c>
      <c r="M143" s="19">
        <v>2</v>
      </c>
      <c r="N143" s="20">
        <f t="shared" si="40"/>
        <v>0.1066</v>
      </c>
      <c r="O143" s="20">
        <f t="shared" si="41"/>
        <v>1.70703933747412</v>
      </c>
      <c r="P143" s="20">
        <f t="shared" si="42"/>
        <v>0.36491557223264537</v>
      </c>
      <c r="Q143" s="20">
        <f t="shared" si="43"/>
        <v>0.40853658536585363</v>
      </c>
      <c r="R143" s="20">
        <f t="shared" si="44"/>
        <v>0.22654784240150094</v>
      </c>
    </row>
    <row r="144" spans="1:18" x14ac:dyDescent="0.25">
      <c r="A144" s="6" t="s">
        <v>381</v>
      </c>
      <c r="B144" t="s">
        <v>82</v>
      </c>
      <c r="C144" s="18">
        <f>(15+15.5)/2</f>
        <v>15.25</v>
      </c>
      <c r="D144" s="18">
        <f>(6.5+7.5)/2</f>
        <v>7</v>
      </c>
      <c r="E144" s="18">
        <f t="shared" si="36"/>
        <v>22.25</v>
      </c>
      <c r="F144" s="21">
        <v>4</v>
      </c>
      <c r="G144" s="20">
        <v>7.5499999999999998E-2</v>
      </c>
      <c r="H144" s="20">
        <f t="shared" si="37"/>
        <v>3.7749999999999999E-2</v>
      </c>
      <c r="I144" s="20">
        <v>9.3100000000000002E-2</v>
      </c>
      <c r="J144" s="20">
        <f t="shared" si="38"/>
        <v>4.6550000000000001E-2</v>
      </c>
      <c r="K144" s="20">
        <v>2.1499999999999998E-2</v>
      </c>
      <c r="L144" s="20">
        <f t="shared" si="39"/>
        <v>1.0749999999999999E-2</v>
      </c>
      <c r="M144" s="19">
        <v>2</v>
      </c>
      <c r="N144" s="20">
        <f t="shared" si="40"/>
        <v>9.5049999999999996E-2</v>
      </c>
      <c r="O144" s="20">
        <f t="shared" si="41"/>
        <v>3.9209302325581397</v>
      </c>
      <c r="P144" s="20">
        <f t="shared" si="42"/>
        <v>0.39715938979484483</v>
      </c>
      <c r="Q144" s="20">
        <f t="shared" si="43"/>
        <v>0.48974224092582852</v>
      </c>
      <c r="R144" s="20">
        <f t="shared" si="44"/>
        <v>0.11309836927932666</v>
      </c>
    </row>
    <row r="145" spans="1:18" x14ac:dyDescent="0.25">
      <c r="A145" s="6" t="s">
        <v>381</v>
      </c>
      <c r="B145" t="s">
        <v>83</v>
      </c>
      <c r="C145" s="18">
        <f>(12.9+13+13.7+12)/4</f>
        <v>12.899999999999999</v>
      </c>
      <c r="D145" s="18">
        <f>(7+10+8+10.1)/4</f>
        <v>8.7750000000000004</v>
      </c>
      <c r="E145" s="18">
        <f t="shared" si="36"/>
        <v>21.674999999999997</v>
      </c>
      <c r="F145" s="21">
        <v>4</v>
      </c>
      <c r="G145" s="20">
        <v>7.8700000000000006E-2</v>
      </c>
      <c r="H145" s="20">
        <f t="shared" si="37"/>
        <v>1.9675000000000002E-2</v>
      </c>
      <c r="I145" s="20">
        <v>0.1087</v>
      </c>
      <c r="J145" s="20">
        <f t="shared" si="38"/>
        <v>2.7175000000000001E-2</v>
      </c>
      <c r="K145" s="20">
        <v>3.04E-2</v>
      </c>
      <c r="L145" s="20">
        <f t="shared" si="39"/>
        <v>7.6E-3</v>
      </c>
      <c r="M145" s="19">
        <v>4</v>
      </c>
      <c r="N145" s="20">
        <f t="shared" si="40"/>
        <v>5.4450000000000005E-2</v>
      </c>
      <c r="O145" s="20">
        <f t="shared" si="41"/>
        <v>1.5411184210526316</v>
      </c>
      <c r="P145" s="20">
        <f t="shared" si="42"/>
        <v>0.36134067952249771</v>
      </c>
      <c r="Q145" s="20">
        <f t="shared" si="43"/>
        <v>0.49908172635445358</v>
      </c>
      <c r="R145" s="20">
        <f t="shared" si="44"/>
        <v>0.13957759412304865</v>
      </c>
    </row>
    <row r="146" spans="1:18" x14ac:dyDescent="0.25">
      <c r="A146" s="6" t="s">
        <v>381</v>
      </c>
      <c r="B146" t="s">
        <v>84</v>
      </c>
      <c r="C146" s="18">
        <f>(11+12.6)/2</f>
        <v>11.8</v>
      </c>
      <c r="D146" s="18">
        <f>(8+6.5)/2</f>
        <v>7.25</v>
      </c>
      <c r="E146" s="18">
        <f t="shared" si="36"/>
        <v>19.05</v>
      </c>
      <c r="F146" s="21">
        <v>4</v>
      </c>
      <c r="G146" s="20">
        <v>2.9700000000000001E-2</v>
      </c>
      <c r="H146" s="20">
        <f t="shared" si="37"/>
        <v>1.485E-2</v>
      </c>
      <c r="I146" s="20">
        <v>3.6799999999999999E-2</v>
      </c>
      <c r="J146" s="20">
        <f t="shared" si="38"/>
        <v>1.84E-2</v>
      </c>
      <c r="K146" s="20">
        <v>1.2999999999999999E-2</v>
      </c>
      <c r="L146" s="20">
        <f t="shared" si="39"/>
        <v>6.4999999999999997E-3</v>
      </c>
      <c r="M146" s="19">
        <v>2</v>
      </c>
      <c r="N146" s="20">
        <f t="shared" si="40"/>
        <v>3.9750000000000001E-2</v>
      </c>
      <c r="O146" s="20">
        <f t="shared" si="41"/>
        <v>2.5576923076923079</v>
      </c>
      <c r="P146" s="20">
        <f t="shared" si="42"/>
        <v>0.37358490566037739</v>
      </c>
      <c r="Q146" s="20">
        <f t="shared" si="43"/>
        <v>0.4628930817610063</v>
      </c>
      <c r="R146" s="20">
        <f t="shared" si="44"/>
        <v>0.16352201257861634</v>
      </c>
    </row>
    <row r="147" spans="1:18" x14ac:dyDescent="0.25">
      <c r="A147" s="6" t="s">
        <v>381</v>
      </c>
      <c r="B147" t="s">
        <v>85</v>
      </c>
      <c r="C147" s="18">
        <v>13.5</v>
      </c>
      <c r="D147" s="18">
        <v>9.6999999999999993</v>
      </c>
      <c r="E147" s="18">
        <f t="shared" si="36"/>
        <v>23.2</v>
      </c>
      <c r="F147">
        <v>3</v>
      </c>
      <c r="G147" s="20">
        <v>4.1399999999999999E-2</v>
      </c>
      <c r="H147" s="20">
        <f t="shared" si="37"/>
        <v>4.1399999999999999E-2</v>
      </c>
      <c r="I147" s="20">
        <v>7.9299999999999995E-2</v>
      </c>
      <c r="J147" s="20">
        <f t="shared" si="38"/>
        <v>7.9299999999999995E-2</v>
      </c>
      <c r="K147" s="20">
        <v>3.04E-2</v>
      </c>
      <c r="L147" s="20">
        <f t="shared" si="39"/>
        <v>3.04E-2</v>
      </c>
      <c r="M147" s="19">
        <v>1</v>
      </c>
      <c r="N147" s="20">
        <f t="shared" si="40"/>
        <v>0.15110000000000001</v>
      </c>
      <c r="O147" s="20">
        <f t="shared" si="41"/>
        <v>3.9703947368421053</v>
      </c>
      <c r="P147" s="20">
        <f t="shared" si="42"/>
        <v>0.27399073461283913</v>
      </c>
      <c r="Q147" s="20">
        <f t="shared" si="43"/>
        <v>0.52481800132362666</v>
      </c>
      <c r="R147" s="20">
        <f t="shared" si="44"/>
        <v>0.20119126406353408</v>
      </c>
    </row>
    <row r="148" spans="1:18" x14ac:dyDescent="0.25">
      <c r="A148" s="6" t="s">
        <v>381</v>
      </c>
      <c r="B148" t="s">
        <v>86</v>
      </c>
      <c r="C148" s="18">
        <f>(11.8+12+12.9)/3</f>
        <v>12.233333333333334</v>
      </c>
      <c r="D148" s="18">
        <f>(5.8+7.9+9.5)/3</f>
        <v>7.7333333333333334</v>
      </c>
      <c r="E148" s="18">
        <f t="shared" si="36"/>
        <v>19.966666666666669</v>
      </c>
      <c r="F148" s="21">
        <v>3</v>
      </c>
      <c r="G148" s="20">
        <v>8.2199999999999995E-2</v>
      </c>
      <c r="H148" s="20">
        <f t="shared" si="37"/>
        <v>2.7399999999999997E-2</v>
      </c>
      <c r="I148" s="20">
        <v>9.9199999999999997E-2</v>
      </c>
      <c r="J148" s="20">
        <f t="shared" si="38"/>
        <v>3.3066666666666668E-2</v>
      </c>
      <c r="K148" s="20">
        <v>3.9300000000000002E-2</v>
      </c>
      <c r="L148" s="20">
        <f t="shared" si="39"/>
        <v>1.3100000000000001E-2</v>
      </c>
      <c r="M148" s="19">
        <v>3</v>
      </c>
      <c r="N148" s="20">
        <f t="shared" si="40"/>
        <v>7.3566666666666669E-2</v>
      </c>
      <c r="O148" s="20">
        <f t="shared" si="41"/>
        <v>1.5385920271416456</v>
      </c>
      <c r="P148" s="20">
        <f t="shared" si="42"/>
        <v>0.37245129134571814</v>
      </c>
      <c r="Q148" s="20">
        <f t="shared" si="43"/>
        <v>0.44947893067512462</v>
      </c>
      <c r="R148" s="20">
        <f t="shared" si="44"/>
        <v>0.17806977797915724</v>
      </c>
    </row>
    <row r="149" spans="1:18" x14ac:dyDescent="0.25">
      <c r="A149" s="6" t="s">
        <v>381</v>
      </c>
      <c r="B149" t="s">
        <v>87</v>
      </c>
      <c r="C149" s="18">
        <f>(14+13+13)/3</f>
        <v>13.333333333333334</v>
      </c>
      <c r="D149" s="18">
        <f>(7.5+8+9)/3</f>
        <v>8.1666666666666661</v>
      </c>
      <c r="E149" s="18">
        <f t="shared" ref="E149:E174" si="45">C149+D149</f>
        <v>21.5</v>
      </c>
      <c r="F149" s="21">
        <v>4</v>
      </c>
      <c r="G149" s="20">
        <v>0.1086</v>
      </c>
      <c r="H149" s="20">
        <f t="shared" ref="H149:H174" si="46">G149/M149</f>
        <v>3.6200000000000003E-2</v>
      </c>
      <c r="I149" s="20">
        <v>0.13189999999999999</v>
      </c>
      <c r="J149" s="20">
        <f t="shared" ref="J149:J174" si="47">I149/M149</f>
        <v>4.3966666666666661E-2</v>
      </c>
      <c r="K149" s="20">
        <v>4.4200000000000003E-2</v>
      </c>
      <c r="L149" s="20">
        <f t="shared" ref="L149:L174" si="48">K149/M149</f>
        <v>1.4733333333333334E-2</v>
      </c>
      <c r="M149" s="19">
        <v>3</v>
      </c>
      <c r="N149" s="20">
        <f t="shared" ref="N149:N174" si="49">H149+J149+L149</f>
        <v>9.4899999999999998E-2</v>
      </c>
      <c r="O149" s="20">
        <f t="shared" ref="O149:O174" si="50">(H149+J149)/K149</f>
        <v>1.8137254901960782</v>
      </c>
      <c r="P149" s="20">
        <f t="shared" ref="P149:P174" si="51">H149/N149</f>
        <v>0.38145416227608014</v>
      </c>
      <c r="Q149" s="20">
        <f t="shared" ref="Q149:Q174" si="52">J149/N149</f>
        <v>0.46329469617140845</v>
      </c>
      <c r="R149" s="20">
        <f t="shared" ref="R149:R174" si="53">L149/N149</f>
        <v>0.15525114155251143</v>
      </c>
    </row>
    <row r="150" spans="1:18" x14ac:dyDescent="0.25">
      <c r="A150" s="6" t="s">
        <v>381</v>
      </c>
      <c r="B150" t="s">
        <v>88</v>
      </c>
      <c r="C150" s="18">
        <f>(14.6+15.5)/2</f>
        <v>15.05</v>
      </c>
      <c r="D150" s="18">
        <f>(6.7+5.1)/2</f>
        <v>5.9</v>
      </c>
      <c r="E150" s="18">
        <f t="shared" si="45"/>
        <v>20.950000000000003</v>
      </c>
      <c r="F150" s="21">
        <v>5</v>
      </c>
      <c r="G150" s="20">
        <v>4.9000000000000002E-2</v>
      </c>
      <c r="H150" s="20">
        <f t="shared" si="46"/>
        <v>2.4500000000000001E-2</v>
      </c>
      <c r="I150" s="20">
        <v>7.0499999999999993E-2</v>
      </c>
      <c r="J150" s="20">
        <f t="shared" si="47"/>
        <v>3.5249999999999997E-2</v>
      </c>
      <c r="K150" s="20">
        <v>1.24E-2</v>
      </c>
      <c r="L150" s="20">
        <f t="shared" si="48"/>
        <v>6.1999999999999998E-3</v>
      </c>
      <c r="M150" s="19">
        <v>2</v>
      </c>
      <c r="N150" s="20">
        <f t="shared" si="49"/>
        <v>6.5949999999999995E-2</v>
      </c>
      <c r="O150" s="20">
        <f t="shared" si="50"/>
        <v>4.818548387096774</v>
      </c>
      <c r="P150" s="20">
        <f t="shared" si="51"/>
        <v>0.37149355572403342</v>
      </c>
      <c r="Q150" s="20">
        <f t="shared" si="52"/>
        <v>0.53449583017437452</v>
      </c>
      <c r="R150" s="20">
        <f t="shared" si="53"/>
        <v>9.4010614101592116E-2</v>
      </c>
    </row>
    <row r="151" spans="1:18" x14ac:dyDescent="0.25">
      <c r="A151" s="6" t="s">
        <v>381</v>
      </c>
      <c r="B151" t="s">
        <v>89</v>
      </c>
      <c r="C151" s="18">
        <f>(15+16.4)/2</f>
        <v>15.7</v>
      </c>
      <c r="D151" s="18">
        <f>(8+7.4)/2</f>
        <v>7.7</v>
      </c>
      <c r="E151" s="18">
        <f t="shared" si="45"/>
        <v>23.4</v>
      </c>
      <c r="F151" s="21">
        <v>4</v>
      </c>
      <c r="G151" s="20">
        <v>5.9400000000000001E-2</v>
      </c>
      <c r="H151" s="20">
        <f t="shared" si="46"/>
        <v>2.9700000000000001E-2</v>
      </c>
      <c r="I151" s="20">
        <v>7.1099999999999997E-2</v>
      </c>
      <c r="J151" s="20">
        <f t="shared" si="47"/>
        <v>3.5549999999999998E-2</v>
      </c>
      <c r="K151" s="20">
        <v>1.4200000000000001E-2</v>
      </c>
      <c r="L151" s="20">
        <f t="shared" si="48"/>
        <v>7.1000000000000004E-3</v>
      </c>
      <c r="M151" s="19">
        <v>2</v>
      </c>
      <c r="N151" s="20">
        <f t="shared" si="49"/>
        <v>7.2349999999999998E-2</v>
      </c>
      <c r="O151" s="20">
        <f t="shared" si="50"/>
        <v>4.595070422535211</v>
      </c>
      <c r="P151" s="20">
        <f t="shared" si="51"/>
        <v>0.41050449205252248</v>
      </c>
      <c r="Q151" s="20">
        <f t="shared" si="52"/>
        <v>0.49136143745680716</v>
      </c>
      <c r="R151" s="20">
        <f t="shared" si="53"/>
        <v>9.8134070490670355E-2</v>
      </c>
    </row>
    <row r="152" spans="1:18" x14ac:dyDescent="0.25">
      <c r="A152" s="6" t="s">
        <v>381</v>
      </c>
      <c r="B152" t="s">
        <v>90</v>
      </c>
      <c r="C152" s="18">
        <f>(11.4+10.8+9.5)/3</f>
        <v>10.566666666666668</v>
      </c>
      <c r="D152" s="18">
        <f>(5.7+5+4)/3</f>
        <v>4.8999999999999995</v>
      </c>
      <c r="E152" s="18">
        <f t="shared" si="45"/>
        <v>15.466666666666669</v>
      </c>
      <c r="F152" s="21">
        <v>4</v>
      </c>
      <c r="G152" s="20">
        <v>4.7E-2</v>
      </c>
      <c r="H152" s="20">
        <f t="shared" si="46"/>
        <v>1.5666666666666666E-2</v>
      </c>
      <c r="I152" s="20">
        <v>6.13E-2</v>
      </c>
      <c r="J152" s="20">
        <f t="shared" si="47"/>
        <v>2.0433333333333335E-2</v>
      </c>
      <c r="K152" s="20">
        <v>1.46E-2</v>
      </c>
      <c r="L152" s="20">
        <f t="shared" si="48"/>
        <v>4.8666666666666667E-3</v>
      </c>
      <c r="M152" s="19">
        <v>3</v>
      </c>
      <c r="N152" s="20">
        <f t="shared" si="49"/>
        <v>4.0966666666666665E-2</v>
      </c>
      <c r="O152" s="20">
        <f t="shared" si="50"/>
        <v>2.4726027397260273</v>
      </c>
      <c r="P152" s="20">
        <f t="shared" si="51"/>
        <v>0.38242473555736367</v>
      </c>
      <c r="Q152" s="20">
        <f t="shared" si="52"/>
        <v>0.49877949552481698</v>
      </c>
      <c r="R152" s="20">
        <f t="shared" si="53"/>
        <v>0.11879576891781937</v>
      </c>
    </row>
    <row r="153" spans="1:18" x14ac:dyDescent="0.25">
      <c r="A153" s="6" t="s">
        <v>381</v>
      </c>
      <c r="B153" t="s">
        <v>91</v>
      </c>
      <c r="C153" s="18">
        <f>(13.7+11.2)/2</f>
        <v>12.45</v>
      </c>
      <c r="D153" s="18">
        <f>(11.5+4.5)/2</f>
        <v>8</v>
      </c>
      <c r="E153" s="18">
        <f t="shared" si="45"/>
        <v>20.45</v>
      </c>
      <c r="F153" s="21">
        <v>4</v>
      </c>
      <c r="G153" s="20">
        <v>5.67E-2</v>
      </c>
      <c r="H153" s="20">
        <f t="shared" si="46"/>
        <v>2.835E-2</v>
      </c>
      <c r="I153" s="20">
        <v>9.9599999999999994E-2</v>
      </c>
      <c r="J153" s="20">
        <f t="shared" si="47"/>
        <v>4.9799999999999997E-2</v>
      </c>
      <c r="K153" s="20">
        <v>2.69E-2</v>
      </c>
      <c r="L153" s="20">
        <f t="shared" si="48"/>
        <v>1.345E-2</v>
      </c>
      <c r="M153" s="19">
        <v>2</v>
      </c>
      <c r="N153" s="20">
        <f t="shared" si="49"/>
        <v>9.1600000000000001E-2</v>
      </c>
      <c r="O153" s="20">
        <f t="shared" si="50"/>
        <v>2.9052044609665426</v>
      </c>
      <c r="P153" s="20">
        <f t="shared" si="51"/>
        <v>0.30949781659388648</v>
      </c>
      <c r="Q153" s="20">
        <f t="shared" si="52"/>
        <v>0.54366812227074235</v>
      </c>
      <c r="R153" s="20">
        <f t="shared" si="53"/>
        <v>0.14683406113537117</v>
      </c>
    </row>
    <row r="154" spans="1:18" x14ac:dyDescent="0.25">
      <c r="A154" s="6" t="s">
        <v>381</v>
      </c>
      <c r="B154" t="s">
        <v>92</v>
      </c>
      <c r="C154" s="18">
        <v>17.7</v>
      </c>
      <c r="D154" s="18">
        <v>12.1</v>
      </c>
      <c r="E154" s="18">
        <f t="shared" si="45"/>
        <v>29.799999999999997</v>
      </c>
      <c r="F154" s="21">
        <v>5</v>
      </c>
      <c r="G154" s="20">
        <v>5.6599999999999998E-2</v>
      </c>
      <c r="H154" s="20">
        <f t="shared" si="46"/>
        <v>5.6599999999999998E-2</v>
      </c>
      <c r="I154" s="20">
        <v>5.2200000000000003E-2</v>
      </c>
      <c r="J154" s="20">
        <f t="shared" si="47"/>
        <v>5.2200000000000003E-2</v>
      </c>
      <c r="K154" s="20">
        <v>1.5599999999999999E-2</v>
      </c>
      <c r="L154" s="20">
        <f t="shared" si="48"/>
        <v>1.5599999999999999E-2</v>
      </c>
      <c r="M154" s="19">
        <v>1</v>
      </c>
      <c r="N154" s="20">
        <f t="shared" si="49"/>
        <v>0.12440000000000001</v>
      </c>
      <c r="O154" s="20">
        <f t="shared" si="50"/>
        <v>6.9743589743589753</v>
      </c>
      <c r="P154" s="20">
        <f t="shared" si="51"/>
        <v>0.45498392282958194</v>
      </c>
      <c r="Q154" s="20">
        <f t="shared" si="52"/>
        <v>0.41961414790996782</v>
      </c>
      <c r="R154" s="20">
        <f t="shared" si="53"/>
        <v>0.12540192926045016</v>
      </c>
    </row>
    <row r="155" spans="1:18" x14ac:dyDescent="0.25">
      <c r="A155" s="6" t="s">
        <v>381</v>
      </c>
      <c r="B155" t="s">
        <v>93</v>
      </c>
      <c r="C155" s="18">
        <f>(15.7+15.7)/2</f>
        <v>15.7</v>
      </c>
      <c r="D155" s="18">
        <f>(10.5+8.1)/2</f>
        <v>9.3000000000000007</v>
      </c>
      <c r="E155" s="18">
        <f t="shared" si="45"/>
        <v>25</v>
      </c>
      <c r="F155" s="21">
        <v>5</v>
      </c>
      <c r="G155" s="20">
        <v>9.6699999999999994E-2</v>
      </c>
      <c r="H155" s="20">
        <f t="shared" si="46"/>
        <v>4.8349999999999997E-2</v>
      </c>
      <c r="I155" s="20">
        <v>9.9199999999999997E-2</v>
      </c>
      <c r="J155" s="20">
        <f t="shared" si="47"/>
        <v>4.9599999999999998E-2</v>
      </c>
      <c r="K155" s="20">
        <v>2.1700000000000001E-2</v>
      </c>
      <c r="L155" s="20">
        <f t="shared" si="48"/>
        <v>1.085E-2</v>
      </c>
      <c r="M155" s="19">
        <v>2</v>
      </c>
      <c r="N155" s="20">
        <f t="shared" si="49"/>
        <v>0.10879999999999999</v>
      </c>
      <c r="O155" s="20">
        <f t="shared" si="50"/>
        <v>4.5138248847926263</v>
      </c>
      <c r="P155" s="20">
        <f t="shared" si="51"/>
        <v>0.44439338235294118</v>
      </c>
      <c r="Q155" s="20">
        <f t="shared" si="52"/>
        <v>0.45588235294117646</v>
      </c>
      <c r="R155" s="20">
        <f t="shared" si="53"/>
        <v>9.9724264705882359E-2</v>
      </c>
    </row>
    <row r="156" spans="1:18" x14ac:dyDescent="0.25">
      <c r="A156" s="6" t="s">
        <v>381</v>
      </c>
      <c r="B156" t="s">
        <v>94</v>
      </c>
      <c r="C156" s="18">
        <f>(15.3+17.2+16.2)/3</f>
        <v>16.233333333333334</v>
      </c>
      <c r="D156" s="18">
        <f>(7.6+8.2+4)/3</f>
        <v>6.5999999999999988</v>
      </c>
      <c r="E156" s="18">
        <f t="shared" si="45"/>
        <v>22.833333333333332</v>
      </c>
      <c r="F156" s="22">
        <f>13/3</f>
        <v>4.333333333333333</v>
      </c>
      <c r="G156" s="20">
        <v>7.8E-2</v>
      </c>
      <c r="H156" s="20">
        <f t="shared" si="46"/>
        <v>2.5999999999999999E-2</v>
      </c>
      <c r="I156" s="20">
        <v>8.2900000000000001E-2</v>
      </c>
      <c r="J156" s="20">
        <f t="shared" si="47"/>
        <v>2.7633333333333333E-2</v>
      </c>
      <c r="K156" s="20">
        <v>1.5699999999999999E-2</v>
      </c>
      <c r="L156" s="20">
        <f t="shared" si="48"/>
        <v>5.2333333333333329E-3</v>
      </c>
      <c r="M156" s="19">
        <v>3</v>
      </c>
      <c r="N156" s="20">
        <f t="shared" si="49"/>
        <v>5.8866666666666664E-2</v>
      </c>
      <c r="O156" s="20">
        <f t="shared" si="50"/>
        <v>3.4161358811040343</v>
      </c>
      <c r="P156" s="20">
        <f t="shared" si="51"/>
        <v>0.44167610419026049</v>
      </c>
      <c r="Q156" s="20">
        <f t="shared" si="52"/>
        <v>0.4694224235560589</v>
      </c>
      <c r="R156" s="20">
        <f t="shared" si="53"/>
        <v>8.8901472253680627E-2</v>
      </c>
    </row>
    <row r="157" spans="1:18" x14ac:dyDescent="0.25">
      <c r="A157" s="6" t="s">
        <v>381</v>
      </c>
      <c r="B157" t="s">
        <v>95</v>
      </c>
      <c r="C157" s="18">
        <v>14.6</v>
      </c>
      <c r="D157" s="18">
        <v>5.5</v>
      </c>
      <c r="E157" s="18">
        <f t="shared" si="45"/>
        <v>20.100000000000001</v>
      </c>
      <c r="F157" s="21">
        <v>4</v>
      </c>
      <c r="G157" s="20">
        <v>2.4199999999999999E-2</v>
      </c>
      <c r="H157" s="20">
        <f t="shared" si="46"/>
        <v>2.4199999999999999E-2</v>
      </c>
      <c r="I157" s="20">
        <v>2.53E-2</v>
      </c>
      <c r="J157" s="20">
        <f t="shared" si="47"/>
        <v>2.53E-2</v>
      </c>
      <c r="K157" s="20">
        <v>5.0000000000000001E-3</v>
      </c>
      <c r="L157" s="20">
        <f t="shared" si="48"/>
        <v>5.0000000000000001E-3</v>
      </c>
      <c r="M157" s="19">
        <v>1</v>
      </c>
      <c r="N157" s="20">
        <f t="shared" si="49"/>
        <v>5.45E-2</v>
      </c>
      <c r="O157" s="20">
        <f t="shared" si="50"/>
        <v>9.9</v>
      </c>
      <c r="P157" s="20">
        <f t="shared" si="51"/>
        <v>0.44403669724770639</v>
      </c>
      <c r="Q157" s="20">
        <f t="shared" si="52"/>
        <v>0.4642201834862385</v>
      </c>
      <c r="R157" s="20">
        <f t="shared" si="53"/>
        <v>9.1743119266055051E-2</v>
      </c>
    </row>
    <row r="158" spans="1:18" x14ac:dyDescent="0.25">
      <c r="A158" s="6" t="s">
        <v>381</v>
      </c>
      <c r="B158" t="s">
        <v>96</v>
      </c>
      <c r="C158" s="18">
        <f>(10.9+10.3)/2</f>
        <v>10.600000000000001</v>
      </c>
      <c r="D158" s="18">
        <f>(4.3+4.5)/2</f>
        <v>4.4000000000000004</v>
      </c>
      <c r="E158" s="18">
        <f t="shared" si="45"/>
        <v>15.000000000000002</v>
      </c>
      <c r="F158" s="21">
        <v>4</v>
      </c>
      <c r="G158" s="20">
        <v>2.2499999999999999E-2</v>
      </c>
      <c r="H158" s="20">
        <f t="shared" si="46"/>
        <v>1.125E-2</v>
      </c>
      <c r="I158" s="20">
        <v>2.29E-2</v>
      </c>
      <c r="J158" s="20">
        <f t="shared" si="47"/>
        <v>1.145E-2</v>
      </c>
      <c r="K158" s="20">
        <v>3.7000000000000002E-3</v>
      </c>
      <c r="L158" s="20">
        <f t="shared" si="48"/>
        <v>1.8500000000000001E-3</v>
      </c>
      <c r="M158" s="19">
        <v>2</v>
      </c>
      <c r="N158" s="20">
        <f t="shared" si="49"/>
        <v>2.4549999999999999E-2</v>
      </c>
      <c r="O158" s="20">
        <f t="shared" si="50"/>
        <v>6.1351351351351342</v>
      </c>
      <c r="P158" s="20">
        <f t="shared" si="51"/>
        <v>0.45824847250509165</v>
      </c>
      <c r="Q158" s="20">
        <f t="shared" si="52"/>
        <v>0.4663951120162933</v>
      </c>
      <c r="R158" s="20">
        <f t="shared" si="53"/>
        <v>7.5356415478615074E-2</v>
      </c>
    </row>
    <row r="159" spans="1:18" x14ac:dyDescent="0.25">
      <c r="A159" s="6" t="s">
        <v>381</v>
      </c>
      <c r="B159" t="s">
        <v>97</v>
      </c>
      <c r="C159" s="18">
        <v>17</v>
      </c>
      <c r="D159" s="18">
        <v>9.3000000000000007</v>
      </c>
      <c r="E159" s="18">
        <f t="shared" si="45"/>
        <v>26.3</v>
      </c>
      <c r="F159" s="21">
        <v>6</v>
      </c>
      <c r="G159" s="20">
        <v>5.7700000000000001E-2</v>
      </c>
      <c r="H159" s="20">
        <f t="shared" si="46"/>
        <v>5.7700000000000001E-2</v>
      </c>
      <c r="I159" s="20">
        <v>0.16089999999999999</v>
      </c>
      <c r="J159" s="20">
        <f t="shared" si="47"/>
        <v>0.16089999999999999</v>
      </c>
      <c r="K159" s="20">
        <v>5.2900000000000003E-2</v>
      </c>
      <c r="L159" s="20">
        <f t="shared" si="48"/>
        <v>5.2900000000000003E-2</v>
      </c>
      <c r="M159" s="19">
        <v>1</v>
      </c>
      <c r="N159" s="20">
        <f t="shared" si="49"/>
        <v>0.27149999999999996</v>
      </c>
      <c r="O159" s="20">
        <f t="shared" si="50"/>
        <v>4.1323251417769375</v>
      </c>
      <c r="P159" s="20">
        <f t="shared" si="51"/>
        <v>0.21252302025782693</v>
      </c>
      <c r="Q159" s="20">
        <f t="shared" si="52"/>
        <v>0.59263351749539595</v>
      </c>
      <c r="R159" s="20">
        <f t="shared" si="53"/>
        <v>0.1948434622467772</v>
      </c>
    </row>
    <row r="160" spans="1:18" x14ac:dyDescent="0.25">
      <c r="A160" s="6" t="s">
        <v>381</v>
      </c>
      <c r="B160" t="s">
        <v>98</v>
      </c>
      <c r="C160" s="18">
        <f>(13.7+13.8)/2</f>
        <v>13.75</v>
      </c>
      <c r="D160" s="18">
        <f>(8.5+9.6)/2</f>
        <v>9.0500000000000007</v>
      </c>
      <c r="E160" s="18">
        <f t="shared" si="45"/>
        <v>22.8</v>
      </c>
      <c r="F160" s="21">
        <v>5</v>
      </c>
      <c r="G160" s="20">
        <v>6.0499999999999998E-2</v>
      </c>
      <c r="H160" s="20">
        <f t="shared" si="46"/>
        <v>3.0249999999999999E-2</v>
      </c>
      <c r="I160" s="20">
        <v>7.2300000000000003E-2</v>
      </c>
      <c r="J160" s="20">
        <f t="shared" si="47"/>
        <v>3.6150000000000002E-2</v>
      </c>
      <c r="K160" s="20">
        <v>3.0800000000000001E-2</v>
      </c>
      <c r="L160" s="20">
        <f t="shared" si="48"/>
        <v>1.54E-2</v>
      </c>
      <c r="M160" s="19">
        <v>2</v>
      </c>
      <c r="N160" s="20">
        <f t="shared" si="49"/>
        <v>8.1799999999999998E-2</v>
      </c>
      <c r="O160" s="20">
        <f t="shared" si="50"/>
        <v>2.1558441558441559</v>
      </c>
      <c r="P160" s="20">
        <f t="shared" si="51"/>
        <v>0.36980440097799511</v>
      </c>
      <c r="Q160" s="20">
        <f t="shared" si="52"/>
        <v>0.44193154034229831</v>
      </c>
      <c r="R160" s="20">
        <f t="shared" si="53"/>
        <v>0.18826405867970661</v>
      </c>
    </row>
    <row r="161" spans="1:18" x14ac:dyDescent="0.25">
      <c r="A161" s="6" t="s">
        <v>381</v>
      </c>
      <c r="B161" t="s">
        <v>99</v>
      </c>
      <c r="C161" s="18">
        <v>16.600000000000001</v>
      </c>
      <c r="D161" s="18">
        <v>14.2</v>
      </c>
      <c r="E161" s="18">
        <f t="shared" si="45"/>
        <v>30.8</v>
      </c>
      <c r="F161" s="21">
        <v>5</v>
      </c>
      <c r="G161" s="20">
        <v>5.0700000000000002E-2</v>
      </c>
      <c r="H161" s="20">
        <f t="shared" si="46"/>
        <v>5.0700000000000002E-2</v>
      </c>
      <c r="I161" s="20">
        <v>6.1400000000000003E-2</v>
      </c>
      <c r="J161" s="20">
        <f t="shared" si="47"/>
        <v>6.1400000000000003E-2</v>
      </c>
      <c r="K161" s="20">
        <v>1.8200000000000001E-2</v>
      </c>
      <c r="L161" s="20">
        <f t="shared" si="48"/>
        <v>1.8200000000000001E-2</v>
      </c>
      <c r="M161" s="19">
        <v>1</v>
      </c>
      <c r="N161" s="20">
        <f t="shared" si="49"/>
        <v>0.1303</v>
      </c>
      <c r="O161" s="20">
        <f t="shared" si="50"/>
        <v>6.1593406593406597</v>
      </c>
      <c r="P161" s="20">
        <f t="shared" si="51"/>
        <v>0.38910207214121262</v>
      </c>
      <c r="Q161" s="20">
        <f t="shared" si="52"/>
        <v>0.47122026093630087</v>
      </c>
      <c r="R161" s="20">
        <f t="shared" si="53"/>
        <v>0.13967766692248657</v>
      </c>
    </row>
    <row r="162" spans="1:18" x14ac:dyDescent="0.25">
      <c r="A162" s="6" t="s">
        <v>381</v>
      </c>
      <c r="B162" t="s">
        <v>100</v>
      </c>
      <c r="C162" s="18">
        <f>(13.6+11.8)/2</f>
        <v>12.7</v>
      </c>
      <c r="D162" s="18">
        <f>(8+9.6)/2</f>
        <v>8.8000000000000007</v>
      </c>
      <c r="E162" s="18">
        <f t="shared" si="45"/>
        <v>21.5</v>
      </c>
      <c r="F162" s="21">
        <v>4</v>
      </c>
      <c r="G162" s="20">
        <v>4.5499999999999999E-2</v>
      </c>
      <c r="H162" s="20">
        <f t="shared" si="46"/>
        <v>2.2749999999999999E-2</v>
      </c>
      <c r="I162" s="20">
        <v>5.9799999999999999E-2</v>
      </c>
      <c r="J162" s="20">
        <f t="shared" si="47"/>
        <v>2.9899999999999999E-2</v>
      </c>
      <c r="K162" s="20">
        <v>2.0500000000000001E-2</v>
      </c>
      <c r="L162" s="20">
        <f t="shared" si="48"/>
        <v>1.025E-2</v>
      </c>
      <c r="M162" s="19">
        <v>2</v>
      </c>
      <c r="N162" s="20">
        <f t="shared" si="49"/>
        <v>6.2899999999999998E-2</v>
      </c>
      <c r="O162" s="20">
        <f t="shared" si="50"/>
        <v>2.5682926829268293</v>
      </c>
      <c r="P162" s="20">
        <f t="shared" si="51"/>
        <v>0.36168521462639108</v>
      </c>
      <c r="Q162" s="20">
        <f t="shared" si="52"/>
        <v>0.4753577106518283</v>
      </c>
      <c r="R162" s="20">
        <f t="shared" si="53"/>
        <v>0.16295707472178061</v>
      </c>
    </row>
    <row r="163" spans="1:18" x14ac:dyDescent="0.25">
      <c r="A163" s="6" t="s">
        <v>381</v>
      </c>
      <c r="B163" t="s">
        <v>101</v>
      </c>
      <c r="C163" s="18">
        <f>(11.6+9.6+9.1)/3</f>
        <v>10.1</v>
      </c>
      <c r="D163" s="18">
        <f>(5+5.8+5.2)/3</f>
        <v>5.333333333333333</v>
      </c>
      <c r="E163" s="18">
        <f t="shared" si="45"/>
        <v>15.433333333333334</v>
      </c>
      <c r="F163" s="21">
        <v>4</v>
      </c>
      <c r="G163" s="20">
        <v>2.7400000000000001E-2</v>
      </c>
      <c r="H163" s="20">
        <f t="shared" si="46"/>
        <v>9.1333333333333336E-3</v>
      </c>
      <c r="I163" s="20">
        <v>2.35E-2</v>
      </c>
      <c r="J163" s="20">
        <f t="shared" si="47"/>
        <v>7.8333333333333328E-3</v>
      </c>
      <c r="K163" s="20">
        <v>7.4000000000000003E-3</v>
      </c>
      <c r="L163" s="20">
        <f t="shared" si="48"/>
        <v>2.4666666666666669E-3</v>
      </c>
      <c r="M163" s="19">
        <v>3</v>
      </c>
      <c r="N163" s="20">
        <f t="shared" si="49"/>
        <v>1.943333333333333E-2</v>
      </c>
      <c r="O163" s="20">
        <f t="shared" si="50"/>
        <v>2.2927927927927922</v>
      </c>
      <c r="P163" s="20">
        <f t="shared" si="51"/>
        <v>0.46998284734133799</v>
      </c>
      <c r="Q163" s="20">
        <f t="shared" si="52"/>
        <v>0.4030874785591767</v>
      </c>
      <c r="R163" s="20">
        <f t="shared" si="53"/>
        <v>0.12692967409948544</v>
      </c>
    </row>
    <row r="164" spans="1:18" x14ac:dyDescent="0.25">
      <c r="A164" s="6" t="s">
        <v>381</v>
      </c>
      <c r="B164" t="s">
        <v>102</v>
      </c>
      <c r="C164" s="18">
        <v>12</v>
      </c>
      <c r="D164" s="18">
        <v>6.7</v>
      </c>
      <c r="E164" s="18">
        <f t="shared" si="45"/>
        <v>18.7</v>
      </c>
      <c r="F164" s="21">
        <v>4</v>
      </c>
      <c r="G164" s="20">
        <v>2.5399999999999999E-2</v>
      </c>
      <c r="H164" s="20">
        <f t="shared" si="46"/>
        <v>2.5399999999999999E-2</v>
      </c>
      <c r="I164" s="20">
        <v>3.5299999999999998E-2</v>
      </c>
      <c r="J164" s="20">
        <f t="shared" si="47"/>
        <v>3.5299999999999998E-2</v>
      </c>
      <c r="K164" s="20">
        <v>9.9000000000000008E-3</v>
      </c>
      <c r="L164" s="20">
        <f t="shared" si="48"/>
        <v>9.9000000000000008E-3</v>
      </c>
      <c r="M164" s="19">
        <v>1</v>
      </c>
      <c r="N164" s="20">
        <f t="shared" si="49"/>
        <v>7.0599999999999996E-2</v>
      </c>
      <c r="O164" s="20">
        <f t="shared" si="50"/>
        <v>6.1313131313131306</v>
      </c>
      <c r="P164" s="20">
        <f t="shared" si="51"/>
        <v>0.35977337110481589</v>
      </c>
      <c r="Q164" s="20">
        <f t="shared" si="52"/>
        <v>0.5</v>
      </c>
      <c r="R164" s="20">
        <f t="shared" si="53"/>
        <v>0.14022662889518417</v>
      </c>
    </row>
    <row r="165" spans="1:18" x14ac:dyDescent="0.25">
      <c r="A165" s="6" t="s">
        <v>381</v>
      </c>
      <c r="B165" t="s">
        <v>103</v>
      </c>
      <c r="C165" s="18">
        <f>(13+12.4+10.7)/3</f>
        <v>12.033333333333331</v>
      </c>
      <c r="D165" s="18">
        <f>(7.9+6.5+8.5)/3</f>
        <v>7.6333333333333329</v>
      </c>
      <c r="E165" s="18">
        <f t="shared" si="45"/>
        <v>19.666666666666664</v>
      </c>
      <c r="F165">
        <v>4</v>
      </c>
      <c r="G165" s="20">
        <v>6.9400000000000003E-2</v>
      </c>
      <c r="H165" s="20">
        <f t="shared" si="46"/>
        <v>2.3133333333333336E-2</v>
      </c>
      <c r="I165" s="20">
        <v>8.0299999999999996E-2</v>
      </c>
      <c r="J165" s="20">
        <f t="shared" si="47"/>
        <v>2.6766666666666664E-2</v>
      </c>
      <c r="K165" s="20">
        <v>3.5499999999999997E-2</v>
      </c>
      <c r="L165" s="20">
        <f t="shared" si="48"/>
        <v>1.1833333333333333E-2</v>
      </c>
      <c r="M165" s="19">
        <v>3</v>
      </c>
      <c r="N165" s="20">
        <f t="shared" si="49"/>
        <v>6.1733333333333335E-2</v>
      </c>
      <c r="O165" s="20">
        <f t="shared" si="50"/>
        <v>1.4056338028169015</v>
      </c>
      <c r="P165" s="20">
        <f t="shared" si="51"/>
        <v>0.37473002159827218</v>
      </c>
      <c r="Q165" s="20">
        <f t="shared" si="52"/>
        <v>0.43358531317494597</v>
      </c>
      <c r="R165" s="20">
        <f t="shared" si="53"/>
        <v>0.19168466522678185</v>
      </c>
    </row>
    <row r="166" spans="1:18" x14ac:dyDescent="0.25">
      <c r="A166" s="6" t="s">
        <v>381</v>
      </c>
      <c r="B166" t="s">
        <v>104</v>
      </c>
      <c r="C166" s="18">
        <f>(15.4+14.6+11.8)/3</f>
        <v>13.933333333333332</v>
      </c>
      <c r="D166" s="18">
        <f>(11.3+6.5+7.5)/3</f>
        <v>8.4333333333333336</v>
      </c>
      <c r="E166" s="18">
        <f t="shared" si="45"/>
        <v>22.366666666666667</v>
      </c>
      <c r="F166" s="21">
        <v>4</v>
      </c>
      <c r="G166" s="20">
        <v>0.10050000000000001</v>
      </c>
      <c r="H166" s="20">
        <f t="shared" si="46"/>
        <v>3.3500000000000002E-2</v>
      </c>
      <c r="I166" s="20">
        <v>0.13830000000000001</v>
      </c>
      <c r="J166" s="20">
        <f t="shared" si="47"/>
        <v>4.6100000000000002E-2</v>
      </c>
      <c r="K166" s="20">
        <v>4.7300000000000002E-2</v>
      </c>
      <c r="L166" s="20">
        <f t="shared" si="48"/>
        <v>1.5766666666666668E-2</v>
      </c>
      <c r="M166" s="19">
        <v>3</v>
      </c>
      <c r="N166" s="20">
        <f t="shared" si="49"/>
        <v>9.5366666666666669E-2</v>
      </c>
      <c r="O166" s="20">
        <f t="shared" si="50"/>
        <v>1.6828752642706131</v>
      </c>
      <c r="P166" s="20">
        <f t="shared" si="51"/>
        <v>0.35127577770010487</v>
      </c>
      <c r="Q166" s="20">
        <f t="shared" si="52"/>
        <v>0.48339741349178611</v>
      </c>
      <c r="R166" s="20">
        <f t="shared" si="53"/>
        <v>0.16532680880810907</v>
      </c>
    </row>
    <row r="167" spans="1:18" x14ac:dyDescent="0.25">
      <c r="A167" s="6" t="s">
        <v>381</v>
      </c>
      <c r="B167" t="s">
        <v>105</v>
      </c>
      <c r="C167" s="18">
        <f>(17.5+16+18.2)/3</f>
        <v>17.233333333333334</v>
      </c>
      <c r="D167" s="18">
        <f>(10+6+6)/3</f>
        <v>7.333333333333333</v>
      </c>
      <c r="E167" s="18">
        <f t="shared" si="45"/>
        <v>24.566666666666666</v>
      </c>
      <c r="F167">
        <v>5</v>
      </c>
      <c r="G167" s="20">
        <v>0.10390000000000001</v>
      </c>
      <c r="H167" s="20">
        <f t="shared" si="46"/>
        <v>3.4633333333333335E-2</v>
      </c>
      <c r="I167" s="20">
        <v>0.10539999999999999</v>
      </c>
      <c r="J167" s="20">
        <f t="shared" si="47"/>
        <v>3.5133333333333329E-2</v>
      </c>
      <c r="K167" s="20">
        <v>2.6200000000000001E-2</v>
      </c>
      <c r="L167" s="20">
        <f t="shared" si="48"/>
        <v>8.7333333333333343E-3</v>
      </c>
      <c r="M167" s="19">
        <v>3</v>
      </c>
      <c r="N167" s="20">
        <f t="shared" si="49"/>
        <v>7.85E-2</v>
      </c>
      <c r="O167" s="20">
        <f t="shared" si="50"/>
        <v>2.662849872773537</v>
      </c>
      <c r="P167" s="20">
        <f t="shared" si="51"/>
        <v>0.44118895966029725</v>
      </c>
      <c r="Q167" s="20">
        <f t="shared" si="52"/>
        <v>0.44755838641188955</v>
      </c>
      <c r="R167" s="20">
        <f t="shared" si="53"/>
        <v>0.11125265392781318</v>
      </c>
    </row>
    <row r="168" spans="1:18" x14ac:dyDescent="0.25">
      <c r="A168" s="6" t="s">
        <v>381</v>
      </c>
      <c r="B168" t="s">
        <v>106</v>
      </c>
      <c r="C168" s="18">
        <f>(14+16.5)/2</f>
        <v>15.25</v>
      </c>
      <c r="D168" s="18">
        <f>(5+7)/2</f>
        <v>6</v>
      </c>
      <c r="E168" s="18">
        <f t="shared" si="45"/>
        <v>21.25</v>
      </c>
      <c r="F168" s="21">
        <v>5</v>
      </c>
      <c r="G168" s="20">
        <v>6.6699999999999995E-2</v>
      </c>
      <c r="H168" s="20">
        <f t="shared" si="46"/>
        <v>3.3349999999999998E-2</v>
      </c>
      <c r="I168" s="20">
        <v>8.9700000000000002E-2</v>
      </c>
      <c r="J168" s="20">
        <f t="shared" si="47"/>
        <v>4.4850000000000001E-2</v>
      </c>
      <c r="K168" s="20">
        <v>2.1999999999999999E-2</v>
      </c>
      <c r="L168" s="20">
        <f t="shared" si="48"/>
        <v>1.0999999999999999E-2</v>
      </c>
      <c r="M168" s="19">
        <v>2</v>
      </c>
      <c r="N168" s="20">
        <f t="shared" si="49"/>
        <v>8.9199999999999988E-2</v>
      </c>
      <c r="O168" s="20">
        <f t="shared" si="50"/>
        <v>3.5545454545454542</v>
      </c>
      <c r="P168" s="20">
        <f t="shared" si="51"/>
        <v>0.3738789237668162</v>
      </c>
      <c r="Q168" s="20">
        <f t="shared" si="52"/>
        <v>0.50280269058295968</v>
      </c>
      <c r="R168" s="20">
        <f t="shared" si="53"/>
        <v>0.12331838565022422</v>
      </c>
    </row>
    <row r="169" spans="1:18" x14ac:dyDescent="0.25">
      <c r="A169" s="6" t="s">
        <v>381</v>
      </c>
      <c r="B169" t="s">
        <v>107</v>
      </c>
      <c r="C169" s="18">
        <f>(15.7+14.9)/2</f>
        <v>15.3</v>
      </c>
      <c r="D169" s="18">
        <f>(6.2+4.8)/2</f>
        <v>5.5</v>
      </c>
      <c r="E169" s="18">
        <f t="shared" si="45"/>
        <v>20.8</v>
      </c>
      <c r="F169" s="21">
        <v>5</v>
      </c>
      <c r="G169" s="20">
        <v>6.5600000000000006E-2</v>
      </c>
      <c r="H169" s="20">
        <f t="shared" si="46"/>
        <v>3.2800000000000003E-2</v>
      </c>
      <c r="I169" s="20">
        <v>7.1300000000000002E-2</v>
      </c>
      <c r="J169" s="20">
        <f t="shared" si="47"/>
        <v>3.5650000000000001E-2</v>
      </c>
      <c r="K169" s="20">
        <v>1.04E-2</v>
      </c>
      <c r="L169" s="20">
        <f t="shared" si="48"/>
        <v>5.1999999999999998E-3</v>
      </c>
      <c r="M169" s="19">
        <v>2</v>
      </c>
      <c r="N169" s="20">
        <f t="shared" si="49"/>
        <v>7.3650000000000007E-2</v>
      </c>
      <c r="O169" s="20">
        <f t="shared" si="50"/>
        <v>6.5817307692307709</v>
      </c>
      <c r="P169" s="20">
        <f t="shared" si="51"/>
        <v>0.44534962661235572</v>
      </c>
      <c r="Q169" s="20">
        <f t="shared" si="52"/>
        <v>0.48404616429056346</v>
      </c>
      <c r="R169" s="20">
        <f t="shared" si="53"/>
        <v>7.0604209097080775E-2</v>
      </c>
    </row>
    <row r="170" spans="1:18" x14ac:dyDescent="0.25">
      <c r="A170" s="6" t="s">
        <v>381</v>
      </c>
      <c r="B170" t="s">
        <v>108</v>
      </c>
      <c r="C170" s="18">
        <f>(13+13)/2</f>
        <v>13</v>
      </c>
      <c r="D170" s="18">
        <f>(8.5+7)/2</f>
        <v>7.75</v>
      </c>
      <c r="E170" s="18">
        <f t="shared" si="45"/>
        <v>20.75</v>
      </c>
      <c r="F170" s="21">
        <v>5</v>
      </c>
      <c r="G170" s="20">
        <v>7.7100000000000002E-2</v>
      </c>
      <c r="H170" s="20">
        <f t="shared" si="46"/>
        <v>3.8550000000000001E-2</v>
      </c>
      <c r="I170" s="20">
        <v>0.1081</v>
      </c>
      <c r="J170" s="20">
        <f t="shared" si="47"/>
        <v>5.4050000000000001E-2</v>
      </c>
      <c r="K170" s="20">
        <v>3.6600000000000001E-2</v>
      </c>
      <c r="L170" s="20">
        <f t="shared" si="48"/>
        <v>1.83E-2</v>
      </c>
      <c r="M170" s="19">
        <v>2</v>
      </c>
      <c r="N170" s="20">
        <f t="shared" si="49"/>
        <v>0.1109</v>
      </c>
      <c r="O170" s="20">
        <f t="shared" si="50"/>
        <v>2.5300546448087431</v>
      </c>
      <c r="P170" s="20">
        <f t="shared" si="51"/>
        <v>0.34761045987376016</v>
      </c>
      <c r="Q170" s="20">
        <f t="shared" si="52"/>
        <v>0.48737601442741207</v>
      </c>
      <c r="R170" s="20">
        <f t="shared" si="53"/>
        <v>0.16501352569882777</v>
      </c>
    </row>
    <row r="171" spans="1:18" x14ac:dyDescent="0.25">
      <c r="A171" s="6" t="s">
        <v>381</v>
      </c>
      <c r="B171" t="s">
        <v>109</v>
      </c>
      <c r="C171" s="18">
        <f>(13.3+13.2)/2</f>
        <v>13.25</v>
      </c>
      <c r="D171" s="18">
        <f>(8+8.5)/2</f>
        <v>8.25</v>
      </c>
      <c r="E171" s="18">
        <f t="shared" si="45"/>
        <v>21.5</v>
      </c>
      <c r="F171" s="21">
        <v>4</v>
      </c>
      <c r="G171" s="20">
        <v>7.4899999999999994E-2</v>
      </c>
      <c r="H171" s="20">
        <f t="shared" si="46"/>
        <v>3.7449999999999997E-2</v>
      </c>
      <c r="I171" s="20">
        <v>0.10829999999999999</v>
      </c>
      <c r="J171" s="20">
        <f t="shared" si="47"/>
        <v>5.4149999999999997E-2</v>
      </c>
      <c r="K171" s="20">
        <v>3.5000000000000003E-2</v>
      </c>
      <c r="L171" s="20">
        <f t="shared" si="48"/>
        <v>1.7500000000000002E-2</v>
      </c>
      <c r="M171" s="19">
        <v>2</v>
      </c>
      <c r="N171" s="20">
        <f t="shared" si="49"/>
        <v>0.10909999999999999</v>
      </c>
      <c r="O171" s="20">
        <f t="shared" si="50"/>
        <v>2.6171428571428565</v>
      </c>
      <c r="P171" s="20">
        <f t="shared" si="51"/>
        <v>0.34326306141154905</v>
      </c>
      <c r="Q171" s="20">
        <f t="shared" si="52"/>
        <v>0.49633363886342807</v>
      </c>
      <c r="R171" s="20">
        <f t="shared" si="53"/>
        <v>0.16040329972502296</v>
      </c>
    </row>
    <row r="172" spans="1:18" x14ac:dyDescent="0.25">
      <c r="A172" s="6" t="s">
        <v>381</v>
      </c>
      <c r="B172" t="s">
        <v>110</v>
      </c>
      <c r="C172" s="18">
        <v>16.8</v>
      </c>
      <c r="D172" s="18">
        <v>7</v>
      </c>
      <c r="E172" s="18">
        <f t="shared" si="45"/>
        <v>23.8</v>
      </c>
      <c r="F172" s="21">
        <v>5</v>
      </c>
      <c r="G172" s="20">
        <v>6.6600000000000006E-2</v>
      </c>
      <c r="H172" s="20">
        <f t="shared" si="46"/>
        <v>6.6600000000000006E-2</v>
      </c>
      <c r="I172" s="20">
        <v>9.74E-2</v>
      </c>
      <c r="J172" s="20">
        <f t="shared" si="47"/>
        <v>9.74E-2</v>
      </c>
      <c r="K172" s="20">
        <v>2.47E-2</v>
      </c>
      <c r="L172" s="20">
        <f t="shared" si="48"/>
        <v>2.47E-2</v>
      </c>
      <c r="M172" s="19">
        <v>1</v>
      </c>
      <c r="N172" s="20">
        <f t="shared" si="49"/>
        <v>0.18870000000000001</v>
      </c>
      <c r="O172" s="20">
        <f t="shared" si="50"/>
        <v>6.6396761133603244</v>
      </c>
      <c r="P172" s="20">
        <f t="shared" si="51"/>
        <v>0.35294117647058826</v>
      </c>
      <c r="Q172" s="20">
        <f t="shared" si="52"/>
        <v>0.51616322204557497</v>
      </c>
      <c r="R172" s="20">
        <f t="shared" si="53"/>
        <v>0.13089560148383678</v>
      </c>
    </row>
    <row r="173" spans="1:18" x14ac:dyDescent="0.25">
      <c r="A173" s="6" t="s">
        <v>381</v>
      </c>
      <c r="B173" t="s">
        <v>111</v>
      </c>
      <c r="C173" s="18">
        <f>(13.1+11.7+12.5+12.9)/4</f>
        <v>12.549999999999999</v>
      </c>
      <c r="D173" s="27">
        <f>(7+7+8+6.4)/4</f>
        <v>7.1</v>
      </c>
      <c r="E173" s="18">
        <f t="shared" si="45"/>
        <v>19.649999999999999</v>
      </c>
      <c r="F173" s="21">
        <v>4</v>
      </c>
      <c r="G173" s="20">
        <v>7.3300000000000004E-2</v>
      </c>
      <c r="H173" s="20">
        <f t="shared" si="46"/>
        <v>1.8325000000000001E-2</v>
      </c>
      <c r="I173" s="20">
        <v>8.4000000000000005E-2</v>
      </c>
      <c r="J173" s="20">
        <f t="shared" si="47"/>
        <v>2.1000000000000001E-2</v>
      </c>
      <c r="K173" s="20">
        <v>3.1E-2</v>
      </c>
      <c r="L173" s="20">
        <f t="shared" si="48"/>
        <v>7.7499999999999999E-3</v>
      </c>
      <c r="M173" s="19">
        <v>4</v>
      </c>
      <c r="N173" s="20">
        <f t="shared" si="49"/>
        <v>4.7074999999999999E-2</v>
      </c>
      <c r="O173" s="20">
        <f t="shared" si="50"/>
        <v>1.2685483870967742</v>
      </c>
      <c r="P173" s="20">
        <f t="shared" si="51"/>
        <v>0.38927243759957519</v>
      </c>
      <c r="Q173" s="20">
        <f t="shared" si="52"/>
        <v>0.44609665427509299</v>
      </c>
      <c r="R173" s="20">
        <f t="shared" si="53"/>
        <v>0.16463090812533193</v>
      </c>
    </row>
    <row r="174" spans="1:18" x14ac:dyDescent="0.25">
      <c r="A174" s="6" t="s">
        <v>381</v>
      </c>
      <c r="B174" t="s">
        <v>112</v>
      </c>
      <c r="C174" s="18">
        <f>(12.7+14.5)/2</f>
        <v>13.6</v>
      </c>
      <c r="D174" s="18">
        <f>(6.5+6.5)/2</f>
        <v>6.5</v>
      </c>
      <c r="E174" s="18">
        <f t="shared" si="45"/>
        <v>20.100000000000001</v>
      </c>
      <c r="F174">
        <v>5</v>
      </c>
      <c r="G174" s="20">
        <v>5.9799999999999999E-2</v>
      </c>
      <c r="H174" s="20">
        <f t="shared" si="46"/>
        <v>2.9899999999999999E-2</v>
      </c>
      <c r="I174" s="20">
        <v>8.8300000000000003E-2</v>
      </c>
      <c r="J174" s="20">
        <f t="shared" si="47"/>
        <v>4.4150000000000002E-2</v>
      </c>
      <c r="K174" s="20">
        <v>2.07E-2</v>
      </c>
      <c r="L174" s="20">
        <f t="shared" si="48"/>
        <v>1.035E-2</v>
      </c>
      <c r="M174" s="19">
        <v>2</v>
      </c>
      <c r="N174" s="20">
        <f t="shared" si="49"/>
        <v>8.4400000000000003E-2</v>
      </c>
      <c r="O174" s="20">
        <f t="shared" si="50"/>
        <v>3.5772946859903385</v>
      </c>
      <c r="P174" s="20">
        <f t="shared" si="51"/>
        <v>0.35426540284360186</v>
      </c>
      <c r="Q174" s="20">
        <f t="shared" si="52"/>
        <v>0.5231042654028436</v>
      </c>
      <c r="R174" s="20">
        <f t="shared" si="53"/>
        <v>0.12263033175355449</v>
      </c>
    </row>
    <row r="175" spans="1:18" x14ac:dyDescent="0.25">
      <c r="A175" s="6" t="s">
        <v>381</v>
      </c>
      <c r="B175" t="s">
        <v>113</v>
      </c>
      <c r="C175" s="18" t="s">
        <v>360</v>
      </c>
      <c r="D175" s="18" t="s">
        <v>360</v>
      </c>
      <c r="E175" s="18" t="s">
        <v>360</v>
      </c>
      <c r="F175" s="21" t="s">
        <v>360</v>
      </c>
      <c r="G175" s="20" t="s">
        <v>360</v>
      </c>
      <c r="H175" s="20" t="s">
        <v>360</v>
      </c>
      <c r="I175" s="20" t="s">
        <v>360</v>
      </c>
      <c r="J175" s="20" t="s">
        <v>360</v>
      </c>
      <c r="K175" s="20" t="s">
        <v>360</v>
      </c>
      <c r="L175" s="20" t="s">
        <v>360</v>
      </c>
      <c r="M175" s="21" t="s">
        <v>360</v>
      </c>
      <c r="N175" s="20" t="s">
        <v>360</v>
      </c>
      <c r="O175" s="20" t="s">
        <v>360</v>
      </c>
      <c r="P175" s="20" t="s">
        <v>360</v>
      </c>
      <c r="Q175" s="20" t="s">
        <v>360</v>
      </c>
      <c r="R175" s="20" t="s">
        <v>360</v>
      </c>
    </row>
    <row r="176" spans="1:18" x14ac:dyDescent="0.25">
      <c r="A176" s="6" t="s">
        <v>381</v>
      </c>
      <c r="B176" t="s">
        <v>114</v>
      </c>
      <c r="C176" s="18">
        <v>11</v>
      </c>
      <c r="D176" s="27">
        <v>8.6999999999999993</v>
      </c>
      <c r="E176" s="18">
        <f t="shared" ref="E176:E182" si="54">C176+D176</f>
        <v>19.7</v>
      </c>
      <c r="F176" s="21">
        <v>4</v>
      </c>
      <c r="G176" s="20">
        <v>2.5499999999999998E-2</v>
      </c>
      <c r="H176" s="20">
        <f t="shared" ref="H176:H182" si="55">G176/M176</f>
        <v>2.5499999999999998E-2</v>
      </c>
      <c r="I176" s="20">
        <v>4.1300000000000003E-2</v>
      </c>
      <c r="J176" s="20">
        <f t="shared" ref="J176:J182" si="56">I176/M176</f>
        <v>4.1300000000000003E-2</v>
      </c>
      <c r="K176" s="20">
        <v>8.8999999999999999E-3</v>
      </c>
      <c r="L176" s="20">
        <f t="shared" ref="L176:L182" si="57">K176/M176</f>
        <v>8.8999999999999999E-3</v>
      </c>
      <c r="M176" s="19">
        <v>1</v>
      </c>
      <c r="N176" s="20">
        <f t="shared" ref="N176:N182" si="58">H176+J176+L176</f>
        <v>7.5700000000000003E-2</v>
      </c>
      <c r="O176" s="20">
        <f t="shared" ref="O176:O182" si="59">(H176+J176)/K176</f>
        <v>7.5056179775280896</v>
      </c>
      <c r="P176" s="20">
        <f t="shared" ref="P176:P182" si="60">H176/N176</f>
        <v>0.33685601056803166</v>
      </c>
      <c r="Q176" s="20">
        <f t="shared" ref="Q176:Q182" si="61">J176/N176</f>
        <v>0.54557463672391016</v>
      </c>
      <c r="R176" s="20">
        <f t="shared" ref="R176:R182" si="62">L176/N176</f>
        <v>0.11756935270805811</v>
      </c>
    </row>
    <row r="177" spans="1:18" x14ac:dyDescent="0.25">
      <c r="A177" s="6" t="s">
        <v>381</v>
      </c>
      <c r="B177" t="s">
        <v>115</v>
      </c>
      <c r="C177" s="18">
        <f>(14.5+13.8)/2</f>
        <v>14.15</v>
      </c>
      <c r="D177" s="18">
        <f>(7+4.3)/2</f>
        <v>5.65</v>
      </c>
      <c r="E177" s="18">
        <f t="shared" si="54"/>
        <v>19.8</v>
      </c>
      <c r="F177" s="21">
        <v>5</v>
      </c>
      <c r="G177" s="20">
        <v>6.0900000000000003E-2</v>
      </c>
      <c r="H177" s="20">
        <f t="shared" si="55"/>
        <v>3.0450000000000001E-2</v>
      </c>
      <c r="I177" s="20">
        <v>9.0300000000000005E-2</v>
      </c>
      <c r="J177" s="20">
        <f t="shared" si="56"/>
        <v>4.5150000000000003E-2</v>
      </c>
      <c r="K177" s="20">
        <v>1.46E-2</v>
      </c>
      <c r="L177" s="20">
        <f t="shared" si="57"/>
        <v>7.3000000000000001E-3</v>
      </c>
      <c r="M177" s="19">
        <v>2</v>
      </c>
      <c r="N177" s="20">
        <f t="shared" si="58"/>
        <v>8.2900000000000001E-2</v>
      </c>
      <c r="O177" s="20">
        <f t="shared" si="59"/>
        <v>5.1780821917808222</v>
      </c>
      <c r="P177" s="20">
        <f t="shared" si="60"/>
        <v>0.36731001206272618</v>
      </c>
      <c r="Q177" s="20">
        <f t="shared" si="61"/>
        <v>0.54463208685162845</v>
      </c>
      <c r="R177" s="20">
        <f t="shared" si="62"/>
        <v>8.805790108564536E-2</v>
      </c>
    </row>
    <row r="178" spans="1:18" x14ac:dyDescent="0.25">
      <c r="A178" s="6" t="s">
        <v>381</v>
      </c>
      <c r="B178" t="s">
        <v>116</v>
      </c>
      <c r="C178" s="18">
        <f>(13.5+14)/2</f>
        <v>13.75</v>
      </c>
      <c r="D178" s="18">
        <f>(6.9+5.6)/2</f>
        <v>6.25</v>
      </c>
      <c r="E178" s="18">
        <f t="shared" si="54"/>
        <v>20</v>
      </c>
      <c r="F178">
        <v>5</v>
      </c>
      <c r="G178" s="20">
        <v>4.7699999999999999E-2</v>
      </c>
      <c r="H178" s="20">
        <f t="shared" si="55"/>
        <v>2.385E-2</v>
      </c>
      <c r="I178" s="20">
        <v>6.9599999999999995E-2</v>
      </c>
      <c r="J178" s="20">
        <f t="shared" si="56"/>
        <v>3.4799999999999998E-2</v>
      </c>
      <c r="K178" s="20">
        <v>1.8700000000000001E-2</v>
      </c>
      <c r="L178" s="20">
        <f t="shared" si="57"/>
        <v>9.3500000000000007E-3</v>
      </c>
      <c r="M178" s="19">
        <v>2</v>
      </c>
      <c r="N178" s="20">
        <f t="shared" si="58"/>
        <v>6.7999999999999991E-2</v>
      </c>
      <c r="O178" s="20">
        <f t="shared" si="59"/>
        <v>3.1363636363636358</v>
      </c>
      <c r="P178" s="20">
        <f t="shared" si="60"/>
        <v>0.35073529411764709</v>
      </c>
      <c r="Q178" s="20">
        <f t="shared" si="61"/>
        <v>0.51176470588235301</v>
      </c>
      <c r="R178" s="20">
        <f t="shared" si="62"/>
        <v>0.13750000000000004</v>
      </c>
    </row>
    <row r="179" spans="1:18" x14ac:dyDescent="0.25">
      <c r="A179" s="6" t="s">
        <v>381</v>
      </c>
      <c r="B179" t="s">
        <v>117</v>
      </c>
      <c r="C179" s="18">
        <v>12.3</v>
      </c>
      <c r="D179" s="18">
        <v>5.7</v>
      </c>
      <c r="E179" s="18">
        <f t="shared" si="54"/>
        <v>18</v>
      </c>
      <c r="F179" s="21">
        <v>5</v>
      </c>
      <c r="G179" s="20">
        <v>1.3599999999999999E-2</v>
      </c>
      <c r="H179" s="20">
        <f t="shared" si="55"/>
        <v>1.3599999999999999E-2</v>
      </c>
      <c r="I179" s="20">
        <v>2.0199999999999999E-2</v>
      </c>
      <c r="J179" s="20">
        <f t="shared" si="56"/>
        <v>2.0199999999999999E-2</v>
      </c>
      <c r="K179" s="20">
        <v>2.8999999999999998E-3</v>
      </c>
      <c r="L179" s="20">
        <f t="shared" si="57"/>
        <v>2.8999999999999998E-3</v>
      </c>
      <c r="M179" s="19">
        <v>1</v>
      </c>
      <c r="N179" s="20">
        <f t="shared" si="58"/>
        <v>3.6699999999999997E-2</v>
      </c>
      <c r="O179" s="20">
        <f t="shared" si="59"/>
        <v>11.655172413793103</v>
      </c>
      <c r="P179" s="20">
        <f t="shared" si="60"/>
        <v>0.3705722070844687</v>
      </c>
      <c r="Q179" s="20">
        <f t="shared" si="61"/>
        <v>0.55040871934604907</v>
      </c>
      <c r="R179" s="20">
        <f t="shared" si="62"/>
        <v>7.901907356948229E-2</v>
      </c>
    </row>
    <row r="180" spans="1:18" x14ac:dyDescent="0.25">
      <c r="A180" s="6" t="s">
        <v>381</v>
      </c>
      <c r="B180" t="s">
        <v>118</v>
      </c>
      <c r="C180" s="18">
        <f>(13.3+13.2)/2</f>
        <v>13.25</v>
      </c>
      <c r="D180" s="18">
        <f>(5.7+6.5)/2</f>
        <v>6.1</v>
      </c>
      <c r="E180" s="18">
        <f t="shared" si="54"/>
        <v>19.350000000000001</v>
      </c>
      <c r="F180" s="21">
        <v>5</v>
      </c>
      <c r="G180" s="20">
        <v>5.2499999999999998E-2</v>
      </c>
      <c r="H180" s="20">
        <f t="shared" si="55"/>
        <v>2.6249999999999999E-2</v>
      </c>
      <c r="I180" s="20">
        <v>9.6199999999999994E-2</v>
      </c>
      <c r="J180" s="20">
        <f t="shared" si="56"/>
        <v>4.8099999999999997E-2</v>
      </c>
      <c r="K180" s="20">
        <v>2.1399999999999999E-2</v>
      </c>
      <c r="L180" s="20">
        <f t="shared" si="57"/>
        <v>1.0699999999999999E-2</v>
      </c>
      <c r="M180" s="19">
        <v>2</v>
      </c>
      <c r="N180" s="20">
        <f t="shared" si="58"/>
        <v>8.5050000000000001E-2</v>
      </c>
      <c r="O180" s="20">
        <f t="shared" si="59"/>
        <v>3.4742990654205608</v>
      </c>
      <c r="P180" s="20">
        <f t="shared" si="60"/>
        <v>0.30864197530864196</v>
      </c>
      <c r="Q180" s="20">
        <f t="shared" si="61"/>
        <v>0.5655496766607877</v>
      </c>
      <c r="R180" s="20">
        <f t="shared" si="62"/>
        <v>0.12580834803057026</v>
      </c>
    </row>
    <row r="181" spans="1:18" x14ac:dyDescent="0.25">
      <c r="A181" s="6" t="s">
        <v>381</v>
      </c>
      <c r="B181" t="s">
        <v>119</v>
      </c>
      <c r="C181" s="18">
        <f>(10.7+8.8)/2</f>
        <v>9.75</v>
      </c>
      <c r="D181" s="18">
        <f>(4.3+5.8)/2</f>
        <v>5.05</v>
      </c>
      <c r="E181" s="18">
        <f t="shared" si="54"/>
        <v>14.8</v>
      </c>
      <c r="F181" s="21">
        <v>4</v>
      </c>
      <c r="G181" s="20">
        <v>2.3900000000000001E-2</v>
      </c>
      <c r="H181" s="20">
        <f t="shared" si="55"/>
        <v>1.1950000000000001E-2</v>
      </c>
      <c r="I181" s="20">
        <v>3.32E-2</v>
      </c>
      <c r="J181" s="20">
        <f t="shared" si="56"/>
        <v>1.66E-2</v>
      </c>
      <c r="K181" s="20">
        <v>6.0000000000000001E-3</v>
      </c>
      <c r="L181" s="20">
        <f t="shared" si="57"/>
        <v>3.0000000000000001E-3</v>
      </c>
      <c r="M181" s="19">
        <v>2</v>
      </c>
      <c r="N181" s="20">
        <f t="shared" si="58"/>
        <v>3.1550000000000002E-2</v>
      </c>
      <c r="O181" s="20">
        <f t="shared" si="59"/>
        <v>4.7583333333333329</v>
      </c>
      <c r="P181" s="20">
        <f t="shared" si="60"/>
        <v>0.37876386687797148</v>
      </c>
      <c r="Q181" s="20">
        <f t="shared" si="61"/>
        <v>0.5261489698890649</v>
      </c>
      <c r="R181" s="20">
        <f t="shared" si="62"/>
        <v>9.5087163232963554E-2</v>
      </c>
    </row>
    <row r="182" spans="1:18" x14ac:dyDescent="0.25">
      <c r="A182" s="4" t="s">
        <v>382</v>
      </c>
      <c r="B182" t="s">
        <v>240</v>
      </c>
      <c r="C182" s="18">
        <v>12.9</v>
      </c>
      <c r="D182" s="18">
        <v>6.8</v>
      </c>
      <c r="E182" s="18">
        <f t="shared" si="54"/>
        <v>19.7</v>
      </c>
      <c r="F182" s="21">
        <v>5</v>
      </c>
      <c r="G182" s="20">
        <v>2.3199999999999998E-2</v>
      </c>
      <c r="H182" s="20">
        <f t="shared" si="55"/>
        <v>2.3199999999999998E-2</v>
      </c>
      <c r="I182" s="20">
        <v>3.9600000000000003E-2</v>
      </c>
      <c r="J182" s="17">
        <f t="shared" si="56"/>
        <v>3.9600000000000003E-2</v>
      </c>
      <c r="K182" s="21">
        <v>6.4999999999999997E-3</v>
      </c>
      <c r="L182" s="21">
        <f t="shared" si="57"/>
        <v>6.4999999999999997E-3</v>
      </c>
      <c r="M182">
        <v>1</v>
      </c>
      <c r="N182" s="20">
        <f t="shared" si="58"/>
        <v>6.93E-2</v>
      </c>
      <c r="O182" s="21">
        <f t="shared" si="59"/>
        <v>9.661538461538461</v>
      </c>
      <c r="P182" s="21">
        <f t="shared" si="60"/>
        <v>0.33477633477633473</v>
      </c>
      <c r="Q182" s="21">
        <f t="shared" si="61"/>
        <v>0.57142857142857151</v>
      </c>
      <c r="R182" s="21">
        <f t="shared" si="62"/>
        <v>9.3795093795093792E-2</v>
      </c>
    </row>
    <row r="183" spans="1:18" x14ac:dyDescent="0.25">
      <c r="A183" s="4" t="s">
        <v>382</v>
      </c>
      <c r="B183" t="s">
        <v>241</v>
      </c>
      <c r="C183" s="18" t="s">
        <v>360</v>
      </c>
      <c r="D183" s="18" t="s">
        <v>360</v>
      </c>
      <c r="E183" s="18" t="s">
        <v>360</v>
      </c>
      <c r="F183" s="21" t="s">
        <v>360</v>
      </c>
      <c r="G183" s="21" t="s">
        <v>360</v>
      </c>
      <c r="H183" s="21" t="s">
        <v>360</v>
      </c>
      <c r="I183" s="21" t="s">
        <v>360</v>
      </c>
      <c r="J183" s="21" t="s">
        <v>360</v>
      </c>
      <c r="K183" s="21" t="s">
        <v>360</v>
      </c>
      <c r="L183" s="21" t="s">
        <v>360</v>
      </c>
      <c r="M183" s="21" t="s">
        <v>360</v>
      </c>
      <c r="N183" s="21" t="s">
        <v>360</v>
      </c>
      <c r="O183" s="21" t="s">
        <v>360</v>
      </c>
      <c r="P183" s="21" t="s">
        <v>360</v>
      </c>
      <c r="Q183" s="21" t="s">
        <v>360</v>
      </c>
      <c r="R183" s="21" t="s">
        <v>360</v>
      </c>
    </row>
    <row r="184" spans="1:18" x14ac:dyDescent="0.25">
      <c r="A184" s="4" t="s">
        <v>382</v>
      </c>
      <c r="B184" t="s">
        <v>242</v>
      </c>
      <c r="C184" s="18">
        <v>15.9</v>
      </c>
      <c r="D184" s="18">
        <v>8.5</v>
      </c>
      <c r="E184" s="18">
        <f t="shared" ref="E184:E215" si="63">C184+D184</f>
        <v>24.4</v>
      </c>
      <c r="F184">
        <v>6</v>
      </c>
      <c r="G184" s="21">
        <v>6.4199999999999993E-2</v>
      </c>
      <c r="H184" s="21">
        <f t="shared" ref="H184:H215" si="64">G184/M184</f>
        <v>6.4199999999999993E-2</v>
      </c>
      <c r="I184" s="21">
        <v>0.14929999999999999</v>
      </c>
      <c r="J184" s="17">
        <f t="shared" ref="J184:J215" si="65">I184/M184</f>
        <v>0.14929999999999999</v>
      </c>
      <c r="K184" s="21">
        <v>5.21E-2</v>
      </c>
      <c r="L184" s="21">
        <f t="shared" ref="L184:L215" si="66">K184/M184</f>
        <v>5.21E-2</v>
      </c>
      <c r="M184" s="21">
        <v>1</v>
      </c>
      <c r="N184" s="20">
        <f t="shared" ref="N184:N215" si="67">H184+J184+L184</f>
        <v>0.26559999999999995</v>
      </c>
      <c r="O184" s="21">
        <f t="shared" ref="O184:O215" si="68">(H184+J184)/K184</f>
        <v>4.0978886756237998</v>
      </c>
      <c r="P184" s="21">
        <f t="shared" ref="P184:P215" si="69">H184/N184</f>
        <v>0.24171686746987955</v>
      </c>
      <c r="Q184" s="21">
        <f t="shared" ref="Q184:Q215" si="70">J184/N184</f>
        <v>0.56212349397590367</v>
      </c>
      <c r="R184" s="21">
        <f t="shared" ref="R184:R215" si="71">L184/N184</f>
        <v>0.19615963855421692</v>
      </c>
    </row>
    <row r="185" spans="1:18" x14ac:dyDescent="0.25">
      <c r="A185" s="4" t="s">
        <v>382</v>
      </c>
      <c r="B185" t="s">
        <v>243</v>
      </c>
      <c r="C185" s="18">
        <v>18.3</v>
      </c>
      <c r="D185" s="18">
        <v>10.3</v>
      </c>
      <c r="E185" s="18">
        <f t="shared" si="63"/>
        <v>28.6</v>
      </c>
      <c r="F185" s="21">
        <v>6</v>
      </c>
      <c r="G185" s="21">
        <v>4.1700000000000001E-2</v>
      </c>
      <c r="H185" s="21">
        <f t="shared" si="64"/>
        <v>4.1700000000000001E-2</v>
      </c>
      <c r="I185" s="21">
        <v>0.1037</v>
      </c>
      <c r="J185" s="17">
        <f t="shared" si="65"/>
        <v>0.1037</v>
      </c>
      <c r="K185" s="21">
        <v>2.7799999999999998E-2</v>
      </c>
      <c r="L185" s="21">
        <f t="shared" si="66"/>
        <v>2.7799999999999998E-2</v>
      </c>
      <c r="M185" s="21">
        <v>1</v>
      </c>
      <c r="N185" s="20">
        <f t="shared" si="67"/>
        <v>0.17319999999999999</v>
      </c>
      <c r="O185" s="21">
        <f t="shared" si="68"/>
        <v>5.2302158273381298</v>
      </c>
      <c r="P185" s="21">
        <f t="shared" si="69"/>
        <v>0.24076212471131642</v>
      </c>
      <c r="Q185" s="21">
        <f t="shared" si="70"/>
        <v>0.59872979214780608</v>
      </c>
      <c r="R185" s="21">
        <f t="shared" si="71"/>
        <v>0.16050808314087758</v>
      </c>
    </row>
    <row r="186" spans="1:18" x14ac:dyDescent="0.25">
      <c r="A186" s="4" t="s">
        <v>382</v>
      </c>
      <c r="B186" t="s">
        <v>244</v>
      </c>
      <c r="C186" s="18">
        <v>12.5</v>
      </c>
      <c r="D186" s="18">
        <v>5.6</v>
      </c>
      <c r="E186" s="18">
        <f t="shared" si="63"/>
        <v>18.100000000000001</v>
      </c>
      <c r="F186" s="21">
        <v>5</v>
      </c>
      <c r="G186" s="21">
        <v>2.8799999999999999E-2</v>
      </c>
      <c r="H186" s="21">
        <f t="shared" si="64"/>
        <v>2.8799999999999999E-2</v>
      </c>
      <c r="I186" s="21">
        <v>4.2099999999999999E-2</v>
      </c>
      <c r="J186" s="17">
        <f t="shared" si="65"/>
        <v>4.2099999999999999E-2</v>
      </c>
      <c r="K186" s="21">
        <v>7.4000000000000003E-3</v>
      </c>
      <c r="L186" s="21">
        <f t="shared" si="66"/>
        <v>7.4000000000000003E-3</v>
      </c>
      <c r="M186" s="21">
        <v>1</v>
      </c>
      <c r="N186" s="20">
        <f t="shared" si="67"/>
        <v>7.8299999999999995E-2</v>
      </c>
      <c r="O186" s="21">
        <f t="shared" si="68"/>
        <v>9.5810810810810789</v>
      </c>
      <c r="P186" s="21">
        <f t="shared" si="69"/>
        <v>0.36781609195402298</v>
      </c>
      <c r="Q186" s="21">
        <f t="shared" si="70"/>
        <v>0.5376756066411239</v>
      </c>
      <c r="R186" s="21">
        <f t="shared" si="71"/>
        <v>9.450830140485314E-2</v>
      </c>
    </row>
    <row r="187" spans="1:18" x14ac:dyDescent="0.25">
      <c r="A187" s="4" t="s">
        <v>382</v>
      </c>
      <c r="B187" t="s">
        <v>245</v>
      </c>
      <c r="C187" s="18">
        <v>10.8</v>
      </c>
      <c r="D187" s="18">
        <v>3.6</v>
      </c>
      <c r="E187" s="18">
        <f t="shared" si="63"/>
        <v>14.4</v>
      </c>
      <c r="F187" s="21">
        <v>4</v>
      </c>
      <c r="G187" s="21">
        <v>1.7000000000000001E-2</v>
      </c>
      <c r="H187" s="21">
        <f t="shared" si="64"/>
        <v>1.7000000000000001E-2</v>
      </c>
      <c r="I187" s="21">
        <v>1.7500000000000002E-2</v>
      </c>
      <c r="J187" s="17">
        <f t="shared" si="65"/>
        <v>1.7500000000000002E-2</v>
      </c>
      <c r="K187" s="21">
        <v>4.1000000000000003E-3</v>
      </c>
      <c r="L187" s="21">
        <f t="shared" si="66"/>
        <v>4.1000000000000003E-3</v>
      </c>
      <c r="M187" s="21">
        <v>1</v>
      </c>
      <c r="N187" s="20">
        <f t="shared" si="67"/>
        <v>3.8600000000000002E-2</v>
      </c>
      <c r="O187" s="21">
        <f t="shared" si="68"/>
        <v>8.4146341463414629</v>
      </c>
      <c r="P187" s="21">
        <f t="shared" si="69"/>
        <v>0.44041450777202074</v>
      </c>
      <c r="Q187" s="21">
        <f t="shared" si="70"/>
        <v>0.45336787564766839</v>
      </c>
      <c r="R187" s="21">
        <f t="shared" si="71"/>
        <v>0.10621761658031088</v>
      </c>
    </row>
    <row r="188" spans="1:18" x14ac:dyDescent="0.25">
      <c r="A188" s="4" t="s">
        <v>382</v>
      </c>
      <c r="B188" t="s">
        <v>246</v>
      </c>
      <c r="C188" s="18">
        <f>(17.8+19.9)/2</f>
        <v>18.850000000000001</v>
      </c>
      <c r="D188" s="18">
        <f>(9.4+7.5)/2</f>
        <v>8.4499999999999993</v>
      </c>
      <c r="E188" s="18">
        <f t="shared" si="63"/>
        <v>27.3</v>
      </c>
      <c r="F188" s="22">
        <f>11/2</f>
        <v>5.5</v>
      </c>
      <c r="G188" s="21">
        <v>7.9799999999999996E-2</v>
      </c>
      <c r="H188" s="21">
        <f t="shared" si="64"/>
        <v>3.9899999999999998E-2</v>
      </c>
      <c r="I188" s="21">
        <v>9.4799999999999995E-2</v>
      </c>
      <c r="J188" s="17">
        <f t="shared" si="65"/>
        <v>4.7399999999999998E-2</v>
      </c>
      <c r="K188" s="21">
        <v>2.6599999999999999E-2</v>
      </c>
      <c r="L188" s="21">
        <f t="shared" si="66"/>
        <v>1.3299999999999999E-2</v>
      </c>
      <c r="M188" s="21">
        <v>2</v>
      </c>
      <c r="N188" s="20">
        <f t="shared" si="67"/>
        <v>0.10059999999999999</v>
      </c>
      <c r="O188" s="21">
        <f t="shared" si="68"/>
        <v>3.2819548872180451</v>
      </c>
      <c r="P188" s="21">
        <f t="shared" si="69"/>
        <v>0.39662027833001989</v>
      </c>
      <c r="Q188" s="21">
        <f t="shared" si="70"/>
        <v>0.47117296222664018</v>
      </c>
      <c r="R188" s="21">
        <f t="shared" si="71"/>
        <v>0.13220675944333996</v>
      </c>
    </row>
    <row r="189" spans="1:18" x14ac:dyDescent="0.25">
      <c r="A189" s="4" t="s">
        <v>382</v>
      </c>
      <c r="B189" t="s">
        <v>247</v>
      </c>
      <c r="C189" s="18">
        <f>(17.6+15.8)/2</f>
        <v>16.700000000000003</v>
      </c>
      <c r="D189" s="18">
        <f>(10.6+9.7)/2</f>
        <v>10.149999999999999</v>
      </c>
      <c r="E189" s="18">
        <f t="shared" si="63"/>
        <v>26.85</v>
      </c>
      <c r="F189" s="21">
        <v>6</v>
      </c>
      <c r="G189" s="21">
        <v>9.4700000000000006E-2</v>
      </c>
      <c r="H189" s="21">
        <f t="shared" si="64"/>
        <v>4.7350000000000003E-2</v>
      </c>
      <c r="I189" s="21">
        <v>0.11169999999999999</v>
      </c>
      <c r="J189" s="17">
        <f t="shared" si="65"/>
        <v>5.5849999999999997E-2</v>
      </c>
      <c r="K189" s="21">
        <v>5.3100000000000001E-2</v>
      </c>
      <c r="L189" s="21">
        <f t="shared" si="66"/>
        <v>2.6550000000000001E-2</v>
      </c>
      <c r="M189" s="21">
        <v>2</v>
      </c>
      <c r="N189" s="20">
        <f t="shared" si="67"/>
        <v>0.12975</v>
      </c>
      <c r="O189" s="21">
        <f t="shared" si="68"/>
        <v>1.9435028248587569</v>
      </c>
      <c r="P189" s="21">
        <f t="shared" si="69"/>
        <v>0.36493256262042389</v>
      </c>
      <c r="Q189" s="21">
        <f t="shared" si="70"/>
        <v>0.4304431599229287</v>
      </c>
      <c r="R189" s="21">
        <f t="shared" si="71"/>
        <v>0.20462427745664741</v>
      </c>
    </row>
    <row r="190" spans="1:18" x14ac:dyDescent="0.25">
      <c r="A190" s="4" t="s">
        <v>382</v>
      </c>
      <c r="B190" t="s">
        <v>248</v>
      </c>
      <c r="C190" s="18">
        <v>18.5</v>
      </c>
      <c r="D190" s="18">
        <v>8.1999999999999993</v>
      </c>
      <c r="E190" s="18">
        <f t="shared" si="63"/>
        <v>26.7</v>
      </c>
      <c r="F190" s="21">
        <v>6</v>
      </c>
      <c r="G190" s="21">
        <v>7.0099999999999996E-2</v>
      </c>
      <c r="H190" s="21">
        <f t="shared" si="64"/>
        <v>7.0099999999999996E-2</v>
      </c>
      <c r="I190" s="21">
        <v>6.5500000000000003E-2</v>
      </c>
      <c r="J190" s="17">
        <f t="shared" si="65"/>
        <v>6.5500000000000003E-2</v>
      </c>
      <c r="K190" s="21">
        <v>2.87E-2</v>
      </c>
      <c r="L190" s="21">
        <f t="shared" si="66"/>
        <v>2.87E-2</v>
      </c>
      <c r="M190" s="21">
        <v>1</v>
      </c>
      <c r="N190" s="20">
        <f t="shared" si="67"/>
        <v>0.1643</v>
      </c>
      <c r="O190" s="21">
        <f t="shared" si="68"/>
        <v>4.7247386759581884</v>
      </c>
      <c r="P190" s="21">
        <f t="shared" si="69"/>
        <v>0.4266585514303104</v>
      </c>
      <c r="Q190" s="21">
        <f t="shared" si="70"/>
        <v>0.3986609860012173</v>
      </c>
      <c r="R190" s="21">
        <f t="shared" si="71"/>
        <v>0.17468046256847231</v>
      </c>
    </row>
    <row r="191" spans="1:18" x14ac:dyDescent="0.25">
      <c r="A191" s="4" t="s">
        <v>382</v>
      </c>
      <c r="B191" t="s">
        <v>249</v>
      </c>
      <c r="C191" s="18">
        <f>(19.3+19.1)/2</f>
        <v>19.200000000000003</v>
      </c>
      <c r="D191" s="18">
        <f>(8.1+11.1)/2</f>
        <v>9.6</v>
      </c>
      <c r="E191" s="18">
        <f t="shared" si="63"/>
        <v>28.800000000000004</v>
      </c>
      <c r="F191" s="21">
        <v>6</v>
      </c>
      <c r="G191" s="21">
        <v>0.13569999999999999</v>
      </c>
      <c r="H191" s="21">
        <f t="shared" si="64"/>
        <v>6.7849999999999994E-2</v>
      </c>
      <c r="I191" s="21">
        <v>0.16350000000000001</v>
      </c>
      <c r="J191" s="17">
        <f t="shared" si="65"/>
        <v>8.1750000000000003E-2</v>
      </c>
      <c r="K191" s="21">
        <v>5.2400000000000002E-2</v>
      </c>
      <c r="L191" s="21">
        <f t="shared" si="66"/>
        <v>2.6200000000000001E-2</v>
      </c>
      <c r="M191" s="21">
        <v>2</v>
      </c>
      <c r="N191" s="20">
        <f t="shared" si="67"/>
        <v>0.17580000000000001</v>
      </c>
      <c r="O191" s="21">
        <f t="shared" si="68"/>
        <v>2.8549618320610688</v>
      </c>
      <c r="P191" s="21">
        <f t="shared" si="69"/>
        <v>0.38594994311717856</v>
      </c>
      <c r="Q191" s="21">
        <f t="shared" si="70"/>
        <v>0.46501706484641636</v>
      </c>
      <c r="R191" s="21">
        <f t="shared" si="71"/>
        <v>0.14903299203640499</v>
      </c>
    </row>
    <row r="192" spans="1:18" x14ac:dyDescent="0.25">
      <c r="A192" s="4" t="s">
        <v>382</v>
      </c>
      <c r="B192" t="s">
        <v>250</v>
      </c>
      <c r="C192" s="18">
        <f>(14.5+15.3)/2</f>
        <v>14.9</v>
      </c>
      <c r="D192" s="18">
        <f>(10.9+6.8)/2</f>
        <v>8.85</v>
      </c>
      <c r="E192" s="18">
        <f t="shared" si="63"/>
        <v>23.75</v>
      </c>
      <c r="F192" s="21">
        <v>6</v>
      </c>
      <c r="G192" s="21">
        <v>0.105</v>
      </c>
      <c r="H192" s="21">
        <f t="shared" si="64"/>
        <v>5.2499999999999998E-2</v>
      </c>
      <c r="I192" s="21">
        <v>0.1215</v>
      </c>
      <c r="J192" s="17">
        <f t="shared" si="65"/>
        <v>6.0749999999999998E-2</v>
      </c>
      <c r="K192" s="21">
        <v>4.7199999999999999E-2</v>
      </c>
      <c r="L192" s="21">
        <f t="shared" si="66"/>
        <v>2.3599999999999999E-2</v>
      </c>
      <c r="M192" s="21">
        <v>2</v>
      </c>
      <c r="N192" s="20">
        <f t="shared" si="67"/>
        <v>0.13685</v>
      </c>
      <c r="O192" s="21">
        <f t="shared" si="68"/>
        <v>2.3993644067796609</v>
      </c>
      <c r="P192" s="21">
        <f t="shared" si="69"/>
        <v>0.38363171355498721</v>
      </c>
      <c r="Q192" s="21">
        <f t="shared" si="70"/>
        <v>0.44391669711362808</v>
      </c>
      <c r="R192" s="21">
        <f t="shared" si="71"/>
        <v>0.17245158933138471</v>
      </c>
    </row>
    <row r="193" spans="1:18" x14ac:dyDescent="0.25">
      <c r="A193" s="4" t="s">
        <v>382</v>
      </c>
      <c r="B193" t="s">
        <v>251</v>
      </c>
      <c r="C193" s="18">
        <v>17.8</v>
      </c>
      <c r="D193" s="18">
        <v>7.5</v>
      </c>
      <c r="E193" s="18">
        <f t="shared" si="63"/>
        <v>25.3</v>
      </c>
      <c r="F193">
        <v>6</v>
      </c>
      <c r="G193" s="21">
        <v>3.32E-2</v>
      </c>
      <c r="H193" s="21">
        <f t="shared" si="64"/>
        <v>3.32E-2</v>
      </c>
      <c r="I193" s="21">
        <v>8.14E-2</v>
      </c>
      <c r="J193" s="17">
        <f t="shared" si="65"/>
        <v>8.14E-2</v>
      </c>
      <c r="K193" s="21">
        <v>1.5299999999999999E-2</v>
      </c>
      <c r="L193" s="21">
        <f t="shared" si="66"/>
        <v>1.5299999999999999E-2</v>
      </c>
      <c r="M193" s="21">
        <v>1</v>
      </c>
      <c r="N193" s="20">
        <f t="shared" si="67"/>
        <v>0.12990000000000002</v>
      </c>
      <c r="O193" s="21">
        <f t="shared" si="68"/>
        <v>7.4901960784313735</v>
      </c>
      <c r="P193" s="21">
        <f t="shared" si="69"/>
        <v>0.25558121632024633</v>
      </c>
      <c r="Q193" s="21">
        <f t="shared" si="70"/>
        <v>0.62663587374903762</v>
      </c>
      <c r="R193" s="21">
        <f t="shared" si="71"/>
        <v>0.11778290993071591</v>
      </c>
    </row>
    <row r="194" spans="1:18" x14ac:dyDescent="0.25">
      <c r="A194" s="4" t="s">
        <v>382</v>
      </c>
      <c r="B194" t="s">
        <v>252</v>
      </c>
      <c r="C194" s="18">
        <v>22.6</v>
      </c>
      <c r="D194" s="18">
        <v>8.1</v>
      </c>
      <c r="E194" s="18">
        <f t="shared" si="63"/>
        <v>30.700000000000003</v>
      </c>
      <c r="F194" s="21">
        <v>7</v>
      </c>
      <c r="G194" s="21">
        <v>6.6299999999999998E-2</v>
      </c>
      <c r="H194" s="21">
        <f t="shared" si="64"/>
        <v>6.6299999999999998E-2</v>
      </c>
      <c r="I194" s="21">
        <v>6.8099999999999994E-2</v>
      </c>
      <c r="J194" s="17">
        <f t="shared" si="65"/>
        <v>6.8099999999999994E-2</v>
      </c>
      <c r="K194" s="21">
        <v>2.06E-2</v>
      </c>
      <c r="L194" s="21">
        <f t="shared" si="66"/>
        <v>2.06E-2</v>
      </c>
      <c r="M194" s="21">
        <v>1</v>
      </c>
      <c r="N194" s="20">
        <f t="shared" si="67"/>
        <v>0.155</v>
      </c>
      <c r="O194" s="21">
        <f t="shared" si="68"/>
        <v>6.5242718446601939</v>
      </c>
      <c r="P194" s="21">
        <f t="shared" si="69"/>
        <v>0.42774193548387096</v>
      </c>
      <c r="Q194" s="21">
        <f t="shared" si="70"/>
        <v>0.4393548387096774</v>
      </c>
      <c r="R194" s="21">
        <f t="shared" si="71"/>
        <v>0.13290322580645161</v>
      </c>
    </row>
    <row r="195" spans="1:18" x14ac:dyDescent="0.25">
      <c r="A195" s="4" t="s">
        <v>382</v>
      </c>
      <c r="B195" t="s">
        <v>253</v>
      </c>
      <c r="C195" s="18">
        <f>(22.6+23.2)/2</f>
        <v>22.9</v>
      </c>
      <c r="D195" s="18">
        <f>(8.8+11.1)/2</f>
        <v>9.9499999999999993</v>
      </c>
      <c r="E195" s="18">
        <f t="shared" si="63"/>
        <v>32.849999999999994</v>
      </c>
      <c r="F195" s="21">
        <f>12/2</f>
        <v>6</v>
      </c>
      <c r="G195" s="21">
        <v>0.12479999999999999</v>
      </c>
      <c r="H195" s="21">
        <f t="shared" si="64"/>
        <v>6.2399999999999997E-2</v>
      </c>
      <c r="I195" s="21">
        <v>0.17829999999999999</v>
      </c>
      <c r="J195" s="17">
        <f t="shared" si="65"/>
        <v>8.9149999999999993E-2</v>
      </c>
      <c r="K195" s="21">
        <v>4.24E-2</v>
      </c>
      <c r="L195" s="21">
        <f t="shared" si="66"/>
        <v>2.12E-2</v>
      </c>
      <c r="M195" s="21">
        <v>2</v>
      </c>
      <c r="N195" s="20">
        <f t="shared" si="67"/>
        <v>0.17274999999999999</v>
      </c>
      <c r="O195" s="21">
        <f t="shared" si="68"/>
        <v>3.5742924528301883</v>
      </c>
      <c r="P195" s="21">
        <f t="shared" si="69"/>
        <v>0.36121562952243125</v>
      </c>
      <c r="Q195" s="21">
        <f t="shared" si="70"/>
        <v>0.51606367583212731</v>
      </c>
      <c r="R195" s="21">
        <f t="shared" si="71"/>
        <v>0.1227206946454414</v>
      </c>
    </row>
    <row r="196" spans="1:18" x14ac:dyDescent="0.25">
      <c r="A196" s="4" t="s">
        <v>382</v>
      </c>
      <c r="B196" t="s">
        <v>254</v>
      </c>
      <c r="C196" s="18">
        <f>(18.9+19.8)/2</f>
        <v>19.350000000000001</v>
      </c>
      <c r="D196" s="18">
        <f>(10.9+7.7)/2</f>
        <v>9.3000000000000007</v>
      </c>
      <c r="E196" s="18">
        <f t="shared" si="63"/>
        <v>28.650000000000002</v>
      </c>
      <c r="F196">
        <v>6</v>
      </c>
      <c r="G196" s="21">
        <v>0.11890000000000001</v>
      </c>
      <c r="H196" s="21">
        <f t="shared" si="64"/>
        <v>5.9450000000000003E-2</v>
      </c>
      <c r="I196" s="21">
        <v>0.1318</v>
      </c>
      <c r="J196" s="17">
        <f t="shared" si="65"/>
        <v>6.59E-2</v>
      </c>
      <c r="K196" s="21">
        <v>4.6300000000000001E-2</v>
      </c>
      <c r="L196" s="21">
        <f t="shared" si="66"/>
        <v>2.315E-2</v>
      </c>
      <c r="M196" s="21">
        <v>2</v>
      </c>
      <c r="N196" s="20">
        <f t="shared" si="67"/>
        <v>0.14850000000000002</v>
      </c>
      <c r="O196" s="21">
        <f t="shared" si="68"/>
        <v>2.7073434125269982</v>
      </c>
      <c r="P196" s="21">
        <f t="shared" si="69"/>
        <v>0.40033670033670032</v>
      </c>
      <c r="Q196" s="21">
        <f t="shared" si="70"/>
        <v>0.44377104377104371</v>
      </c>
      <c r="R196" s="21">
        <f t="shared" si="71"/>
        <v>0.15589225589225586</v>
      </c>
    </row>
    <row r="197" spans="1:18" x14ac:dyDescent="0.25">
      <c r="A197" s="4" t="s">
        <v>382</v>
      </c>
      <c r="B197" t="s">
        <v>255</v>
      </c>
      <c r="C197" s="18">
        <v>22.1</v>
      </c>
      <c r="D197" s="18">
        <v>9.1</v>
      </c>
      <c r="E197" s="18">
        <f t="shared" si="63"/>
        <v>31.200000000000003</v>
      </c>
      <c r="F197" s="21">
        <v>6</v>
      </c>
      <c r="G197" s="21">
        <v>7.4700000000000003E-2</v>
      </c>
      <c r="H197" s="21">
        <f t="shared" si="64"/>
        <v>7.4700000000000003E-2</v>
      </c>
      <c r="I197" s="21">
        <v>5.8000000000000003E-2</v>
      </c>
      <c r="J197" s="17">
        <f t="shared" si="65"/>
        <v>5.8000000000000003E-2</v>
      </c>
      <c r="K197" s="21">
        <v>3.0200000000000001E-2</v>
      </c>
      <c r="L197" s="21">
        <f t="shared" si="66"/>
        <v>3.0200000000000001E-2</v>
      </c>
      <c r="M197" s="21">
        <v>1</v>
      </c>
      <c r="N197" s="20">
        <f t="shared" si="67"/>
        <v>0.16290000000000002</v>
      </c>
      <c r="O197" s="21">
        <f t="shared" si="68"/>
        <v>4.3940397350993381</v>
      </c>
      <c r="P197" s="21">
        <f t="shared" si="69"/>
        <v>0.4585635359116022</v>
      </c>
      <c r="Q197" s="21">
        <f t="shared" si="70"/>
        <v>0.3560466543891958</v>
      </c>
      <c r="R197" s="21">
        <f t="shared" si="71"/>
        <v>0.18538980969920196</v>
      </c>
    </row>
    <row r="198" spans="1:18" x14ac:dyDescent="0.25">
      <c r="A198" s="4" t="s">
        <v>382</v>
      </c>
      <c r="B198" t="s">
        <v>256</v>
      </c>
      <c r="C198" s="18">
        <v>18.5</v>
      </c>
      <c r="D198" s="18">
        <v>8.9</v>
      </c>
      <c r="E198" s="18">
        <f t="shared" si="63"/>
        <v>27.4</v>
      </c>
      <c r="F198" s="21">
        <v>6</v>
      </c>
      <c r="G198" s="21">
        <v>5.1799999999999999E-2</v>
      </c>
      <c r="H198" s="21">
        <f t="shared" si="64"/>
        <v>5.1799999999999999E-2</v>
      </c>
      <c r="I198" s="21">
        <v>3.6700000000000003E-2</v>
      </c>
      <c r="J198" s="17">
        <f t="shared" si="65"/>
        <v>3.6700000000000003E-2</v>
      </c>
      <c r="K198" s="21">
        <v>1.4800000000000001E-2</v>
      </c>
      <c r="L198" s="21">
        <f t="shared" si="66"/>
        <v>1.4800000000000001E-2</v>
      </c>
      <c r="M198" s="21">
        <v>1</v>
      </c>
      <c r="N198" s="20">
        <f t="shared" si="67"/>
        <v>0.1033</v>
      </c>
      <c r="O198" s="21">
        <f t="shared" si="68"/>
        <v>5.9797297297297289</v>
      </c>
      <c r="P198" s="21">
        <f t="shared" si="69"/>
        <v>0.50145208131655372</v>
      </c>
      <c r="Q198" s="21">
        <f t="shared" si="70"/>
        <v>0.35527589545014521</v>
      </c>
      <c r="R198" s="21">
        <f t="shared" si="71"/>
        <v>0.14327202323330107</v>
      </c>
    </row>
    <row r="199" spans="1:18" x14ac:dyDescent="0.25">
      <c r="A199" s="4" t="s">
        <v>382</v>
      </c>
      <c r="B199" t="s">
        <v>257</v>
      </c>
      <c r="C199" s="18">
        <v>19.5</v>
      </c>
      <c r="D199" s="18">
        <v>6.1</v>
      </c>
      <c r="E199" s="18">
        <f t="shared" si="63"/>
        <v>25.6</v>
      </c>
      <c r="F199" s="21">
        <v>6</v>
      </c>
      <c r="G199" s="21">
        <v>4.9799999999999997E-2</v>
      </c>
      <c r="H199" s="21">
        <f t="shared" si="64"/>
        <v>4.9799999999999997E-2</v>
      </c>
      <c r="I199" s="21">
        <v>6.1899999999999997E-2</v>
      </c>
      <c r="J199" s="17">
        <f t="shared" si="65"/>
        <v>6.1899999999999997E-2</v>
      </c>
      <c r="K199" s="21">
        <v>1.7899999999999999E-2</v>
      </c>
      <c r="L199" s="21">
        <f t="shared" si="66"/>
        <v>1.7899999999999999E-2</v>
      </c>
      <c r="M199" s="21">
        <v>1</v>
      </c>
      <c r="N199" s="20">
        <f t="shared" si="67"/>
        <v>0.12959999999999999</v>
      </c>
      <c r="O199" s="21">
        <f t="shared" si="68"/>
        <v>6.2402234636871512</v>
      </c>
      <c r="P199" s="21">
        <f t="shared" si="69"/>
        <v>0.38425925925925924</v>
      </c>
      <c r="Q199" s="21">
        <f t="shared" si="70"/>
        <v>0.47762345679012347</v>
      </c>
      <c r="R199" s="21">
        <f t="shared" si="71"/>
        <v>0.13811728395061729</v>
      </c>
    </row>
    <row r="200" spans="1:18" x14ac:dyDescent="0.25">
      <c r="A200" s="4" t="s">
        <v>382</v>
      </c>
      <c r="B200" t="s">
        <v>258</v>
      </c>
      <c r="C200" s="18">
        <v>20.5</v>
      </c>
      <c r="D200" s="18">
        <v>6.2</v>
      </c>
      <c r="E200" s="18">
        <f t="shared" si="63"/>
        <v>26.7</v>
      </c>
      <c r="F200" s="21">
        <v>6</v>
      </c>
      <c r="G200" s="21">
        <v>5.3699999999999998E-2</v>
      </c>
      <c r="H200" s="21">
        <f t="shared" si="64"/>
        <v>5.3699999999999998E-2</v>
      </c>
      <c r="I200" s="21">
        <v>5.21E-2</v>
      </c>
      <c r="J200" s="17">
        <f t="shared" si="65"/>
        <v>5.21E-2</v>
      </c>
      <c r="K200" s="21">
        <v>1.04E-2</v>
      </c>
      <c r="L200" s="21">
        <f t="shared" si="66"/>
        <v>1.04E-2</v>
      </c>
      <c r="M200" s="21">
        <v>1</v>
      </c>
      <c r="N200" s="20">
        <f t="shared" si="67"/>
        <v>0.1162</v>
      </c>
      <c r="O200" s="21">
        <f t="shared" si="68"/>
        <v>10.173076923076923</v>
      </c>
      <c r="P200" s="21">
        <f t="shared" si="69"/>
        <v>0.46213425129087776</v>
      </c>
      <c r="Q200" s="21">
        <f t="shared" si="70"/>
        <v>0.44836488812392428</v>
      </c>
      <c r="R200" s="21">
        <f t="shared" si="71"/>
        <v>8.9500860585197933E-2</v>
      </c>
    </row>
    <row r="201" spans="1:18" x14ac:dyDescent="0.25">
      <c r="A201" s="4" t="s">
        <v>382</v>
      </c>
      <c r="B201" t="s">
        <v>259</v>
      </c>
      <c r="C201" s="18">
        <f>(18+21.3)/2</f>
        <v>19.649999999999999</v>
      </c>
      <c r="D201" s="18">
        <f>(7.6+4.3)/2</f>
        <v>5.9499999999999993</v>
      </c>
      <c r="E201" s="18">
        <f t="shared" si="63"/>
        <v>25.599999999999998</v>
      </c>
      <c r="F201" s="21">
        <v>5</v>
      </c>
      <c r="G201" s="21">
        <v>8.09E-2</v>
      </c>
      <c r="H201" s="21">
        <f t="shared" si="64"/>
        <v>4.045E-2</v>
      </c>
      <c r="I201" s="21">
        <v>7.6999999999999999E-2</v>
      </c>
      <c r="J201" s="17">
        <f t="shared" si="65"/>
        <v>3.85E-2</v>
      </c>
      <c r="K201" s="21">
        <v>1.7999999999999999E-2</v>
      </c>
      <c r="L201" s="21">
        <f t="shared" si="66"/>
        <v>8.9999999999999993E-3</v>
      </c>
      <c r="M201" s="21">
        <v>2</v>
      </c>
      <c r="N201" s="20">
        <f t="shared" si="67"/>
        <v>8.7949999999999987E-2</v>
      </c>
      <c r="O201" s="21">
        <f t="shared" si="68"/>
        <v>4.3861111111111111</v>
      </c>
      <c r="P201" s="21">
        <f t="shared" si="69"/>
        <v>0.45992040932347933</v>
      </c>
      <c r="Q201" s="21">
        <f t="shared" si="70"/>
        <v>0.43774872086412742</v>
      </c>
      <c r="R201" s="21">
        <f t="shared" si="71"/>
        <v>0.10233086981239341</v>
      </c>
    </row>
    <row r="202" spans="1:18" x14ac:dyDescent="0.25">
      <c r="A202" s="4" t="s">
        <v>382</v>
      </c>
      <c r="B202" t="s">
        <v>260</v>
      </c>
      <c r="C202" s="18">
        <v>26.2</v>
      </c>
      <c r="D202" s="18">
        <v>9.6999999999999993</v>
      </c>
      <c r="E202" s="18">
        <f t="shared" si="63"/>
        <v>35.9</v>
      </c>
      <c r="F202" s="21">
        <v>7</v>
      </c>
      <c r="G202" s="18">
        <v>7.1999999999999995E-2</v>
      </c>
      <c r="H202" s="21">
        <f t="shared" si="64"/>
        <v>7.1999999999999995E-2</v>
      </c>
      <c r="I202" s="20">
        <v>7.8399999999999997E-2</v>
      </c>
      <c r="J202" s="17">
        <f t="shared" si="65"/>
        <v>7.8399999999999997E-2</v>
      </c>
      <c r="K202" s="21">
        <v>1.38E-2</v>
      </c>
      <c r="L202" s="21">
        <f t="shared" si="66"/>
        <v>1.38E-2</v>
      </c>
      <c r="M202">
        <v>1</v>
      </c>
      <c r="N202" s="20">
        <f t="shared" si="67"/>
        <v>0.16419999999999998</v>
      </c>
      <c r="O202" s="21">
        <f t="shared" si="68"/>
        <v>10.89855072463768</v>
      </c>
      <c r="P202" s="21">
        <f t="shared" si="69"/>
        <v>0.43848964677222901</v>
      </c>
      <c r="Q202" s="21">
        <f t="shared" si="70"/>
        <v>0.47746650426309384</v>
      </c>
      <c r="R202" s="21">
        <f t="shared" si="71"/>
        <v>8.4043848964677231E-2</v>
      </c>
    </row>
    <row r="203" spans="1:18" x14ac:dyDescent="0.25">
      <c r="A203" s="4" t="s">
        <v>382</v>
      </c>
      <c r="B203" t="s">
        <v>261</v>
      </c>
      <c r="C203" s="18">
        <v>25</v>
      </c>
      <c r="D203" s="18">
        <v>9.1999999999999993</v>
      </c>
      <c r="E203" s="18">
        <f t="shared" si="63"/>
        <v>34.200000000000003</v>
      </c>
      <c r="F203" s="21">
        <v>6</v>
      </c>
      <c r="G203" s="18">
        <v>0.1142</v>
      </c>
      <c r="H203" s="21">
        <f t="shared" si="64"/>
        <v>0.1142</v>
      </c>
      <c r="I203" s="18">
        <v>0.1341</v>
      </c>
      <c r="J203" s="17">
        <f t="shared" si="65"/>
        <v>0.1341</v>
      </c>
      <c r="K203" s="21">
        <v>2.98E-2</v>
      </c>
      <c r="L203" s="21">
        <f t="shared" si="66"/>
        <v>2.98E-2</v>
      </c>
      <c r="M203">
        <v>1</v>
      </c>
      <c r="N203" s="20">
        <f t="shared" si="67"/>
        <v>0.27810000000000001</v>
      </c>
      <c r="O203" s="21">
        <f t="shared" si="68"/>
        <v>8.3322147651006713</v>
      </c>
      <c r="P203" s="21">
        <f t="shared" si="69"/>
        <v>0.4106436533620999</v>
      </c>
      <c r="Q203" s="21">
        <f t="shared" si="70"/>
        <v>0.48220064724919093</v>
      </c>
      <c r="R203" s="21">
        <f t="shared" si="71"/>
        <v>0.10715569938870909</v>
      </c>
    </row>
    <row r="204" spans="1:18" x14ac:dyDescent="0.25">
      <c r="A204" s="4" t="s">
        <v>382</v>
      </c>
      <c r="B204" t="s">
        <v>262</v>
      </c>
      <c r="C204" s="18">
        <v>20.3</v>
      </c>
      <c r="D204" s="18">
        <v>7</v>
      </c>
      <c r="E204" s="18">
        <f t="shared" si="63"/>
        <v>27.3</v>
      </c>
      <c r="F204" s="21">
        <v>6</v>
      </c>
      <c r="G204" s="18">
        <v>7.0099999999999996E-2</v>
      </c>
      <c r="H204" s="21">
        <f t="shared" si="64"/>
        <v>7.0099999999999996E-2</v>
      </c>
      <c r="I204" s="18">
        <v>7.9799999999999996E-2</v>
      </c>
      <c r="J204" s="17">
        <f t="shared" si="65"/>
        <v>7.9799999999999996E-2</v>
      </c>
      <c r="K204" s="21">
        <v>1.32E-2</v>
      </c>
      <c r="L204" s="21">
        <f t="shared" si="66"/>
        <v>1.32E-2</v>
      </c>
      <c r="M204">
        <v>1</v>
      </c>
      <c r="N204" s="20">
        <f t="shared" si="67"/>
        <v>0.16309999999999997</v>
      </c>
      <c r="O204" s="21">
        <f t="shared" si="68"/>
        <v>11.356060606060604</v>
      </c>
      <c r="P204" s="21">
        <f t="shared" si="69"/>
        <v>0.42979767014101783</v>
      </c>
      <c r="Q204" s="21">
        <f t="shared" si="70"/>
        <v>0.48927038626609448</v>
      </c>
      <c r="R204" s="21">
        <f t="shared" si="71"/>
        <v>8.0931943592887814E-2</v>
      </c>
    </row>
    <row r="205" spans="1:18" x14ac:dyDescent="0.25">
      <c r="A205" s="4" t="s">
        <v>382</v>
      </c>
      <c r="B205" t="s">
        <v>263</v>
      </c>
      <c r="C205" s="18">
        <f>(8.2+9.3+9.3)/3</f>
        <v>8.9333333333333336</v>
      </c>
      <c r="D205" s="18">
        <f>(2.9+4.2+3.3)/3</f>
        <v>3.4666666666666663</v>
      </c>
      <c r="E205" s="18">
        <f t="shared" si="63"/>
        <v>12.4</v>
      </c>
      <c r="F205" s="21">
        <v>3</v>
      </c>
      <c r="G205" s="18">
        <v>1.89E-2</v>
      </c>
      <c r="H205" s="21">
        <f t="shared" si="64"/>
        <v>6.3E-3</v>
      </c>
      <c r="I205" s="21">
        <v>1.6899999999999998E-2</v>
      </c>
      <c r="J205" s="17">
        <f t="shared" si="65"/>
        <v>5.6333333333333331E-3</v>
      </c>
      <c r="K205" s="21">
        <v>4.3E-3</v>
      </c>
      <c r="L205" s="21">
        <f t="shared" si="66"/>
        <v>1.4333333333333333E-3</v>
      </c>
      <c r="M205">
        <v>3</v>
      </c>
      <c r="N205" s="20">
        <f t="shared" si="67"/>
        <v>1.3366666666666667E-2</v>
      </c>
      <c r="O205" s="21">
        <f t="shared" si="68"/>
        <v>2.7751937984496124</v>
      </c>
      <c r="P205" s="21">
        <f t="shared" si="69"/>
        <v>0.47132169576059846</v>
      </c>
      <c r="Q205" s="21">
        <f t="shared" si="70"/>
        <v>0.4214463840399002</v>
      </c>
      <c r="R205" s="21">
        <f t="shared" si="71"/>
        <v>0.10723192019950124</v>
      </c>
    </row>
    <row r="206" spans="1:18" x14ac:dyDescent="0.25">
      <c r="A206" s="4" t="s">
        <v>382</v>
      </c>
      <c r="B206" t="s">
        <v>264</v>
      </c>
      <c r="C206" s="18">
        <v>18.600000000000001</v>
      </c>
      <c r="D206" s="18">
        <v>11.1</v>
      </c>
      <c r="E206" s="18">
        <f t="shared" si="63"/>
        <v>29.700000000000003</v>
      </c>
      <c r="F206" s="21">
        <v>6</v>
      </c>
      <c r="G206" s="18">
        <v>3.7499999999999999E-2</v>
      </c>
      <c r="H206" s="21">
        <f t="shared" si="64"/>
        <v>3.7499999999999999E-2</v>
      </c>
      <c r="I206" s="18">
        <v>2.69E-2</v>
      </c>
      <c r="J206" s="17">
        <f t="shared" si="65"/>
        <v>2.69E-2</v>
      </c>
      <c r="K206" s="21">
        <v>8.8000000000000005E-3</v>
      </c>
      <c r="L206" s="21">
        <f t="shared" si="66"/>
        <v>8.8000000000000005E-3</v>
      </c>
      <c r="M206">
        <v>1</v>
      </c>
      <c r="N206" s="20">
        <f t="shared" si="67"/>
        <v>7.3200000000000001E-2</v>
      </c>
      <c r="O206" s="21">
        <f t="shared" si="68"/>
        <v>7.3181818181818175</v>
      </c>
      <c r="P206" s="21">
        <f t="shared" si="69"/>
        <v>0.51229508196721307</v>
      </c>
      <c r="Q206" s="21">
        <f t="shared" si="70"/>
        <v>0.36748633879781423</v>
      </c>
      <c r="R206" s="21">
        <f t="shared" si="71"/>
        <v>0.12021857923497269</v>
      </c>
    </row>
    <row r="207" spans="1:18" x14ac:dyDescent="0.25">
      <c r="A207" s="4" t="s">
        <v>382</v>
      </c>
      <c r="B207" t="s">
        <v>265</v>
      </c>
      <c r="C207" s="18">
        <v>18.899999999999999</v>
      </c>
      <c r="D207" s="18">
        <v>6.3</v>
      </c>
      <c r="E207" s="18">
        <f t="shared" si="63"/>
        <v>25.2</v>
      </c>
      <c r="F207" s="21">
        <v>8</v>
      </c>
      <c r="G207" s="18">
        <v>5.0799999999999998E-2</v>
      </c>
      <c r="H207" s="21">
        <f t="shared" si="64"/>
        <v>5.0799999999999998E-2</v>
      </c>
      <c r="I207" s="18">
        <v>0.08</v>
      </c>
      <c r="J207" s="17">
        <f t="shared" si="65"/>
        <v>0.08</v>
      </c>
      <c r="K207" s="21">
        <v>1.32E-2</v>
      </c>
      <c r="L207" s="21">
        <f t="shared" si="66"/>
        <v>1.32E-2</v>
      </c>
      <c r="M207">
        <v>1</v>
      </c>
      <c r="N207" s="20">
        <f t="shared" si="67"/>
        <v>0.14399999999999999</v>
      </c>
      <c r="O207" s="21">
        <f t="shared" si="68"/>
        <v>9.9090909090909083</v>
      </c>
      <c r="P207" s="21">
        <f t="shared" si="69"/>
        <v>0.3527777777777778</v>
      </c>
      <c r="Q207" s="21">
        <f t="shared" si="70"/>
        <v>0.55555555555555558</v>
      </c>
      <c r="R207" s="21">
        <f t="shared" si="71"/>
        <v>9.1666666666666674E-2</v>
      </c>
    </row>
    <row r="208" spans="1:18" x14ac:dyDescent="0.25">
      <c r="A208" s="4" t="s">
        <v>382</v>
      </c>
      <c r="B208" t="s">
        <v>266</v>
      </c>
      <c r="C208" s="18">
        <v>25.2</v>
      </c>
      <c r="D208" s="18">
        <v>8</v>
      </c>
      <c r="E208" s="18">
        <f t="shared" si="63"/>
        <v>33.200000000000003</v>
      </c>
      <c r="F208" s="21">
        <v>6</v>
      </c>
      <c r="G208" s="18">
        <v>8.5000000000000006E-2</v>
      </c>
      <c r="H208" s="21">
        <f t="shared" si="64"/>
        <v>8.5000000000000006E-2</v>
      </c>
      <c r="I208" s="18">
        <v>7.6100000000000001E-2</v>
      </c>
      <c r="J208" s="17">
        <f t="shared" si="65"/>
        <v>7.6100000000000001E-2</v>
      </c>
      <c r="K208" s="21">
        <v>1.4200000000000001E-2</v>
      </c>
      <c r="L208" s="21">
        <f t="shared" si="66"/>
        <v>1.4200000000000001E-2</v>
      </c>
      <c r="M208">
        <v>1</v>
      </c>
      <c r="N208" s="20">
        <f t="shared" si="67"/>
        <v>0.17530000000000001</v>
      </c>
      <c r="O208" s="21">
        <f t="shared" si="68"/>
        <v>11.345070422535212</v>
      </c>
      <c r="P208" s="21">
        <f t="shared" si="69"/>
        <v>0.48488305761551626</v>
      </c>
      <c r="Q208" s="21">
        <f t="shared" si="70"/>
        <v>0.43411294922989158</v>
      </c>
      <c r="R208" s="21">
        <f t="shared" si="71"/>
        <v>8.1003993154592127E-2</v>
      </c>
    </row>
    <row r="209" spans="1:18" x14ac:dyDescent="0.25">
      <c r="A209" s="4" t="s">
        <v>382</v>
      </c>
      <c r="B209" t="s">
        <v>267</v>
      </c>
      <c r="C209" s="18">
        <v>21.5</v>
      </c>
      <c r="D209" s="18">
        <v>2.7</v>
      </c>
      <c r="E209" s="18">
        <f t="shared" si="63"/>
        <v>24.2</v>
      </c>
      <c r="F209" s="21">
        <v>6</v>
      </c>
      <c r="G209" s="18">
        <v>3.09E-2</v>
      </c>
      <c r="H209" s="21">
        <f t="shared" si="64"/>
        <v>3.09E-2</v>
      </c>
      <c r="I209" s="18">
        <v>3.5700000000000003E-2</v>
      </c>
      <c r="J209" s="17">
        <f t="shared" si="65"/>
        <v>3.5700000000000003E-2</v>
      </c>
      <c r="K209" s="21">
        <v>5.0000000000000001E-3</v>
      </c>
      <c r="L209" s="21">
        <f t="shared" si="66"/>
        <v>5.0000000000000001E-3</v>
      </c>
      <c r="M209">
        <v>1</v>
      </c>
      <c r="N209" s="20">
        <f t="shared" si="67"/>
        <v>7.1600000000000011E-2</v>
      </c>
      <c r="O209" s="21">
        <f t="shared" si="68"/>
        <v>13.32</v>
      </c>
      <c r="P209" s="21">
        <f t="shared" si="69"/>
        <v>0.43156424581005581</v>
      </c>
      <c r="Q209" s="21">
        <f t="shared" si="70"/>
        <v>0.49860335195530725</v>
      </c>
      <c r="R209" s="21">
        <f t="shared" si="71"/>
        <v>6.9832402234636867E-2</v>
      </c>
    </row>
    <row r="210" spans="1:18" x14ac:dyDescent="0.25">
      <c r="A210" s="4" t="s">
        <v>382</v>
      </c>
      <c r="B210" t="s">
        <v>268</v>
      </c>
      <c r="C210" s="18">
        <v>18.2</v>
      </c>
      <c r="D210" s="18">
        <v>6.1</v>
      </c>
      <c r="E210" s="18">
        <f t="shared" si="63"/>
        <v>24.299999999999997</v>
      </c>
      <c r="F210" s="21">
        <v>6</v>
      </c>
      <c r="G210" s="18">
        <v>4.2000000000000003E-2</v>
      </c>
      <c r="H210" s="21">
        <f t="shared" si="64"/>
        <v>4.2000000000000003E-2</v>
      </c>
      <c r="I210" s="18">
        <v>5.0099999999999999E-2</v>
      </c>
      <c r="J210" s="17">
        <f t="shared" si="65"/>
        <v>5.0099999999999999E-2</v>
      </c>
      <c r="K210" s="21">
        <v>1.04E-2</v>
      </c>
      <c r="L210" s="21">
        <f t="shared" si="66"/>
        <v>1.04E-2</v>
      </c>
      <c r="M210">
        <v>1</v>
      </c>
      <c r="N210" s="20">
        <f t="shared" si="67"/>
        <v>0.10250000000000001</v>
      </c>
      <c r="O210" s="21">
        <f t="shared" si="68"/>
        <v>8.8557692307692317</v>
      </c>
      <c r="P210" s="21">
        <f t="shared" si="69"/>
        <v>0.40975609756097559</v>
      </c>
      <c r="Q210" s="21">
        <f t="shared" si="70"/>
        <v>0.48878048780487798</v>
      </c>
      <c r="R210" s="21">
        <f t="shared" si="71"/>
        <v>0.10146341463414633</v>
      </c>
    </row>
    <row r="211" spans="1:18" x14ac:dyDescent="0.25">
      <c r="A211" s="4" t="s">
        <v>382</v>
      </c>
      <c r="B211" t="s">
        <v>269</v>
      </c>
      <c r="C211" s="18">
        <v>24.2</v>
      </c>
      <c r="D211" s="18">
        <v>10.199999999999999</v>
      </c>
      <c r="E211" s="18">
        <f t="shared" si="63"/>
        <v>34.4</v>
      </c>
      <c r="F211">
        <v>8</v>
      </c>
      <c r="G211" s="18">
        <v>8.0100000000000005E-2</v>
      </c>
      <c r="H211" s="21">
        <f t="shared" si="64"/>
        <v>8.0100000000000005E-2</v>
      </c>
      <c r="I211" s="18">
        <v>8.48E-2</v>
      </c>
      <c r="J211" s="17">
        <f t="shared" si="65"/>
        <v>8.48E-2</v>
      </c>
      <c r="K211" s="21">
        <v>1.7600000000000001E-2</v>
      </c>
      <c r="L211" s="21">
        <f t="shared" si="66"/>
        <v>1.7600000000000001E-2</v>
      </c>
      <c r="M211">
        <v>1</v>
      </c>
      <c r="N211" s="20">
        <f t="shared" si="67"/>
        <v>0.1825</v>
      </c>
      <c r="O211" s="21">
        <f t="shared" si="68"/>
        <v>9.3693181818181799</v>
      </c>
      <c r="P211" s="21">
        <f t="shared" si="69"/>
        <v>0.43890410958904114</v>
      </c>
      <c r="Q211" s="21">
        <f t="shared" si="70"/>
        <v>0.46465753424657535</v>
      </c>
      <c r="R211" s="21">
        <f t="shared" si="71"/>
        <v>9.6438356164383565E-2</v>
      </c>
    </row>
    <row r="212" spans="1:18" x14ac:dyDescent="0.25">
      <c r="A212" s="4" t="s">
        <v>382</v>
      </c>
      <c r="B212" t="s">
        <v>270</v>
      </c>
      <c r="C212" s="18">
        <f>(12+14)/2</f>
        <v>13</v>
      </c>
      <c r="D212" s="18">
        <f>(4+4.5)/2</f>
        <v>4.25</v>
      </c>
      <c r="E212" s="18">
        <f t="shared" si="63"/>
        <v>17.25</v>
      </c>
      <c r="F212" s="21">
        <v>5</v>
      </c>
      <c r="G212" s="21">
        <v>5.0599999999999999E-2</v>
      </c>
      <c r="H212" s="21">
        <f t="shared" si="64"/>
        <v>2.53E-2</v>
      </c>
      <c r="I212" s="21">
        <v>5.1499999999999997E-2</v>
      </c>
      <c r="J212" s="17">
        <f t="shared" si="65"/>
        <v>2.5749999999999999E-2</v>
      </c>
      <c r="K212" s="21">
        <v>0.01</v>
      </c>
      <c r="L212" s="21">
        <f t="shared" si="66"/>
        <v>5.0000000000000001E-3</v>
      </c>
      <c r="M212">
        <v>2</v>
      </c>
      <c r="N212" s="20">
        <f t="shared" si="67"/>
        <v>5.6049999999999996E-2</v>
      </c>
      <c r="O212" s="21">
        <f t="shared" si="68"/>
        <v>5.1049999999999995</v>
      </c>
      <c r="P212" s="21">
        <f t="shared" si="69"/>
        <v>0.45138269402319359</v>
      </c>
      <c r="Q212" s="21">
        <f t="shared" si="70"/>
        <v>0.4594112399643176</v>
      </c>
      <c r="R212" s="21">
        <f t="shared" si="71"/>
        <v>8.9206066012488858E-2</v>
      </c>
    </row>
    <row r="213" spans="1:18" x14ac:dyDescent="0.25">
      <c r="A213" s="4" t="s">
        <v>382</v>
      </c>
      <c r="B213" t="s">
        <v>271</v>
      </c>
      <c r="C213" s="18">
        <f>(16+18+15)/3</f>
        <v>16.333333333333332</v>
      </c>
      <c r="D213" s="18">
        <f>(7+7+8)/3</f>
        <v>7.333333333333333</v>
      </c>
      <c r="E213" s="18">
        <f t="shared" si="63"/>
        <v>23.666666666666664</v>
      </c>
      <c r="F213" s="21">
        <v>5</v>
      </c>
      <c r="G213" s="21">
        <v>0.1047</v>
      </c>
      <c r="H213" s="21">
        <f t="shared" si="64"/>
        <v>3.49E-2</v>
      </c>
      <c r="I213" s="21">
        <v>0.13039999999999999</v>
      </c>
      <c r="J213" s="17">
        <f t="shared" si="65"/>
        <v>4.346666666666666E-2</v>
      </c>
      <c r="K213" s="21">
        <v>2.8500000000000001E-2</v>
      </c>
      <c r="L213" s="21">
        <f t="shared" si="66"/>
        <v>9.4999999999999998E-3</v>
      </c>
      <c r="M213">
        <v>3</v>
      </c>
      <c r="N213" s="20">
        <f t="shared" si="67"/>
        <v>8.7866666666666662E-2</v>
      </c>
      <c r="O213" s="21">
        <f t="shared" si="68"/>
        <v>2.7497076023391811</v>
      </c>
      <c r="P213" s="21">
        <f t="shared" si="69"/>
        <v>0.39719271623672231</v>
      </c>
      <c r="Q213" s="21">
        <f t="shared" si="70"/>
        <v>0.49468892261001512</v>
      </c>
      <c r="R213" s="21">
        <f t="shared" si="71"/>
        <v>0.10811836115326252</v>
      </c>
    </row>
    <row r="214" spans="1:18" x14ac:dyDescent="0.25">
      <c r="A214" s="4" t="s">
        <v>382</v>
      </c>
      <c r="B214" t="s">
        <v>272</v>
      </c>
      <c r="C214" s="18">
        <f>(18+18.5+17)/3</f>
        <v>17.833333333333332</v>
      </c>
      <c r="D214" s="18">
        <f>(6+8.5+6)/3</f>
        <v>6.833333333333333</v>
      </c>
      <c r="E214" s="18">
        <f t="shared" si="63"/>
        <v>24.666666666666664</v>
      </c>
      <c r="F214" s="21">
        <v>5</v>
      </c>
      <c r="G214" s="18">
        <v>0.1176</v>
      </c>
      <c r="H214" s="21">
        <f t="shared" si="64"/>
        <v>3.9199999999999999E-2</v>
      </c>
      <c r="I214" s="18">
        <v>0.1206</v>
      </c>
      <c r="J214" s="17">
        <f t="shared" si="65"/>
        <v>4.02E-2</v>
      </c>
      <c r="K214" s="21">
        <v>3.2199999999999999E-2</v>
      </c>
      <c r="L214" s="21">
        <f t="shared" si="66"/>
        <v>1.0733333333333333E-2</v>
      </c>
      <c r="M214">
        <v>3</v>
      </c>
      <c r="N214" s="20">
        <f t="shared" si="67"/>
        <v>9.0133333333333329E-2</v>
      </c>
      <c r="O214" s="21">
        <f t="shared" si="68"/>
        <v>2.4658385093167703</v>
      </c>
      <c r="P214" s="21">
        <f t="shared" si="69"/>
        <v>0.4349112426035503</v>
      </c>
      <c r="Q214" s="21">
        <f t="shared" si="70"/>
        <v>0.44600591715976334</v>
      </c>
      <c r="R214" s="21">
        <f t="shared" si="71"/>
        <v>0.11908284023668639</v>
      </c>
    </row>
    <row r="215" spans="1:18" x14ac:dyDescent="0.25">
      <c r="A215" s="4" t="s">
        <v>382</v>
      </c>
      <c r="B215" t="s">
        <v>273</v>
      </c>
      <c r="C215" s="18">
        <v>17.5</v>
      </c>
      <c r="D215" s="18">
        <v>11.5</v>
      </c>
      <c r="E215" s="18">
        <f t="shared" si="63"/>
        <v>29</v>
      </c>
      <c r="F215" s="21">
        <v>5</v>
      </c>
      <c r="G215" s="21">
        <v>7.22E-2</v>
      </c>
      <c r="H215" s="21">
        <f t="shared" si="64"/>
        <v>7.22E-2</v>
      </c>
      <c r="I215" s="21">
        <v>9.4500000000000001E-2</v>
      </c>
      <c r="J215" s="17">
        <f t="shared" si="65"/>
        <v>9.4500000000000001E-2</v>
      </c>
      <c r="K215" s="21">
        <v>3.9600000000000003E-2</v>
      </c>
      <c r="L215" s="21">
        <f t="shared" si="66"/>
        <v>3.9600000000000003E-2</v>
      </c>
      <c r="M215">
        <v>1</v>
      </c>
      <c r="N215" s="20">
        <f t="shared" si="67"/>
        <v>0.20630000000000001</v>
      </c>
      <c r="O215" s="21">
        <f t="shared" si="68"/>
        <v>4.2095959595959593</v>
      </c>
      <c r="P215" s="21">
        <f t="shared" si="69"/>
        <v>0.34997576345128451</v>
      </c>
      <c r="Q215" s="21">
        <f t="shared" si="70"/>
        <v>0.45807077072224911</v>
      </c>
      <c r="R215" s="21">
        <f t="shared" si="71"/>
        <v>0.19195346582646633</v>
      </c>
    </row>
    <row r="216" spans="1:18" x14ac:dyDescent="0.25">
      <c r="A216" s="4" t="s">
        <v>382</v>
      </c>
      <c r="B216" t="s">
        <v>274</v>
      </c>
      <c r="C216" s="18">
        <f>(19+18)/2</f>
        <v>18.5</v>
      </c>
      <c r="D216" s="18">
        <f>(7.5+6)/2</f>
        <v>6.75</v>
      </c>
      <c r="E216" s="18">
        <f t="shared" ref="E216:E232" si="72">C216+D216</f>
        <v>25.25</v>
      </c>
      <c r="F216" s="21">
        <v>5</v>
      </c>
      <c r="G216" s="21">
        <v>9.0499999999999997E-2</v>
      </c>
      <c r="H216" s="21">
        <f t="shared" ref="H216:H232" si="73">G216/M216</f>
        <v>4.5249999999999999E-2</v>
      </c>
      <c r="I216" s="21">
        <v>9.8400000000000001E-2</v>
      </c>
      <c r="J216" s="17">
        <f t="shared" ref="J216:J232" si="74">I216/M216</f>
        <v>4.9200000000000001E-2</v>
      </c>
      <c r="K216" s="21">
        <v>1.6899999999999998E-2</v>
      </c>
      <c r="L216" s="21">
        <f t="shared" ref="L216:L232" si="75">K216/M216</f>
        <v>8.4499999999999992E-3</v>
      </c>
      <c r="M216">
        <v>2</v>
      </c>
      <c r="N216" s="20">
        <f t="shared" ref="N216:N232" si="76">H216+J216+L216</f>
        <v>0.10290000000000001</v>
      </c>
      <c r="O216" s="21">
        <f t="shared" ref="O216:O232" si="77">(H216+J216)/K216</f>
        <v>5.5887573964497053</v>
      </c>
      <c r="P216" s="21">
        <f t="shared" ref="P216:P232" si="78">H216/N216</f>
        <v>0.43974732750242951</v>
      </c>
      <c r="Q216" s="21">
        <f t="shared" ref="Q216:Q232" si="79">J216/N216</f>
        <v>0.478134110787172</v>
      </c>
      <c r="R216" s="21">
        <f t="shared" ref="R216:R232" si="80">L216/N216</f>
        <v>8.2118561710398427E-2</v>
      </c>
    </row>
    <row r="217" spans="1:18" x14ac:dyDescent="0.25">
      <c r="A217" s="4" t="s">
        <v>382</v>
      </c>
      <c r="B217" t="s">
        <v>275</v>
      </c>
      <c r="C217" s="18">
        <v>19.5</v>
      </c>
      <c r="D217" s="18">
        <v>6</v>
      </c>
      <c r="E217" s="18">
        <f t="shared" si="72"/>
        <v>25.5</v>
      </c>
      <c r="F217" s="21">
        <v>5</v>
      </c>
      <c r="G217" s="21">
        <v>3.6600000000000001E-2</v>
      </c>
      <c r="H217" s="21">
        <f t="shared" si="73"/>
        <v>1.83E-2</v>
      </c>
      <c r="I217" s="21">
        <v>3.4700000000000002E-2</v>
      </c>
      <c r="J217" s="17">
        <f t="shared" si="74"/>
        <v>1.7350000000000001E-2</v>
      </c>
      <c r="K217" s="21">
        <v>4.3E-3</v>
      </c>
      <c r="L217" s="21">
        <f t="shared" si="75"/>
        <v>2.15E-3</v>
      </c>
      <c r="M217">
        <v>2</v>
      </c>
      <c r="N217" s="20">
        <f t="shared" si="76"/>
        <v>3.78E-2</v>
      </c>
      <c r="O217" s="21">
        <f t="shared" si="77"/>
        <v>8.2906976744186043</v>
      </c>
      <c r="P217" s="21">
        <f t="shared" si="78"/>
        <v>0.48412698412698413</v>
      </c>
      <c r="Q217" s="21">
        <f t="shared" si="79"/>
        <v>0.45899470899470901</v>
      </c>
      <c r="R217" s="21">
        <f t="shared" si="80"/>
        <v>5.6878306878306875E-2</v>
      </c>
    </row>
    <row r="218" spans="1:18" x14ac:dyDescent="0.25">
      <c r="A218" s="4" t="s">
        <v>382</v>
      </c>
      <c r="B218" t="s">
        <v>276</v>
      </c>
      <c r="C218" s="18">
        <f>(13+16.5)/2</f>
        <v>14.75</v>
      </c>
      <c r="D218" s="18">
        <f>(6+5.5)/2</f>
        <v>5.75</v>
      </c>
      <c r="E218" s="18">
        <f t="shared" si="72"/>
        <v>20.5</v>
      </c>
      <c r="F218" s="21">
        <v>5</v>
      </c>
      <c r="G218" s="21">
        <v>5.3800000000000001E-2</v>
      </c>
      <c r="H218" s="21">
        <f t="shared" si="73"/>
        <v>2.69E-2</v>
      </c>
      <c r="I218" s="21">
        <v>5.4100000000000002E-2</v>
      </c>
      <c r="J218" s="17">
        <f t="shared" si="74"/>
        <v>2.7050000000000001E-2</v>
      </c>
      <c r="K218" s="21">
        <v>6.7000000000000002E-3</v>
      </c>
      <c r="L218" s="21">
        <f t="shared" si="75"/>
        <v>3.3500000000000001E-3</v>
      </c>
      <c r="M218">
        <v>2</v>
      </c>
      <c r="N218" s="20">
        <f t="shared" si="76"/>
        <v>5.7299999999999997E-2</v>
      </c>
      <c r="O218" s="21">
        <f t="shared" si="77"/>
        <v>8.0522388059701484</v>
      </c>
      <c r="P218" s="21">
        <f t="shared" si="78"/>
        <v>0.46945898778359513</v>
      </c>
      <c r="Q218" s="21">
        <f t="shared" si="79"/>
        <v>0.47207678883071558</v>
      </c>
      <c r="R218" s="21">
        <f t="shared" si="80"/>
        <v>5.8464223385689358E-2</v>
      </c>
    </row>
    <row r="219" spans="1:18" x14ac:dyDescent="0.25">
      <c r="A219" s="4" t="s">
        <v>382</v>
      </c>
      <c r="B219" t="s">
        <v>277</v>
      </c>
      <c r="C219" s="18">
        <f>(17.5+16)/2</f>
        <v>16.75</v>
      </c>
      <c r="D219" s="18">
        <f>(6+6.4)/2</f>
        <v>6.2</v>
      </c>
      <c r="E219" s="18">
        <f t="shared" si="72"/>
        <v>22.95</v>
      </c>
      <c r="F219" s="21">
        <v>6</v>
      </c>
      <c r="G219" s="21">
        <v>8.5400000000000004E-2</v>
      </c>
      <c r="H219" s="21">
        <f t="shared" si="73"/>
        <v>4.2700000000000002E-2</v>
      </c>
      <c r="I219" s="21">
        <v>7.6300000000000007E-2</v>
      </c>
      <c r="J219" s="17">
        <f t="shared" si="74"/>
        <v>3.8150000000000003E-2</v>
      </c>
      <c r="K219" s="21">
        <v>1.72E-2</v>
      </c>
      <c r="L219" s="21">
        <f t="shared" si="75"/>
        <v>8.6E-3</v>
      </c>
      <c r="M219">
        <v>2</v>
      </c>
      <c r="N219" s="20">
        <f t="shared" si="76"/>
        <v>8.9450000000000002E-2</v>
      </c>
      <c r="O219" s="21">
        <f t="shared" si="77"/>
        <v>4.7005813953488378</v>
      </c>
      <c r="P219" s="21">
        <f t="shared" si="78"/>
        <v>0.47736165455561769</v>
      </c>
      <c r="Q219" s="21">
        <f t="shared" si="79"/>
        <v>0.42649524874231415</v>
      </c>
      <c r="R219" s="21">
        <f t="shared" si="80"/>
        <v>9.6143096702068193E-2</v>
      </c>
    </row>
    <row r="220" spans="1:18" x14ac:dyDescent="0.25">
      <c r="A220" s="4" t="s">
        <v>382</v>
      </c>
      <c r="B220" t="s">
        <v>278</v>
      </c>
      <c r="C220" s="18">
        <f>(19.5+17.4)/2</f>
        <v>18.45</v>
      </c>
      <c r="D220" s="18">
        <f>(6.5+7.8)/2</f>
        <v>7.15</v>
      </c>
      <c r="E220" s="18">
        <f t="shared" si="72"/>
        <v>25.6</v>
      </c>
      <c r="F220" s="21">
        <v>7</v>
      </c>
      <c r="G220" s="21">
        <v>7.8899999999999998E-2</v>
      </c>
      <c r="H220" s="21">
        <f t="shared" si="73"/>
        <v>3.9449999999999999E-2</v>
      </c>
      <c r="I220" s="21">
        <v>7.9299999999999995E-2</v>
      </c>
      <c r="J220" s="17">
        <f t="shared" si="74"/>
        <v>3.9649999999999998E-2</v>
      </c>
      <c r="K220" s="21">
        <v>1.4E-2</v>
      </c>
      <c r="L220" s="21">
        <f t="shared" si="75"/>
        <v>7.0000000000000001E-3</v>
      </c>
      <c r="M220">
        <v>2</v>
      </c>
      <c r="N220" s="20">
        <f t="shared" si="76"/>
        <v>8.610000000000001E-2</v>
      </c>
      <c r="O220" s="21">
        <f t="shared" si="77"/>
        <v>5.65</v>
      </c>
      <c r="P220" s="21">
        <f t="shared" si="78"/>
        <v>0.45818815331010448</v>
      </c>
      <c r="Q220" s="21">
        <f t="shared" si="79"/>
        <v>0.46051103368176532</v>
      </c>
      <c r="R220" s="21">
        <f t="shared" si="80"/>
        <v>8.1300813008130079E-2</v>
      </c>
    </row>
    <row r="221" spans="1:18" x14ac:dyDescent="0.25">
      <c r="A221" s="4" t="s">
        <v>382</v>
      </c>
      <c r="B221" t="s">
        <v>279</v>
      </c>
      <c r="C221" s="18">
        <f>(20.8+18.6)/2</f>
        <v>19.700000000000003</v>
      </c>
      <c r="D221" s="18">
        <f>(8.3+8.2)/2</f>
        <v>8.25</v>
      </c>
      <c r="E221" s="18">
        <f t="shared" si="72"/>
        <v>27.950000000000003</v>
      </c>
      <c r="F221" s="21">
        <v>7</v>
      </c>
      <c r="G221" s="21">
        <v>0.1447</v>
      </c>
      <c r="H221" s="21">
        <f t="shared" si="73"/>
        <v>7.2349999999999998E-2</v>
      </c>
      <c r="I221" s="21">
        <v>0.1565</v>
      </c>
      <c r="J221" s="17">
        <f t="shared" si="74"/>
        <v>7.825E-2</v>
      </c>
      <c r="K221" s="21">
        <v>2.6700000000000002E-2</v>
      </c>
      <c r="L221" s="21">
        <f t="shared" si="75"/>
        <v>1.3350000000000001E-2</v>
      </c>
      <c r="M221">
        <v>2</v>
      </c>
      <c r="N221" s="20">
        <f t="shared" si="76"/>
        <v>0.16395000000000001</v>
      </c>
      <c r="O221" s="21">
        <f t="shared" si="77"/>
        <v>5.6404494382022472</v>
      </c>
      <c r="P221" s="21">
        <f t="shared" si="78"/>
        <v>0.44129307715766997</v>
      </c>
      <c r="Q221" s="21">
        <f t="shared" si="79"/>
        <v>0.47727965843244891</v>
      </c>
      <c r="R221" s="21">
        <f t="shared" si="80"/>
        <v>8.1427264409881059E-2</v>
      </c>
    </row>
    <row r="222" spans="1:18" x14ac:dyDescent="0.25">
      <c r="A222" s="4" t="s">
        <v>382</v>
      </c>
      <c r="B222" t="s">
        <v>280</v>
      </c>
      <c r="C222" s="18">
        <f>(19+20.2)/2</f>
        <v>19.600000000000001</v>
      </c>
      <c r="D222" s="18">
        <f>(8.3+7.4)/2</f>
        <v>7.8500000000000005</v>
      </c>
      <c r="E222" s="18">
        <f t="shared" si="72"/>
        <v>27.450000000000003</v>
      </c>
      <c r="F222" s="21">
        <v>6</v>
      </c>
      <c r="G222" s="21">
        <v>0.13059999999999999</v>
      </c>
      <c r="H222" s="21">
        <f t="shared" si="73"/>
        <v>6.5299999999999997E-2</v>
      </c>
      <c r="I222" s="21">
        <v>0.15870000000000001</v>
      </c>
      <c r="J222" s="17">
        <f t="shared" si="74"/>
        <v>7.9350000000000004E-2</v>
      </c>
      <c r="K222" s="21">
        <v>3.78E-2</v>
      </c>
      <c r="L222" s="21">
        <f t="shared" si="75"/>
        <v>1.89E-2</v>
      </c>
      <c r="M222">
        <v>2</v>
      </c>
      <c r="N222" s="20">
        <f t="shared" si="76"/>
        <v>0.16355</v>
      </c>
      <c r="O222" s="21">
        <f t="shared" si="77"/>
        <v>3.8267195767195767</v>
      </c>
      <c r="P222" s="21">
        <f t="shared" si="78"/>
        <v>0.39926627942525217</v>
      </c>
      <c r="Q222" s="21">
        <f t="shared" si="79"/>
        <v>0.48517273005197187</v>
      </c>
      <c r="R222" s="21">
        <f t="shared" si="80"/>
        <v>0.11556099052277591</v>
      </c>
    </row>
    <row r="223" spans="1:18" x14ac:dyDescent="0.25">
      <c r="A223" s="4" t="s">
        <v>382</v>
      </c>
      <c r="B223" t="s">
        <v>281</v>
      </c>
      <c r="C223" s="18">
        <v>21.5</v>
      </c>
      <c r="D223" s="18">
        <v>7</v>
      </c>
      <c r="E223" s="18">
        <f t="shared" si="72"/>
        <v>28.5</v>
      </c>
      <c r="F223">
        <v>7</v>
      </c>
      <c r="G223" s="18">
        <v>7.6100000000000001E-2</v>
      </c>
      <c r="H223" s="21">
        <f t="shared" si="73"/>
        <v>7.6100000000000001E-2</v>
      </c>
      <c r="I223" s="18">
        <v>8.5900000000000004E-2</v>
      </c>
      <c r="J223" s="17">
        <f t="shared" si="74"/>
        <v>8.5900000000000004E-2</v>
      </c>
      <c r="K223" s="21">
        <v>1.46E-2</v>
      </c>
      <c r="L223" s="21">
        <f t="shared" si="75"/>
        <v>1.46E-2</v>
      </c>
      <c r="M223">
        <v>1</v>
      </c>
      <c r="N223" s="20">
        <f t="shared" si="76"/>
        <v>0.17660000000000001</v>
      </c>
      <c r="O223" s="21">
        <f t="shared" si="77"/>
        <v>11.095890410958905</v>
      </c>
      <c r="P223" s="21">
        <f t="shared" si="78"/>
        <v>0.43091732729331822</v>
      </c>
      <c r="Q223" s="21">
        <f t="shared" si="79"/>
        <v>0.48640996602491504</v>
      </c>
      <c r="R223" s="21">
        <f t="shared" si="80"/>
        <v>8.2672706681766697E-2</v>
      </c>
    </row>
    <row r="224" spans="1:18" x14ac:dyDescent="0.25">
      <c r="A224" s="4" t="s">
        <v>382</v>
      </c>
      <c r="B224" t="s">
        <v>282</v>
      </c>
      <c r="C224" s="18">
        <f>(16.4+21)/2</f>
        <v>18.7</v>
      </c>
      <c r="D224" s="18">
        <f>(9+8.6)/2</f>
        <v>8.8000000000000007</v>
      </c>
      <c r="E224" s="18">
        <f t="shared" si="72"/>
        <v>27.5</v>
      </c>
      <c r="F224" s="21">
        <v>7</v>
      </c>
      <c r="G224" s="21">
        <v>0.16159999999999999</v>
      </c>
      <c r="H224" s="21">
        <f t="shared" si="73"/>
        <v>5.3866666666666667E-2</v>
      </c>
      <c r="I224" s="21">
        <v>0.158</v>
      </c>
      <c r="J224" s="17">
        <f t="shared" si="74"/>
        <v>5.2666666666666667E-2</v>
      </c>
      <c r="K224" s="21">
        <v>3.5200000000000002E-2</v>
      </c>
      <c r="L224" s="21">
        <f t="shared" si="75"/>
        <v>1.1733333333333333E-2</v>
      </c>
      <c r="M224">
        <v>3</v>
      </c>
      <c r="N224" s="20">
        <f t="shared" si="76"/>
        <v>0.11826666666666667</v>
      </c>
      <c r="O224" s="21">
        <f t="shared" si="77"/>
        <v>3.0265151515151514</v>
      </c>
      <c r="P224" s="21">
        <f t="shared" si="78"/>
        <v>0.45546786922209692</v>
      </c>
      <c r="Q224" s="21">
        <f t="shared" si="79"/>
        <v>0.4453213077790304</v>
      </c>
      <c r="R224" s="21">
        <f t="shared" si="80"/>
        <v>9.92108229988726E-2</v>
      </c>
    </row>
    <row r="225" spans="1:18" x14ac:dyDescent="0.25">
      <c r="A225" s="4" t="s">
        <v>382</v>
      </c>
      <c r="B225" t="s">
        <v>283</v>
      </c>
      <c r="C225" s="18">
        <f>(20.2+17.5)/2</f>
        <v>18.850000000000001</v>
      </c>
      <c r="D225" s="18">
        <f>(5+7)/2</f>
        <v>6</v>
      </c>
      <c r="E225" s="18">
        <f t="shared" si="72"/>
        <v>24.85</v>
      </c>
      <c r="F225" s="21">
        <f>(5+5)/2</f>
        <v>5</v>
      </c>
      <c r="G225" s="21">
        <v>3.6900000000000002E-2</v>
      </c>
      <c r="H225" s="21">
        <f t="shared" si="73"/>
        <v>3.6900000000000002E-2</v>
      </c>
      <c r="I225" s="21">
        <v>3.6200000000000003E-2</v>
      </c>
      <c r="J225" s="17">
        <f t="shared" si="74"/>
        <v>3.6200000000000003E-2</v>
      </c>
      <c r="K225" s="21">
        <v>8.3999999999999995E-3</v>
      </c>
      <c r="L225" s="21">
        <f t="shared" si="75"/>
        <v>8.3999999999999995E-3</v>
      </c>
      <c r="M225">
        <v>1</v>
      </c>
      <c r="N225" s="20">
        <f t="shared" si="76"/>
        <v>8.1500000000000003E-2</v>
      </c>
      <c r="O225" s="21">
        <f t="shared" si="77"/>
        <v>8.7023809523809526</v>
      </c>
      <c r="P225" s="21">
        <f t="shared" si="78"/>
        <v>0.45276073619631901</v>
      </c>
      <c r="Q225" s="21">
        <f t="shared" si="79"/>
        <v>0.44417177914110434</v>
      </c>
      <c r="R225" s="21">
        <f t="shared" si="80"/>
        <v>0.10306748466257667</v>
      </c>
    </row>
    <row r="226" spans="1:18" x14ac:dyDescent="0.25">
      <c r="A226" s="4" t="s">
        <v>382</v>
      </c>
      <c r="B226" t="s">
        <v>284</v>
      </c>
      <c r="C226" s="18">
        <f>(14.6+18.5+20.5)/3</f>
        <v>17.866666666666667</v>
      </c>
      <c r="D226" s="18">
        <f>(11.5+9.5+8)/3</f>
        <v>9.6666666666666661</v>
      </c>
      <c r="E226" s="18">
        <f t="shared" si="72"/>
        <v>27.533333333333331</v>
      </c>
      <c r="F226" s="21">
        <v>6</v>
      </c>
      <c r="G226" s="21">
        <v>0.13420000000000001</v>
      </c>
      <c r="H226" s="21">
        <f t="shared" si="73"/>
        <v>4.473333333333334E-2</v>
      </c>
      <c r="I226" s="21">
        <v>0.12709999999999999</v>
      </c>
      <c r="J226" s="17">
        <f t="shared" si="74"/>
        <v>4.2366666666666664E-2</v>
      </c>
      <c r="K226" s="21">
        <v>4.65E-2</v>
      </c>
      <c r="L226" s="21">
        <f t="shared" si="75"/>
        <v>1.55E-2</v>
      </c>
      <c r="M226">
        <v>3</v>
      </c>
      <c r="N226" s="20">
        <f t="shared" si="76"/>
        <v>0.10260000000000001</v>
      </c>
      <c r="O226" s="21">
        <f t="shared" si="77"/>
        <v>1.8731182795698926</v>
      </c>
      <c r="P226" s="21">
        <f t="shared" si="78"/>
        <v>0.43599740090968164</v>
      </c>
      <c r="Q226" s="21">
        <f t="shared" si="79"/>
        <v>0.41293047433398306</v>
      </c>
      <c r="R226" s="21">
        <f t="shared" si="80"/>
        <v>0.15107212475633527</v>
      </c>
    </row>
    <row r="227" spans="1:18" x14ac:dyDescent="0.25">
      <c r="A227" s="4" t="s">
        <v>382</v>
      </c>
      <c r="B227" t="s">
        <v>285</v>
      </c>
      <c r="C227" s="18">
        <f>(16+20.2)/2</f>
        <v>18.100000000000001</v>
      </c>
      <c r="D227" s="18">
        <f>(12+7)/3</f>
        <v>6.333333333333333</v>
      </c>
      <c r="E227" s="18">
        <f t="shared" si="72"/>
        <v>24.433333333333334</v>
      </c>
      <c r="F227" s="21">
        <v>6</v>
      </c>
      <c r="G227" s="21">
        <v>0.1071</v>
      </c>
      <c r="H227" s="21">
        <f t="shared" si="73"/>
        <v>5.355E-2</v>
      </c>
      <c r="I227" s="21">
        <v>0.10349999999999999</v>
      </c>
      <c r="J227" s="17">
        <f t="shared" si="74"/>
        <v>5.1749999999999997E-2</v>
      </c>
      <c r="K227" s="21">
        <v>2.9100000000000001E-2</v>
      </c>
      <c r="L227" s="21">
        <f t="shared" si="75"/>
        <v>1.455E-2</v>
      </c>
      <c r="M227">
        <v>2</v>
      </c>
      <c r="N227" s="20">
        <f t="shared" si="76"/>
        <v>0.11985000000000001</v>
      </c>
      <c r="O227" s="21">
        <f t="shared" si="77"/>
        <v>3.6185567010309279</v>
      </c>
      <c r="P227" s="21">
        <f t="shared" si="78"/>
        <v>0.44680851063829785</v>
      </c>
      <c r="Q227" s="21">
        <f t="shared" si="79"/>
        <v>0.43178973717146424</v>
      </c>
      <c r="R227" s="21">
        <f t="shared" si="80"/>
        <v>0.12140175219023779</v>
      </c>
    </row>
    <row r="228" spans="1:18" x14ac:dyDescent="0.25">
      <c r="A228" s="4" t="s">
        <v>382</v>
      </c>
      <c r="B228" t="s">
        <v>286</v>
      </c>
      <c r="C228" s="18">
        <v>19</v>
      </c>
      <c r="D228" s="18">
        <v>8</v>
      </c>
      <c r="E228" s="18">
        <f t="shared" si="72"/>
        <v>27</v>
      </c>
      <c r="F228" s="21">
        <v>6</v>
      </c>
      <c r="G228" s="18">
        <v>5.8799999999999998E-2</v>
      </c>
      <c r="H228" s="21">
        <f t="shared" si="73"/>
        <v>5.8799999999999998E-2</v>
      </c>
      <c r="I228" s="18">
        <v>7.1900000000000006E-2</v>
      </c>
      <c r="J228" s="17">
        <f t="shared" si="74"/>
        <v>7.1900000000000006E-2</v>
      </c>
      <c r="K228" s="21">
        <v>1.1900000000000001E-2</v>
      </c>
      <c r="L228" s="21">
        <f t="shared" si="75"/>
        <v>1.1900000000000001E-2</v>
      </c>
      <c r="M228">
        <v>1</v>
      </c>
      <c r="N228" s="20">
        <f t="shared" si="76"/>
        <v>0.1426</v>
      </c>
      <c r="O228" s="21">
        <f t="shared" si="77"/>
        <v>10.983193277310924</v>
      </c>
      <c r="P228" s="21">
        <f t="shared" si="78"/>
        <v>0.41234221598877979</v>
      </c>
      <c r="Q228" s="21">
        <f t="shared" si="79"/>
        <v>0.50420757363253854</v>
      </c>
      <c r="R228" s="21">
        <f t="shared" si="80"/>
        <v>8.3450210378681625E-2</v>
      </c>
    </row>
    <row r="229" spans="1:18" x14ac:dyDescent="0.25">
      <c r="A229" s="4" t="s">
        <v>382</v>
      </c>
      <c r="B229" t="s">
        <v>287</v>
      </c>
      <c r="C229" s="18">
        <f>(14.5+15)/2</f>
        <v>14.75</v>
      </c>
      <c r="D229" s="18">
        <f>(7+9.2)/2</f>
        <v>8.1</v>
      </c>
      <c r="E229" s="18">
        <f t="shared" si="72"/>
        <v>22.85</v>
      </c>
      <c r="F229" s="21">
        <v>5</v>
      </c>
      <c r="G229" s="21">
        <v>7.0699999999999999E-2</v>
      </c>
      <c r="H229" s="21">
        <f t="shared" si="73"/>
        <v>3.5349999999999999E-2</v>
      </c>
      <c r="I229" s="21">
        <v>7.9000000000000001E-2</v>
      </c>
      <c r="J229" s="17">
        <f t="shared" si="74"/>
        <v>3.95E-2</v>
      </c>
      <c r="K229" s="21">
        <v>2.9600000000000001E-2</v>
      </c>
      <c r="L229" s="21">
        <f t="shared" si="75"/>
        <v>1.4800000000000001E-2</v>
      </c>
      <c r="M229">
        <v>2</v>
      </c>
      <c r="N229" s="20">
        <f t="shared" si="76"/>
        <v>8.9650000000000007E-2</v>
      </c>
      <c r="O229" s="21">
        <f t="shared" si="77"/>
        <v>2.5287162162162162</v>
      </c>
      <c r="P229" s="21">
        <f t="shared" si="78"/>
        <v>0.39431121026213045</v>
      </c>
      <c r="Q229" s="21">
        <f t="shared" si="79"/>
        <v>0.44060234244283319</v>
      </c>
      <c r="R229" s="21">
        <f t="shared" si="80"/>
        <v>0.16508644729503624</v>
      </c>
    </row>
    <row r="230" spans="1:18" x14ac:dyDescent="0.25">
      <c r="A230" s="4" t="s">
        <v>382</v>
      </c>
      <c r="B230" t="s">
        <v>288</v>
      </c>
      <c r="C230" s="18">
        <f>(17+16.5+17.5+14.6)/4</f>
        <v>16.399999999999999</v>
      </c>
      <c r="D230" s="18">
        <f>(7.5+8.5+6.8+8.8)/4</f>
        <v>7.9</v>
      </c>
      <c r="E230" s="18">
        <f t="shared" si="72"/>
        <v>24.299999999999997</v>
      </c>
      <c r="F230">
        <f>(5+5+5+5)/4</f>
        <v>5</v>
      </c>
      <c r="G230" s="21">
        <v>0.14249999999999999</v>
      </c>
      <c r="H230" s="21">
        <f t="shared" si="73"/>
        <v>3.5624999999999997E-2</v>
      </c>
      <c r="I230" s="21">
        <v>0.13830000000000001</v>
      </c>
      <c r="J230" s="17">
        <f t="shared" si="74"/>
        <v>3.4575000000000002E-2</v>
      </c>
      <c r="K230" s="21">
        <v>3.4599999999999999E-2</v>
      </c>
      <c r="L230" s="21">
        <f t="shared" si="75"/>
        <v>8.6499999999999997E-3</v>
      </c>
      <c r="M230">
        <v>4</v>
      </c>
      <c r="N230" s="20">
        <f t="shared" si="76"/>
        <v>7.8850000000000003E-2</v>
      </c>
      <c r="O230" s="21">
        <f t="shared" si="77"/>
        <v>2.0289017341040463</v>
      </c>
      <c r="P230" s="21">
        <f t="shared" si="78"/>
        <v>0.45180722891566261</v>
      </c>
      <c r="Q230" s="21">
        <f t="shared" si="79"/>
        <v>0.43849080532656942</v>
      </c>
      <c r="R230" s="21">
        <f t="shared" si="80"/>
        <v>0.1097019657577679</v>
      </c>
    </row>
    <row r="231" spans="1:18" x14ac:dyDescent="0.25">
      <c r="A231" s="4" t="s">
        <v>382</v>
      </c>
      <c r="B231" t="s">
        <v>289</v>
      </c>
      <c r="C231" s="18">
        <f>(15.8+19)/2</f>
        <v>17.399999999999999</v>
      </c>
      <c r="D231" s="18">
        <f>(9+6.7)/2</f>
        <v>7.85</v>
      </c>
      <c r="E231" s="18">
        <f t="shared" si="72"/>
        <v>25.25</v>
      </c>
      <c r="F231" s="21">
        <v>6</v>
      </c>
      <c r="G231" s="21">
        <v>9.9000000000000005E-2</v>
      </c>
      <c r="H231" s="21">
        <f t="shared" si="73"/>
        <v>4.9500000000000002E-2</v>
      </c>
      <c r="I231" s="21">
        <v>0.112</v>
      </c>
      <c r="J231" s="17">
        <f t="shared" si="74"/>
        <v>5.6000000000000001E-2</v>
      </c>
      <c r="K231" s="21">
        <v>2.8899999999999999E-2</v>
      </c>
      <c r="L231" s="21">
        <f t="shared" si="75"/>
        <v>1.4449999999999999E-2</v>
      </c>
      <c r="M231">
        <v>2</v>
      </c>
      <c r="N231" s="20">
        <f t="shared" si="76"/>
        <v>0.11995000000000001</v>
      </c>
      <c r="O231" s="21">
        <f t="shared" si="77"/>
        <v>3.6505190311418692</v>
      </c>
      <c r="P231" s="21">
        <f t="shared" si="78"/>
        <v>0.41267194664443513</v>
      </c>
      <c r="Q231" s="21">
        <f t="shared" si="79"/>
        <v>0.46686119216340138</v>
      </c>
      <c r="R231" s="21">
        <f t="shared" si="80"/>
        <v>0.12046686119216338</v>
      </c>
    </row>
    <row r="232" spans="1:18" x14ac:dyDescent="0.25">
      <c r="A232" s="4" t="s">
        <v>382</v>
      </c>
      <c r="B232" t="s">
        <v>290</v>
      </c>
      <c r="C232" s="18">
        <f>(17.3+19)/2</f>
        <v>18.149999999999999</v>
      </c>
      <c r="D232" s="18">
        <f>(7.6+8.5)/2</f>
        <v>8.0500000000000007</v>
      </c>
      <c r="E232" s="18">
        <f t="shared" si="72"/>
        <v>26.2</v>
      </c>
      <c r="F232" s="21">
        <v>6</v>
      </c>
      <c r="G232" s="21">
        <v>0.1148</v>
      </c>
      <c r="H232" s="21">
        <f t="shared" si="73"/>
        <v>5.74E-2</v>
      </c>
      <c r="I232" s="21">
        <v>0.13930000000000001</v>
      </c>
      <c r="J232" s="17">
        <f t="shared" si="74"/>
        <v>6.9650000000000004E-2</v>
      </c>
      <c r="K232" s="21">
        <v>3.1199999999999999E-2</v>
      </c>
      <c r="L232" s="21">
        <f t="shared" si="75"/>
        <v>1.5599999999999999E-2</v>
      </c>
      <c r="M232">
        <v>2</v>
      </c>
      <c r="N232" s="20">
        <f t="shared" si="76"/>
        <v>0.14265</v>
      </c>
      <c r="O232" s="21">
        <f t="shared" si="77"/>
        <v>4.072115384615385</v>
      </c>
      <c r="P232" s="21">
        <f t="shared" si="78"/>
        <v>0.40238345601121628</v>
      </c>
      <c r="Q232" s="21">
        <f t="shared" si="79"/>
        <v>0.48825797406239052</v>
      </c>
      <c r="R232" s="21">
        <f t="shared" si="80"/>
        <v>0.10935856992639327</v>
      </c>
    </row>
    <row r="233" spans="1:18" x14ac:dyDescent="0.25">
      <c r="A233" s="4" t="s">
        <v>382</v>
      </c>
      <c r="B233" t="s">
        <v>291</v>
      </c>
      <c r="C233" s="18" t="s">
        <v>360</v>
      </c>
      <c r="D233" s="18" t="s">
        <v>360</v>
      </c>
      <c r="E233" s="18" t="s">
        <v>360</v>
      </c>
      <c r="F233" s="21" t="s">
        <v>360</v>
      </c>
      <c r="G233" s="21" t="s">
        <v>360</v>
      </c>
      <c r="H233" s="21" t="s">
        <v>360</v>
      </c>
      <c r="I233" s="21" t="s">
        <v>360</v>
      </c>
      <c r="J233" s="21" t="s">
        <v>360</v>
      </c>
      <c r="K233" s="21" t="s">
        <v>360</v>
      </c>
      <c r="L233" s="21" t="s">
        <v>360</v>
      </c>
      <c r="M233" s="21" t="s">
        <v>360</v>
      </c>
      <c r="N233" s="21" t="s">
        <v>360</v>
      </c>
      <c r="O233" s="21" t="s">
        <v>360</v>
      </c>
      <c r="P233" s="21" t="s">
        <v>360</v>
      </c>
      <c r="Q233" s="21" t="s">
        <v>360</v>
      </c>
      <c r="R233" s="21" t="s">
        <v>360</v>
      </c>
    </row>
    <row r="234" spans="1:18" x14ac:dyDescent="0.25">
      <c r="A234" s="4" t="s">
        <v>382</v>
      </c>
      <c r="B234" t="s">
        <v>292</v>
      </c>
      <c r="C234" s="18">
        <v>18.5</v>
      </c>
      <c r="D234" s="18">
        <v>14.5</v>
      </c>
      <c r="E234" s="18">
        <f t="shared" ref="E234:E242" si="81">C234+D234</f>
        <v>33</v>
      </c>
      <c r="F234" s="21">
        <v>5</v>
      </c>
      <c r="G234" s="18">
        <v>8.3900000000000002E-2</v>
      </c>
      <c r="H234" s="21">
        <f t="shared" ref="H234:H241" si="82">G234/M234</f>
        <v>8.3900000000000002E-2</v>
      </c>
      <c r="I234" s="20">
        <v>8.5300000000000001E-2</v>
      </c>
      <c r="J234" s="17">
        <f t="shared" ref="J234:J242" si="83">I234/M234</f>
        <v>8.5300000000000001E-2</v>
      </c>
      <c r="K234" s="21">
        <v>3.4299999999999997E-2</v>
      </c>
      <c r="L234" s="21">
        <f t="shared" ref="L234:L242" si="84">K234/M234</f>
        <v>3.4299999999999997E-2</v>
      </c>
      <c r="M234">
        <v>1</v>
      </c>
      <c r="N234" s="20">
        <f t="shared" ref="N234:N242" si="85">H234+J234+L234</f>
        <v>0.20350000000000001</v>
      </c>
      <c r="O234" s="21">
        <f t="shared" ref="O234:O242" si="86">(H234+J234)/K234</f>
        <v>4.9329446064139955</v>
      </c>
      <c r="P234" s="21">
        <f t="shared" ref="P234:P242" si="87">H234/N234</f>
        <v>0.41228501228501224</v>
      </c>
      <c r="Q234" s="21">
        <f t="shared" ref="Q234:Q242" si="88">J234/N234</f>
        <v>0.41916461916461911</v>
      </c>
      <c r="R234" s="21">
        <f t="shared" ref="R234:R242" si="89">L234/N234</f>
        <v>0.16855036855036853</v>
      </c>
    </row>
    <row r="235" spans="1:18" x14ac:dyDescent="0.25">
      <c r="A235" s="4" t="s">
        <v>382</v>
      </c>
      <c r="B235" t="s">
        <v>293</v>
      </c>
      <c r="C235" s="18">
        <f>(10+9.3)/2</f>
        <v>9.65</v>
      </c>
      <c r="D235" s="18">
        <f>(5.5+3.9)/2</f>
        <v>4.7</v>
      </c>
      <c r="E235" s="18">
        <f t="shared" si="81"/>
        <v>14.350000000000001</v>
      </c>
      <c r="F235" s="21">
        <v>5</v>
      </c>
      <c r="G235" s="21">
        <v>2.6700000000000002E-2</v>
      </c>
      <c r="H235" s="21">
        <f t="shared" si="82"/>
        <v>1.3350000000000001E-2</v>
      </c>
      <c r="I235" s="21">
        <v>3.6700000000000003E-2</v>
      </c>
      <c r="J235" s="17">
        <f t="shared" si="83"/>
        <v>1.8350000000000002E-2</v>
      </c>
      <c r="K235" s="21">
        <v>8.2000000000000007E-3</v>
      </c>
      <c r="L235" s="21">
        <f t="shared" si="84"/>
        <v>4.1000000000000003E-3</v>
      </c>
      <c r="M235">
        <v>2</v>
      </c>
      <c r="N235" s="20">
        <f t="shared" si="85"/>
        <v>3.5800000000000005E-2</v>
      </c>
      <c r="O235" s="21">
        <f t="shared" si="86"/>
        <v>3.8658536585365857</v>
      </c>
      <c r="P235" s="21">
        <f t="shared" si="87"/>
        <v>0.37290502793296088</v>
      </c>
      <c r="Q235" s="21">
        <f t="shared" si="88"/>
        <v>0.51256983240223464</v>
      </c>
      <c r="R235" s="21">
        <f t="shared" si="89"/>
        <v>0.11452513966480446</v>
      </c>
    </row>
    <row r="236" spans="1:18" x14ac:dyDescent="0.25">
      <c r="A236" s="4" t="s">
        <v>382</v>
      </c>
      <c r="B236" t="s">
        <v>294</v>
      </c>
      <c r="C236" s="18">
        <f>(13+14)/2</f>
        <v>13.5</v>
      </c>
      <c r="D236" s="18">
        <f>(4+6)/2</f>
        <v>5</v>
      </c>
      <c r="E236" s="18">
        <f t="shared" si="81"/>
        <v>18.5</v>
      </c>
      <c r="F236" s="21">
        <v>5</v>
      </c>
      <c r="G236" s="21">
        <v>4.1799999999999997E-2</v>
      </c>
      <c r="H236" s="21">
        <f t="shared" si="82"/>
        <v>2.0899999999999998E-2</v>
      </c>
      <c r="I236" s="21">
        <v>4.6899999999999997E-2</v>
      </c>
      <c r="J236" s="17">
        <f t="shared" si="83"/>
        <v>2.3449999999999999E-2</v>
      </c>
      <c r="K236" s="21">
        <v>1.0500000000000001E-2</v>
      </c>
      <c r="L236" s="21">
        <f t="shared" si="84"/>
        <v>5.2500000000000003E-3</v>
      </c>
      <c r="M236">
        <v>2</v>
      </c>
      <c r="N236" s="20">
        <f t="shared" si="85"/>
        <v>4.9599999999999998E-2</v>
      </c>
      <c r="O236" s="21">
        <f t="shared" si="86"/>
        <v>4.2238095238095239</v>
      </c>
      <c r="P236" s="21">
        <f t="shared" si="87"/>
        <v>0.42137096774193544</v>
      </c>
      <c r="Q236" s="21">
        <f t="shared" si="88"/>
        <v>0.47278225806451613</v>
      </c>
      <c r="R236" s="21">
        <f t="shared" si="89"/>
        <v>0.1058467741935484</v>
      </c>
    </row>
    <row r="237" spans="1:18" x14ac:dyDescent="0.25">
      <c r="A237" s="4" t="s">
        <v>382</v>
      </c>
      <c r="B237" t="s">
        <v>295</v>
      </c>
      <c r="C237" s="18">
        <v>12.9</v>
      </c>
      <c r="D237" s="18">
        <v>7.3</v>
      </c>
      <c r="E237" s="18">
        <f t="shared" si="81"/>
        <v>20.2</v>
      </c>
      <c r="F237" s="21">
        <v>6</v>
      </c>
      <c r="G237" s="18">
        <v>2.3199999999999998E-2</v>
      </c>
      <c r="H237" s="21">
        <f t="shared" si="82"/>
        <v>2.3199999999999998E-2</v>
      </c>
      <c r="I237" s="18">
        <v>4.9799999999999997E-2</v>
      </c>
      <c r="J237" s="17">
        <f t="shared" si="83"/>
        <v>4.9799999999999997E-2</v>
      </c>
      <c r="K237" s="21">
        <v>9.5999999999999992E-3</v>
      </c>
      <c r="L237" s="21">
        <f t="shared" si="84"/>
        <v>9.5999999999999992E-3</v>
      </c>
      <c r="M237">
        <v>1</v>
      </c>
      <c r="N237" s="20">
        <f t="shared" si="85"/>
        <v>8.2599999999999993E-2</v>
      </c>
      <c r="O237" s="21">
        <f t="shared" si="86"/>
        <v>7.604166666666667</v>
      </c>
      <c r="P237" s="21">
        <f t="shared" si="87"/>
        <v>0.28087167070217917</v>
      </c>
      <c r="Q237" s="21">
        <f t="shared" si="88"/>
        <v>0.60290556900726389</v>
      </c>
      <c r="R237" s="21">
        <f t="shared" si="89"/>
        <v>0.11622276029055691</v>
      </c>
    </row>
    <row r="238" spans="1:18" x14ac:dyDescent="0.25">
      <c r="A238" s="4" t="s">
        <v>382</v>
      </c>
      <c r="B238" t="s">
        <v>296</v>
      </c>
      <c r="C238" s="18">
        <f>(15+12.6)/2</f>
        <v>13.8</v>
      </c>
      <c r="D238" s="18">
        <f>(6.4+6.2)/2</f>
        <v>6.3000000000000007</v>
      </c>
      <c r="E238" s="18">
        <f t="shared" si="81"/>
        <v>20.100000000000001</v>
      </c>
      <c r="F238" s="21">
        <v>5</v>
      </c>
      <c r="G238" s="21">
        <v>5.1900000000000002E-2</v>
      </c>
      <c r="H238" s="21">
        <f t="shared" si="82"/>
        <v>2.5950000000000001E-2</v>
      </c>
      <c r="I238" s="21">
        <v>5.5100000000000003E-2</v>
      </c>
      <c r="J238" s="17">
        <f t="shared" si="83"/>
        <v>2.7550000000000002E-2</v>
      </c>
      <c r="K238" s="21">
        <v>1.0200000000000001E-2</v>
      </c>
      <c r="L238" s="21">
        <f t="shared" si="84"/>
        <v>5.1000000000000004E-3</v>
      </c>
      <c r="M238">
        <v>2</v>
      </c>
      <c r="N238" s="20">
        <f t="shared" si="85"/>
        <v>5.8600000000000006E-2</v>
      </c>
      <c r="O238" s="21">
        <f t="shared" si="86"/>
        <v>5.2450980392156863</v>
      </c>
      <c r="P238" s="21">
        <f t="shared" si="87"/>
        <v>0.44283276450511944</v>
      </c>
      <c r="Q238" s="21">
        <f t="shared" si="88"/>
        <v>0.47013651877133106</v>
      </c>
      <c r="R238" s="21">
        <f t="shared" si="89"/>
        <v>8.7030716723549478E-2</v>
      </c>
    </row>
    <row r="239" spans="1:18" x14ac:dyDescent="0.25">
      <c r="A239" s="4" t="s">
        <v>382</v>
      </c>
      <c r="B239" t="s">
        <v>297</v>
      </c>
      <c r="C239" s="18">
        <v>17</v>
      </c>
      <c r="D239" s="18">
        <v>7.6</v>
      </c>
      <c r="E239" s="18">
        <f t="shared" si="81"/>
        <v>24.6</v>
      </c>
      <c r="F239" s="21">
        <v>6</v>
      </c>
      <c r="G239" s="18">
        <v>5.2499999999999998E-2</v>
      </c>
      <c r="H239" s="21">
        <f t="shared" si="82"/>
        <v>5.2499999999999998E-2</v>
      </c>
      <c r="I239" s="18">
        <v>7.8299999999999995E-2</v>
      </c>
      <c r="J239" s="17">
        <f t="shared" si="83"/>
        <v>7.8299999999999995E-2</v>
      </c>
      <c r="K239" s="21">
        <v>1.72E-2</v>
      </c>
      <c r="L239" s="21">
        <f t="shared" si="84"/>
        <v>1.72E-2</v>
      </c>
      <c r="M239">
        <v>1</v>
      </c>
      <c r="N239" s="20">
        <f t="shared" si="85"/>
        <v>0.14799999999999999</v>
      </c>
      <c r="O239" s="21">
        <f t="shared" si="86"/>
        <v>7.6046511627906979</v>
      </c>
      <c r="P239" s="21">
        <f t="shared" si="87"/>
        <v>0.35472972972972971</v>
      </c>
      <c r="Q239" s="21">
        <f t="shared" si="88"/>
        <v>0.52905405405405403</v>
      </c>
      <c r="R239" s="21">
        <f t="shared" si="89"/>
        <v>0.11621621621621622</v>
      </c>
    </row>
    <row r="240" spans="1:18" x14ac:dyDescent="0.25">
      <c r="A240" s="4" t="s">
        <v>382</v>
      </c>
      <c r="B240" t="s">
        <v>298</v>
      </c>
      <c r="C240" s="18">
        <f>(13+13)/2</f>
        <v>13</v>
      </c>
      <c r="D240" s="18">
        <f>(7.7+10.6)/2</f>
        <v>9.15</v>
      </c>
      <c r="E240" s="18">
        <f t="shared" si="81"/>
        <v>22.15</v>
      </c>
      <c r="F240">
        <v>5</v>
      </c>
      <c r="G240" s="21">
        <v>5.8799999999999998E-2</v>
      </c>
      <c r="H240" s="21">
        <f t="shared" si="82"/>
        <v>2.9399999999999999E-2</v>
      </c>
      <c r="I240" s="21">
        <v>7.9699999999999993E-2</v>
      </c>
      <c r="J240" s="17">
        <f t="shared" si="83"/>
        <v>3.9849999999999997E-2</v>
      </c>
      <c r="K240" s="21">
        <v>1.6899999999999998E-2</v>
      </c>
      <c r="L240" s="21">
        <f t="shared" si="84"/>
        <v>8.4499999999999992E-3</v>
      </c>
      <c r="M240">
        <v>2</v>
      </c>
      <c r="N240" s="20">
        <f t="shared" si="85"/>
        <v>7.7699999999999991E-2</v>
      </c>
      <c r="O240" s="21">
        <f t="shared" si="86"/>
        <v>4.0976331360946743</v>
      </c>
      <c r="P240" s="21">
        <f t="shared" si="87"/>
        <v>0.3783783783783784</v>
      </c>
      <c r="Q240" s="21">
        <f t="shared" si="88"/>
        <v>0.51287001287001288</v>
      </c>
      <c r="R240" s="21">
        <f t="shared" si="89"/>
        <v>0.10875160875160875</v>
      </c>
    </row>
    <row r="241" spans="1:18" x14ac:dyDescent="0.25">
      <c r="A241" s="4" t="s">
        <v>382</v>
      </c>
      <c r="B241" t="s">
        <v>299</v>
      </c>
      <c r="C241" s="18">
        <v>12.3</v>
      </c>
      <c r="D241" s="18">
        <v>5</v>
      </c>
      <c r="E241" s="18">
        <f t="shared" si="81"/>
        <v>17.3</v>
      </c>
      <c r="F241" s="21">
        <v>5</v>
      </c>
      <c r="G241" s="18">
        <v>2.01E-2</v>
      </c>
      <c r="H241" s="21">
        <f t="shared" si="82"/>
        <v>2.01E-2</v>
      </c>
      <c r="I241" s="18">
        <v>2.7799999999999998E-2</v>
      </c>
      <c r="J241" s="17">
        <f t="shared" si="83"/>
        <v>2.7799999999999998E-2</v>
      </c>
      <c r="K241" s="21">
        <v>8.4000000000000005E-2</v>
      </c>
      <c r="L241" s="21">
        <f t="shared" si="84"/>
        <v>8.4000000000000005E-2</v>
      </c>
      <c r="M241">
        <v>1</v>
      </c>
      <c r="N241" s="20">
        <f t="shared" si="85"/>
        <v>0.13190000000000002</v>
      </c>
      <c r="O241" s="21">
        <f t="shared" si="86"/>
        <v>0.57023809523809521</v>
      </c>
      <c r="P241" s="21">
        <f t="shared" si="87"/>
        <v>0.1523881728582259</v>
      </c>
      <c r="Q241" s="21">
        <f t="shared" si="88"/>
        <v>0.2107657316148597</v>
      </c>
      <c r="R241" s="21">
        <f t="shared" si="89"/>
        <v>0.63684609552691429</v>
      </c>
    </row>
    <row r="242" spans="1:18" x14ac:dyDescent="0.25">
      <c r="A242" s="10" t="s">
        <v>384</v>
      </c>
      <c r="B242" t="s">
        <v>1</v>
      </c>
      <c r="C242" s="18">
        <f>(4.5+4.5)/2</f>
        <v>4.5</v>
      </c>
      <c r="D242" s="18">
        <f>(3+4)/2</f>
        <v>3.5</v>
      </c>
      <c r="E242" s="18">
        <f t="shared" si="81"/>
        <v>8</v>
      </c>
      <c r="F242" s="22">
        <v>2</v>
      </c>
      <c r="G242" s="12">
        <v>7.0000000000000001E-3</v>
      </c>
      <c r="H242" s="12">
        <f>G242/2</f>
        <v>3.5000000000000001E-3</v>
      </c>
      <c r="I242" s="21">
        <v>6.1000000000000004E-3</v>
      </c>
      <c r="J242" s="17">
        <f t="shared" si="83"/>
        <v>3.0500000000000002E-3</v>
      </c>
      <c r="K242" s="21">
        <v>1.5E-3</v>
      </c>
      <c r="L242" s="21">
        <f t="shared" si="84"/>
        <v>7.5000000000000002E-4</v>
      </c>
      <c r="M242" s="14">
        <v>2</v>
      </c>
      <c r="N242" s="20">
        <f t="shared" si="85"/>
        <v>7.3000000000000001E-3</v>
      </c>
      <c r="O242" s="20">
        <f t="shared" si="86"/>
        <v>4.3666666666666671</v>
      </c>
      <c r="P242" s="20">
        <f t="shared" si="87"/>
        <v>0.47945205479452058</v>
      </c>
      <c r="Q242" s="20">
        <f t="shared" si="88"/>
        <v>0.4178082191780822</v>
      </c>
      <c r="R242" s="20">
        <f t="shared" si="89"/>
        <v>0.10273972602739725</v>
      </c>
    </row>
    <row r="243" spans="1:18" x14ac:dyDescent="0.25">
      <c r="A243" s="10" t="s">
        <v>384</v>
      </c>
      <c r="B243" t="s">
        <v>2</v>
      </c>
      <c r="C243" s="18" t="s">
        <v>360</v>
      </c>
      <c r="D243" s="18" t="s">
        <v>360</v>
      </c>
      <c r="E243" s="18" t="s">
        <v>360</v>
      </c>
      <c r="F243" s="18" t="s">
        <v>360</v>
      </c>
      <c r="G243" s="21" t="s">
        <v>360</v>
      </c>
      <c r="H243" s="21" t="s">
        <v>360</v>
      </c>
      <c r="I243" s="21" t="s">
        <v>360</v>
      </c>
      <c r="J243" s="21" t="s">
        <v>360</v>
      </c>
      <c r="K243" s="21" t="s">
        <v>360</v>
      </c>
      <c r="L243" s="21" t="s">
        <v>360</v>
      </c>
      <c r="M243" s="21" t="s">
        <v>360</v>
      </c>
      <c r="N243" s="21" t="s">
        <v>360</v>
      </c>
      <c r="O243" s="21" t="s">
        <v>360</v>
      </c>
      <c r="P243" s="21" t="s">
        <v>360</v>
      </c>
      <c r="Q243" s="21" t="s">
        <v>360</v>
      </c>
      <c r="R243" s="21" t="s">
        <v>360</v>
      </c>
    </row>
    <row r="244" spans="1:18" x14ac:dyDescent="0.25">
      <c r="A244" s="10" t="s">
        <v>384</v>
      </c>
      <c r="B244" t="s">
        <v>3</v>
      </c>
      <c r="C244" s="18">
        <f>(4.3+4.3+3.4)/3</f>
        <v>4</v>
      </c>
      <c r="D244" s="18">
        <f>(6.6+7.5+7.7)/3</f>
        <v>7.2666666666666666</v>
      </c>
      <c r="E244" s="18">
        <f t="shared" ref="E244:E287" si="90">C244+D244</f>
        <v>11.266666666666666</v>
      </c>
      <c r="F244" s="22">
        <f>10/2</f>
        <v>5</v>
      </c>
      <c r="G244" s="20">
        <v>1.3100000000000001E-2</v>
      </c>
      <c r="H244" s="20">
        <f t="shared" ref="H244:H287" si="91">G244/M244</f>
        <v>4.3666666666666671E-3</v>
      </c>
      <c r="I244" s="20">
        <v>1.7100000000000001E-2</v>
      </c>
      <c r="J244" s="20">
        <f t="shared" ref="J244:J287" si="92">I244/M244</f>
        <v>5.7000000000000002E-3</v>
      </c>
      <c r="K244" s="20">
        <v>6.7999999999999996E-3</v>
      </c>
      <c r="L244" s="20">
        <f t="shared" ref="L244:L287" si="93">K244/M244</f>
        <v>2.2666666666666664E-3</v>
      </c>
      <c r="M244" s="14">
        <v>3</v>
      </c>
      <c r="N244" s="20">
        <f t="shared" ref="N244:N287" si="94">H244+J244+L244</f>
        <v>1.2333333333333335E-2</v>
      </c>
      <c r="O244" s="20">
        <f t="shared" ref="O244:O287" si="95">(H244+J244)/K244</f>
        <v>1.4803921568627454</v>
      </c>
      <c r="P244" s="20">
        <f t="shared" ref="P244:P287" si="96">H244/N244</f>
        <v>0.35405405405405405</v>
      </c>
      <c r="Q244" s="20">
        <f t="shared" ref="Q244:Q287" si="97">J244/N244</f>
        <v>0.4621621621621621</v>
      </c>
      <c r="R244" s="20">
        <f t="shared" ref="R244:R287" si="98">L244/N244</f>
        <v>0.18378378378378374</v>
      </c>
    </row>
    <row r="245" spans="1:18" x14ac:dyDescent="0.25">
      <c r="A245" s="10" t="s">
        <v>384</v>
      </c>
      <c r="B245" t="s">
        <v>4</v>
      </c>
      <c r="C245" s="18">
        <f>(5+4.3+5.3)/3</f>
        <v>4.8666666666666671</v>
      </c>
      <c r="D245" s="18">
        <f>(6+8+7)/3</f>
        <v>7</v>
      </c>
      <c r="E245" s="18">
        <f t="shared" si="90"/>
        <v>11.866666666666667</v>
      </c>
      <c r="F245" s="22">
        <f>5/3</f>
        <v>1.6666666666666667</v>
      </c>
      <c r="G245" s="20">
        <v>1.0699999999999999E-2</v>
      </c>
      <c r="H245" s="20">
        <f t="shared" si="91"/>
        <v>3.5666666666666663E-3</v>
      </c>
      <c r="I245" s="20">
        <v>8.6999999999999994E-3</v>
      </c>
      <c r="J245" s="20">
        <f t="shared" si="92"/>
        <v>2.8999999999999998E-3</v>
      </c>
      <c r="K245" s="20">
        <v>8.0000000000000002E-3</v>
      </c>
      <c r="L245" s="20">
        <f t="shared" si="93"/>
        <v>2.6666666666666666E-3</v>
      </c>
      <c r="M245" s="14">
        <v>3</v>
      </c>
      <c r="N245" s="20">
        <f t="shared" si="94"/>
        <v>9.1333333333333318E-3</v>
      </c>
      <c r="O245" s="20">
        <f t="shared" si="95"/>
        <v>0.80833333333333324</v>
      </c>
      <c r="P245" s="20">
        <f t="shared" si="96"/>
        <v>0.39051094890510951</v>
      </c>
      <c r="Q245" s="20">
        <f t="shared" si="97"/>
        <v>0.31751824817518254</v>
      </c>
      <c r="R245" s="20">
        <f t="shared" si="98"/>
        <v>0.29197080291970806</v>
      </c>
    </row>
    <row r="246" spans="1:18" x14ac:dyDescent="0.25">
      <c r="A246" s="10" t="s">
        <v>384</v>
      </c>
      <c r="B246" t="s">
        <v>5</v>
      </c>
      <c r="C246" s="18">
        <f>(3.6+4.6)/2</f>
        <v>4.0999999999999996</v>
      </c>
      <c r="D246" s="18">
        <f>(7.2+7.2)/2</f>
        <v>7.2</v>
      </c>
      <c r="E246" s="18">
        <f t="shared" si="90"/>
        <v>11.3</v>
      </c>
      <c r="F246" s="22">
        <v>2</v>
      </c>
      <c r="G246" s="20">
        <v>6.7999999999999996E-3</v>
      </c>
      <c r="H246" s="20">
        <f t="shared" si="91"/>
        <v>3.3999999999999998E-3</v>
      </c>
      <c r="I246" s="20">
        <v>7.4999999999999997E-3</v>
      </c>
      <c r="J246" s="20">
        <f t="shared" si="92"/>
        <v>3.7499999999999999E-3</v>
      </c>
      <c r="K246" s="20">
        <v>5.0000000000000001E-3</v>
      </c>
      <c r="L246" s="20">
        <f t="shared" si="93"/>
        <v>2.5000000000000001E-3</v>
      </c>
      <c r="M246" s="14">
        <v>2</v>
      </c>
      <c r="N246" s="20">
        <f t="shared" si="94"/>
        <v>9.6500000000000006E-3</v>
      </c>
      <c r="O246" s="20">
        <f t="shared" si="95"/>
        <v>1.43</v>
      </c>
      <c r="P246" s="20">
        <f t="shared" si="96"/>
        <v>0.35233160621761656</v>
      </c>
      <c r="Q246" s="20">
        <f t="shared" si="97"/>
        <v>0.38860103626942999</v>
      </c>
      <c r="R246" s="20">
        <f t="shared" si="98"/>
        <v>0.25906735751295334</v>
      </c>
    </row>
    <row r="247" spans="1:18" x14ac:dyDescent="0.25">
      <c r="A247" s="10" t="s">
        <v>384</v>
      </c>
      <c r="B247" t="s">
        <v>6</v>
      </c>
      <c r="C247" s="18">
        <f>(5+4.5+4.2)/3</f>
        <v>4.5666666666666664</v>
      </c>
      <c r="D247" s="18">
        <f>(6+8+7)/3</f>
        <v>7</v>
      </c>
      <c r="E247" s="18">
        <f t="shared" si="90"/>
        <v>11.566666666666666</v>
      </c>
      <c r="F247" s="22">
        <v>2</v>
      </c>
      <c r="G247" s="20">
        <v>1.89E-2</v>
      </c>
      <c r="H247" s="20">
        <f t="shared" si="91"/>
        <v>6.3E-3</v>
      </c>
      <c r="I247" s="20">
        <v>2.1100000000000001E-2</v>
      </c>
      <c r="J247" s="20">
        <f t="shared" si="92"/>
        <v>7.0333333333333333E-3</v>
      </c>
      <c r="K247" s="20">
        <v>1.2699999999999999E-2</v>
      </c>
      <c r="L247" s="20">
        <f t="shared" si="93"/>
        <v>4.2333333333333329E-3</v>
      </c>
      <c r="M247" s="14">
        <v>3</v>
      </c>
      <c r="N247" s="20">
        <f t="shared" si="94"/>
        <v>1.7566666666666664E-2</v>
      </c>
      <c r="O247" s="20">
        <f t="shared" si="95"/>
        <v>1.0498687664041995</v>
      </c>
      <c r="P247" s="20">
        <f t="shared" si="96"/>
        <v>0.35863377609108166</v>
      </c>
      <c r="Q247" s="20">
        <f t="shared" si="97"/>
        <v>0.40037950664136629</v>
      </c>
      <c r="R247" s="20">
        <f t="shared" si="98"/>
        <v>0.24098671726755219</v>
      </c>
    </row>
    <row r="248" spans="1:18" x14ac:dyDescent="0.25">
      <c r="A248" s="10" t="s">
        <v>384</v>
      </c>
      <c r="B248" t="s">
        <v>7</v>
      </c>
      <c r="C248" s="18">
        <f>(4.2+3.5+4.5)/3</f>
        <v>4.0666666666666664</v>
      </c>
      <c r="D248" s="18">
        <f>(11.5+11+10)/3</f>
        <v>10.833333333333334</v>
      </c>
      <c r="E248" s="18">
        <f t="shared" si="90"/>
        <v>14.9</v>
      </c>
      <c r="F248" s="22">
        <v>4</v>
      </c>
      <c r="G248" s="20">
        <v>1.72E-2</v>
      </c>
      <c r="H248" s="20">
        <f t="shared" si="91"/>
        <v>5.7333333333333333E-3</v>
      </c>
      <c r="I248" s="20">
        <v>2.7099999999999999E-2</v>
      </c>
      <c r="J248" s="20">
        <f t="shared" si="92"/>
        <v>9.0333333333333325E-3</v>
      </c>
      <c r="K248" s="20">
        <v>1.4800000000000001E-2</v>
      </c>
      <c r="L248" s="20">
        <f t="shared" si="93"/>
        <v>4.9333333333333338E-3</v>
      </c>
      <c r="M248" s="14">
        <v>3</v>
      </c>
      <c r="N248" s="20">
        <f t="shared" si="94"/>
        <v>1.9699999999999999E-2</v>
      </c>
      <c r="O248" s="20">
        <f t="shared" si="95"/>
        <v>0.99774774774774766</v>
      </c>
      <c r="P248" s="20">
        <f t="shared" si="96"/>
        <v>0.29103214890016921</v>
      </c>
      <c r="Q248" s="20">
        <f t="shared" si="97"/>
        <v>0.45854483925549916</v>
      </c>
      <c r="R248" s="20">
        <f t="shared" si="98"/>
        <v>0.25042301184433169</v>
      </c>
    </row>
    <row r="249" spans="1:18" x14ac:dyDescent="0.25">
      <c r="A249" s="10" t="s">
        <v>384</v>
      </c>
      <c r="B249" t="s">
        <v>8</v>
      </c>
      <c r="C249" s="18">
        <f>(5.2+4.5+5)/3</f>
        <v>4.8999999999999995</v>
      </c>
      <c r="D249" s="18">
        <f>(5+5.7+9)/3</f>
        <v>6.5666666666666664</v>
      </c>
      <c r="E249" s="18">
        <f t="shared" si="90"/>
        <v>11.466666666666665</v>
      </c>
      <c r="F249" s="22">
        <f>7/2</f>
        <v>3.5</v>
      </c>
      <c r="G249" s="20">
        <v>1.6400000000000001E-2</v>
      </c>
      <c r="H249" s="20">
        <f t="shared" si="91"/>
        <v>5.4666666666666674E-3</v>
      </c>
      <c r="I249" s="20">
        <v>1.8200000000000001E-2</v>
      </c>
      <c r="J249" s="20">
        <f t="shared" si="92"/>
        <v>6.0666666666666673E-3</v>
      </c>
      <c r="K249" s="20">
        <v>1.29E-2</v>
      </c>
      <c r="L249" s="20">
        <f t="shared" si="93"/>
        <v>4.3E-3</v>
      </c>
      <c r="M249" s="14">
        <v>3</v>
      </c>
      <c r="N249" s="20">
        <f t="shared" si="94"/>
        <v>1.5833333333333335E-2</v>
      </c>
      <c r="O249" s="20">
        <f t="shared" si="95"/>
        <v>0.89405684754521975</v>
      </c>
      <c r="P249" s="20">
        <f t="shared" si="96"/>
        <v>0.34526315789473688</v>
      </c>
      <c r="Q249" s="20">
        <f t="shared" si="97"/>
        <v>0.38315789473684209</v>
      </c>
      <c r="R249" s="20">
        <f t="shared" si="98"/>
        <v>0.27157894736842103</v>
      </c>
    </row>
    <row r="250" spans="1:18" x14ac:dyDescent="0.25">
      <c r="A250" s="10" t="s">
        <v>384</v>
      </c>
      <c r="B250" t="s">
        <v>9</v>
      </c>
      <c r="C250" s="18">
        <f>(5+5+4.1)/3</f>
        <v>4.7</v>
      </c>
      <c r="D250" s="18">
        <f>(9.5+8+7.5)/3</f>
        <v>8.3333333333333339</v>
      </c>
      <c r="E250" s="18">
        <f t="shared" si="90"/>
        <v>13.033333333333335</v>
      </c>
      <c r="F250" s="22">
        <v>4</v>
      </c>
      <c r="G250" s="20">
        <v>1.9099999999999999E-2</v>
      </c>
      <c r="H250" s="20">
        <f t="shared" si="91"/>
        <v>6.3666666666666663E-3</v>
      </c>
      <c r="I250" s="20">
        <v>2.53E-2</v>
      </c>
      <c r="J250" s="20">
        <f t="shared" si="92"/>
        <v>8.4333333333333326E-3</v>
      </c>
      <c r="K250" s="20">
        <v>1.4200000000000001E-2</v>
      </c>
      <c r="L250" s="20">
        <f t="shared" si="93"/>
        <v>4.7333333333333333E-3</v>
      </c>
      <c r="M250" s="14">
        <v>3</v>
      </c>
      <c r="N250" s="20">
        <f t="shared" si="94"/>
        <v>1.9533333333333333E-2</v>
      </c>
      <c r="O250" s="20">
        <f t="shared" si="95"/>
        <v>1.0422535211267605</v>
      </c>
      <c r="P250" s="20">
        <f t="shared" si="96"/>
        <v>0.32593856655290099</v>
      </c>
      <c r="Q250" s="20">
        <f t="shared" si="97"/>
        <v>0.43174061433447097</v>
      </c>
      <c r="R250" s="20">
        <f t="shared" si="98"/>
        <v>0.24232081911262798</v>
      </c>
    </row>
    <row r="251" spans="1:18" x14ac:dyDescent="0.25">
      <c r="A251" s="10" t="s">
        <v>384</v>
      </c>
      <c r="B251" t="s">
        <v>10</v>
      </c>
      <c r="C251" s="18">
        <f>(5.2+6.8+6.5)/3</f>
        <v>6.166666666666667</v>
      </c>
      <c r="D251" s="18">
        <f>(13+6+9)/3</f>
        <v>9.3333333333333339</v>
      </c>
      <c r="E251" s="18">
        <f t="shared" si="90"/>
        <v>15.5</v>
      </c>
      <c r="F251" s="22">
        <f>7/3</f>
        <v>2.3333333333333335</v>
      </c>
      <c r="G251" s="20">
        <v>3.0200000000000001E-2</v>
      </c>
      <c r="H251" s="20">
        <f t="shared" si="91"/>
        <v>1.0066666666666666E-2</v>
      </c>
      <c r="I251" s="20">
        <v>3.3599999999999998E-2</v>
      </c>
      <c r="J251" s="20">
        <f t="shared" si="92"/>
        <v>1.12E-2</v>
      </c>
      <c r="K251" s="20">
        <v>2.4299999999999999E-2</v>
      </c>
      <c r="L251" s="20">
        <f t="shared" si="93"/>
        <v>8.0999999999999996E-3</v>
      </c>
      <c r="M251" s="14">
        <v>3</v>
      </c>
      <c r="N251" s="20">
        <f t="shared" si="94"/>
        <v>2.9366666666666666E-2</v>
      </c>
      <c r="O251" s="20">
        <f t="shared" si="95"/>
        <v>0.87517146776406041</v>
      </c>
      <c r="P251" s="20">
        <f t="shared" si="96"/>
        <v>0.34279228149829738</v>
      </c>
      <c r="Q251" s="20">
        <f t="shared" si="97"/>
        <v>0.38138479001135073</v>
      </c>
      <c r="R251" s="20">
        <f t="shared" si="98"/>
        <v>0.27582292849035184</v>
      </c>
    </row>
    <row r="252" spans="1:18" x14ac:dyDescent="0.25">
      <c r="A252" s="10" t="s">
        <v>384</v>
      </c>
      <c r="B252" t="s">
        <v>11</v>
      </c>
      <c r="C252" s="18">
        <f>(4.5+5+4.2+5.5+4.5)/5</f>
        <v>4.74</v>
      </c>
      <c r="D252" s="18">
        <f>(8.5+8+6+7.5+10)/5</f>
        <v>8</v>
      </c>
      <c r="E252" s="18">
        <f t="shared" si="90"/>
        <v>12.74</v>
      </c>
      <c r="F252" s="22">
        <v>5</v>
      </c>
      <c r="G252" s="20">
        <v>3.1199999999999999E-2</v>
      </c>
      <c r="H252" s="20">
        <f t="shared" si="91"/>
        <v>6.2399999999999999E-3</v>
      </c>
      <c r="I252" s="20">
        <v>2.9399999999999999E-2</v>
      </c>
      <c r="J252" s="20">
        <f t="shared" si="92"/>
        <v>5.8799999999999998E-3</v>
      </c>
      <c r="K252" s="20">
        <v>2.5899999999999999E-2</v>
      </c>
      <c r="L252" s="20">
        <f t="shared" si="93"/>
        <v>5.1799999999999997E-3</v>
      </c>
      <c r="M252" s="14">
        <v>5</v>
      </c>
      <c r="N252" s="20">
        <f t="shared" si="94"/>
        <v>1.7299999999999999E-2</v>
      </c>
      <c r="O252" s="20">
        <f t="shared" si="95"/>
        <v>0.46795366795366794</v>
      </c>
      <c r="P252" s="20">
        <f t="shared" si="96"/>
        <v>0.3606936416184971</v>
      </c>
      <c r="Q252" s="20">
        <f t="shared" si="97"/>
        <v>0.33988439306358381</v>
      </c>
      <c r="R252" s="20">
        <f t="shared" si="98"/>
        <v>0.29942196531791909</v>
      </c>
    </row>
    <row r="253" spans="1:18" x14ac:dyDescent="0.25">
      <c r="A253" s="10" t="s">
        <v>384</v>
      </c>
      <c r="B253" t="s">
        <v>12</v>
      </c>
      <c r="C253" s="18">
        <f>(4.2+4.1+4.5+4)/4</f>
        <v>4.2</v>
      </c>
      <c r="D253" s="18">
        <f>(8.5+10.5+9.5+8)/4</f>
        <v>9.125</v>
      </c>
      <c r="E253" s="18">
        <f t="shared" si="90"/>
        <v>13.324999999999999</v>
      </c>
      <c r="F253" s="8">
        <f>9/4</f>
        <v>2.25</v>
      </c>
      <c r="G253" s="20">
        <v>2.0899999999999998E-2</v>
      </c>
      <c r="H253" s="20">
        <f t="shared" si="91"/>
        <v>5.2249999999999996E-3</v>
      </c>
      <c r="I253" s="20">
        <v>1.4E-2</v>
      </c>
      <c r="J253" s="20">
        <f t="shared" si="92"/>
        <v>3.5000000000000001E-3</v>
      </c>
      <c r="K253" s="20">
        <v>1.8100000000000002E-2</v>
      </c>
      <c r="L253" s="20">
        <f t="shared" si="93"/>
        <v>4.5250000000000004E-3</v>
      </c>
      <c r="M253" s="14">
        <v>4</v>
      </c>
      <c r="N253" s="20">
        <f t="shared" si="94"/>
        <v>1.3250000000000001E-2</v>
      </c>
      <c r="O253" s="20">
        <f t="shared" si="95"/>
        <v>0.48204419889502759</v>
      </c>
      <c r="P253" s="20">
        <f t="shared" si="96"/>
        <v>0.39433962264150935</v>
      </c>
      <c r="Q253" s="20">
        <f t="shared" si="97"/>
        <v>0.26415094339622641</v>
      </c>
      <c r="R253" s="20">
        <f t="shared" si="98"/>
        <v>0.34150943396226413</v>
      </c>
    </row>
    <row r="254" spans="1:18" x14ac:dyDescent="0.25">
      <c r="A254" s="10" t="s">
        <v>384</v>
      </c>
      <c r="B254" t="s">
        <v>13</v>
      </c>
      <c r="C254" s="18">
        <v>5</v>
      </c>
      <c r="D254" s="18">
        <v>7</v>
      </c>
      <c r="E254" s="18">
        <f t="shared" si="90"/>
        <v>12</v>
      </c>
      <c r="F254" s="21">
        <v>3</v>
      </c>
      <c r="G254" s="20">
        <v>5.7000000000000002E-3</v>
      </c>
      <c r="H254" s="20">
        <f t="shared" si="91"/>
        <v>5.7000000000000002E-3</v>
      </c>
      <c r="I254" s="20">
        <v>1.0999999999999999E-2</v>
      </c>
      <c r="J254" s="20">
        <f t="shared" si="92"/>
        <v>1.0999999999999999E-2</v>
      </c>
      <c r="K254" s="20">
        <v>5.0000000000000001E-3</v>
      </c>
      <c r="L254" s="20">
        <f t="shared" si="93"/>
        <v>5.0000000000000001E-3</v>
      </c>
      <c r="M254" s="14">
        <v>1</v>
      </c>
      <c r="N254" s="20">
        <f t="shared" si="94"/>
        <v>2.1700000000000001E-2</v>
      </c>
      <c r="O254" s="20">
        <f t="shared" si="95"/>
        <v>3.34</v>
      </c>
      <c r="P254" s="20">
        <f t="shared" si="96"/>
        <v>0.26267281105990786</v>
      </c>
      <c r="Q254" s="20">
        <f t="shared" si="97"/>
        <v>0.50691244239631328</v>
      </c>
      <c r="R254" s="20">
        <f t="shared" si="98"/>
        <v>0.2304147465437788</v>
      </c>
    </row>
    <row r="255" spans="1:18" x14ac:dyDescent="0.25">
      <c r="A255" s="10" t="s">
        <v>384</v>
      </c>
      <c r="B255" t="s">
        <v>14</v>
      </c>
      <c r="C255" s="18">
        <f>(6.5+6.5+6)/3</f>
        <v>6.333333333333333</v>
      </c>
      <c r="D255" s="18">
        <f>(9.5+12+12)/3</f>
        <v>11.166666666666666</v>
      </c>
      <c r="E255" s="18">
        <f t="shared" si="90"/>
        <v>17.5</v>
      </c>
      <c r="F255" s="22">
        <f>7/3</f>
        <v>2.3333333333333335</v>
      </c>
      <c r="G255" s="20">
        <v>2.9700000000000001E-2</v>
      </c>
      <c r="H255" s="20">
        <f t="shared" si="91"/>
        <v>9.9000000000000008E-3</v>
      </c>
      <c r="I255" s="20">
        <v>3.6499999999999998E-2</v>
      </c>
      <c r="J255" s="20">
        <f t="shared" si="92"/>
        <v>1.2166666666666666E-2</v>
      </c>
      <c r="K255" s="20">
        <v>2.8400000000000002E-2</v>
      </c>
      <c r="L255" s="20">
        <f t="shared" si="93"/>
        <v>9.4666666666666666E-3</v>
      </c>
      <c r="M255" s="14">
        <v>3</v>
      </c>
      <c r="N255" s="20">
        <f t="shared" si="94"/>
        <v>3.153333333333333E-2</v>
      </c>
      <c r="O255" s="20">
        <f t="shared" si="95"/>
        <v>0.77699530516431914</v>
      </c>
      <c r="P255" s="20">
        <f t="shared" si="96"/>
        <v>0.31395348837209308</v>
      </c>
      <c r="Q255" s="20">
        <f t="shared" si="97"/>
        <v>0.38583509513742076</v>
      </c>
      <c r="R255" s="20">
        <f t="shared" si="98"/>
        <v>0.30021141649048627</v>
      </c>
    </row>
    <row r="256" spans="1:18" x14ac:dyDescent="0.25">
      <c r="A256" s="10" t="s">
        <v>384</v>
      </c>
      <c r="B256" t="s">
        <v>15</v>
      </c>
      <c r="C256" s="18">
        <f>(5+5.5+4.5+4.5)/4</f>
        <v>4.875</v>
      </c>
      <c r="D256" s="18">
        <f>(14+9.5+8.5+6)/4</f>
        <v>9.5</v>
      </c>
      <c r="E256" s="18">
        <f t="shared" si="90"/>
        <v>14.375</v>
      </c>
      <c r="F256" s="21">
        <v>2</v>
      </c>
      <c r="G256" s="20">
        <v>2.23E-2</v>
      </c>
      <c r="H256" s="20">
        <f t="shared" si="91"/>
        <v>5.5750000000000001E-3</v>
      </c>
      <c r="I256" s="20">
        <v>2.3400000000000001E-2</v>
      </c>
      <c r="J256" s="20">
        <f t="shared" si="92"/>
        <v>5.8500000000000002E-3</v>
      </c>
      <c r="K256" s="20">
        <v>2.07E-2</v>
      </c>
      <c r="L256" s="20">
        <f t="shared" si="93"/>
        <v>5.1749999999999999E-3</v>
      </c>
      <c r="M256" s="14">
        <v>4</v>
      </c>
      <c r="N256" s="20">
        <f t="shared" si="94"/>
        <v>1.66E-2</v>
      </c>
      <c r="O256" s="20">
        <f t="shared" si="95"/>
        <v>0.55193236714975846</v>
      </c>
      <c r="P256" s="20">
        <f t="shared" si="96"/>
        <v>0.33584337349397592</v>
      </c>
      <c r="Q256" s="20">
        <f t="shared" si="97"/>
        <v>0.35240963855421686</v>
      </c>
      <c r="R256" s="20">
        <f t="shared" si="98"/>
        <v>0.31174698795180722</v>
      </c>
    </row>
    <row r="257" spans="1:18" x14ac:dyDescent="0.25">
      <c r="A257" s="10" t="s">
        <v>384</v>
      </c>
      <c r="B257" t="s">
        <v>16</v>
      </c>
      <c r="C257" s="18">
        <f>(4+4.5)/2</f>
        <v>4.25</v>
      </c>
      <c r="D257" s="18">
        <f>(7+8)/2</f>
        <v>7.5</v>
      </c>
      <c r="E257" s="18">
        <f t="shared" si="90"/>
        <v>11.75</v>
      </c>
      <c r="F257" s="22">
        <v>3</v>
      </c>
      <c r="G257" s="20">
        <v>1.11E-2</v>
      </c>
      <c r="H257" s="20">
        <f t="shared" si="91"/>
        <v>5.5500000000000002E-3</v>
      </c>
      <c r="I257" s="20">
        <v>1.18E-2</v>
      </c>
      <c r="J257" s="20">
        <f t="shared" si="92"/>
        <v>5.8999999999999999E-3</v>
      </c>
      <c r="K257" s="20">
        <v>7.7000000000000002E-3</v>
      </c>
      <c r="L257" s="20">
        <f t="shared" si="93"/>
        <v>3.8500000000000001E-3</v>
      </c>
      <c r="M257" s="14">
        <v>2</v>
      </c>
      <c r="N257" s="20">
        <f t="shared" si="94"/>
        <v>1.5300000000000001E-2</v>
      </c>
      <c r="O257" s="20">
        <f t="shared" si="95"/>
        <v>1.4870129870129869</v>
      </c>
      <c r="P257" s="20">
        <f t="shared" si="96"/>
        <v>0.36274509803921567</v>
      </c>
      <c r="Q257" s="20">
        <f t="shared" si="97"/>
        <v>0.3856209150326797</v>
      </c>
      <c r="R257" s="20">
        <f t="shared" si="98"/>
        <v>0.25163398692810457</v>
      </c>
    </row>
    <row r="258" spans="1:18" x14ac:dyDescent="0.25">
      <c r="A258" s="10" t="s">
        <v>384</v>
      </c>
      <c r="B258" t="s">
        <v>17</v>
      </c>
      <c r="C258" s="18">
        <f>(4+5+5.5+6)/4</f>
        <v>5.125</v>
      </c>
      <c r="D258" s="18">
        <f>(11+9+9+6)/4</f>
        <v>8.75</v>
      </c>
      <c r="E258" s="18">
        <f t="shared" si="90"/>
        <v>13.875</v>
      </c>
      <c r="F258">
        <v>2</v>
      </c>
      <c r="G258" s="20">
        <v>3.0499999999999999E-2</v>
      </c>
      <c r="H258" s="20">
        <f t="shared" si="91"/>
        <v>7.6249999999999998E-3</v>
      </c>
      <c r="I258" s="20">
        <v>4.2999999999999997E-2</v>
      </c>
      <c r="J258" s="20">
        <f t="shared" si="92"/>
        <v>1.0749999999999999E-2</v>
      </c>
      <c r="K258" s="20">
        <v>2.1600000000000001E-2</v>
      </c>
      <c r="L258" s="20">
        <f t="shared" si="93"/>
        <v>5.4000000000000003E-3</v>
      </c>
      <c r="M258" s="14">
        <v>4</v>
      </c>
      <c r="N258" s="20">
        <f t="shared" si="94"/>
        <v>2.3774999999999998E-2</v>
      </c>
      <c r="O258" s="20">
        <f t="shared" si="95"/>
        <v>0.85069444444444431</v>
      </c>
      <c r="P258" s="20">
        <f t="shared" si="96"/>
        <v>0.32071503680336488</v>
      </c>
      <c r="Q258" s="20">
        <f t="shared" si="97"/>
        <v>0.45215562565720296</v>
      </c>
      <c r="R258" s="20">
        <f t="shared" si="98"/>
        <v>0.22712933753943221</v>
      </c>
    </row>
    <row r="259" spans="1:18" x14ac:dyDescent="0.25">
      <c r="A259" s="10" t="s">
        <v>384</v>
      </c>
      <c r="B259" t="s">
        <v>18</v>
      </c>
      <c r="C259" s="18">
        <f>(6.5+4.6+4)/3</f>
        <v>5.0333333333333332</v>
      </c>
      <c r="D259" s="18">
        <f>(5+5.5+5)/3</f>
        <v>5.166666666666667</v>
      </c>
      <c r="E259" s="18">
        <f t="shared" si="90"/>
        <v>10.199999999999999</v>
      </c>
      <c r="F259" s="22">
        <v>2</v>
      </c>
      <c r="G259" s="20">
        <v>1.7100000000000001E-2</v>
      </c>
      <c r="H259" s="20">
        <f t="shared" si="91"/>
        <v>5.7000000000000002E-3</v>
      </c>
      <c r="I259" s="20">
        <v>1.1299999999999999E-2</v>
      </c>
      <c r="J259" s="20">
        <f t="shared" si="92"/>
        <v>3.7666666666666664E-3</v>
      </c>
      <c r="K259" s="20">
        <v>5.0000000000000001E-3</v>
      </c>
      <c r="L259" s="20">
        <f t="shared" si="93"/>
        <v>1.6666666666666668E-3</v>
      </c>
      <c r="M259" s="14">
        <v>3</v>
      </c>
      <c r="N259" s="20">
        <f t="shared" si="94"/>
        <v>1.1133333333333334E-2</v>
      </c>
      <c r="O259" s="20">
        <f t="shared" si="95"/>
        <v>1.8933333333333333</v>
      </c>
      <c r="P259" s="20">
        <f t="shared" si="96"/>
        <v>0.5119760479041916</v>
      </c>
      <c r="Q259" s="20">
        <f t="shared" si="97"/>
        <v>0.33832335329341312</v>
      </c>
      <c r="R259" s="20">
        <f t="shared" si="98"/>
        <v>0.14970059880239522</v>
      </c>
    </row>
    <row r="260" spans="1:18" x14ac:dyDescent="0.25">
      <c r="A260" s="10" t="s">
        <v>384</v>
      </c>
      <c r="B260" t="s">
        <v>19</v>
      </c>
      <c r="C260" s="18">
        <f>(3.5+4)/2</f>
        <v>3.75</v>
      </c>
      <c r="D260" s="18">
        <f>(9+13)/2</f>
        <v>11</v>
      </c>
      <c r="E260" s="18">
        <f t="shared" si="90"/>
        <v>14.75</v>
      </c>
      <c r="F260">
        <v>2</v>
      </c>
      <c r="G260" s="20">
        <v>9.9000000000000008E-3</v>
      </c>
      <c r="H260" s="20">
        <f t="shared" si="91"/>
        <v>4.9500000000000004E-3</v>
      </c>
      <c r="I260" s="20">
        <v>1.0999999999999999E-2</v>
      </c>
      <c r="J260" s="20">
        <f t="shared" si="92"/>
        <v>5.4999999999999997E-3</v>
      </c>
      <c r="K260" s="20">
        <v>1.2699999999999999E-2</v>
      </c>
      <c r="L260" s="20">
        <f t="shared" si="93"/>
        <v>6.3499999999999997E-3</v>
      </c>
      <c r="M260" s="14">
        <v>2</v>
      </c>
      <c r="N260" s="20">
        <f t="shared" si="94"/>
        <v>1.6800000000000002E-2</v>
      </c>
      <c r="O260" s="20">
        <f t="shared" si="95"/>
        <v>0.82283464566929143</v>
      </c>
      <c r="P260" s="20">
        <f t="shared" si="96"/>
        <v>0.29464285714285715</v>
      </c>
      <c r="Q260" s="20">
        <f t="shared" si="97"/>
        <v>0.32738095238095233</v>
      </c>
      <c r="R260" s="20">
        <f t="shared" si="98"/>
        <v>0.37797619047619041</v>
      </c>
    </row>
    <row r="261" spans="1:18" x14ac:dyDescent="0.25">
      <c r="A261" s="10" t="s">
        <v>384</v>
      </c>
      <c r="B261" t="s">
        <v>20</v>
      </c>
      <c r="C261" s="18">
        <f>(4.5+5+4.2)/3</f>
        <v>4.5666666666666664</v>
      </c>
      <c r="D261" s="18">
        <f>(7+12+7)/3</f>
        <v>8.6666666666666661</v>
      </c>
      <c r="E261" s="18">
        <f t="shared" si="90"/>
        <v>13.233333333333333</v>
      </c>
      <c r="F261" s="22">
        <v>2</v>
      </c>
      <c r="G261" s="20">
        <v>2.1999999999999999E-2</v>
      </c>
      <c r="H261" s="20">
        <f t="shared" si="91"/>
        <v>7.3333333333333332E-3</v>
      </c>
      <c r="I261" s="20">
        <v>1.52E-2</v>
      </c>
      <c r="J261" s="20">
        <f t="shared" si="92"/>
        <v>5.0666666666666664E-3</v>
      </c>
      <c r="K261" s="20">
        <v>1.72E-2</v>
      </c>
      <c r="L261" s="20">
        <f t="shared" si="93"/>
        <v>5.7333333333333333E-3</v>
      </c>
      <c r="M261" s="14">
        <v>3</v>
      </c>
      <c r="N261" s="20">
        <f t="shared" si="94"/>
        <v>1.8133333333333335E-2</v>
      </c>
      <c r="O261" s="20">
        <f t="shared" si="95"/>
        <v>0.72093023255813948</v>
      </c>
      <c r="P261" s="20">
        <f t="shared" si="96"/>
        <v>0.4044117647058823</v>
      </c>
      <c r="Q261" s="20">
        <f t="shared" si="97"/>
        <v>0.2794117647058823</v>
      </c>
      <c r="R261" s="20">
        <f t="shared" si="98"/>
        <v>0.31617647058823528</v>
      </c>
    </row>
    <row r="262" spans="1:18" x14ac:dyDescent="0.25">
      <c r="A262" s="11" t="s">
        <v>384</v>
      </c>
      <c r="B262" t="s">
        <v>21</v>
      </c>
      <c r="C262" s="18">
        <f>(4+3.2+4.2+3.5+4)/5</f>
        <v>3.78</v>
      </c>
      <c r="D262" s="18">
        <f>(8+8+8+8.5+8.5)/5</f>
        <v>8.1999999999999993</v>
      </c>
      <c r="E262" s="18">
        <f t="shared" si="90"/>
        <v>11.979999999999999</v>
      </c>
      <c r="F262" s="21">
        <v>2</v>
      </c>
      <c r="G262" s="20">
        <v>2.06E-2</v>
      </c>
      <c r="H262" s="20">
        <f t="shared" si="91"/>
        <v>4.1200000000000004E-3</v>
      </c>
      <c r="I262" s="20">
        <v>1.78E-2</v>
      </c>
      <c r="J262" s="20">
        <f t="shared" si="92"/>
        <v>3.5599999999999998E-3</v>
      </c>
      <c r="K262" s="20">
        <v>1.8100000000000002E-2</v>
      </c>
      <c r="L262" s="20">
        <f t="shared" si="93"/>
        <v>3.6200000000000004E-3</v>
      </c>
      <c r="M262" s="14">
        <v>5</v>
      </c>
      <c r="N262" s="20">
        <f t="shared" si="94"/>
        <v>1.1300000000000001E-2</v>
      </c>
      <c r="O262" s="20">
        <f t="shared" si="95"/>
        <v>0.42430939226519332</v>
      </c>
      <c r="P262" s="20">
        <f t="shared" si="96"/>
        <v>0.36460176991150445</v>
      </c>
      <c r="Q262" s="20">
        <f t="shared" si="97"/>
        <v>0.31504424778761059</v>
      </c>
      <c r="R262" s="20">
        <f t="shared" si="98"/>
        <v>0.32035398230088497</v>
      </c>
    </row>
    <row r="263" spans="1:18" x14ac:dyDescent="0.25">
      <c r="A263" s="11" t="s">
        <v>384</v>
      </c>
      <c r="B263" t="s">
        <v>22</v>
      </c>
      <c r="C263" s="18">
        <f>(4+4.5+5.5)/3</f>
        <v>4.666666666666667</v>
      </c>
      <c r="D263" s="18">
        <f>(13+8+9.5)/3</f>
        <v>10.166666666666666</v>
      </c>
      <c r="E263" s="18">
        <f t="shared" si="90"/>
        <v>14.833333333333332</v>
      </c>
      <c r="F263">
        <v>2</v>
      </c>
      <c r="G263" s="20">
        <v>2.4E-2</v>
      </c>
      <c r="H263" s="20">
        <f t="shared" si="91"/>
        <v>8.0000000000000002E-3</v>
      </c>
      <c r="I263" s="20">
        <v>3.6400000000000002E-2</v>
      </c>
      <c r="J263" s="20">
        <f t="shared" si="92"/>
        <v>1.2133333333333335E-2</v>
      </c>
      <c r="K263" s="20">
        <v>2.2700000000000001E-2</v>
      </c>
      <c r="L263" s="20">
        <f t="shared" si="93"/>
        <v>7.5666666666666669E-3</v>
      </c>
      <c r="M263" s="14">
        <v>3</v>
      </c>
      <c r="N263" s="20">
        <f t="shared" si="94"/>
        <v>2.7700000000000002E-2</v>
      </c>
      <c r="O263" s="20">
        <f t="shared" si="95"/>
        <v>0.88693098384728353</v>
      </c>
      <c r="P263" s="20">
        <f t="shared" si="96"/>
        <v>0.28880866425992779</v>
      </c>
      <c r="Q263" s="20">
        <f t="shared" si="97"/>
        <v>0.43802647412755719</v>
      </c>
      <c r="R263" s="20">
        <f t="shared" si="98"/>
        <v>0.27316486161251502</v>
      </c>
    </row>
    <row r="264" spans="1:18" x14ac:dyDescent="0.25">
      <c r="A264" s="11" t="s">
        <v>384</v>
      </c>
      <c r="B264" t="s">
        <v>23</v>
      </c>
      <c r="C264" s="18">
        <f>(4.5+5.5+5.2+6+4)/5</f>
        <v>5.04</v>
      </c>
      <c r="D264" s="18">
        <f>(8.5+9.5+4+10.5+5.5)/5</f>
        <v>7.6</v>
      </c>
      <c r="E264" s="18">
        <f t="shared" si="90"/>
        <v>12.64</v>
      </c>
      <c r="F264" s="22">
        <f>12/5</f>
        <v>2.4</v>
      </c>
      <c r="G264" s="20">
        <v>3.1699999999999999E-2</v>
      </c>
      <c r="H264" s="20">
        <f t="shared" si="91"/>
        <v>6.3400000000000001E-3</v>
      </c>
      <c r="I264" s="20">
        <v>4.19E-2</v>
      </c>
      <c r="J264" s="20">
        <f t="shared" si="92"/>
        <v>8.3800000000000003E-3</v>
      </c>
      <c r="K264" s="20">
        <v>2.7699999999999999E-2</v>
      </c>
      <c r="L264" s="20">
        <f t="shared" si="93"/>
        <v>5.5399999999999998E-3</v>
      </c>
      <c r="M264" s="14">
        <v>5</v>
      </c>
      <c r="N264" s="20">
        <f t="shared" si="94"/>
        <v>2.026E-2</v>
      </c>
      <c r="O264" s="20">
        <f t="shared" si="95"/>
        <v>0.53140794223826715</v>
      </c>
      <c r="P264" s="20">
        <f t="shared" si="96"/>
        <v>0.31293188548864759</v>
      </c>
      <c r="Q264" s="20">
        <f t="shared" si="97"/>
        <v>0.41362290227048371</v>
      </c>
      <c r="R264" s="20">
        <f t="shared" si="98"/>
        <v>0.27344521224086871</v>
      </c>
    </row>
    <row r="265" spans="1:18" x14ac:dyDescent="0.25">
      <c r="A265" s="11" t="s">
        <v>384</v>
      </c>
      <c r="B265" t="s">
        <v>24</v>
      </c>
      <c r="C265" s="18">
        <f>(4.5+4+4)/3</f>
        <v>4.166666666666667</v>
      </c>
      <c r="D265" s="18">
        <f>(6.5+6.5+9.5)/3</f>
        <v>7.5</v>
      </c>
      <c r="E265" s="18">
        <f t="shared" si="90"/>
        <v>11.666666666666668</v>
      </c>
      <c r="F265" s="21">
        <f>6/3</f>
        <v>2</v>
      </c>
      <c r="G265" s="20">
        <v>1.3299999999999999E-2</v>
      </c>
      <c r="H265" s="20">
        <f t="shared" si="91"/>
        <v>4.4333333333333334E-3</v>
      </c>
      <c r="I265" s="20">
        <v>9.1999999999999998E-3</v>
      </c>
      <c r="J265" s="20">
        <f t="shared" si="92"/>
        <v>3.0666666666666668E-3</v>
      </c>
      <c r="K265" s="20">
        <v>8.8000000000000005E-3</v>
      </c>
      <c r="L265" s="20">
        <f t="shared" si="93"/>
        <v>2.9333333333333334E-3</v>
      </c>
      <c r="M265" s="14">
        <v>3</v>
      </c>
      <c r="N265" s="20">
        <f t="shared" si="94"/>
        <v>1.0433333333333333E-2</v>
      </c>
      <c r="O265" s="20">
        <f t="shared" si="95"/>
        <v>0.85227272727272718</v>
      </c>
      <c r="P265" s="20">
        <f t="shared" si="96"/>
        <v>0.42492012779552718</v>
      </c>
      <c r="Q265" s="20">
        <f t="shared" si="97"/>
        <v>0.29392971246006394</v>
      </c>
      <c r="R265" s="20">
        <f t="shared" si="98"/>
        <v>0.28115015974440899</v>
      </c>
    </row>
    <row r="266" spans="1:18" x14ac:dyDescent="0.25">
      <c r="A266" s="11" t="s">
        <v>384</v>
      </c>
      <c r="B266" t="s">
        <v>25</v>
      </c>
      <c r="C266" s="18">
        <f>(5+4.5+5+5)/4</f>
        <v>4.875</v>
      </c>
      <c r="D266" s="18">
        <f>(9.5+10.5+6+7.5)/4</f>
        <v>8.375</v>
      </c>
      <c r="E266" s="18">
        <f t="shared" si="90"/>
        <v>13.25</v>
      </c>
      <c r="F266" s="22">
        <f>7/4</f>
        <v>1.75</v>
      </c>
      <c r="G266" s="20">
        <v>1.9400000000000001E-2</v>
      </c>
      <c r="H266" s="20">
        <f t="shared" si="91"/>
        <v>4.8500000000000001E-3</v>
      </c>
      <c r="I266" s="20">
        <v>1.7399999999999999E-2</v>
      </c>
      <c r="J266" s="20">
        <f t="shared" si="92"/>
        <v>4.3499999999999997E-3</v>
      </c>
      <c r="K266" s="20">
        <v>1.77E-2</v>
      </c>
      <c r="L266" s="20">
        <f t="shared" si="93"/>
        <v>4.4250000000000001E-3</v>
      </c>
      <c r="M266" s="14">
        <v>4</v>
      </c>
      <c r="N266" s="20">
        <f t="shared" si="94"/>
        <v>1.3625E-2</v>
      </c>
      <c r="O266" s="20">
        <f t="shared" si="95"/>
        <v>0.51977401129943501</v>
      </c>
      <c r="P266" s="20">
        <f t="shared" si="96"/>
        <v>0.3559633027522936</v>
      </c>
      <c r="Q266" s="20">
        <f t="shared" si="97"/>
        <v>0.31926605504587152</v>
      </c>
      <c r="R266" s="20">
        <f t="shared" si="98"/>
        <v>0.32477064220183488</v>
      </c>
    </row>
    <row r="267" spans="1:18" x14ac:dyDescent="0.25">
      <c r="A267" s="11" t="s">
        <v>384</v>
      </c>
      <c r="B267" t="s">
        <v>26</v>
      </c>
      <c r="C267" s="18">
        <f>(4+4+4.5+4.5+4)/5</f>
        <v>4.2</v>
      </c>
      <c r="D267" s="18">
        <f>(7.5+8+7+6+8)/5</f>
        <v>7.3</v>
      </c>
      <c r="E267" s="18">
        <f t="shared" si="90"/>
        <v>11.5</v>
      </c>
      <c r="F267" s="21">
        <v>5</v>
      </c>
      <c r="G267" s="20">
        <v>2.75E-2</v>
      </c>
      <c r="H267" s="20">
        <f t="shared" si="91"/>
        <v>5.4999999999999997E-3</v>
      </c>
      <c r="I267" s="20">
        <v>3.0300000000000001E-2</v>
      </c>
      <c r="J267" s="20">
        <f t="shared" si="92"/>
        <v>6.0600000000000003E-3</v>
      </c>
      <c r="K267" s="20">
        <v>2.87E-2</v>
      </c>
      <c r="L267" s="20">
        <f t="shared" si="93"/>
        <v>5.7400000000000003E-3</v>
      </c>
      <c r="M267" s="14">
        <v>5</v>
      </c>
      <c r="N267" s="20">
        <f t="shared" si="94"/>
        <v>1.7300000000000003E-2</v>
      </c>
      <c r="O267" s="20">
        <f t="shared" si="95"/>
        <v>0.40278745644599306</v>
      </c>
      <c r="P267" s="20">
        <f t="shared" si="96"/>
        <v>0.31791907514450862</v>
      </c>
      <c r="Q267" s="20">
        <f t="shared" si="97"/>
        <v>0.3502890173410404</v>
      </c>
      <c r="R267" s="20">
        <f t="shared" si="98"/>
        <v>0.33179190751445081</v>
      </c>
    </row>
    <row r="268" spans="1:18" x14ac:dyDescent="0.25">
      <c r="A268" s="11" t="s">
        <v>384</v>
      </c>
      <c r="B268" t="s">
        <v>27</v>
      </c>
      <c r="C268" s="18">
        <f>(5.5+5+5.5)/3</f>
        <v>5.333333333333333</v>
      </c>
      <c r="D268" s="18">
        <f>(10+17+10.5)/3</f>
        <v>12.5</v>
      </c>
      <c r="E268" s="18">
        <f t="shared" si="90"/>
        <v>17.833333333333332</v>
      </c>
      <c r="F268" s="22">
        <f>8/3</f>
        <v>2.6666666666666665</v>
      </c>
      <c r="G268" s="20">
        <v>9.5999999999999992E-3</v>
      </c>
      <c r="H268" s="20">
        <f t="shared" si="91"/>
        <v>3.1999999999999997E-3</v>
      </c>
      <c r="I268" s="20">
        <v>2.18E-2</v>
      </c>
      <c r="J268" s="20">
        <f t="shared" si="92"/>
        <v>7.2666666666666669E-3</v>
      </c>
      <c r="K268" s="20">
        <v>1.04E-2</v>
      </c>
      <c r="L268" s="20">
        <f t="shared" si="93"/>
        <v>3.4666666666666665E-3</v>
      </c>
      <c r="M268" s="14">
        <v>3</v>
      </c>
      <c r="N268" s="20">
        <f t="shared" si="94"/>
        <v>1.3933333333333332E-2</v>
      </c>
      <c r="O268" s="20">
        <f t="shared" si="95"/>
        <v>1.0064102564102564</v>
      </c>
      <c r="P268" s="20">
        <f t="shared" si="96"/>
        <v>0.22966507177033493</v>
      </c>
      <c r="Q268" s="20">
        <f t="shared" si="97"/>
        <v>0.52153110047846896</v>
      </c>
      <c r="R268" s="20">
        <f t="shared" si="98"/>
        <v>0.24880382775119617</v>
      </c>
    </row>
    <row r="269" spans="1:18" x14ac:dyDescent="0.25">
      <c r="A269" s="11" t="s">
        <v>384</v>
      </c>
      <c r="B269" t="s">
        <v>28</v>
      </c>
      <c r="C269" s="18">
        <f>(5+3.5+4)/3</f>
        <v>4.166666666666667</v>
      </c>
      <c r="D269" s="18">
        <f>(5.5+6+5.5)/3</f>
        <v>5.666666666666667</v>
      </c>
      <c r="E269" s="18">
        <f t="shared" si="90"/>
        <v>9.8333333333333339</v>
      </c>
      <c r="F269">
        <v>2</v>
      </c>
      <c r="G269" s="20">
        <v>1.77E-2</v>
      </c>
      <c r="H269" s="20">
        <f t="shared" si="91"/>
        <v>5.8999999999999999E-3</v>
      </c>
      <c r="I269" s="20">
        <v>2.5600000000000001E-2</v>
      </c>
      <c r="J269" s="20">
        <f t="shared" si="92"/>
        <v>8.5333333333333337E-3</v>
      </c>
      <c r="K269" s="20">
        <v>8.8000000000000005E-3</v>
      </c>
      <c r="L269" s="20">
        <f t="shared" si="93"/>
        <v>2.9333333333333334E-3</v>
      </c>
      <c r="M269" s="14">
        <v>3</v>
      </c>
      <c r="N269" s="20">
        <f t="shared" si="94"/>
        <v>1.7366666666666666E-2</v>
      </c>
      <c r="O269" s="20">
        <f t="shared" si="95"/>
        <v>1.6401515151515149</v>
      </c>
      <c r="P269" s="20">
        <f t="shared" si="96"/>
        <v>0.33973128598848368</v>
      </c>
      <c r="Q269" s="20">
        <f t="shared" si="97"/>
        <v>0.49136276391554706</v>
      </c>
      <c r="R269" s="20">
        <f t="shared" si="98"/>
        <v>0.16890595009596931</v>
      </c>
    </row>
    <row r="270" spans="1:18" x14ac:dyDescent="0.25">
      <c r="A270" s="11" t="s">
        <v>384</v>
      </c>
      <c r="B270" t="s">
        <v>29</v>
      </c>
      <c r="C270" s="18">
        <f>(4+4+5+4.5)/4</f>
        <v>4.375</v>
      </c>
      <c r="D270" s="18">
        <f>(17+6.5+9.5+8)/4</f>
        <v>10.25</v>
      </c>
      <c r="E270" s="18">
        <f t="shared" si="90"/>
        <v>14.625</v>
      </c>
      <c r="F270" s="21">
        <v>2</v>
      </c>
      <c r="G270" s="20">
        <v>2.1000000000000001E-2</v>
      </c>
      <c r="H270" s="20">
        <f t="shared" si="91"/>
        <v>5.2500000000000003E-3</v>
      </c>
      <c r="I270" s="20">
        <v>2.3699999999999999E-2</v>
      </c>
      <c r="J270" s="20">
        <f t="shared" si="92"/>
        <v>5.9249999999999997E-3</v>
      </c>
      <c r="K270" s="20">
        <v>2.23E-2</v>
      </c>
      <c r="L270" s="20">
        <f t="shared" si="93"/>
        <v>5.5750000000000001E-3</v>
      </c>
      <c r="M270" s="14">
        <v>4</v>
      </c>
      <c r="N270" s="20">
        <f t="shared" si="94"/>
        <v>1.6750000000000001E-2</v>
      </c>
      <c r="O270" s="20">
        <f t="shared" si="95"/>
        <v>0.50112107623318392</v>
      </c>
      <c r="P270" s="20">
        <f t="shared" si="96"/>
        <v>0.31343283582089554</v>
      </c>
      <c r="Q270" s="20">
        <f t="shared" si="97"/>
        <v>0.35373134328358208</v>
      </c>
      <c r="R270" s="20">
        <f t="shared" si="98"/>
        <v>0.33283582089552238</v>
      </c>
    </row>
    <row r="271" spans="1:18" x14ac:dyDescent="0.25">
      <c r="A271" s="11" t="s">
        <v>384</v>
      </c>
      <c r="B271" t="s">
        <v>30</v>
      </c>
      <c r="C271" s="18">
        <v>3.5</v>
      </c>
      <c r="D271" s="18">
        <v>6</v>
      </c>
      <c r="E271" s="18">
        <f t="shared" si="90"/>
        <v>9.5</v>
      </c>
      <c r="F271">
        <v>2</v>
      </c>
      <c r="G271" s="20">
        <v>3.3999999999999998E-3</v>
      </c>
      <c r="H271" s="20">
        <f t="shared" si="91"/>
        <v>3.3999999999999998E-3</v>
      </c>
      <c r="I271" s="20">
        <v>2.8E-3</v>
      </c>
      <c r="J271" s="20">
        <f t="shared" si="92"/>
        <v>2.8E-3</v>
      </c>
      <c r="K271" s="20">
        <v>3.3E-3</v>
      </c>
      <c r="L271" s="20">
        <f t="shared" si="93"/>
        <v>3.3E-3</v>
      </c>
      <c r="M271" s="14">
        <v>1</v>
      </c>
      <c r="N271" s="20">
        <f t="shared" si="94"/>
        <v>9.4999999999999998E-3</v>
      </c>
      <c r="O271" s="20">
        <f t="shared" si="95"/>
        <v>1.8787878787878787</v>
      </c>
      <c r="P271" s="20">
        <f t="shared" si="96"/>
        <v>0.35789473684210527</v>
      </c>
      <c r="Q271" s="20">
        <f t="shared" si="97"/>
        <v>0.29473684210526319</v>
      </c>
      <c r="R271" s="20">
        <f t="shared" si="98"/>
        <v>0.3473684210526316</v>
      </c>
    </row>
    <row r="272" spans="1:18" x14ac:dyDescent="0.25">
      <c r="A272" s="11" t="s">
        <v>384</v>
      </c>
      <c r="B272" t="s">
        <v>31</v>
      </c>
      <c r="C272" s="18">
        <f>(5+5.5+4.5+4.5+4.8)/5</f>
        <v>4.8600000000000003</v>
      </c>
      <c r="D272" s="18">
        <f>(4.5+9+15+8.5+8)/5</f>
        <v>9</v>
      </c>
      <c r="E272" s="18">
        <f t="shared" si="90"/>
        <v>13.86</v>
      </c>
      <c r="F272">
        <v>2</v>
      </c>
      <c r="G272" s="20">
        <v>3.1E-2</v>
      </c>
      <c r="H272" s="20">
        <f t="shared" si="91"/>
        <v>6.1999999999999998E-3</v>
      </c>
      <c r="I272" s="20">
        <v>2.2800000000000001E-2</v>
      </c>
      <c r="J272" s="20">
        <f t="shared" si="92"/>
        <v>4.5599999999999998E-3</v>
      </c>
      <c r="K272" s="20">
        <v>2.3E-2</v>
      </c>
      <c r="L272" s="20">
        <f t="shared" si="93"/>
        <v>4.5999999999999999E-3</v>
      </c>
      <c r="M272" s="14">
        <v>5</v>
      </c>
      <c r="N272" s="20">
        <f t="shared" si="94"/>
        <v>1.5359999999999999E-2</v>
      </c>
      <c r="O272" s="20">
        <f t="shared" si="95"/>
        <v>0.46782608695652167</v>
      </c>
      <c r="P272" s="20">
        <f t="shared" si="96"/>
        <v>0.40364583333333337</v>
      </c>
      <c r="Q272" s="20">
        <f t="shared" si="97"/>
        <v>0.296875</v>
      </c>
      <c r="R272" s="20">
        <f t="shared" si="98"/>
        <v>0.29947916666666669</v>
      </c>
    </row>
    <row r="273" spans="1:18" x14ac:dyDescent="0.25">
      <c r="A273" s="11" t="s">
        <v>384</v>
      </c>
      <c r="B273" t="s">
        <v>32</v>
      </c>
      <c r="C273" s="18">
        <f>(5.5+5.5+5+5.8)/4</f>
        <v>5.45</v>
      </c>
      <c r="D273" s="18">
        <f>(8+10+8+6.5)/4</f>
        <v>8.125</v>
      </c>
      <c r="E273" s="18">
        <f t="shared" si="90"/>
        <v>13.574999999999999</v>
      </c>
      <c r="F273" s="21">
        <v>2</v>
      </c>
      <c r="G273" s="20">
        <v>2.5000000000000001E-2</v>
      </c>
      <c r="H273" s="20">
        <f t="shared" si="91"/>
        <v>6.2500000000000003E-3</v>
      </c>
      <c r="I273" s="20">
        <v>0.02</v>
      </c>
      <c r="J273" s="20">
        <f t="shared" si="92"/>
        <v>5.0000000000000001E-3</v>
      </c>
      <c r="K273" s="20">
        <v>1.8200000000000001E-2</v>
      </c>
      <c r="L273" s="20">
        <f t="shared" si="93"/>
        <v>4.5500000000000002E-3</v>
      </c>
      <c r="M273" s="14">
        <v>4</v>
      </c>
      <c r="N273" s="20">
        <f t="shared" si="94"/>
        <v>1.5800000000000002E-2</v>
      </c>
      <c r="O273" s="20">
        <f t="shared" si="95"/>
        <v>0.61813186813186805</v>
      </c>
      <c r="P273" s="20">
        <f t="shared" si="96"/>
        <v>0.39556962025316456</v>
      </c>
      <c r="Q273" s="20">
        <f t="shared" si="97"/>
        <v>0.31645569620253161</v>
      </c>
      <c r="R273" s="20">
        <f t="shared" si="98"/>
        <v>0.28797468354430378</v>
      </c>
    </row>
    <row r="274" spans="1:18" x14ac:dyDescent="0.25">
      <c r="A274" s="11" t="s">
        <v>384</v>
      </c>
      <c r="B274" t="s">
        <v>33</v>
      </c>
      <c r="C274" s="18">
        <f>(6.2+7+5.8+4.2)/4</f>
        <v>5.8</v>
      </c>
      <c r="D274" s="18">
        <f>(3.5+7+7.5+6)/4</f>
        <v>6</v>
      </c>
      <c r="E274" s="18">
        <f t="shared" si="90"/>
        <v>11.8</v>
      </c>
      <c r="F274" s="22">
        <f>11/4</f>
        <v>2.75</v>
      </c>
      <c r="G274" s="20">
        <v>3.44E-2</v>
      </c>
      <c r="H274" s="20">
        <f t="shared" si="91"/>
        <v>8.6E-3</v>
      </c>
      <c r="I274" s="20">
        <v>4.1000000000000002E-2</v>
      </c>
      <c r="J274" s="20">
        <f t="shared" si="92"/>
        <v>1.025E-2</v>
      </c>
      <c r="K274" s="20">
        <v>2.0400000000000001E-2</v>
      </c>
      <c r="L274" s="20">
        <f t="shared" si="93"/>
        <v>5.1000000000000004E-3</v>
      </c>
      <c r="M274" s="14">
        <v>4</v>
      </c>
      <c r="N274" s="20">
        <f t="shared" si="94"/>
        <v>2.3949999999999999E-2</v>
      </c>
      <c r="O274" s="20">
        <f t="shared" si="95"/>
        <v>0.92401960784313708</v>
      </c>
      <c r="P274" s="20">
        <f t="shared" si="96"/>
        <v>0.35908141962421714</v>
      </c>
      <c r="Q274" s="20">
        <f t="shared" si="97"/>
        <v>0.42797494780793321</v>
      </c>
      <c r="R274" s="20">
        <f t="shared" si="98"/>
        <v>0.21294363256784971</v>
      </c>
    </row>
    <row r="275" spans="1:18" x14ac:dyDescent="0.25">
      <c r="A275" s="11" t="s">
        <v>384</v>
      </c>
      <c r="B275" t="s">
        <v>34</v>
      </c>
      <c r="C275" s="18">
        <f>(5+5+4.5)/3</f>
        <v>4.833333333333333</v>
      </c>
      <c r="D275" s="18">
        <f>(11+12.5+9.5)/3</f>
        <v>11</v>
      </c>
      <c r="E275" s="18">
        <f t="shared" si="90"/>
        <v>15.833333333333332</v>
      </c>
      <c r="F275" s="21">
        <v>2</v>
      </c>
      <c r="G275" s="20">
        <v>2.1299999999999999E-2</v>
      </c>
      <c r="H275" s="20">
        <f t="shared" si="91"/>
        <v>7.0999999999999995E-3</v>
      </c>
      <c r="I275" s="20">
        <v>2.2200000000000001E-2</v>
      </c>
      <c r="J275" s="20">
        <f t="shared" si="92"/>
        <v>7.4000000000000003E-3</v>
      </c>
      <c r="K275" s="20">
        <v>2.3699999999999999E-2</v>
      </c>
      <c r="L275" s="20">
        <f t="shared" si="93"/>
        <v>7.899999999999999E-3</v>
      </c>
      <c r="M275" s="14">
        <v>3</v>
      </c>
      <c r="N275" s="20">
        <f t="shared" si="94"/>
        <v>2.2399999999999996E-2</v>
      </c>
      <c r="O275" s="20">
        <f t="shared" si="95"/>
        <v>0.61181434599156115</v>
      </c>
      <c r="P275" s="20">
        <f t="shared" si="96"/>
        <v>0.31696428571428575</v>
      </c>
      <c r="Q275" s="20">
        <f t="shared" si="97"/>
        <v>0.3303571428571429</v>
      </c>
      <c r="R275" s="20">
        <f t="shared" si="98"/>
        <v>0.35267857142857145</v>
      </c>
    </row>
    <row r="276" spans="1:18" x14ac:dyDescent="0.25">
      <c r="A276" s="11" t="s">
        <v>384</v>
      </c>
      <c r="B276" t="s">
        <v>35</v>
      </c>
      <c r="C276" s="18">
        <f>(4.5+5+4+4.5+4.5+4+5+4.5+5)/9</f>
        <v>4.5555555555555554</v>
      </c>
      <c r="D276" s="18">
        <f>(8+6.5+12+9+6+5.5+7+5)/9</f>
        <v>6.5555555555555554</v>
      </c>
      <c r="E276" s="18">
        <f t="shared" si="90"/>
        <v>11.111111111111111</v>
      </c>
      <c r="F276" s="21">
        <v>2</v>
      </c>
      <c r="G276" s="20">
        <v>3.5400000000000001E-2</v>
      </c>
      <c r="H276" s="20">
        <f t="shared" si="91"/>
        <v>4.4250000000000001E-3</v>
      </c>
      <c r="I276" s="20">
        <v>2.69E-2</v>
      </c>
      <c r="J276" s="20">
        <f t="shared" si="92"/>
        <v>3.3625E-3</v>
      </c>
      <c r="K276" s="20">
        <v>3.6400000000000002E-2</v>
      </c>
      <c r="L276" s="20">
        <f t="shared" si="93"/>
        <v>4.5500000000000002E-3</v>
      </c>
      <c r="M276" s="14">
        <v>8</v>
      </c>
      <c r="N276" s="20">
        <f t="shared" si="94"/>
        <v>1.2337500000000001E-2</v>
      </c>
      <c r="O276" s="20">
        <f t="shared" si="95"/>
        <v>0.21394230769230768</v>
      </c>
      <c r="P276" s="20">
        <f t="shared" si="96"/>
        <v>0.35866261398176291</v>
      </c>
      <c r="Q276" s="20">
        <f t="shared" si="97"/>
        <v>0.2725430597771023</v>
      </c>
      <c r="R276" s="20">
        <f t="shared" si="98"/>
        <v>0.36879432624113473</v>
      </c>
    </row>
    <row r="277" spans="1:18" x14ac:dyDescent="0.25">
      <c r="A277" s="11" t="s">
        <v>384</v>
      </c>
      <c r="B277" t="s">
        <v>36</v>
      </c>
      <c r="C277" s="18">
        <f>(4.5+4.5)/2</f>
        <v>4.5</v>
      </c>
      <c r="D277" s="18">
        <f>(5+6.5)/2</f>
        <v>5.75</v>
      </c>
      <c r="E277" s="18">
        <f t="shared" si="90"/>
        <v>10.25</v>
      </c>
      <c r="F277" s="22">
        <f>5/2</f>
        <v>2.5</v>
      </c>
      <c r="G277" s="20">
        <v>1.35E-2</v>
      </c>
      <c r="H277" s="20">
        <f t="shared" si="91"/>
        <v>6.7499999999999999E-3</v>
      </c>
      <c r="I277" s="20">
        <v>1.4999999999999999E-2</v>
      </c>
      <c r="J277" s="20">
        <f t="shared" si="92"/>
        <v>7.4999999999999997E-3</v>
      </c>
      <c r="K277" s="20">
        <v>8.3999999999999995E-3</v>
      </c>
      <c r="L277" s="20">
        <f t="shared" si="93"/>
        <v>4.1999999999999997E-3</v>
      </c>
      <c r="M277" s="14">
        <v>2</v>
      </c>
      <c r="N277" s="20">
        <f t="shared" si="94"/>
        <v>1.8449999999999998E-2</v>
      </c>
      <c r="O277" s="20">
        <f t="shared" si="95"/>
        <v>1.6964285714285714</v>
      </c>
      <c r="P277" s="20">
        <f t="shared" si="96"/>
        <v>0.36585365853658541</v>
      </c>
      <c r="Q277" s="20">
        <f t="shared" si="97"/>
        <v>0.40650406504065045</v>
      </c>
      <c r="R277" s="20">
        <f t="shared" si="98"/>
        <v>0.22764227642276424</v>
      </c>
    </row>
    <row r="278" spans="1:18" x14ac:dyDescent="0.25">
      <c r="A278" s="11" t="s">
        <v>384</v>
      </c>
      <c r="B278" t="s">
        <v>37</v>
      </c>
      <c r="C278" s="18">
        <f>(5+5.5+5.5)/3</f>
        <v>5.333333333333333</v>
      </c>
      <c r="D278" s="18">
        <f>(8+7+7)/3</f>
        <v>7.333333333333333</v>
      </c>
      <c r="E278" s="18">
        <f t="shared" si="90"/>
        <v>12.666666666666666</v>
      </c>
      <c r="F278" s="21">
        <f>9/3</f>
        <v>3</v>
      </c>
      <c r="G278" s="20">
        <v>2.52E-2</v>
      </c>
      <c r="H278" s="20">
        <f t="shared" si="91"/>
        <v>8.3999999999999995E-3</v>
      </c>
      <c r="I278" s="20">
        <v>2.01E-2</v>
      </c>
      <c r="J278" s="20">
        <f t="shared" si="92"/>
        <v>6.7000000000000002E-3</v>
      </c>
      <c r="K278" s="20">
        <v>1.9400000000000001E-2</v>
      </c>
      <c r="L278" s="20">
        <f t="shared" si="93"/>
        <v>6.4666666666666666E-3</v>
      </c>
      <c r="M278" s="14">
        <v>3</v>
      </c>
      <c r="N278" s="20">
        <f t="shared" si="94"/>
        <v>2.1566666666666665E-2</v>
      </c>
      <c r="O278" s="20">
        <f t="shared" si="95"/>
        <v>0.77835051546391743</v>
      </c>
      <c r="P278" s="20">
        <f t="shared" si="96"/>
        <v>0.38948995363214839</v>
      </c>
      <c r="Q278" s="20">
        <f t="shared" si="97"/>
        <v>0.31066460587326122</v>
      </c>
      <c r="R278" s="20">
        <f t="shared" si="98"/>
        <v>0.29984544049459044</v>
      </c>
    </row>
    <row r="279" spans="1:18" x14ac:dyDescent="0.25">
      <c r="A279" s="11" t="s">
        <v>384</v>
      </c>
      <c r="B279" t="s">
        <v>38</v>
      </c>
      <c r="C279" s="18">
        <f>(4+4)/2</f>
        <v>4</v>
      </c>
      <c r="D279" s="18">
        <f>(8+8)/2</f>
        <v>8</v>
      </c>
      <c r="E279" s="18">
        <f t="shared" si="90"/>
        <v>12</v>
      </c>
      <c r="F279" s="21">
        <v>6</v>
      </c>
      <c r="G279" s="20">
        <v>9.4000000000000004E-3</v>
      </c>
      <c r="H279" s="20">
        <f t="shared" si="91"/>
        <v>4.7000000000000002E-3</v>
      </c>
      <c r="I279" s="20">
        <v>1.1000000000000001E-3</v>
      </c>
      <c r="J279" s="20">
        <f t="shared" si="92"/>
        <v>5.5000000000000003E-4</v>
      </c>
      <c r="K279" s="20">
        <v>6.4999999999999997E-3</v>
      </c>
      <c r="L279" s="20">
        <f t="shared" si="93"/>
        <v>3.2499999999999999E-3</v>
      </c>
      <c r="M279" s="14">
        <v>2</v>
      </c>
      <c r="N279" s="20">
        <f t="shared" si="94"/>
        <v>8.5000000000000006E-3</v>
      </c>
      <c r="O279" s="20">
        <f t="shared" si="95"/>
        <v>0.80769230769230782</v>
      </c>
      <c r="P279" s="20">
        <f t="shared" si="96"/>
        <v>0.55294117647058827</v>
      </c>
      <c r="Q279" s="20">
        <f t="shared" si="97"/>
        <v>6.4705882352941183E-2</v>
      </c>
      <c r="R279" s="20">
        <f t="shared" si="98"/>
        <v>0.38235294117647056</v>
      </c>
    </row>
    <row r="280" spans="1:18" x14ac:dyDescent="0.25">
      <c r="A280" s="11" t="s">
        <v>384</v>
      </c>
      <c r="B280" t="s">
        <v>39</v>
      </c>
      <c r="C280" s="18">
        <f>(6.5+5.7+5.5)/3</f>
        <v>5.8999999999999995</v>
      </c>
      <c r="D280" s="18">
        <f>(6.5+5.5+7)/3</f>
        <v>6.333333333333333</v>
      </c>
      <c r="E280" s="18">
        <f t="shared" si="90"/>
        <v>12.233333333333333</v>
      </c>
      <c r="F280" s="22">
        <f>7/3</f>
        <v>2.3333333333333335</v>
      </c>
      <c r="G280" s="20">
        <v>2.5499999999999998E-2</v>
      </c>
      <c r="H280" s="20">
        <f t="shared" si="91"/>
        <v>8.4999999999999989E-3</v>
      </c>
      <c r="I280" s="20">
        <v>2.4299999999999999E-2</v>
      </c>
      <c r="J280" s="20">
        <f t="shared" si="92"/>
        <v>8.0999999999999996E-3</v>
      </c>
      <c r="K280" s="20">
        <v>1.18E-2</v>
      </c>
      <c r="L280" s="20">
        <f t="shared" si="93"/>
        <v>3.933333333333333E-3</v>
      </c>
      <c r="M280" s="14">
        <v>3</v>
      </c>
      <c r="N280" s="20">
        <f t="shared" si="94"/>
        <v>2.0533333333333331E-2</v>
      </c>
      <c r="O280" s="20">
        <f t="shared" si="95"/>
        <v>1.406779661016949</v>
      </c>
      <c r="P280" s="20">
        <f t="shared" si="96"/>
        <v>0.41396103896103897</v>
      </c>
      <c r="Q280" s="20">
        <f t="shared" si="97"/>
        <v>0.39448051948051949</v>
      </c>
      <c r="R280" s="20">
        <f t="shared" si="98"/>
        <v>0.19155844155844157</v>
      </c>
    </row>
    <row r="281" spans="1:18" x14ac:dyDescent="0.25">
      <c r="A281" s="11" t="s">
        <v>384</v>
      </c>
      <c r="B281" t="s">
        <v>40</v>
      </c>
      <c r="C281" s="18">
        <f>(4.5+5+5.5+5)/4</f>
        <v>5</v>
      </c>
      <c r="D281" s="18">
        <f>(4.5+6+5.7+6)/4</f>
        <v>5.55</v>
      </c>
      <c r="E281" s="18">
        <f t="shared" si="90"/>
        <v>10.55</v>
      </c>
      <c r="F281" s="8">
        <f>9/4</f>
        <v>2.25</v>
      </c>
      <c r="G281" s="20">
        <v>2.9700000000000001E-2</v>
      </c>
      <c r="H281" s="20">
        <f t="shared" si="91"/>
        <v>7.4250000000000002E-3</v>
      </c>
      <c r="I281" s="20">
        <v>2.8000000000000001E-2</v>
      </c>
      <c r="J281" s="20">
        <f t="shared" si="92"/>
        <v>7.0000000000000001E-3</v>
      </c>
      <c r="K281" s="20">
        <v>1.4E-2</v>
      </c>
      <c r="L281" s="20">
        <f t="shared" si="93"/>
        <v>3.5000000000000001E-3</v>
      </c>
      <c r="M281" s="14">
        <v>4</v>
      </c>
      <c r="N281" s="20">
        <f t="shared" si="94"/>
        <v>1.7925E-2</v>
      </c>
      <c r="O281" s="20">
        <f t="shared" si="95"/>
        <v>1.0303571428571427</v>
      </c>
      <c r="P281" s="20">
        <f t="shared" si="96"/>
        <v>0.41422594142259417</v>
      </c>
      <c r="Q281" s="20">
        <f t="shared" si="97"/>
        <v>0.39051603905160392</v>
      </c>
      <c r="R281" s="20">
        <f t="shared" si="98"/>
        <v>0.19525801952580196</v>
      </c>
    </row>
    <row r="282" spans="1:18" x14ac:dyDescent="0.25">
      <c r="A282" s="5" t="s">
        <v>384</v>
      </c>
      <c r="B282" t="s">
        <v>41</v>
      </c>
      <c r="C282" s="18">
        <f>(5+5.5+4+4.5)/4</f>
        <v>4.75</v>
      </c>
      <c r="D282" s="18">
        <f>(8.5+10.5+10+12)/4</f>
        <v>10.25</v>
      </c>
      <c r="E282" s="18">
        <f t="shared" si="90"/>
        <v>15</v>
      </c>
      <c r="F282" s="22">
        <f>9/4</f>
        <v>2.25</v>
      </c>
      <c r="G282" s="20">
        <v>2.8299999999999999E-2</v>
      </c>
      <c r="H282" s="20">
        <f t="shared" si="91"/>
        <v>7.0749999999999997E-3</v>
      </c>
      <c r="I282" s="20">
        <v>2.12E-2</v>
      </c>
      <c r="J282" s="20">
        <f t="shared" si="92"/>
        <v>5.3E-3</v>
      </c>
      <c r="K282" s="20">
        <v>2.2499999999999999E-2</v>
      </c>
      <c r="L282" s="20">
        <f t="shared" si="93"/>
        <v>5.6249999999999998E-3</v>
      </c>
      <c r="M282" s="14">
        <v>4</v>
      </c>
      <c r="N282" s="20">
        <f t="shared" si="94"/>
        <v>1.8000000000000002E-2</v>
      </c>
      <c r="O282" s="20">
        <f t="shared" si="95"/>
        <v>0.55000000000000004</v>
      </c>
      <c r="P282" s="20">
        <f t="shared" si="96"/>
        <v>0.39305555555555549</v>
      </c>
      <c r="Q282" s="20">
        <f t="shared" si="97"/>
        <v>0.2944444444444444</v>
      </c>
      <c r="R282" s="20">
        <f t="shared" si="98"/>
        <v>0.31249999999999994</v>
      </c>
    </row>
    <row r="283" spans="1:18" x14ac:dyDescent="0.25">
      <c r="A283" s="5" t="s">
        <v>384</v>
      </c>
      <c r="B283" t="s">
        <v>42</v>
      </c>
      <c r="C283" s="18">
        <f>(4+3.5+3+4+3.5+4)/6</f>
        <v>3.6666666666666665</v>
      </c>
      <c r="D283" s="18">
        <f>(6+7.5+6+5.5+7+7)/6</f>
        <v>6.5</v>
      </c>
      <c r="E283" s="18">
        <f t="shared" si="90"/>
        <v>10.166666666666666</v>
      </c>
      <c r="F283" s="21">
        <v>6</v>
      </c>
      <c r="G283" s="20">
        <v>1.4800000000000001E-2</v>
      </c>
      <c r="H283" s="20">
        <f t="shared" si="91"/>
        <v>2.96E-3</v>
      </c>
      <c r="I283" s="20">
        <v>2.75E-2</v>
      </c>
      <c r="J283" s="20">
        <f t="shared" si="92"/>
        <v>5.4999999999999997E-3</v>
      </c>
      <c r="K283" s="20">
        <v>1.5699999999999999E-2</v>
      </c>
      <c r="L283" s="20">
        <f t="shared" si="93"/>
        <v>3.1399999999999996E-3</v>
      </c>
      <c r="M283" s="14">
        <v>5</v>
      </c>
      <c r="N283" s="20">
        <f t="shared" si="94"/>
        <v>1.1599999999999999E-2</v>
      </c>
      <c r="O283" s="20">
        <f t="shared" si="95"/>
        <v>0.53885350318471337</v>
      </c>
      <c r="P283" s="20">
        <f t="shared" si="96"/>
        <v>0.25517241379310346</v>
      </c>
      <c r="Q283" s="20">
        <f t="shared" si="97"/>
        <v>0.47413793103448276</v>
      </c>
      <c r="R283" s="20">
        <f t="shared" si="98"/>
        <v>0.27068965517241378</v>
      </c>
    </row>
    <row r="284" spans="1:18" x14ac:dyDescent="0.25">
      <c r="A284" s="5" t="s">
        <v>384</v>
      </c>
      <c r="B284" t="s">
        <v>43</v>
      </c>
      <c r="C284" s="18">
        <f>(4.5+3+4+4.5+4)/5</f>
        <v>4</v>
      </c>
      <c r="D284" s="18">
        <f>(12.5+4.5+6+6.5+10.5)/5</f>
        <v>8</v>
      </c>
      <c r="E284" s="18">
        <f t="shared" si="90"/>
        <v>12</v>
      </c>
      <c r="F284" s="21">
        <v>2</v>
      </c>
      <c r="G284" s="20">
        <v>0.02</v>
      </c>
      <c r="H284" s="20">
        <f t="shared" si="91"/>
        <v>4.0000000000000001E-3</v>
      </c>
      <c r="I284" s="20">
        <v>9.4999999999999998E-3</v>
      </c>
      <c r="J284" s="20">
        <f t="shared" si="92"/>
        <v>1.9E-3</v>
      </c>
      <c r="K284" s="20">
        <v>1.6899999999999998E-2</v>
      </c>
      <c r="L284" s="20">
        <f t="shared" si="93"/>
        <v>3.3799999999999998E-3</v>
      </c>
      <c r="M284" s="14">
        <v>5</v>
      </c>
      <c r="N284" s="20">
        <f t="shared" si="94"/>
        <v>9.2800000000000001E-3</v>
      </c>
      <c r="O284" s="20">
        <f t="shared" si="95"/>
        <v>0.34911242603550297</v>
      </c>
      <c r="P284" s="20">
        <f t="shared" si="96"/>
        <v>0.43103448275862072</v>
      </c>
      <c r="Q284" s="20">
        <f t="shared" si="97"/>
        <v>0.20474137931034483</v>
      </c>
      <c r="R284" s="20">
        <f t="shared" si="98"/>
        <v>0.36422413793103448</v>
      </c>
    </row>
    <row r="285" spans="1:18" x14ac:dyDescent="0.25">
      <c r="A285" s="5" t="s">
        <v>384</v>
      </c>
      <c r="B285" t="s">
        <v>44</v>
      </c>
      <c r="C285" s="18">
        <f>(4.5+4.5+5+5.5+4.5)/5</f>
        <v>4.8</v>
      </c>
      <c r="D285" s="18">
        <f>(6+6+8+8+8.5)/5</f>
        <v>7.3</v>
      </c>
      <c r="E285" s="18">
        <f t="shared" si="90"/>
        <v>12.1</v>
      </c>
      <c r="F285">
        <v>2</v>
      </c>
      <c r="G285" s="20">
        <v>3.3000000000000002E-2</v>
      </c>
      <c r="H285" s="20">
        <f t="shared" si="91"/>
        <v>6.6E-3</v>
      </c>
      <c r="I285" s="20">
        <v>3.1899999999999998E-2</v>
      </c>
      <c r="J285" s="20">
        <f t="shared" si="92"/>
        <v>6.3799999999999994E-3</v>
      </c>
      <c r="K285" s="20">
        <v>2.1600000000000001E-2</v>
      </c>
      <c r="L285" s="20">
        <f t="shared" si="93"/>
        <v>4.3200000000000001E-3</v>
      </c>
      <c r="M285" s="14">
        <v>5</v>
      </c>
      <c r="N285" s="20">
        <f t="shared" si="94"/>
        <v>1.7299999999999999E-2</v>
      </c>
      <c r="O285" s="20">
        <f t="shared" si="95"/>
        <v>0.60092592592592586</v>
      </c>
      <c r="P285" s="20">
        <f t="shared" si="96"/>
        <v>0.38150289017341044</v>
      </c>
      <c r="Q285" s="20">
        <f t="shared" si="97"/>
        <v>0.36878612716763004</v>
      </c>
      <c r="R285" s="20">
        <f t="shared" si="98"/>
        <v>0.24971098265895955</v>
      </c>
    </row>
    <row r="286" spans="1:18" x14ac:dyDescent="0.25">
      <c r="A286" s="5" t="s">
        <v>384</v>
      </c>
      <c r="B286" t="s">
        <v>45</v>
      </c>
      <c r="C286" s="18">
        <f>(4+4+4.5)/3</f>
        <v>4.166666666666667</v>
      </c>
      <c r="D286" s="18">
        <f>(7.5+9.6+7)/3</f>
        <v>8.0333333333333332</v>
      </c>
      <c r="E286" s="18">
        <f t="shared" si="90"/>
        <v>12.2</v>
      </c>
      <c r="F286" s="21">
        <v>2</v>
      </c>
      <c r="G286" s="20">
        <v>1.5599999999999999E-2</v>
      </c>
      <c r="H286" s="20">
        <f t="shared" si="91"/>
        <v>5.1999999999999998E-3</v>
      </c>
      <c r="I286" s="20">
        <v>1.5599999999999999E-2</v>
      </c>
      <c r="J286" s="20">
        <f t="shared" si="92"/>
        <v>5.1999999999999998E-3</v>
      </c>
      <c r="K286" s="20">
        <v>1.29E-2</v>
      </c>
      <c r="L286" s="20">
        <f t="shared" si="93"/>
        <v>4.3E-3</v>
      </c>
      <c r="M286" s="14">
        <v>3</v>
      </c>
      <c r="N286" s="20">
        <f t="shared" si="94"/>
        <v>1.47E-2</v>
      </c>
      <c r="O286" s="20">
        <f t="shared" si="95"/>
        <v>0.80620155038759689</v>
      </c>
      <c r="P286" s="20">
        <f t="shared" si="96"/>
        <v>0.35374149659863946</v>
      </c>
      <c r="Q286" s="20">
        <f t="shared" si="97"/>
        <v>0.35374149659863946</v>
      </c>
      <c r="R286" s="20">
        <f t="shared" si="98"/>
        <v>0.29251700680272108</v>
      </c>
    </row>
    <row r="287" spans="1:18" x14ac:dyDescent="0.25">
      <c r="A287" s="5" t="s">
        <v>384</v>
      </c>
      <c r="B287" t="s">
        <v>46</v>
      </c>
      <c r="C287" s="18">
        <f>(6+5)/2</f>
        <v>5.5</v>
      </c>
      <c r="D287" s="18">
        <f>(4.5+7)/2</f>
        <v>5.75</v>
      </c>
      <c r="E287" s="18">
        <f t="shared" si="90"/>
        <v>11.25</v>
      </c>
      <c r="F287" s="21">
        <v>3</v>
      </c>
      <c r="G287" s="20">
        <v>1.4E-2</v>
      </c>
      <c r="H287" s="20">
        <f t="shared" si="91"/>
        <v>7.0000000000000001E-3</v>
      </c>
      <c r="I287" s="20">
        <v>2.1600000000000001E-2</v>
      </c>
      <c r="J287" s="20">
        <f t="shared" si="92"/>
        <v>1.0800000000000001E-2</v>
      </c>
      <c r="K287" s="20">
        <v>7.4000000000000003E-3</v>
      </c>
      <c r="L287" s="20">
        <f t="shared" si="93"/>
        <v>3.7000000000000002E-3</v>
      </c>
      <c r="M287" s="14">
        <v>2</v>
      </c>
      <c r="N287" s="20">
        <f t="shared" si="94"/>
        <v>2.1499999999999998E-2</v>
      </c>
      <c r="O287" s="20">
        <f t="shared" si="95"/>
        <v>2.4054054054054053</v>
      </c>
      <c r="P287" s="20">
        <f t="shared" si="96"/>
        <v>0.32558139534883723</v>
      </c>
      <c r="Q287" s="20">
        <f t="shared" si="97"/>
        <v>0.50232558139534889</v>
      </c>
      <c r="R287" s="20">
        <f t="shared" si="98"/>
        <v>0.17209302325581396</v>
      </c>
    </row>
    <row r="288" spans="1:18" x14ac:dyDescent="0.25">
      <c r="A288" s="5" t="s">
        <v>384</v>
      </c>
      <c r="B288" t="s">
        <v>47</v>
      </c>
      <c r="C288" s="18" t="s">
        <v>360</v>
      </c>
      <c r="D288" s="18" t="s">
        <v>360</v>
      </c>
      <c r="E288" s="18" t="s">
        <v>360</v>
      </c>
      <c r="F288" t="s">
        <v>360</v>
      </c>
      <c r="G288" s="20" t="s">
        <v>360</v>
      </c>
      <c r="H288" s="20" t="s">
        <v>360</v>
      </c>
      <c r="I288" s="20" t="s">
        <v>360</v>
      </c>
      <c r="J288" s="20" t="s">
        <v>360</v>
      </c>
      <c r="K288" s="20" t="s">
        <v>360</v>
      </c>
      <c r="L288" s="20" t="s">
        <v>360</v>
      </c>
      <c r="M288" s="20" t="s">
        <v>360</v>
      </c>
      <c r="N288" s="20" t="s">
        <v>360</v>
      </c>
      <c r="O288" s="20" t="s">
        <v>360</v>
      </c>
      <c r="P288" s="20" t="s">
        <v>360</v>
      </c>
      <c r="Q288" s="20" t="s">
        <v>360</v>
      </c>
      <c r="R288" s="20" t="s">
        <v>360</v>
      </c>
    </row>
    <row r="289" spans="1:18" x14ac:dyDescent="0.25">
      <c r="A289" s="5" t="s">
        <v>384</v>
      </c>
      <c r="B289" t="s">
        <v>48</v>
      </c>
      <c r="C289" s="18">
        <f>(3+4+4+4+4)/5</f>
        <v>3.8</v>
      </c>
      <c r="D289" s="18">
        <f>(5.3+7.5+5.5+6+5)/5</f>
        <v>5.86</v>
      </c>
      <c r="E289" s="18">
        <f t="shared" ref="E289:E296" si="99">C289+D289</f>
        <v>9.66</v>
      </c>
      <c r="F289" s="21">
        <f>10/5</f>
        <v>2</v>
      </c>
      <c r="G289" s="20">
        <v>1.8700000000000001E-2</v>
      </c>
      <c r="H289" s="20">
        <f t="shared" ref="H289:H296" si="100">G289/M289</f>
        <v>3.7400000000000003E-3</v>
      </c>
      <c r="I289" s="20">
        <v>7.7000000000000002E-3</v>
      </c>
      <c r="J289" s="20">
        <f t="shared" ref="J289:J296" si="101">I289/M289</f>
        <v>1.5400000000000001E-3</v>
      </c>
      <c r="K289" s="20">
        <v>9.1000000000000004E-3</v>
      </c>
      <c r="L289" s="20">
        <f t="shared" ref="L289:L296" si="102">K289/M289</f>
        <v>1.82E-3</v>
      </c>
      <c r="M289" s="14">
        <v>5</v>
      </c>
      <c r="N289" s="20">
        <f t="shared" ref="N289:N296" si="103">H289+J289+L289</f>
        <v>7.1000000000000004E-3</v>
      </c>
      <c r="O289" s="20">
        <f t="shared" ref="O289:O296" si="104">(H289+J289)/K289</f>
        <v>0.58021978021978016</v>
      </c>
      <c r="P289" s="20">
        <f t="shared" ref="P289:P296" si="105">H289/N289</f>
        <v>0.52676056338028165</v>
      </c>
      <c r="Q289" s="20">
        <f t="shared" ref="Q289:Q296" si="106">J289/N289</f>
        <v>0.21690140845070424</v>
      </c>
      <c r="R289" s="20">
        <f t="shared" ref="R289:R296" si="107">L289/N289</f>
        <v>0.25633802816901408</v>
      </c>
    </row>
    <row r="290" spans="1:18" x14ac:dyDescent="0.25">
      <c r="A290" s="5" t="s">
        <v>384</v>
      </c>
      <c r="B290" t="s">
        <v>49</v>
      </c>
      <c r="C290" s="18">
        <f>(5+4+4)/3</f>
        <v>4.333333333333333</v>
      </c>
      <c r="D290" s="18">
        <f>(7+6+6)/3</f>
        <v>6.333333333333333</v>
      </c>
      <c r="E290" s="18">
        <f t="shared" si="99"/>
        <v>10.666666666666666</v>
      </c>
      <c r="F290" s="21">
        <v>2</v>
      </c>
      <c r="G290" s="20">
        <v>1.34E-2</v>
      </c>
      <c r="H290" s="20">
        <f t="shared" si="100"/>
        <v>4.4666666666666665E-3</v>
      </c>
      <c r="I290" s="20">
        <v>6.6E-3</v>
      </c>
      <c r="J290" s="20">
        <f t="shared" si="101"/>
        <v>2.2000000000000001E-3</v>
      </c>
      <c r="K290" s="20">
        <v>8.5000000000000006E-3</v>
      </c>
      <c r="L290" s="20">
        <f t="shared" si="102"/>
        <v>2.8333333333333335E-3</v>
      </c>
      <c r="M290" s="14">
        <v>3</v>
      </c>
      <c r="N290" s="20">
        <f t="shared" si="103"/>
        <v>9.4999999999999998E-3</v>
      </c>
      <c r="O290" s="20">
        <f t="shared" si="104"/>
        <v>0.78431372549019596</v>
      </c>
      <c r="P290" s="20">
        <f t="shared" si="105"/>
        <v>0.47017543859649125</v>
      </c>
      <c r="Q290" s="20">
        <f t="shared" si="106"/>
        <v>0.23157894736842108</v>
      </c>
      <c r="R290" s="20">
        <f t="shared" si="107"/>
        <v>0.29824561403508776</v>
      </c>
    </row>
    <row r="291" spans="1:18" x14ac:dyDescent="0.25">
      <c r="A291" s="5" t="s">
        <v>384</v>
      </c>
      <c r="B291" t="s">
        <v>50</v>
      </c>
      <c r="C291" s="18">
        <f>(4.5+4.2+4.5+4.5)/4</f>
        <v>4.4249999999999998</v>
      </c>
      <c r="D291" s="18">
        <f>(18.5+7.5+8+6)/4</f>
        <v>10</v>
      </c>
      <c r="E291" s="18">
        <f t="shared" si="99"/>
        <v>14.425000000000001</v>
      </c>
      <c r="F291">
        <v>2</v>
      </c>
      <c r="G291" s="20">
        <v>2.5100000000000001E-2</v>
      </c>
      <c r="H291" s="20">
        <f t="shared" si="100"/>
        <v>6.2750000000000002E-3</v>
      </c>
      <c r="I291" s="20">
        <v>1.37E-2</v>
      </c>
      <c r="J291" s="20">
        <f t="shared" si="101"/>
        <v>3.4250000000000001E-3</v>
      </c>
      <c r="K291" s="20">
        <v>2.24E-2</v>
      </c>
      <c r="L291" s="20">
        <f t="shared" si="102"/>
        <v>5.5999999999999999E-3</v>
      </c>
      <c r="M291" s="14">
        <v>4</v>
      </c>
      <c r="N291" s="20">
        <f t="shared" si="103"/>
        <v>1.5300000000000001E-2</v>
      </c>
      <c r="O291" s="20">
        <f t="shared" si="104"/>
        <v>0.4330357142857143</v>
      </c>
      <c r="P291" s="20">
        <f t="shared" si="105"/>
        <v>0.41013071895424835</v>
      </c>
      <c r="Q291" s="20">
        <f t="shared" si="106"/>
        <v>0.22385620915032678</v>
      </c>
      <c r="R291" s="20">
        <f t="shared" si="107"/>
        <v>0.36601307189542481</v>
      </c>
    </row>
    <row r="292" spans="1:18" x14ac:dyDescent="0.25">
      <c r="A292" s="5" t="s">
        <v>384</v>
      </c>
      <c r="B292" t="s">
        <v>51</v>
      </c>
      <c r="C292" s="18">
        <f>(6.5+5+6+7)/4</f>
        <v>6.125</v>
      </c>
      <c r="D292" s="18">
        <f>(6.5+5+7.5+6.3)/4</f>
        <v>6.3250000000000002</v>
      </c>
      <c r="E292" s="18">
        <f t="shared" si="99"/>
        <v>12.45</v>
      </c>
      <c r="F292" s="22">
        <f>10/4</f>
        <v>2.5</v>
      </c>
      <c r="G292" s="20">
        <v>2.0400000000000001E-2</v>
      </c>
      <c r="H292" s="20">
        <f t="shared" si="100"/>
        <v>5.1000000000000004E-3</v>
      </c>
      <c r="I292" s="20">
        <v>4.0899999999999999E-2</v>
      </c>
      <c r="J292" s="20">
        <f t="shared" si="101"/>
        <v>1.0225E-2</v>
      </c>
      <c r="K292" s="20">
        <v>1.9900000000000001E-2</v>
      </c>
      <c r="L292" s="20">
        <f t="shared" si="102"/>
        <v>4.9750000000000003E-3</v>
      </c>
      <c r="M292" s="14">
        <v>4</v>
      </c>
      <c r="N292" s="20">
        <f t="shared" si="103"/>
        <v>2.0299999999999999E-2</v>
      </c>
      <c r="O292" s="20">
        <f t="shared" si="104"/>
        <v>0.77010050251256279</v>
      </c>
      <c r="P292" s="20">
        <f t="shared" si="105"/>
        <v>0.25123152709359609</v>
      </c>
      <c r="Q292" s="20">
        <f t="shared" si="106"/>
        <v>0.50369458128078815</v>
      </c>
      <c r="R292" s="20">
        <f t="shared" si="107"/>
        <v>0.2450738916256158</v>
      </c>
    </row>
    <row r="293" spans="1:18" x14ac:dyDescent="0.25">
      <c r="A293" s="5" t="s">
        <v>384</v>
      </c>
      <c r="B293" t="s">
        <v>52</v>
      </c>
      <c r="C293" s="18">
        <f>(5.5+5.5+4+5.2+4.5)/5</f>
        <v>4.9399999999999995</v>
      </c>
      <c r="D293" s="18">
        <f>(4.5+6+6+5+6)/5</f>
        <v>5.5</v>
      </c>
      <c r="E293" s="18">
        <f t="shared" si="99"/>
        <v>10.44</v>
      </c>
      <c r="F293" s="22">
        <f>9/5</f>
        <v>1.8</v>
      </c>
      <c r="G293" s="20">
        <v>2.7900000000000001E-2</v>
      </c>
      <c r="H293" s="20">
        <f t="shared" si="100"/>
        <v>5.5799999999999999E-3</v>
      </c>
      <c r="I293" s="20">
        <v>2.2100000000000002E-2</v>
      </c>
      <c r="J293" s="20">
        <f t="shared" si="101"/>
        <v>4.4200000000000003E-3</v>
      </c>
      <c r="K293" s="20">
        <v>2.01E-2</v>
      </c>
      <c r="L293" s="20">
        <f t="shared" si="102"/>
        <v>4.0200000000000001E-3</v>
      </c>
      <c r="M293" s="14">
        <v>5</v>
      </c>
      <c r="N293" s="20">
        <f t="shared" si="103"/>
        <v>1.4020000000000001E-2</v>
      </c>
      <c r="O293" s="20">
        <f t="shared" si="104"/>
        <v>0.49751243781094528</v>
      </c>
      <c r="P293" s="20">
        <f t="shared" si="105"/>
        <v>0.39800285306704702</v>
      </c>
      <c r="Q293" s="20">
        <f t="shared" si="106"/>
        <v>0.3152639087018545</v>
      </c>
      <c r="R293" s="20">
        <f t="shared" si="107"/>
        <v>0.28673323823109842</v>
      </c>
    </row>
    <row r="294" spans="1:18" x14ac:dyDescent="0.25">
      <c r="A294" s="5" t="s">
        <v>384</v>
      </c>
      <c r="B294" t="s">
        <v>53</v>
      </c>
      <c r="C294" s="18">
        <f>(4.5+5+4.2)/3</f>
        <v>4.5666666666666664</v>
      </c>
      <c r="D294" s="18">
        <f>(7.5+9.5+10.5)/3</f>
        <v>9.1666666666666661</v>
      </c>
      <c r="E294" s="18">
        <f t="shared" si="99"/>
        <v>13.733333333333333</v>
      </c>
      <c r="F294" s="21">
        <v>2</v>
      </c>
      <c r="G294" s="20">
        <v>2.07E-2</v>
      </c>
      <c r="H294" s="20">
        <f t="shared" si="100"/>
        <v>6.8999999999999999E-3</v>
      </c>
      <c r="I294" s="20">
        <v>2.1100000000000001E-2</v>
      </c>
      <c r="J294" s="20">
        <f t="shared" si="101"/>
        <v>7.0333333333333333E-3</v>
      </c>
      <c r="K294" s="20">
        <v>1.8200000000000001E-2</v>
      </c>
      <c r="L294" s="20">
        <f t="shared" si="102"/>
        <v>6.0666666666666673E-3</v>
      </c>
      <c r="M294" s="14">
        <v>3</v>
      </c>
      <c r="N294" s="20">
        <f t="shared" si="103"/>
        <v>0.02</v>
      </c>
      <c r="O294" s="20">
        <f t="shared" si="104"/>
        <v>0.76556776556776551</v>
      </c>
      <c r="P294" s="20">
        <f t="shared" si="105"/>
        <v>0.34499999999999997</v>
      </c>
      <c r="Q294" s="20">
        <f t="shared" si="106"/>
        <v>0.35166666666666668</v>
      </c>
      <c r="R294" s="20">
        <f t="shared" si="107"/>
        <v>0.30333333333333334</v>
      </c>
    </row>
    <row r="295" spans="1:18" x14ac:dyDescent="0.25">
      <c r="A295" s="5" t="s">
        <v>384</v>
      </c>
      <c r="B295" t="s">
        <v>54</v>
      </c>
      <c r="C295" s="18">
        <f>(5.5+4.5+4.5+4)/4</f>
        <v>4.625</v>
      </c>
      <c r="D295" s="18">
        <f>(10+10+9+6.5)/4</f>
        <v>8.875</v>
      </c>
      <c r="E295" s="18">
        <f t="shared" si="99"/>
        <v>13.5</v>
      </c>
      <c r="F295" s="21">
        <v>3</v>
      </c>
      <c r="G295" s="20">
        <v>2.6800000000000001E-2</v>
      </c>
      <c r="H295" s="20">
        <f t="shared" si="100"/>
        <v>6.7000000000000002E-3</v>
      </c>
      <c r="I295" s="20">
        <v>2.9499999999999998E-2</v>
      </c>
      <c r="J295" s="20">
        <f t="shared" si="101"/>
        <v>7.3749999999999996E-3</v>
      </c>
      <c r="K295" s="20">
        <v>8.7999999999999995E-2</v>
      </c>
      <c r="L295" s="20">
        <f t="shared" si="102"/>
        <v>2.1999999999999999E-2</v>
      </c>
      <c r="M295" s="14">
        <v>4</v>
      </c>
      <c r="N295" s="20">
        <f t="shared" si="103"/>
        <v>3.6074999999999996E-2</v>
      </c>
      <c r="O295" s="20">
        <f t="shared" si="104"/>
        <v>0.15994318181818185</v>
      </c>
      <c r="P295" s="20">
        <f t="shared" si="105"/>
        <v>0.18572418572418575</v>
      </c>
      <c r="Q295" s="20">
        <f t="shared" si="106"/>
        <v>0.20443520443520444</v>
      </c>
      <c r="R295" s="20">
        <f t="shared" si="107"/>
        <v>0.60984060984060984</v>
      </c>
    </row>
    <row r="296" spans="1:18" x14ac:dyDescent="0.25">
      <c r="A296" s="5" t="s">
        <v>384</v>
      </c>
      <c r="B296" t="s">
        <v>55</v>
      </c>
      <c r="C296" s="18">
        <v>3</v>
      </c>
      <c r="D296" s="18">
        <v>3</v>
      </c>
      <c r="E296" s="18">
        <f t="shared" si="99"/>
        <v>6</v>
      </c>
      <c r="F296" s="21">
        <v>2</v>
      </c>
      <c r="G296" s="20">
        <v>3.8999999999999998E-3</v>
      </c>
      <c r="H296" s="20">
        <f t="shared" si="100"/>
        <v>3.8999999999999998E-3</v>
      </c>
      <c r="I296" s="20">
        <v>4.3E-3</v>
      </c>
      <c r="J296" s="20">
        <f t="shared" si="101"/>
        <v>4.3E-3</v>
      </c>
      <c r="K296" s="20">
        <v>3.0000000000000001E-3</v>
      </c>
      <c r="L296" s="20">
        <f t="shared" si="102"/>
        <v>3.0000000000000001E-3</v>
      </c>
      <c r="M296" s="14">
        <v>1</v>
      </c>
      <c r="N296" s="20">
        <f t="shared" si="103"/>
        <v>1.1199999999999998E-2</v>
      </c>
      <c r="O296" s="20">
        <f t="shared" si="104"/>
        <v>2.7333333333333329</v>
      </c>
      <c r="P296" s="20">
        <f t="shared" si="105"/>
        <v>0.34821428571428575</v>
      </c>
      <c r="Q296" s="20">
        <f t="shared" si="106"/>
        <v>0.38392857142857151</v>
      </c>
      <c r="R296" s="20">
        <f t="shared" si="107"/>
        <v>0.2678571428571429</v>
      </c>
    </row>
    <row r="297" spans="1:18" x14ac:dyDescent="0.25">
      <c r="A297" s="5" t="s">
        <v>384</v>
      </c>
      <c r="B297" t="s">
        <v>361</v>
      </c>
      <c r="C297" s="18" t="s">
        <v>360</v>
      </c>
      <c r="D297" s="18" t="s">
        <v>360</v>
      </c>
      <c r="E297" s="18" t="s">
        <v>360</v>
      </c>
      <c r="F297" s="21" t="s">
        <v>360</v>
      </c>
      <c r="G297" s="20" t="s">
        <v>360</v>
      </c>
      <c r="H297" s="20" t="s">
        <v>360</v>
      </c>
      <c r="I297" s="20" t="s">
        <v>360</v>
      </c>
      <c r="J297" s="20" t="s">
        <v>360</v>
      </c>
      <c r="K297" s="20" t="s">
        <v>360</v>
      </c>
      <c r="L297" s="20" t="s">
        <v>360</v>
      </c>
      <c r="M297" s="20" t="s">
        <v>360</v>
      </c>
      <c r="N297" s="20" t="s">
        <v>360</v>
      </c>
      <c r="O297" s="20" t="s">
        <v>360</v>
      </c>
      <c r="P297" s="20" t="s">
        <v>360</v>
      </c>
      <c r="Q297" s="20" t="s">
        <v>360</v>
      </c>
      <c r="R297" s="20" t="s">
        <v>360</v>
      </c>
    </row>
    <row r="298" spans="1:18" x14ac:dyDescent="0.25">
      <c r="A298" s="5" t="s">
        <v>384</v>
      </c>
      <c r="B298" t="s">
        <v>56</v>
      </c>
      <c r="C298" s="18" t="s">
        <v>360</v>
      </c>
      <c r="D298" s="18" t="s">
        <v>360</v>
      </c>
      <c r="E298" s="18" t="s">
        <v>360</v>
      </c>
      <c r="F298" t="s">
        <v>360</v>
      </c>
      <c r="G298" s="20" t="s">
        <v>360</v>
      </c>
      <c r="H298" s="20" t="s">
        <v>360</v>
      </c>
      <c r="I298" s="20" t="s">
        <v>360</v>
      </c>
      <c r="J298" s="20" t="s">
        <v>360</v>
      </c>
      <c r="K298" s="20" t="s">
        <v>360</v>
      </c>
      <c r="L298" s="20" t="s">
        <v>360</v>
      </c>
      <c r="M298" s="20" t="s">
        <v>360</v>
      </c>
      <c r="N298" s="20" t="s">
        <v>360</v>
      </c>
      <c r="O298" s="20" t="s">
        <v>360</v>
      </c>
      <c r="P298" s="20" t="s">
        <v>360</v>
      </c>
      <c r="Q298" s="20" t="s">
        <v>360</v>
      </c>
      <c r="R298" s="20" t="s">
        <v>360</v>
      </c>
    </row>
    <row r="299" spans="1:18" x14ac:dyDescent="0.25">
      <c r="A299" s="5" t="s">
        <v>384</v>
      </c>
      <c r="B299" t="s">
        <v>57</v>
      </c>
      <c r="C299" s="18">
        <f>(4.5+4.5+4.2)/3</f>
        <v>4.3999999999999995</v>
      </c>
      <c r="D299" s="18">
        <f>(9+10+14)/3</f>
        <v>11</v>
      </c>
      <c r="E299" s="18">
        <f>C299+D299</f>
        <v>15.399999999999999</v>
      </c>
      <c r="F299" s="21">
        <v>2</v>
      </c>
      <c r="G299" s="20">
        <v>1.4200000000000001E-2</v>
      </c>
      <c r="H299" s="20">
        <f>G299/M299</f>
        <v>4.7333333333333333E-3</v>
      </c>
      <c r="I299" s="20">
        <v>1.34E-2</v>
      </c>
      <c r="J299" s="20">
        <f>I299/M299</f>
        <v>4.4666666666666665E-3</v>
      </c>
      <c r="K299" s="20">
        <v>1.5800000000000002E-2</v>
      </c>
      <c r="L299" s="20">
        <f>K299/M299</f>
        <v>5.2666666666666669E-3</v>
      </c>
      <c r="M299" s="14">
        <v>3</v>
      </c>
      <c r="N299" s="20">
        <f>H299+J299+L299</f>
        <v>1.4466666666666666E-2</v>
      </c>
      <c r="O299" s="20">
        <f>(H299+J299)/K299</f>
        <v>0.58227848101265811</v>
      </c>
      <c r="P299" s="20">
        <f>H299/N299</f>
        <v>0.32718894009216593</v>
      </c>
      <c r="Q299" s="20">
        <f>J299/N299</f>
        <v>0.30875576036866359</v>
      </c>
      <c r="R299" s="20">
        <f>L299/N299</f>
        <v>0.36405529953917054</v>
      </c>
    </row>
    <row r="300" spans="1:18" x14ac:dyDescent="0.25">
      <c r="A300" s="5" t="s">
        <v>384</v>
      </c>
      <c r="B300" t="s">
        <v>58</v>
      </c>
      <c r="C300" s="18">
        <v>4</v>
      </c>
      <c r="D300" s="18">
        <v>6</v>
      </c>
      <c r="E300" s="18">
        <f>C300+D300</f>
        <v>10</v>
      </c>
      <c r="F300" s="21">
        <v>3</v>
      </c>
      <c r="G300" s="20">
        <v>5.1999999999999998E-3</v>
      </c>
      <c r="H300" s="20">
        <f>G300/M300</f>
        <v>5.1999999999999998E-3</v>
      </c>
      <c r="I300" s="20">
        <v>8.6E-3</v>
      </c>
      <c r="J300" s="20">
        <f>I300/M300</f>
        <v>8.6E-3</v>
      </c>
      <c r="K300" s="20">
        <v>3.5999999999999999E-3</v>
      </c>
      <c r="L300" s="20">
        <f>K300/M300</f>
        <v>3.5999999999999999E-3</v>
      </c>
      <c r="M300" s="14">
        <v>1</v>
      </c>
      <c r="N300" s="20">
        <f>H300+J300+L300</f>
        <v>1.7399999999999999E-2</v>
      </c>
      <c r="O300" s="20">
        <f>(H300+J300)/K300</f>
        <v>3.8333333333333335</v>
      </c>
      <c r="P300" s="20">
        <f>H300/N300</f>
        <v>0.2988505747126437</v>
      </c>
      <c r="Q300" s="20">
        <f>J300/N300</f>
        <v>0.4942528735632184</v>
      </c>
      <c r="R300" s="20">
        <f>L300/N300</f>
        <v>0.20689655172413793</v>
      </c>
    </row>
    <row r="301" spans="1:18" x14ac:dyDescent="0.25">
      <c r="A301" s="5" t="s">
        <v>384</v>
      </c>
      <c r="B301" t="s">
        <v>59</v>
      </c>
      <c r="C301" s="18">
        <f>(5.5+4.5+3.5+4)/4</f>
        <v>4.375</v>
      </c>
      <c r="D301" s="18">
        <f>(7+8.7+7+6)/4</f>
        <v>7.1749999999999998</v>
      </c>
      <c r="E301" s="18">
        <f>C301+D301</f>
        <v>11.55</v>
      </c>
      <c r="F301" s="22">
        <f>7/4</f>
        <v>1.75</v>
      </c>
      <c r="G301" s="20">
        <v>1.26E-2</v>
      </c>
      <c r="H301" s="20">
        <f>G301/M301</f>
        <v>3.15E-3</v>
      </c>
      <c r="I301" s="20">
        <v>9.1999999999999998E-3</v>
      </c>
      <c r="J301" s="20">
        <f>I301/M301</f>
        <v>2.3E-3</v>
      </c>
      <c r="K301" s="20">
        <v>1.0999999999999999E-2</v>
      </c>
      <c r="L301" s="20">
        <f>K301/M301</f>
        <v>2.7499999999999998E-3</v>
      </c>
      <c r="M301" s="14">
        <v>4</v>
      </c>
      <c r="N301" s="20">
        <f>H301+J301+L301</f>
        <v>8.199999999999999E-3</v>
      </c>
      <c r="O301" s="20">
        <f>(H301+J301)/K301</f>
        <v>0.49545454545454548</v>
      </c>
      <c r="P301" s="20">
        <f>H301/N301</f>
        <v>0.3841463414634147</v>
      </c>
      <c r="Q301" s="20">
        <f>J301/N301</f>
        <v>0.28048780487804881</v>
      </c>
      <c r="R301" s="20">
        <f>L301/N301</f>
        <v>0.33536585365853661</v>
      </c>
    </row>
    <row r="302" spans="1:18" x14ac:dyDescent="0.25">
      <c r="A302" s="2" t="s">
        <v>383</v>
      </c>
      <c r="B302" t="s">
        <v>300</v>
      </c>
      <c r="C302" s="18" t="s">
        <v>360</v>
      </c>
      <c r="D302" s="18" t="s">
        <v>360</v>
      </c>
      <c r="E302" s="18" t="s">
        <v>360</v>
      </c>
      <c r="F302" t="s">
        <v>360</v>
      </c>
      <c r="G302" s="20" t="s">
        <v>360</v>
      </c>
      <c r="H302" s="20" t="s">
        <v>360</v>
      </c>
      <c r="I302" s="20" t="s">
        <v>360</v>
      </c>
      <c r="J302" s="20" t="s">
        <v>360</v>
      </c>
      <c r="K302" s="20" t="s">
        <v>360</v>
      </c>
      <c r="L302" s="20" t="s">
        <v>360</v>
      </c>
      <c r="M302" s="21" t="s">
        <v>360</v>
      </c>
      <c r="N302" s="20" t="s">
        <v>360</v>
      </c>
      <c r="O302" s="20" t="s">
        <v>360</v>
      </c>
      <c r="P302" s="20" t="s">
        <v>360</v>
      </c>
      <c r="Q302" s="20" t="s">
        <v>360</v>
      </c>
      <c r="R302" s="20" t="s">
        <v>360</v>
      </c>
    </row>
    <row r="303" spans="1:18" x14ac:dyDescent="0.25">
      <c r="A303" s="2" t="s">
        <v>383</v>
      </c>
      <c r="B303" t="s">
        <v>301</v>
      </c>
      <c r="C303" s="18">
        <v>3.5</v>
      </c>
      <c r="D303" s="18">
        <v>4.4000000000000004</v>
      </c>
      <c r="E303" s="18">
        <f>C303+D303</f>
        <v>7.9</v>
      </c>
      <c r="F303" s="21">
        <v>2</v>
      </c>
      <c r="G303" s="20">
        <v>3.0000000000000001E-3</v>
      </c>
      <c r="H303" s="20">
        <f>G303/M303</f>
        <v>3.0000000000000001E-3</v>
      </c>
      <c r="I303" s="20">
        <v>1.5E-3</v>
      </c>
      <c r="J303" s="20">
        <f>I303/M303</f>
        <v>1.5E-3</v>
      </c>
      <c r="K303" s="20">
        <v>1.1999999999999999E-3</v>
      </c>
      <c r="L303" s="20">
        <f>K303/M303</f>
        <v>1.1999999999999999E-3</v>
      </c>
      <c r="M303" s="21">
        <v>1</v>
      </c>
      <c r="N303" s="20">
        <f>H303+J303+L303</f>
        <v>5.7000000000000002E-3</v>
      </c>
      <c r="O303" s="20">
        <f>(H303+J303)/K303</f>
        <v>3.7500000000000009</v>
      </c>
      <c r="P303" s="20">
        <f>H303/N303</f>
        <v>0.52631578947368418</v>
      </c>
      <c r="Q303" s="20">
        <f>J303/N303</f>
        <v>0.26315789473684209</v>
      </c>
      <c r="R303" s="20">
        <f>L303/N303</f>
        <v>0.21052631578947364</v>
      </c>
    </row>
    <row r="304" spans="1:18" x14ac:dyDescent="0.25">
      <c r="A304" s="2" t="s">
        <v>383</v>
      </c>
      <c r="B304" t="s">
        <v>302</v>
      </c>
      <c r="C304" s="18">
        <f>(3+3.3)/2</f>
        <v>3.15</v>
      </c>
      <c r="D304" s="18">
        <f>(3.5+2.5)/2</f>
        <v>3</v>
      </c>
      <c r="E304" s="18">
        <f>C304+D304</f>
        <v>6.15</v>
      </c>
      <c r="F304" s="21">
        <f>(2+0)/2</f>
        <v>1</v>
      </c>
      <c r="G304" s="20">
        <v>4.5999999999999999E-3</v>
      </c>
      <c r="H304" s="20">
        <f>G304/M304</f>
        <v>2.3E-3</v>
      </c>
      <c r="I304" s="20">
        <v>5.0000000000000001E-4</v>
      </c>
      <c r="J304" s="20">
        <f>I304/M304</f>
        <v>2.5000000000000001E-4</v>
      </c>
      <c r="K304" s="20">
        <v>1.8E-3</v>
      </c>
      <c r="L304" s="20">
        <f>K304/M304</f>
        <v>8.9999999999999998E-4</v>
      </c>
      <c r="M304" s="21">
        <v>2</v>
      </c>
      <c r="N304" s="20">
        <f>H304+J304+L304</f>
        <v>3.4499999999999999E-3</v>
      </c>
      <c r="O304" s="20">
        <f>(H304+J304)/K304</f>
        <v>1.4166666666666667</v>
      </c>
      <c r="P304" s="20">
        <f>H304/N304</f>
        <v>0.66666666666666663</v>
      </c>
      <c r="Q304" s="20">
        <f>J304/N304</f>
        <v>7.2463768115942032E-2</v>
      </c>
      <c r="R304" s="20">
        <f>L304/N304</f>
        <v>0.2608695652173913</v>
      </c>
    </row>
    <row r="305" spans="1:18" x14ac:dyDescent="0.25">
      <c r="A305" s="2" t="s">
        <v>383</v>
      </c>
      <c r="B305" t="s">
        <v>303</v>
      </c>
      <c r="C305" s="18">
        <v>2.2000000000000002</v>
      </c>
      <c r="D305" s="18">
        <v>4</v>
      </c>
      <c r="E305" s="18">
        <f>C305+D305</f>
        <v>6.2</v>
      </c>
      <c r="F305" s="21">
        <v>0</v>
      </c>
      <c r="G305" s="20">
        <v>1.6000000000000001E-3</v>
      </c>
      <c r="H305" s="20">
        <f>G305/M305</f>
        <v>1.6000000000000001E-3</v>
      </c>
      <c r="I305" s="20">
        <v>8.0000000000000004E-4</v>
      </c>
      <c r="J305" s="20">
        <f>I305/M305</f>
        <v>8.0000000000000004E-4</v>
      </c>
      <c r="K305" s="20">
        <v>1.2999999999999999E-3</v>
      </c>
      <c r="L305" s="20">
        <f>K305/M305</f>
        <v>1.2999999999999999E-3</v>
      </c>
      <c r="M305" s="21">
        <v>1</v>
      </c>
      <c r="N305" s="20">
        <f>H305+J305+L305</f>
        <v>3.7000000000000002E-3</v>
      </c>
      <c r="O305" s="20">
        <f>(H305+J305)/K305</f>
        <v>1.8461538461538465</v>
      </c>
      <c r="P305" s="20">
        <f>H305/N305</f>
        <v>0.43243243243243246</v>
      </c>
      <c r="Q305" s="20">
        <f>J305/N305</f>
        <v>0.21621621621621623</v>
      </c>
      <c r="R305" s="20">
        <f>L305/N305</f>
        <v>0.35135135135135132</v>
      </c>
    </row>
    <row r="306" spans="1:18" x14ac:dyDescent="0.25">
      <c r="A306" s="2" t="s">
        <v>383</v>
      </c>
      <c r="B306" t="s">
        <v>304</v>
      </c>
      <c r="C306" s="18" t="s">
        <v>360</v>
      </c>
      <c r="D306" s="18" t="s">
        <v>360</v>
      </c>
      <c r="E306" s="18" t="s">
        <v>360</v>
      </c>
      <c r="F306" s="21" t="s">
        <v>360</v>
      </c>
      <c r="G306" s="20" t="s">
        <v>360</v>
      </c>
      <c r="H306" s="20" t="s">
        <v>360</v>
      </c>
      <c r="I306" s="20" t="s">
        <v>360</v>
      </c>
      <c r="J306" s="20" t="s">
        <v>360</v>
      </c>
      <c r="K306" s="20" t="s">
        <v>360</v>
      </c>
      <c r="L306" s="20" t="s">
        <v>360</v>
      </c>
      <c r="M306" s="21" t="s">
        <v>360</v>
      </c>
      <c r="N306" s="20" t="s">
        <v>360</v>
      </c>
      <c r="O306" s="20" t="s">
        <v>360</v>
      </c>
      <c r="P306" s="20" t="s">
        <v>360</v>
      </c>
      <c r="Q306" s="20" t="s">
        <v>360</v>
      </c>
      <c r="R306" s="20" t="s">
        <v>360</v>
      </c>
    </row>
    <row r="307" spans="1:18" x14ac:dyDescent="0.25">
      <c r="A307" s="2" t="s">
        <v>383</v>
      </c>
      <c r="B307" t="s">
        <v>305</v>
      </c>
      <c r="C307" s="18">
        <v>3.5</v>
      </c>
      <c r="D307" s="18">
        <v>2.5</v>
      </c>
      <c r="E307" s="18">
        <f t="shared" ref="E307:E338" si="108">C307+D307</f>
        <v>6</v>
      </c>
      <c r="F307" s="21">
        <v>2</v>
      </c>
      <c r="G307" s="20">
        <v>2.0999999999999999E-3</v>
      </c>
      <c r="H307" s="20">
        <f t="shared" ref="H307:H341" si="109">G307/M307</f>
        <v>2.0999999999999999E-3</v>
      </c>
      <c r="I307" s="20">
        <v>1.1999999999999999E-3</v>
      </c>
      <c r="J307" s="20">
        <f t="shared" ref="J307:J338" si="110">I307/M307</f>
        <v>1.1999999999999999E-3</v>
      </c>
      <c r="K307" s="20">
        <v>1.2999999999999999E-3</v>
      </c>
      <c r="L307" s="20">
        <f t="shared" ref="L307:L338" si="111">K307/M307</f>
        <v>1.2999999999999999E-3</v>
      </c>
      <c r="M307" s="21">
        <v>1</v>
      </c>
      <c r="N307" s="20">
        <f t="shared" ref="N307:N338" si="112">H307+J307+L307</f>
        <v>4.5999999999999999E-3</v>
      </c>
      <c r="O307" s="20">
        <f t="shared" ref="O307:O338" si="113">(H307+J307)/K307</f>
        <v>2.5384615384615388</v>
      </c>
      <c r="P307" s="20">
        <f t="shared" ref="P307:P338" si="114">H307/N307</f>
        <v>0.45652173913043476</v>
      </c>
      <c r="Q307" s="20">
        <f t="shared" ref="Q307:Q338" si="115">J307/N307</f>
        <v>0.2608695652173913</v>
      </c>
      <c r="R307" s="20">
        <f t="shared" ref="R307:R338" si="116">L307/N307</f>
        <v>0.28260869565217389</v>
      </c>
    </row>
    <row r="308" spans="1:18" x14ac:dyDescent="0.25">
      <c r="A308" s="2" t="s">
        <v>383</v>
      </c>
      <c r="B308" t="s">
        <v>306</v>
      </c>
      <c r="C308" s="18">
        <f>(4+4.2+4+4)/4</f>
        <v>4.05</v>
      </c>
      <c r="D308" s="18">
        <f>(8+9.5+9.2+7)/4</f>
        <v>8.4250000000000007</v>
      </c>
      <c r="E308" s="18">
        <f t="shared" si="108"/>
        <v>12.475000000000001</v>
      </c>
      <c r="F308">
        <v>2</v>
      </c>
      <c r="G308" s="20">
        <v>2.3099999999999999E-2</v>
      </c>
      <c r="H308" s="20">
        <f t="shared" si="109"/>
        <v>5.7749999999999998E-3</v>
      </c>
      <c r="I308" s="20">
        <v>2.58E-2</v>
      </c>
      <c r="J308" s="20">
        <f t="shared" si="110"/>
        <v>6.45E-3</v>
      </c>
      <c r="K308" s="20">
        <v>1.9800000000000002E-2</v>
      </c>
      <c r="L308" s="20">
        <f t="shared" si="111"/>
        <v>4.9500000000000004E-3</v>
      </c>
      <c r="M308" s="21">
        <v>4</v>
      </c>
      <c r="N308" s="20">
        <f t="shared" si="112"/>
        <v>1.7174999999999999E-2</v>
      </c>
      <c r="O308" s="20">
        <f t="shared" si="113"/>
        <v>0.61742424242424232</v>
      </c>
      <c r="P308" s="20">
        <f t="shared" si="114"/>
        <v>0.33624454148471616</v>
      </c>
      <c r="Q308" s="20">
        <f t="shared" si="115"/>
        <v>0.37554585152838432</v>
      </c>
      <c r="R308" s="20">
        <f t="shared" si="116"/>
        <v>0.28820960698689962</v>
      </c>
    </row>
    <row r="309" spans="1:18" x14ac:dyDescent="0.25">
      <c r="A309" s="2" t="s">
        <v>383</v>
      </c>
      <c r="B309" t="s">
        <v>307</v>
      </c>
      <c r="C309" s="18">
        <f>(4.5+4+4.5+4+4.5)/5</f>
        <v>4.3</v>
      </c>
      <c r="D309" s="18">
        <f>(8+11+14+8.5+6.8)/5</f>
        <v>9.66</v>
      </c>
      <c r="E309" s="18">
        <f t="shared" si="108"/>
        <v>13.96</v>
      </c>
      <c r="F309">
        <v>3</v>
      </c>
      <c r="G309" s="20">
        <v>3.8300000000000001E-2</v>
      </c>
      <c r="H309" s="20">
        <f t="shared" si="109"/>
        <v>7.6600000000000001E-3</v>
      </c>
      <c r="I309" s="20">
        <v>4.02E-2</v>
      </c>
      <c r="J309" s="20">
        <f t="shared" si="110"/>
        <v>8.0400000000000003E-3</v>
      </c>
      <c r="K309" s="20">
        <v>3.6400000000000002E-2</v>
      </c>
      <c r="L309" s="20">
        <f t="shared" si="111"/>
        <v>7.28E-3</v>
      </c>
      <c r="M309" s="21">
        <v>5</v>
      </c>
      <c r="N309" s="20">
        <f t="shared" si="112"/>
        <v>2.298E-2</v>
      </c>
      <c r="O309" s="20">
        <f t="shared" si="113"/>
        <v>0.43131868131868129</v>
      </c>
      <c r="P309" s="20">
        <f t="shared" si="114"/>
        <v>0.33333333333333331</v>
      </c>
      <c r="Q309" s="20">
        <f t="shared" si="115"/>
        <v>0.34986945169712796</v>
      </c>
      <c r="R309" s="20">
        <f t="shared" si="116"/>
        <v>0.31679721496953872</v>
      </c>
    </row>
    <row r="310" spans="1:18" x14ac:dyDescent="0.25">
      <c r="A310" s="2" t="s">
        <v>383</v>
      </c>
      <c r="B310" t="s">
        <v>308</v>
      </c>
      <c r="C310" s="18">
        <f>(4.5+5+4.5+4.5+4)/5</f>
        <v>4.5</v>
      </c>
      <c r="D310" s="18">
        <f>(11+9+10+8.2+9.5)/5</f>
        <v>9.5400000000000009</v>
      </c>
      <c r="E310" s="18">
        <f t="shared" si="108"/>
        <v>14.040000000000001</v>
      </c>
      <c r="F310">
        <f>(2+2+2+2+2)/5</f>
        <v>2</v>
      </c>
      <c r="G310" s="20">
        <v>3.1600000000000003E-2</v>
      </c>
      <c r="H310" s="20">
        <f t="shared" si="109"/>
        <v>6.320000000000001E-3</v>
      </c>
      <c r="I310" s="20">
        <v>1.89E-2</v>
      </c>
      <c r="J310" s="20">
        <f t="shared" si="110"/>
        <v>3.7799999999999999E-3</v>
      </c>
      <c r="K310" s="20">
        <v>2.5600000000000001E-2</v>
      </c>
      <c r="L310" s="20">
        <f t="shared" si="111"/>
        <v>5.1200000000000004E-3</v>
      </c>
      <c r="M310" s="21">
        <v>5</v>
      </c>
      <c r="N310" s="20">
        <f t="shared" si="112"/>
        <v>1.5220000000000001E-2</v>
      </c>
      <c r="O310" s="20">
        <f t="shared" si="113"/>
        <v>0.39453125000000006</v>
      </c>
      <c r="P310" s="20">
        <f t="shared" si="114"/>
        <v>0.41524310118265445</v>
      </c>
      <c r="Q310" s="20">
        <f t="shared" si="115"/>
        <v>0.24835742444152428</v>
      </c>
      <c r="R310" s="20">
        <f t="shared" si="116"/>
        <v>0.33639947437582129</v>
      </c>
    </row>
    <row r="311" spans="1:18" x14ac:dyDescent="0.25">
      <c r="A311" s="2" t="s">
        <v>383</v>
      </c>
      <c r="B311" t="s">
        <v>309</v>
      </c>
      <c r="C311" s="18">
        <f>(4.6+3.5+4.5+4.6)/4</f>
        <v>4.3</v>
      </c>
      <c r="D311" s="18">
        <f>(12+7+10+12)/4</f>
        <v>10.25</v>
      </c>
      <c r="E311" s="18">
        <f t="shared" si="108"/>
        <v>14.55</v>
      </c>
      <c r="F311">
        <v>3</v>
      </c>
      <c r="G311" s="20">
        <v>3.2500000000000001E-2</v>
      </c>
      <c r="H311" s="20">
        <f t="shared" si="109"/>
        <v>8.1250000000000003E-3</v>
      </c>
      <c r="I311" s="20">
        <v>3.0700000000000002E-2</v>
      </c>
      <c r="J311" s="20">
        <f t="shared" si="110"/>
        <v>7.6750000000000004E-3</v>
      </c>
      <c r="K311" s="20">
        <v>2.47E-2</v>
      </c>
      <c r="L311" s="20">
        <f t="shared" si="111"/>
        <v>6.1749999999999999E-3</v>
      </c>
      <c r="M311" s="21">
        <v>4</v>
      </c>
      <c r="N311" s="20">
        <f t="shared" si="112"/>
        <v>2.1975000000000001E-2</v>
      </c>
      <c r="O311" s="20">
        <f t="shared" si="113"/>
        <v>0.63967611336032393</v>
      </c>
      <c r="P311" s="20">
        <f t="shared" si="114"/>
        <v>0.36973833902161546</v>
      </c>
      <c r="Q311" s="20">
        <f t="shared" si="115"/>
        <v>0.34926052332195678</v>
      </c>
      <c r="R311" s="20">
        <f t="shared" si="116"/>
        <v>0.28100113765642776</v>
      </c>
    </row>
    <row r="312" spans="1:18" x14ac:dyDescent="0.25">
      <c r="A312" s="2" t="s">
        <v>383</v>
      </c>
      <c r="B312" t="s">
        <v>310</v>
      </c>
      <c r="C312" s="18">
        <f>(6.5+4.5+4.5+6.5+5.6+4.5+5+5)/8</f>
        <v>5.2625000000000002</v>
      </c>
      <c r="D312" s="18">
        <f>(7.5+8.5+7+6.5+10+9+8+5.5)/8</f>
        <v>7.75</v>
      </c>
      <c r="E312" s="18">
        <f t="shared" si="108"/>
        <v>13.012499999999999</v>
      </c>
      <c r="F312">
        <v>2</v>
      </c>
      <c r="G312" s="20">
        <v>5.9200000000000003E-2</v>
      </c>
      <c r="H312" s="20">
        <f t="shared" si="109"/>
        <v>7.4000000000000003E-3</v>
      </c>
      <c r="I312" s="20">
        <v>5.6800000000000003E-2</v>
      </c>
      <c r="J312" s="20">
        <f t="shared" si="110"/>
        <v>7.1000000000000004E-3</v>
      </c>
      <c r="K312" s="20">
        <v>4.1099999999999998E-2</v>
      </c>
      <c r="L312" s="20">
        <f t="shared" si="111"/>
        <v>5.1374999999999997E-3</v>
      </c>
      <c r="M312" s="21">
        <v>8</v>
      </c>
      <c r="N312" s="20">
        <f t="shared" si="112"/>
        <v>1.9637500000000002E-2</v>
      </c>
      <c r="O312" s="20">
        <f t="shared" si="113"/>
        <v>0.35279805352798055</v>
      </c>
      <c r="P312" s="20">
        <f t="shared" si="114"/>
        <v>0.3768300445576066</v>
      </c>
      <c r="Q312" s="20">
        <f t="shared" si="115"/>
        <v>0.36155315085932527</v>
      </c>
      <c r="R312" s="20">
        <f t="shared" si="116"/>
        <v>0.26161680458306807</v>
      </c>
    </row>
    <row r="313" spans="1:18" x14ac:dyDescent="0.25">
      <c r="A313" s="2" t="s">
        <v>383</v>
      </c>
      <c r="B313" t="s">
        <v>311</v>
      </c>
      <c r="C313" s="18">
        <f>(5+4+4+4+4+4)/6</f>
        <v>4.166666666666667</v>
      </c>
      <c r="D313" s="18">
        <f>(6+5+8+6+7+10)/6</f>
        <v>7</v>
      </c>
      <c r="E313" s="18">
        <f t="shared" si="108"/>
        <v>11.166666666666668</v>
      </c>
      <c r="F313" s="21">
        <v>2</v>
      </c>
      <c r="G313" s="20">
        <v>2.8299999999999999E-2</v>
      </c>
      <c r="H313" s="20">
        <f t="shared" si="109"/>
        <v>4.7166666666666668E-3</v>
      </c>
      <c r="I313" s="20">
        <v>2.3300000000000001E-2</v>
      </c>
      <c r="J313" s="20">
        <f t="shared" si="110"/>
        <v>3.8833333333333337E-3</v>
      </c>
      <c r="K313" s="20">
        <v>2.53E-2</v>
      </c>
      <c r="L313" s="20">
        <f t="shared" si="111"/>
        <v>4.2166666666666663E-3</v>
      </c>
      <c r="M313" s="21">
        <v>6</v>
      </c>
      <c r="N313" s="20">
        <f t="shared" si="112"/>
        <v>1.2816666666666667E-2</v>
      </c>
      <c r="O313" s="20">
        <f t="shared" si="113"/>
        <v>0.33992094861660077</v>
      </c>
      <c r="P313" s="20">
        <f t="shared" si="114"/>
        <v>0.36801040312093625</v>
      </c>
      <c r="Q313" s="20">
        <f t="shared" si="115"/>
        <v>0.30299089726918077</v>
      </c>
      <c r="R313" s="20">
        <f t="shared" si="116"/>
        <v>0.32899869960988293</v>
      </c>
    </row>
    <row r="314" spans="1:18" x14ac:dyDescent="0.25">
      <c r="A314" s="2" t="s">
        <v>383</v>
      </c>
      <c r="B314" t="s">
        <v>312</v>
      </c>
      <c r="C314" s="18">
        <f>(4+4)/2</f>
        <v>4</v>
      </c>
      <c r="D314" s="18">
        <f>(3+6.5)/2</f>
        <v>4.75</v>
      </c>
      <c r="E314" s="18">
        <f t="shared" si="108"/>
        <v>8.75</v>
      </c>
      <c r="F314">
        <v>2</v>
      </c>
      <c r="G314" s="20">
        <v>1.06E-2</v>
      </c>
      <c r="H314" s="20">
        <f t="shared" si="109"/>
        <v>5.3E-3</v>
      </c>
      <c r="I314" s="20">
        <v>1.0800000000000001E-2</v>
      </c>
      <c r="J314" s="20">
        <f t="shared" si="110"/>
        <v>5.4000000000000003E-3</v>
      </c>
      <c r="K314" s="20">
        <v>6.7000000000000002E-3</v>
      </c>
      <c r="L314" s="20">
        <f t="shared" si="111"/>
        <v>3.3500000000000001E-3</v>
      </c>
      <c r="M314" s="21">
        <v>2</v>
      </c>
      <c r="N314" s="20">
        <f t="shared" si="112"/>
        <v>1.4050000000000002E-2</v>
      </c>
      <c r="O314" s="20">
        <f t="shared" si="113"/>
        <v>1.5970149253731345</v>
      </c>
      <c r="P314" s="20">
        <f t="shared" si="114"/>
        <v>0.37722419928825618</v>
      </c>
      <c r="Q314" s="20">
        <f t="shared" si="115"/>
        <v>0.38434163701067614</v>
      </c>
      <c r="R314" s="20">
        <f t="shared" si="116"/>
        <v>0.2384341637010676</v>
      </c>
    </row>
    <row r="315" spans="1:18" x14ac:dyDescent="0.25">
      <c r="A315" s="2" t="s">
        <v>383</v>
      </c>
      <c r="B315" t="s">
        <v>313</v>
      </c>
      <c r="C315" s="18">
        <f>(4+4+4+4.3)/4</f>
        <v>4.0750000000000002</v>
      </c>
      <c r="D315" s="18">
        <f>(10+13+9.5+12)/4</f>
        <v>11.125</v>
      </c>
      <c r="E315" s="18">
        <f t="shared" si="108"/>
        <v>15.2</v>
      </c>
      <c r="F315">
        <f>(2+2+2+2)/4</f>
        <v>2</v>
      </c>
      <c r="G315" s="20">
        <v>2.7099999999999999E-2</v>
      </c>
      <c r="H315" s="20">
        <f t="shared" si="109"/>
        <v>6.7749999999999998E-3</v>
      </c>
      <c r="I315" s="20">
        <v>2.0899999999999998E-2</v>
      </c>
      <c r="J315" s="20">
        <f t="shared" si="110"/>
        <v>5.2249999999999996E-3</v>
      </c>
      <c r="K315" s="20">
        <v>2.41E-2</v>
      </c>
      <c r="L315" s="20">
        <f t="shared" si="111"/>
        <v>6.025E-3</v>
      </c>
      <c r="M315" s="21">
        <v>4</v>
      </c>
      <c r="N315" s="20">
        <f t="shared" si="112"/>
        <v>1.8024999999999999E-2</v>
      </c>
      <c r="O315" s="20">
        <f t="shared" si="113"/>
        <v>0.49792531120331951</v>
      </c>
      <c r="P315" s="20">
        <f t="shared" si="114"/>
        <v>0.37586685159500693</v>
      </c>
      <c r="Q315" s="20">
        <f t="shared" si="115"/>
        <v>0.28987517337031898</v>
      </c>
      <c r="R315" s="20">
        <f t="shared" si="116"/>
        <v>0.33425797503467408</v>
      </c>
    </row>
    <row r="316" spans="1:18" x14ac:dyDescent="0.25">
      <c r="A316" s="2" t="s">
        <v>383</v>
      </c>
      <c r="B316" t="s">
        <v>314</v>
      </c>
      <c r="C316" s="18">
        <f>(5.5+5+5+6.5+6+7)/6</f>
        <v>5.833333333333333</v>
      </c>
      <c r="D316" s="18">
        <f>(8+12+8+6+6.5+8.5)/6</f>
        <v>8.1666666666666661</v>
      </c>
      <c r="E316" s="18">
        <f t="shared" si="108"/>
        <v>14</v>
      </c>
      <c r="F316">
        <f>(3+3+3+3+3+3)/6</f>
        <v>3</v>
      </c>
      <c r="G316" s="20">
        <v>5.79E-2</v>
      </c>
      <c r="H316" s="20">
        <f t="shared" si="109"/>
        <v>9.6500000000000006E-3</v>
      </c>
      <c r="I316" s="20">
        <v>6.2199999999999998E-2</v>
      </c>
      <c r="J316" s="20">
        <f t="shared" si="110"/>
        <v>1.0366666666666666E-2</v>
      </c>
      <c r="K316" s="20">
        <v>3.7600000000000001E-2</v>
      </c>
      <c r="L316" s="20">
        <f t="shared" si="111"/>
        <v>6.2666666666666669E-3</v>
      </c>
      <c r="M316" s="21">
        <v>6</v>
      </c>
      <c r="N316" s="20">
        <f t="shared" si="112"/>
        <v>2.6283333333333336E-2</v>
      </c>
      <c r="O316" s="20">
        <f t="shared" si="113"/>
        <v>0.53235815602836878</v>
      </c>
      <c r="P316" s="20">
        <f t="shared" si="114"/>
        <v>0.36715282181357006</v>
      </c>
      <c r="Q316" s="20">
        <f t="shared" si="115"/>
        <v>0.39441978440076092</v>
      </c>
      <c r="R316" s="20">
        <f t="shared" si="116"/>
        <v>0.23842739378566899</v>
      </c>
    </row>
    <row r="317" spans="1:18" x14ac:dyDescent="0.25">
      <c r="A317" s="2" t="s">
        <v>383</v>
      </c>
      <c r="B317" t="s">
        <v>315</v>
      </c>
      <c r="C317" s="18">
        <f>(4.5+5.5+5+4+5.5)/5</f>
        <v>4.9000000000000004</v>
      </c>
      <c r="D317" s="18">
        <f>(8+5+6+7.5+7.5)/5</f>
        <v>6.8</v>
      </c>
      <c r="E317" s="18">
        <f t="shared" si="108"/>
        <v>11.7</v>
      </c>
      <c r="F317">
        <v>2</v>
      </c>
      <c r="G317" s="20">
        <v>3.27E-2</v>
      </c>
      <c r="H317" s="20">
        <f t="shared" si="109"/>
        <v>6.5399999999999998E-3</v>
      </c>
      <c r="I317" s="20">
        <v>2.5100000000000001E-2</v>
      </c>
      <c r="J317" s="20">
        <f t="shared" si="110"/>
        <v>5.0200000000000002E-3</v>
      </c>
      <c r="K317" s="20">
        <v>2.1600000000000001E-2</v>
      </c>
      <c r="L317" s="20">
        <f t="shared" si="111"/>
        <v>4.3200000000000001E-3</v>
      </c>
      <c r="M317" s="21">
        <v>5</v>
      </c>
      <c r="N317" s="20">
        <f t="shared" si="112"/>
        <v>1.5880000000000002E-2</v>
      </c>
      <c r="O317" s="20">
        <f t="shared" si="113"/>
        <v>0.53518518518518521</v>
      </c>
      <c r="P317" s="20">
        <f t="shared" si="114"/>
        <v>0.41183879093198988</v>
      </c>
      <c r="Q317" s="20">
        <f t="shared" si="115"/>
        <v>0.31612090680100752</v>
      </c>
      <c r="R317" s="20">
        <f t="shared" si="116"/>
        <v>0.27204030226700249</v>
      </c>
    </row>
    <row r="318" spans="1:18" x14ac:dyDescent="0.25">
      <c r="A318" s="2" t="s">
        <v>383</v>
      </c>
      <c r="B318" t="s">
        <v>316</v>
      </c>
      <c r="C318" s="18">
        <f>(5+5+5.5)/3</f>
        <v>5.166666666666667</v>
      </c>
      <c r="D318" s="18">
        <f>(8+7+9)/3</f>
        <v>8</v>
      </c>
      <c r="E318" s="18">
        <f t="shared" si="108"/>
        <v>13.166666666666668</v>
      </c>
      <c r="F318">
        <v>2</v>
      </c>
      <c r="G318" s="20">
        <v>3.0499999999999999E-2</v>
      </c>
      <c r="H318" s="20">
        <f t="shared" si="109"/>
        <v>1.0166666666666666E-2</v>
      </c>
      <c r="I318" s="20">
        <v>2.5399999999999999E-2</v>
      </c>
      <c r="J318" s="20">
        <f t="shared" si="110"/>
        <v>8.4666666666666657E-3</v>
      </c>
      <c r="K318" s="20">
        <v>1.9099999999999999E-2</v>
      </c>
      <c r="L318" s="20">
        <f t="shared" si="111"/>
        <v>6.3666666666666663E-3</v>
      </c>
      <c r="M318" s="21">
        <v>3</v>
      </c>
      <c r="N318" s="20">
        <f t="shared" si="112"/>
        <v>2.4999999999999998E-2</v>
      </c>
      <c r="O318" s="20">
        <f t="shared" si="113"/>
        <v>0.9755671902268761</v>
      </c>
      <c r="P318" s="20">
        <f t="shared" si="114"/>
        <v>0.40666666666666668</v>
      </c>
      <c r="Q318" s="20">
        <f t="shared" si="115"/>
        <v>0.33866666666666667</v>
      </c>
      <c r="R318" s="20">
        <f t="shared" si="116"/>
        <v>0.25466666666666665</v>
      </c>
    </row>
    <row r="319" spans="1:18" x14ac:dyDescent="0.25">
      <c r="A319" s="2" t="s">
        <v>383</v>
      </c>
      <c r="B319" t="s">
        <v>317</v>
      </c>
      <c r="C319" s="18">
        <f>(4+5+4.5)/3</f>
        <v>4.5</v>
      </c>
      <c r="D319" s="18">
        <f>(9+11+8)/3</f>
        <v>9.3333333333333339</v>
      </c>
      <c r="E319" s="18">
        <f t="shared" si="108"/>
        <v>13.833333333333334</v>
      </c>
      <c r="F319" s="13">
        <v>2</v>
      </c>
      <c r="G319" s="20">
        <v>1.6500000000000001E-2</v>
      </c>
      <c r="H319" s="20">
        <f t="shared" si="109"/>
        <v>5.5000000000000005E-3</v>
      </c>
      <c r="I319" s="20">
        <v>1.5800000000000002E-2</v>
      </c>
      <c r="J319" s="20">
        <f t="shared" si="110"/>
        <v>5.2666666666666669E-3</v>
      </c>
      <c r="K319" s="20">
        <v>1.54E-2</v>
      </c>
      <c r="L319" s="20">
        <f t="shared" si="111"/>
        <v>5.1333333333333335E-3</v>
      </c>
      <c r="M319" s="21">
        <v>3</v>
      </c>
      <c r="N319" s="20">
        <f t="shared" si="112"/>
        <v>1.5900000000000001E-2</v>
      </c>
      <c r="O319" s="20">
        <f t="shared" si="113"/>
        <v>0.69913419913419916</v>
      </c>
      <c r="P319" s="20">
        <f t="shared" si="114"/>
        <v>0.34591194968553463</v>
      </c>
      <c r="Q319" s="20">
        <f t="shared" si="115"/>
        <v>0.33123689727463312</v>
      </c>
      <c r="R319" s="20">
        <f t="shared" si="116"/>
        <v>0.32285115303983225</v>
      </c>
    </row>
    <row r="320" spans="1:18" x14ac:dyDescent="0.25">
      <c r="A320" s="2" t="s">
        <v>383</v>
      </c>
      <c r="B320" t="s">
        <v>318</v>
      </c>
      <c r="C320" s="18">
        <f>(3.5+5+4.5+4)/4</f>
        <v>4.25</v>
      </c>
      <c r="D320" s="18">
        <f>(7+7+5+5.5)/4</f>
        <v>6.125</v>
      </c>
      <c r="E320" s="18">
        <f t="shared" si="108"/>
        <v>10.375</v>
      </c>
      <c r="F320">
        <f>(2+2+2+2)/4</f>
        <v>2</v>
      </c>
      <c r="G320" s="20">
        <v>2.1100000000000001E-2</v>
      </c>
      <c r="H320" s="20">
        <f t="shared" si="109"/>
        <v>5.2750000000000002E-3</v>
      </c>
      <c r="I320" s="20">
        <v>1.5100000000000001E-2</v>
      </c>
      <c r="J320" s="20">
        <f t="shared" si="110"/>
        <v>3.7750000000000001E-3</v>
      </c>
      <c r="K320" s="20">
        <v>1.35E-2</v>
      </c>
      <c r="L320" s="20">
        <f t="shared" si="111"/>
        <v>3.375E-3</v>
      </c>
      <c r="M320" s="21">
        <v>4</v>
      </c>
      <c r="N320" s="20">
        <f t="shared" si="112"/>
        <v>1.2425E-2</v>
      </c>
      <c r="O320" s="20">
        <f t="shared" si="113"/>
        <v>0.67037037037037039</v>
      </c>
      <c r="P320" s="20">
        <f t="shared" si="114"/>
        <v>0.42454728370221329</v>
      </c>
      <c r="Q320" s="20">
        <f t="shared" si="115"/>
        <v>0.30382293762575452</v>
      </c>
      <c r="R320" s="20">
        <f t="shared" si="116"/>
        <v>0.2716297786720322</v>
      </c>
    </row>
    <row r="321" spans="1:18" x14ac:dyDescent="0.25">
      <c r="A321" s="2" t="s">
        <v>383</v>
      </c>
      <c r="B321" t="s">
        <v>319</v>
      </c>
      <c r="C321" s="18">
        <f>(4+4.5+5+4.5)/4</f>
        <v>4.5</v>
      </c>
      <c r="D321" s="18">
        <f>(6+8.5+5.5+4.6)/4</f>
        <v>6.15</v>
      </c>
      <c r="E321" s="18">
        <f t="shared" si="108"/>
        <v>10.65</v>
      </c>
      <c r="F321" s="21">
        <v>2</v>
      </c>
      <c r="G321" s="20">
        <v>2.3199999999999998E-2</v>
      </c>
      <c r="H321" s="20">
        <f t="shared" si="109"/>
        <v>5.7999999999999996E-3</v>
      </c>
      <c r="I321" s="20">
        <v>2.3900000000000001E-2</v>
      </c>
      <c r="J321" s="20">
        <f t="shared" si="110"/>
        <v>5.9750000000000003E-3</v>
      </c>
      <c r="K321" s="20">
        <v>1.5599999999999999E-2</v>
      </c>
      <c r="L321" s="20">
        <f t="shared" si="111"/>
        <v>3.8999999999999998E-3</v>
      </c>
      <c r="M321" s="21">
        <v>4</v>
      </c>
      <c r="N321" s="20">
        <f t="shared" si="112"/>
        <v>1.5675000000000001E-2</v>
      </c>
      <c r="O321" s="20">
        <f t="shared" si="113"/>
        <v>0.7548076923076924</v>
      </c>
      <c r="P321" s="20">
        <f t="shared" si="114"/>
        <v>0.3700159489633173</v>
      </c>
      <c r="Q321" s="20">
        <f t="shared" si="115"/>
        <v>0.38118022328548645</v>
      </c>
      <c r="R321" s="20">
        <f t="shared" si="116"/>
        <v>0.24880382775119614</v>
      </c>
    </row>
    <row r="322" spans="1:18" x14ac:dyDescent="0.25">
      <c r="A322" s="2" t="s">
        <v>383</v>
      </c>
      <c r="B322" t="s">
        <v>320</v>
      </c>
      <c r="C322" s="18">
        <f>(5+5+4.5)/3</f>
        <v>4.833333333333333</v>
      </c>
      <c r="D322" s="18">
        <f>(6.5+13.5+5)/3</f>
        <v>8.3333333333333339</v>
      </c>
      <c r="E322" s="18">
        <f t="shared" si="108"/>
        <v>13.166666666666668</v>
      </c>
      <c r="F322">
        <f>(3+3+3)/3</f>
        <v>3</v>
      </c>
      <c r="G322" s="20">
        <v>1.8700000000000001E-2</v>
      </c>
      <c r="H322" s="20">
        <f t="shared" si="109"/>
        <v>6.2333333333333338E-3</v>
      </c>
      <c r="I322" s="20">
        <v>1.9099999999999999E-2</v>
      </c>
      <c r="J322" s="20">
        <f t="shared" si="110"/>
        <v>6.3666666666666663E-3</v>
      </c>
      <c r="K322" s="20">
        <v>8.3999999999999995E-3</v>
      </c>
      <c r="L322" s="20">
        <f t="shared" si="111"/>
        <v>2.8E-3</v>
      </c>
      <c r="M322" s="21">
        <v>3</v>
      </c>
      <c r="N322" s="20">
        <f t="shared" si="112"/>
        <v>1.54E-2</v>
      </c>
      <c r="O322" s="20">
        <f t="shared" si="113"/>
        <v>1.5</v>
      </c>
      <c r="P322" s="20">
        <f t="shared" si="114"/>
        <v>0.40476190476190477</v>
      </c>
      <c r="Q322" s="20">
        <f t="shared" si="115"/>
        <v>0.41341991341991341</v>
      </c>
      <c r="R322" s="20">
        <f t="shared" si="116"/>
        <v>0.18181818181818182</v>
      </c>
    </row>
    <row r="323" spans="1:18" x14ac:dyDescent="0.25">
      <c r="A323" s="2" t="s">
        <v>383</v>
      </c>
      <c r="B323" t="s">
        <v>321</v>
      </c>
      <c r="C323" s="18">
        <f>(5+5+5+6)/4</f>
        <v>5.25</v>
      </c>
      <c r="D323" s="18">
        <f>(7+10+9.5+12)/4</f>
        <v>9.625</v>
      </c>
      <c r="E323" s="18">
        <f t="shared" si="108"/>
        <v>14.875</v>
      </c>
      <c r="F323" s="21">
        <v>3</v>
      </c>
      <c r="G323" s="20">
        <v>2.3900000000000001E-2</v>
      </c>
      <c r="H323" s="20">
        <f>G323/M323</f>
        <v>5.9750000000000003E-3</v>
      </c>
      <c r="I323" s="20">
        <v>2.53E-2</v>
      </c>
      <c r="J323" s="20">
        <f t="shared" si="110"/>
        <v>6.3249999999999999E-3</v>
      </c>
      <c r="K323" s="20">
        <v>1.9599999999999999E-2</v>
      </c>
      <c r="L323" s="20">
        <f t="shared" si="111"/>
        <v>4.8999999999999998E-3</v>
      </c>
      <c r="M323" s="21">
        <v>4</v>
      </c>
      <c r="N323" s="20">
        <f t="shared" si="112"/>
        <v>1.72E-2</v>
      </c>
      <c r="O323" s="20">
        <f t="shared" si="113"/>
        <v>0.62755102040816324</v>
      </c>
      <c r="P323" s="20">
        <f t="shared" si="114"/>
        <v>0.34738372093023256</v>
      </c>
      <c r="Q323" s="20">
        <f t="shared" si="115"/>
        <v>0.36773255813953487</v>
      </c>
      <c r="R323" s="20">
        <f t="shared" si="116"/>
        <v>0.28488372093023256</v>
      </c>
    </row>
    <row r="324" spans="1:18" x14ac:dyDescent="0.25">
      <c r="A324" s="2" t="s">
        <v>383</v>
      </c>
      <c r="B324" t="s">
        <v>322</v>
      </c>
      <c r="C324" s="18">
        <f>(3.5+3+3.2+3.5+4.7+4.6+4.5+4.8+4.6)/9</f>
        <v>4.0444444444444443</v>
      </c>
      <c r="D324" s="18">
        <f>(7.5+4+4+4.5+7.6+11+9+11+7)/9</f>
        <v>7.2888888888888879</v>
      </c>
      <c r="E324" s="18">
        <f t="shared" si="108"/>
        <v>11.333333333333332</v>
      </c>
      <c r="F324" s="21">
        <v>2</v>
      </c>
      <c r="G324" s="20">
        <v>4.0800000000000003E-2</v>
      </c>
      <c r="H324" s="20">
        <f t="shared" si="109"/>
        <v>4.5333333333333337E-3</v>
      </c>
      <c r="I324" s="20">
        <v>2.9399999999999999E-2</v>
      </c>
      <c r="J324" s="20">
        <f t="shared" si="110"/>
        <v>3.2666666666666664E-3</v>
      </c>
      <c r="K324" s="20">
        <v>2.9499999999999998E-2</v>
      </c>
      <c r="L324" s="20">
        <f t="shared" si="111"/>
        <v>3.2777777777777775E-3</v>
      </c>
      <c r="M324" s="21">
        <v>9</v>
      </c>
      <c r="N324" s="20">
        <f t="shared" si="112"/>
        <v>1.1077777777777777E-2</v>
      </c>
      <c r="O324" s="20">
        <f t="shared" si="113"/>
        <v>0.26440677966101694</v>
      </c>
      <c r="P324" s="20">
        <f t="shared" si="114"/>
        <v>0.40922768304914753</v>
      </c>
      <c r="Q324" s="20">
        <f t="shared" si="115"/>
        <v>0.29488465396188568</v>
      </c>
      <c r="R324" s="20">
        <f t="shared" si="116"/>
        <v>0.2958876629889669</v>
      </c>
    </row>
    <row r="325" spans="1:18" x14ac:dyDescent="0.25">
      <c r="A325" s="2" t="s">
        <v>383</v>
      </c>
      <c r="B325" t="s">
        <v>323</v>
      </c>
      <c r="C325" s="18">
        <f>(5+4+4)/3</f>
        <v>4.333333333333333</v>
      </c>
      <c r="D325" s="18">
        <f>(6.5+7.5+5)/3</f>
        <v>6.333333333333333</v>
      </c>
      <c r="E325" s="18">
        <f t="shared" si="108"/>
        <v>10.666666666666666</v>
      </c>
      <c r="F325" s="21">
        <v>2</v>
      </c>
      <c r="G325" s="20">
        <v>1.46E-2</v>
      </c>
      <c r="H325" s="20">
        <f t="shared" si="109"/>
        <v>4.8666666666666667E-3</v>
      </c>
      <c r="I325" s="20">
        <v>1.35E-2</v>
      </c>
      <c r="J325" s="20">
        <f t="shared" si="110"/>
        <v>4.4999999999999997E-3</v>
      </c>
      <c r="K325" s="20">
        <v>7.7000000000000002E-3</v>
      </c>
      <c r="L325" s="20">
        <f t="shared" si="111"/>
        <v>2.5666666666666667E-3</v>
      </c>
      <c r="M325" s="21">
        <v>3</v>
      </c>
      <c r="N325" s="20">
        <f t="shared" si="112"/>
        <v>1.1933333333333332E-2</v>
      </c>
      <c r="O325" s="20">
        <f t="shared" si="113"/>
        <v>1.2164502164502162</v>
      </c>
      <c r="P325" s="20">
        <f t="shared" si="114"/>
        <v>0.40782122905027934</v>
      </c>
      <c r="Q325" s="20">
        <f t="shared" si="115"/>
        <v>0.37709497206703912</v>
      </c>
      <c r="R325" s="20">
        <f t="shared" si="116"/>
        <v>0.21508379888268159</v>
      </c>
    </row>
    <row r="326" spans="1:18" x14ac:dyDescent="0.25">
      <c r="A326" s="2" t="s">
        <v>383</v>
      </c>
      <c r="B326" t="s">
        <v>324</v>
      </c>
      <c r="C326" s="18">
        <f>(5+6.2)/2</f>
        <v>5.6</v>
      </c>
      <c r="D326" s="18">
        <f>(5+7)/2</f>
        <v>6</v>
      </c>
      <c r="E326" s="18">
        <f t="shared" si="108"/>
        <v>11.6</v>
      </c>
      <c r="F326" s="21">
        <v>3</v>
      </c>
      <c r="G326" s="20">
        <v>1.4800000000000001E-2</v>
      </c>
      <c r="H326" s="20">
        <f t="shared" si="109"/>
        <v>7.4000000000000003E-3</v>
      </c>
      <c r="I326" s="20">
        <v>2.01E-2</v>
      </c>
      <c r="J326" s="20">
        <f t="shared" si="110"/>
        <v>1.005E-2</v>
      </c>
      <c r="K326" s="20">
        <v>8.6E-3</v>
      </c>
      <c r="L326" s="20">
        <f t="shared" si="111"/>
        <v>4.3E-3</v>
      </c>
      <c r="M326" s="21">
        <v>2</v>
      </c>
      <c r="N326" s="20">
        <f t="shared" si="112"/>
        <v>2.1749999999999999E-2</v>
      </c>
      <c r="O326" s="20">
        <f t="shared" si="113"/>
        <v>2.0290697674418605</v>
      </c>
      <c r="P326" s="20">
        <f t="shared" si="114"/>
        <v>0.34022988505747132</v>
      </c>
      <c r="Q326" s="20">
        <f t="shared" si="115"/>
        <v>0.46206896551724141</v>
      </c>
      <c r="R326" s="20">
        <f t="shared" si="116"/>
        <v>0.19770114942528738</v>
      </c>
    </row>
    <row r="327" spans="1:18" x14ac:dyDescent="0.25">
      <c r="A327" s="2" t="s">
        <v>383</v>
      </c>
      <c r="B327" t="s">
        <v>325</v>
      </c>
      <c r="C327" s="18">
        <f>(4+3.6+4.2+4+4.5)/5</f>
        <v>4.0600000000000005</v>
      </c>
      <c r="D327" s="18">
        <f>(5.5+4.5+9.5+5+8.5)/5</f>
        <v>6.6</v>
      </c>
      <c r="E327" s="18">
        <f t="shared" si="108"/>
        <v>10.66</v>
      </c>
      <c r="F327">
        <v>3</v>
      </c>
      <c r="G327" s="20">
        <v>3.5400000000000001E-2</v>
      </c>
      <c r="H327" s="20">
        <f t="shared" si="109"/>
        <v>7.0800000000000004E-3</v>
      </c>
      <c r="I327" s="20">
        <v>3.61E-2</v>
      </c>
      <c r="J327" s="20">
        <f t="shared" si="110"/>
        <v>7.2199999999999999E-3</v>
      </c>
      <c r="K327" s="20">
        <v>2.1499999999999998E-2</v>
      </c>
      <c r="L327" s="20">
        <f t="shared" si="111"/>
        <v>4.3E-3</v>
      </c>
      <c r="M327" s="21">
        <v>5</v>
      </c>
      <c r="N327" s="20">
        <f t="shared" si="112"/>
        <v>1.8599999999999998E-2</v>
      </c>
      <c r="O327" s="20">
        <f t="shared" si="113"/>
        <v>0.66511627906976756</v>
      </c>
      <c r="P327" s="20">
        <f t="shared" si="114"/>
        <v>0.38064516129032261</v>
      </c>
      <c r="Q327" s="20">
        <f t="shared" si="115"/>
        <v>0.3881720430107527</v>
      </c>
      <c r="R327" s="20">
        <f t="shared" si="116"/>
        <v>0.23118279569892475</v>
      </c>
    </row>
    <row r="328" spans="1:18" x14ac:dyDescent="0.25">
      <c r="A328" s="2" t="s">
        <v>383</v>
      </c>
      <c r="B328" t="s">
        <v>326</v>
      </c>
      <c r="C328" s="18">
        <f>(4.5+3.5+4+4.5+4)/5</f>
        <v>4.0999999999999996</v>
      </c>
      <c r="D328" s="18">
        <f>(6+5.5+3+7+3)/5</f>
        <v>4.9000000000000004</v>
      </c>
      <c r="E328" s="18">
        <f t="shared" si="108"/>
        <v>9</v>
      </c>
      <c r="F328" s="21">
        <v>2</v>
      </c>
      <c r="G328" s="20">
        <v>3.4000000000000002E-2</v>
      </c>
      <c r="H328" s="20">
        <f t="shared" si="109"/>
        <v>6.8000000000000005E-3</v>
      </c>
      <c r="I328" s="20">
        <v>2.8799999999999999E-2</v>
      </c>
      <c r="J328" s="20">
        <f t="shared" si="110"/>
        <v>5.7599999999999995E-3</v>
      </c>
      <c r="K328" s="20">
        <v>1.7299999999999999E-2</v>
      </c>
      <c r="L328" s="20">
        <f t="shared" si="111"/>
        <v>3.46E-3</v>
      </c>
      <c r="M328">
        <v>5</v>
      </c>
      <c r="N328" s="20">
        <f t="shared" si="112"/>
        <v>1.602E-2</v>
      </c>
      <c r="O328" s="20">
        <f t="shared" si="113"/>
        <v>0.72601156069364159</v>
      </c>
      <c r="P328" s="20">
        <f t="shared" si="114"/>
        <v>0.42446941323345821</v>
      </c>
      <c r="Q328" s="20">
        <f t="shared" si="115"/>
        <v>0.3595505617977528</v>
      </c>
      <c r="R328" s="20">
        <f t="shared" si="116"/>
        <v>0.21598002496878901</v>
      </c>
    </row>
    <row r="329" spans="1:18" x14ac:dyDescent="0.25">
      <c r="A329" s="2" t="s">
        <v>383</v>
      </c>
      <c r="B329" t="s">
        <v>327</v>
      </c>
      <c r="C329" s="18">
        <f>(4+4)/2</f>
        <v>4</v>
      </c>
      <c r="D329" s="18">
        <f>(5+6.5)/2</f>
        <v>5.75</v>
      </c>
      <c r="E329" s="18">
        <f t="shared" si="108"/>
        <v>9.75</v>
      </c>
      <c r="F329">
        <v>3</v>
      </c>
      <c r="G329" s="20">
        <v>9.6000000000000002E-2</v>
      </c>
      <c r="H329" s="20">
        <f t="shared" si="109"/>
        <v>4.8000000000000001E-2</v>
      </c>
      <c r="I329" s="20">
        <v>1.06E-2</v>
      </c>
      <c r="J329" s="20">
        <f t="shared" si="110"/>
        <v>5.3E-3</v>
      </c>
      <c r="K329" s="20">
        <v>4.3E-3</v>
      </c>
      <c r="L329" s="20">
        <f t="shared" si="111"/>
        <v>2.15E-3</v>
      </c>
      <c r="M329">
        <v>2</v>
      </c>
      <c r="N329" s="20">
        <f t="shared" si="112"/>
        <v>5.5449999999999999E-2</v>
      </c>
      <c r="O329" s="20">
        <f t="shared" si="113"/>
        <v>12.395348837209303</v>
      </c>
      <c r="P329" s="20">
        <f t="shared" si="114"/>
        <v>0.86564472497745715</v>
      </c>
      <c r="Q329" s="20">
        <f t="shared" si="115"/>
        <v>9.5581605049594232E-2</v>
      </c>
      <c r="R329" s="20">
        <f t="shared" si="116"/>
        <v>3.87736699729486E-2</v>
      </c>
    </row>
    <row r="330" spans="1:18" x14ac:dyDescent="0.25">
      <c r="A330" s="2" t="s">
        <v>383</v>
      </c>
      <c r="B330" t="s">
        <v>328</v>
      </c>
      <c r="C330" s="18">
        <f>(4+4+4.2)/3</f>
        <v>4.0666666666666664</v>
      </c>
      <c r="D330" s="18">
        <f>(8+10+9)/3</f>
        <v>9</v>
      </c>
      <c r="E330" s="18">
        <f t="shared" si="108"/>
        <v>13.066666666666666</v>
      </c>
      <c r="F330">
        <v>2</v>
      </c>
      <c r="G330" s="20">
        <v>1.18E-2</v>
      </c>
      <c r="H330" s="20">
        <f t="shared" si="109"/>
        <v>3.933333333333333E-3</v>
      </c>
      <c r="I330" s="20">
        <v>4.7999999999999996E-3</v>
      </c>
      <c r="J330" s="20">
        <f t="shared" si="110"/>
        <v>1.5999999999999999E-3</v>
      </c>
      <c r="K330" s="20">
        <v>9.2999999999999992E-3</v>
      </c>
      <c r="L330" s="20">
        <f t="shared" si="111"/>
        <v>3.0999999999999999E-3</v>
      </c>
      <c r="M330">
        <v>3</v>
      </c>
      <c r="N330" s="20">
        <f t="shared" si="112"/>
        <v>8.6333333333333331E-3</v>
      </c>
      <c r="O330" s="20">
        <f t="shared" si="113"/>
        <v>0.59498207885304655</v>
      </c>
      <c r="P330" s="20">
        <f t="shared" si="114"/>
        <v>0.45559845559845558</v>
      </c>
      <c r="Q330" s="20">
        <f t="shared" si="115"/>
        <v>0.18532818532818532</v>
      </c>
      <c r="R330" s="20">
        <f t="shared" si="116"/>
        <v>0.35907335907335908</v>
      </c>
    </row>
    <row r="331" spans="1:18" x14ac:dyDescent="0.25">
      <c r="A331" s="2" t="s">
        <v>383</v>
      </c>
      <c r="B331" t="s">
        <v>329</v>
      </c>
      <c r="C331" s="18">
        <v>5.5</v>
      </c>
      <c r="D331" s="18">
        <v>7</v>
      </c>
      <c r="E331" s="18">
        <f t="shared" si="108"/>
        <v>12.5</v>
      </c>
      <c r="F331" s="21">
        <v>3</v>
      </c>
      <c r="G331" s="20">
        <v>0.01</v>
      </c>
      <c r="H331" s="20">
        <f t="shared" si="109"/>
        <v>0.01</v>
      </c>
      <c r="I331" s="20">
        <v>1.9400000000000001E-2</v>
      </c>
      <c r="J331" s="20">
        <f t="shared" si="110"/>
        <v>1.9400000000000001E-2</v>
      </c>
      <c r="K331" s="20">
        <v>5.1000000000000004E-3</v>
      </c>
      <c r="L331" s="20">
        <f t="shared" si="111"/>
        <v>5.1000000000000004E-3</v>
      </c>
      <c r="M331">
        <v>1</v>
      </c>
      <c r="N331" s="20">
        <f t="shared" si="112"/>
        <v>3.4500000000000003E-2</v>
      </c>
      <c r="O331" s="20">
        <f t="shared" si="113"/>
        <v>5.7647058823529411</v>
      </c>
      <c r="P331" s="20">
        <f t="shared" si="114"/>
        <v>0.28985507246376807</v>
      </c>
      <c r="Q331" s="20">
        <f t="shared" si="115"/>
        <v>0.56231884057971016</v>
      </c>
      <c r="R331" s="20">
        <f t="shared" si="116"/>
        <v>0.14782608695652175</v>
      </c>
    </row>
    <row r="332" spans="1:18" x14ac:dyDescent="0.25">
      <c r="A332" s="2" t="s">
        <v>383</v>
      </c>
      <c r="B332" t="s">
        <v>330</v>
      </c>
      <c r="C332" s="18">
        <f>(5+5.5)/2</f>
        <v>5.25</v>
      </c>
      <c r="D332" s="18">
        <f>(6+5.6)/2</f>
        <v>5.8</v>
      </c>
      <c r="E332" s="18">
        <f t="shared" si="108"/>
        <v>11.05</v>
      </c>
      <c r="F332" s="21">
        <v>3</v>
      </c>
      <c r="G332" s="20">
        <v>1.54E-2</v>
      </c>
      <c r="H332" s="20">
        <f t="shared" si="109"/>
        <v>7.7000000000000002E-3</v>
      </c>
      <c r="I332" s="20">
        <v>1.9199999999999998E-2</v>
      </c>
      <c r="J332" s="20">
        <f t="shared" si="110"/>
        <v>9.5999999999999992E-3</v>
      </c>
      <c r="K332" s="20">
        <v>8.0000000000000002E-3</v>
      </c>
      <c r="L332" s="20">
        <f t="shared" si="111"/>
        <v>4.0000000000000001E-3</v>
      </c>
      <c r="M332">
        <v>2</v>
      </c>
      <c r="N332" s="20">
        <f t="shared" si="112"/>
        <v>2.1299999999999999E-2</v>
      </c>
      <c r="O332" s="20">
        <f t="shared" si="113"/>
        <v>2.1625000000000001</v>
      </c>
      <c r="P332" s="20">
        <f t="shared" si="114"/>
        <v>0.36150234741784038</v>
      </c>
      <c r="Q332" s="20">
        <f t="shared" si="115"/>
        <v>0.45070422535211263</v>
      </c>
      <c r="R332" s="20">
        <f t="shared" si="116"/>
        <v>0.18779342723004697</v>
      </c>
    </row>
    <row r="333" spans="1:18" x14ac:dyDescent="0.25">
      <c r="A333" s="2" t="s">
        <v>383</v>
      </c>
      <c r="B333" t="s">
        <v>331</v>
      </c>
      <c r="C333" s="18">
        <f>(4.5+4.3+4+4.5)/4</f>
        <v>4.3250000000000002</v>
      </c>
      <c r="D333" s="18">
        <f>(9+9+7.3+6)/4</f>
        <v>7.8250000000000002</v>
      </c>
      <c r="E333" s="18">
        <f t="shared" si="108"/>
        <v>12.15</v>
      </c>
      <c r="F333">
        <v>3</v>
      </c>
      <c r="G333" s="20">
        <v>2.9100000000000001E-2</v>
      </c>
      <c r="H333" s="20">
        <f t="shared" si="109"/>
        <v>7.2750000000000002E-3</v>
      </c>
      <c r="I333" s="20">
        <v>3.1800000000000002E-2</v>
      </c>
      <c r="J333" s="20">
        <f t="shared" si="110"/>
        <v>7.9500000000000005E-3</v>
      </c>
      <c r="K333" s="20">
        <v>2.06E-2</v>
      </c>
      <c r="L333" s="20">
        <f t="shared" si="111"/>
        <v>5.1500000000000001E-3</v>
      </c>
      <c r="M333">
        <v>4</v>
      </c>
      <c r="N333" s="20">
        <f t="shared" si="112"/>
        <v>2.0375000000000001E-2</v>
      </c>
      <c r="O333" s="20">
        <f t="shared" si="113"/>
        <v>0.73907766990291268</v>
      </c>
      <c r="P333" s="20">
        <f t="shared" si="114"/>
        <v>0.35705521472392637</v>
      </c>
      <c r="Q333" s="20">
        <f t="shared" si="115"/>
        <v>0.39018404907975462</v>
      </c>
      <c r="R333" s="20">
        <f t="shared" si="116"/>
        <v>0.252760736196319</v>
      </c>
    </row>
    <row r="334" spans="1:18" x14ac:dyDescent="0.25">
      <c r="A334" s="2" t="s">
        <v>383</v>
      </c>
      <c r="B334" t="s">
        <v>332</v>
      </c>
      <c r="C334" s="18">
        <f>(4+4)/2</f>
        <v>4</v>
      </c>
      <c r="D334" s="18">
        <f>(6+7.5)/2</f>
        <v>6.75</v>
      </c>
      <c r="E334" s="18">
        <f t="shared" si="108"/>
        <v>10.75</v>
      </c>
      <c r="F334" s="21">
        <v>2</v>
      </c>
      <c r="G334" s="20">
        <v>1.35E-2</v>
      </c>
      <c r="H334" s="20">
        <f t="shared" si="109"/>
        <v>6.7499999999999999E-3</v>
      </c>
      <c r="I334" s="20">
        <v>2.0799999999999999E-2</v>
      </c>
      <c r="J334" s="20">
        <f t="shared" si="110"/>
        <v>1.04E-2</v>
      </c>
      <c r="K334" s="20">
        <v>1.09E-2</v>
      </c>
      <c r="L334" s="20">
        <f t="shared" si="111"/>
        <v>5.45E-3</v>
      </c>
      <c r="M334">
        <v>2</v>
      </c>
      <c r="N334" s="20">
        <f t="shared" si="112"/>
        <v>2.2599999999999999E-2</v>
      </c>
      <c r="O334" s="20">
        <f t="shared" si="113"/>
        <v>1.5733944954128438</v>
      </c>
      <c r="P334" s="20">
        <f t="shared" si="114"/>
        <v>0.29867256637168144</v>
      </c>
      <c r="Q334" s="20">
        <f t="shared" si="115"/>
        <v>0.46017699115044247</v>
      </c>
      <c r="R334" s="20">
        <f t="shared" si="116"/>
        <v>0.24115044247787612</v>
      </c>
    </row>
    <row r="335" spans="1:18" x14ac:dyDescent="0.25">
      <c r="A335" s="2" t="s">
        <v>383</v>
      </c>
      <c r="B335" t="s">
        <v>333</v>
      </c>
      <c r="C335" s="18">
        <f>(4.5+5+5.5)/3</f>
        <v>5</v>
      </c>
      <c r="D335" s="18">
        <f>(8.5+7.3+13.5)/3</f>
        <v>9.7666666666666675</v>
      </c>
      <c r="E335" s="18">
        <f t="shared" si="108"/>
        <v>14.766666666666667</v>
      </c>
      <c r="F335" s="22">
        <v>2</v>
      </c>
      <c r="G335" s="20">
        <v>1.7399999999999999E-2</v>
      </c>
      <c r="H335" s="20">
        <f t="shared" si="109"/>
        <v>5.7999999999999996E-3</v>
      </c>
      <c r="I335" s="20">
        <v>1.6899999999999998E-2</v>
      </c>
      <c r="J335" s="20">
        <f t="shared" si="110"/>
        <v>5.6333333333333331E-3</v>
      </c>
      <c r="K335" s="20">
        <v>8.3000000000000001E-3</v>
      </c>
      <c r="L335" s="20">
        <f t="shared" si="111"/>
        <v>2.7666666666666668E-3</v>
      </c>
      <c r="M335">
        <v>3</v>
      </c>
      <c r="N335" s="20">
        <f t="shared" si="112"/>
        <v>1.4200000000000001E-2</v>
      </c>
      <c r="O335" s="20">
        <f t="shared" si="113"/>
        <v>1.3775100401606426</v>
      </c>
      <c r="P335" s="20">
        <f t="shared" si="114"/>
        <v>0.40845070422535207</v>
      </c>
      <c r="Q335" s="20">
        <f t="shared" si="115"/>
        <v>0.39671361502347413</v>
      </c>
      <c r="R335" s="20">
        <f t="shared" si="116"/>
        <v>0.19483568075117372</v>
      </c>
    </row>
    <row r="336" spans="1:18" x14ac:dyDescent="0.25">
      <c r="A336" s="2" t="s">
        <v>383</v>
      </c>
      <c r="B336" t="s">
        <v>334</v>
      </c>
      <c r="C336" s="18">
        <f>(3.5+4+5.3)/3</f>
        <v>4.2666666666666666</v>
      </c>
      <c r="D336" s="18">
        <f>(7.5+6+7.5)/3</f>
        <v>7</v>
      </c>
      <c r="E336" s="18">
        <f t="shared" si="108"/>
        <v>11.266666666666666</v>
      </c>
      <c r="F336">
        <f>(2+2+2)/3</f>
        <v>2</v>
      </c>
      <c r="G336" s="20">
        <v>1.1299999999999999E-2</v>
      </c>
      <c r="H336" s="20">
        <f t="shared" si="109"/>
        <v>3.7666666666666664E-3</v>
      </c>
      <c r="I336" s="20">
        <v>6.0000000000000001E-3</v>
      </c>
      <c r="J336" s="20">
        <f t="shared" si="110"/>
        <v>2E-3</v>
      </c>
      <c r="K336" s="20">
        <v>1.01E-2</v>
      </c>
      <c r="L336" s="20">
        <f t="shared" si="111"/>
        <v>3.3666666666666667E-3</v>
      </c>
      <c r="M336">
        <v>3</v>
      </c>
      <c r="N336" s="20">
        <f t="shared" si="112"/>
        <v>9.1333333333333336E-3</v>
      </c>
      <c r="O336" s="20">
        <f t="shared" si="113"/>
        <v>0.57095709570957098</v>
      </c>
      <c r="P336" s="20">
        <f t="shared" si="114"/>
        <v>0.41240875912408753</v>
      </c>
      <c r="Q336" s="20">
        <f t="shared" si="115"/>
        <v>0.21897810218978103</v>
      </c>
      <c r="R336" s="20">
        <f t="shared" si="116"/>
        <v>0.36861313868613138</v>
      </c>
    </row>
    <row r="337" spans="1:18" x14ac:dyDescent="0.25">
      <c r="A337" s="2" t="s">
        <v>383</v>
      </c>
      <c r="B337" t="s">
        <v>335</v>
      </c>
      <c r="C337" s="18">
        <f>(4+3.5+4.5)/3</f>
        <v>4</v>
      </c>
      <c r="D337" s="18">
        <f>(14.5+10+9)/3</f>
        <v>11.166666666666666</v>
      </c>
      <c r="E337" s="18">
        <f t="shared" si="108"/>
        <v>15.166666666666666</v>
      </c>
      <c r="F337" s="21">
        <v>2</v>
      </c>
      <c r="G337" s="20">
        <v>1.5800000000000002E-2</v>
      </c>
      <c r="H337" s="20">
        <f t="shared" si="109"/>
        <v>5.2666666666666669E-3</v>
      </c>
      <c r="I337" s="20">
        <v>1.6199999999999999E-2</v>
      </c>
      <c r="J337" s="20">
        <f t="shared" si="110"/>
        <v>5.3999999999999994E-3</v>
      </c>
      <c r="K337" s="20">
        <v>1.44E-2</v>
      </c>
      <c r="L337" s="20">
        <f t="shared" si="111"/>
        <v>4.7999999999999996E-3</v>
      </c>
      <c r="M337">
        <v>3</v>
      </c>
      <c r="N337" s="20">
        <f t="shared" si="112"/>
        <v>1.5466666666666667E-2</v>
      </c>
      <c r="O337" s="20">
        <f t="shared" si="113"/>
        <v>0.7407407407407407</v>
      </c>
      <c r="P337" s="20">
        <f t="shared" si="114"/>
        <v>0.34051724137931033</v>
      </c>
      <c r="Q337" s="20">
        <f t="shared" si="115"/>
        <v>0.34913793103448271</v>
      </c>
      <c r="R337" s="20">
        <f t="shared" si="116"/>
        <v>0.31034482758620685</v>
      </c>
    </row>
    <row r="338" spans="1:18" x14ac:dyDescent="0.25">
      <c r="A338" s="2" t="s">
        <v>383</v>
      </c>
      <c r="B338" t="s">
        <v>336</v>
      </c>
      <c r="C338" s="18">
        <f>(4.5+6.5+5)/3</f>
        <v>5.333333333333333</v>
      </c>
      <c r="D338" s="18">
        <f>(5.5+5.5+6.4)/3</f>
        <v>5.8</v>
      </c>
      <c r="E338" s="18">
        <f t="shared" si="108"/>
        <v>11.133333333333333</v>
      </c>
      <c r="F338">
        <f>(3+3+3)/3</f>
        <v>3</v>
      </c>
      <c r="G338" s="20">
        <v>2.98E-2</v>
      </c>
      <c r="H338" s="20">
        <f t="shared" si="109"/>
        <v>9.9333333333333339E-3</v>
      </c>
      <c r="I338" s="20">
        <v>4.0399999999999998E-2</v>
      </c>
      <c r="J338" s="20">
        <f t="shared" si="110"/>
        <v>1.3466666666666667E-2</v>
      </c>
      <c r="K338" s="20">
        <v>1.9099999999999999E-2</v>
      </c>
      <c r="L338" s="20">
        <f t="shared" si="111"/>
        <v>6.3666666666666663E-3</v>
      </c>
      <c r="M338">
        <v>3</v>
      </c>
      <c r="N338" s="20">
        <f t="shared" si="112"/>
        <v>2.9766666666666667E-2</v>
      </c>
      <c r="O338" s="20">
        <f t="shared" si="113"/>
        <v>1.2251308900523561</v>
      </c>
      <c r="P338" s="20">
        <f t="shared" si="114"/>
        <v>0.33370660694288917</v>
      </c>
      <c r="Q338" s="20">
        <f t="shared" si="115"/>
        <v>0.45240761478163494</v>
      </c>
      <c r="R338" s="20">
        <f t="shared" si="116"/>
        <v>0.21388577827547592</v>
      </c>
    </row>
    <row r="339" spans="1:18" x14ac:dyDescent="0.25">
      <c r="A339" s="2" t="s">
        <v>383</v>
      </c>
      <c r="B339" t="s">
        <v>337</v>
      </c>
      <c r="C339" s="18">
        <f>(5.5+6+5.5+5.5)/4</f>
        <v>5.625</v>
      </c>
      <c r="D339" s="18">
        <f>(7+8+5.5+6.2)/4</f>
        <v>6.6749999999999998</v>
      </c>
      <c r="E339" s="18">
        <f t="shared" ref="E339:E359" si="117">C339+D339</f>
        <v>12.3</v>
      </c>
      <c r="F339" s="21">
        <f>(3+3+3+3+3)/5</f>
        <v>3</v>
      </c>
      <c r="G339" s="20">
        <v>3.5900000000000001E-2</v>
      </c>
      <c r="H339" s="20">
        <f t="shared" si="109"/>
        <v>8.9750000000000003E-3</v>
      </c>
      <c r="I339" s="20">
        <v>3.1899999999999998E-2</v>
      </c>
      <c r="J339" s="20">
        <f t="shared" ref="J339:J359" si="118">I339/M339</f>
        <v>7.9749999999999995E-3</v>
      </c>
      <c r="K339" s="20">
        <v>2.3E-2</v>
      </c>
      <c r="L339" s="20">
        <f t="shared" ref="L339:L359" si="119">K339/M339</f>
        <v>5.7499999999999999E-3</v>
      </c>
      <c r="M339">
        <v>4</v>
      </c>
      <c r="N339" s="20">
        <f t="shared" ref="N339:N359" si="120">H339+J339+L339</f>
        <v>2.2699999999999998E-2</v>
      </c>
      <c r="O339" s="20">
        <f t="shared" ref="O339:O359" si="121">(H339+J339)/K339</f>
        <v>0.7369565217391304</v>
      </c>
      <c r="P339" s="20">
        <f t="shared" ref="P339:P359" si="122">H339/N339</f>
        <v>0.39537444933920712</v>
      </c>
      <c r="Q339" s="20">
        <f t="shared" ref="Q339:Q359" si="123">J339/N339</f>
        <v>0.35132158590308371</v>
      </c>
      <c r="R339" s="20">
        <f t="shared" ref="R339:R359" si="124">L339/N339</f>
        <v>0.25330396475770928</v>
      </c>
    </row>
    <row r="340" spans="1:18" x14ac:dyDescent="0.25">
      <c r="A340" s="2" t="s">
        <v>383</v>
      </c>
      <c r="B340" t="s">
        <v>338</v>
      </c>
      <c r="C340" s="18">
        <f>(5+4.8)/2</f>
        <v>4.9000000000000004</v>
      </c>
      <c r="D340" s="18">
        <f>(7.5+7.5)/2</f>
        <v>7.5</v>
      </c>
      <c r="E340" s="18">
        <f t="shared" si="117"/>
        <v>12.4</v>
      </c>
      <c r="F340">
        <f>(2+2)/2</f>
        <v>2</v>
      </c>
      <c r="G340" s="20">
        <v>1.8499999999999999E-2</v>
      </c>
      <c r="H340" s="20">
        <f t="shared" si="109"/>
        <v>9.2499999999999995E-3</v>
      </c>
      <c r="I340" s="20">
        <v>1.8100000000000002E-2</v>
      </c>
      <c r="J340" s="20">
        <f t="shared" si="118"/>
        <v>9.0500000000000008E-3</v>
      </c>
      <c r="K340" s="20">
        <v>1.17E-2</v>
      </c>
      <c r="L340" s="20">
        <f t="shared" si="119"/>
        <v>5.8500000000000002E-3</v>
      </c>
      <c r="M340">
        <v>2</v>
      </c>
      <c r="N340" s="20">
        <f t="shared" si="120"/>
        <v>2.4150000000000001E-2</v>
      </c>
      <c r="O340" s="20">
        <f t="shared" si="121"/>
        <v>1.5641025641025641</v>
      </c>
      <c r="P340" s="20">
        <f t="shared" si="122"/>
        <v>0.38302277432712212</v>
      </c>
      <c r="Q340" s="20">
        <f t="shared" si="123"/>
        <v>0.37474120082815737</v>
      </c>
      <c r="R340" s="20">
        <f t="shared" si="124"/>
        <v>0.24223602484472048</v>
      </c>
    </row>
    <row r="341" spans="1:18" x14ac:dyDescent="0.25">
      <c r="A341" s="2" t="s">
        <v>383</v>
      </c>
      <c r="B341" t="s">
        <v>339</v>
      </c>
      <c r="C341" s="18">
        <f>(5.5+5.8+7.2)/3</f>
        <v>6.166666666666667</v>
      </c>
      <c r="D341" s="18">
        <f>(4.7+7.5+6.5)/3</f>
        <v>6.2333333333333334</v>
      </c>
      <c r="E341" s="18">
        <f t="shared" si="117"/>
        <v>12.4</v>
      </c>
      <c r="F341">
        <v>3</v>
      </c>
      <c r="G341" s="20">
        <v>3.27E-2</v>
      </c>
      <c r="H341" s="20">
        <f t="shared" si="109"/>
        <v>1.09E-2</v>
      </c>
      <c r="I341" s="20">
        <v>4.02E-2</v>
      </c>
      <c r="J341" s="20">
        <f t="shared" si="118"/>
        <v>1.34E-2</v>
      </c>
      <c r="K341" s="20">
        <v>1.4800000000000001E-2</v>
      </c>
      <c r="L341" s="20">
        <f t="shared" si="119"/>
        <v>4.9333333333333338E-3</v>
      </c>
      <c r="M341">
        <v>3</v>
      </c>
      <c r="N341" s="20">
        <f t="shared" si="120"/>
        <v>2.9233333333333337E-2</v>
      </c>
      <c r="O341" s="20">
        <f t="shared" si="121"/>
        <v>1.6418918918918919</v>
      </c>
      <c r="P341" s="20">
        <f t="shared" si="122"/>
        <v>0.37286202964652221</v>
      </c>
      <c r="Q341" s="20">
        <f t="shared" si="123"/>
        <v>0.45838084378563282</v>
      </c>
      <c r="R341" s="20">
        <f t="shared" si="124"/>
        <v>0.16875712656784492</v>
      </c>
    </row>
    <row r="342" spans="1:18" x14ac:dyDescent="0.25">
      <c r="A342" s="2" t="s">
        <v>383</v>
      </c>
      <c r="B342" t="s">
        <v>340</v>
      </c>
      <c r="C342" s="18">
        <f>(4.2+3.8+4+4.2+3.9+3.5)/6</f>
        <v>3.9333333333333331</v>
      </c>
      <c r="D342" s="18">
        <f>(5.5+10+8.5+7.1+8+7.5)/6</f>
        <v>7.7666666666666666</v>
      </c>
      <c r="E342" s="18">
        <f t="shared" si="117"/>
        <v>11.7</v>
      </c>
      <c r="F342">
        <v>2</v>
      </c>
      <c r="G342" s="20">
        <v>2.2100000000000002E-2</v>
      </c>
      <c r="H342" s="20">
        <f>(G342/M342)</f>
        <v>3.6833333333333336E-3</v>
      </c>
      <c r="I342" s="20">
        <v>9.7000000000000003E-3</v>
      </c>
      <c r="J342" s="20">
        <f t="shared" si="118"/>
        <v>1.6166666666666666E-3</v>
      </c>
      <c r="K342" s="20">
        <v>2.0199999999999999E-2</v>
      </c>
      <c r="L342" s="20">
        <f t="shared" si="119"/>
        <v>3.3666666666666667E-3</v>
      </c>
      <c r="M342" s="15">
        <v>6</v>
      </c>
      <c r="N342" s="20">
        <f t="shared" si="120"/>
        <v>8.6666666666666663E-3</v>
      </c>
      <c r="O342" s="20">
        <f t="shared" si="121"/>
        <v>0.26237623762376239</v>
      </c>
      <c r="P342" s="20">
        <f t="shared" si="122"/>
        <v>0.42500000000000004</v>
      </c>
      <c r="Q342" s="20">
        <f t="shared" si="123"/>
        <v>0.18653846153846154</v>
      </c>
      <c r="R342" s="20">
        <f t="shared" si="124"/>
        <v>0.38846153846153847</v>
      </c>
    </row>
    <row r="343" spans="1:18" x14ac:dyDescent="0.25">
      <c r="A343" s="2" t="s">
        <v>383</v>
      </c>
      <c r="B343" t="s">
        <v>341</v>
      </c>
      <c r="C343" s="18">
        <f>(4+4.5)/2</f>
        <v>4.25</v>
      </c>
      <c r="D343" s="18">
        <f>(6.3+3.5)/2</f>
        <v>4.9000000000000004</v>
      </c>
      <c r="E343" s="18">
        <f t="shared" si="117"/>
        <v>9.15</v>
      </c>
      <c r="F343" s="21">
        <v>3</v>
      </c>
      <c r="G343" s="20">
        <v>1.44E-2</v>
      </c>
      <c r="H343" s="20">
        <f>G343/M343</f>
        <v>7.1999999999999998E-3</v>
      </c>
      <c r="I343" s="20">
        <v>1.8200000000000001E-2</v>
      </c>
      <c r="J343" s="20">
        <f t="shared" si="118"/>
        <v>9.1000000000000004E-3</v>
      </c>
      <c r="K343" s="20">
        <v>7.0000000000000001E-3</v>
      </c>
      <c r="L343" s="20">
        <f t="shared" si="119"/>
        <v>3.5000000000000001E-3</v>
      </c>
      <c r="M343" s="15">
        <v>2</v>
      </c>
      <c r="N343" s="20">
        <f t="shared" si="120"/>
        <v>1.9800000000000002E-2</v>
      </c>
      <c r="O343" s="20">
        <f t="shared" si="121"/>
        <v>2.3285714285714287</v>
      </c>
      <c r="P343" s="20">
        <f t="shared" si="122"/>
        <v>0.36363636363636359</v>
      </c>
      <c r="Q343" s="20">
        <f t="shared" si="123"/>
        <v>0.45959595959595956</v>
      </c>
      <c r="R343" s="20">
        <f t="shared" si="124"/>
        <v>0.17676767676767677</v>
      </c>
    </row>
    <row r="344" spans="1:18" x14ac:dyDescent="0.25">
      <c r="A344" s="2" t="s">
        <v>383</v>
      </c>
      <c r="B344" t="s">
        <v>342</v>
      </c>
      <c r="C344" s="18">
        <v>4.5</v>
      </c>
      <c r="D344" s="18">
        <v>3.3</v>
      </c>
      <c r="E344" s="18">
        <f t="shared" si="117"/>
        <v>7.8</v>
      </c>
      <c r="F344">
        <v>3</v>
      </c>
      <c r="G344" s="20">
        <v>5.4999999999999997E-3</v>
      </c>
      <c r="H344" s="20">
        <f>G344/M344</f>
        <v>5.4999999999999997E-3</v>
      </c>
      <c r="I344" s="20">
        <v>7.7000000000000002E-3</v>
      </c>
      <c r="J344" s="20">
        <f t="shared" si="118"/>
        <v>7.7000000000000002E-3</v>
      </c>
      <c r="K344" s="20">
        <v>2E-3</v>
      </c>
      <c r="L344" s="20">
        <f t="shared" si="119"/>
        <v>2E-3</v>
      </c>
      <c r="M344" s="15">
        <v>1</v>
      </c>
      <c r="N344" s="20">
        <f t="shared" si="120"/>
        <v>1.52E-2</v>
      </c>
      <c r="O344" s="20">
        <f t="shared" si="121"/>
        <v>6.6</v>
      </c>
      <c r="P344" s="20">
        <f t="shared" si="122"/>
        <v>0.36184210526315785</v>
      </c>
      <c r="Q344" s="20">
        <f t="shared" si="123"/>
        <v>0.50657894736842102</v>
      </c>
      <c r="R344" s="20">
        <f t="shared" si="124"/>
        <v>0.13157894736842105</v>
      </c>
    </row>
    <row r="345" spans="1:18" x14ac:dyDescent="0.25">
      <c r="A345" s="2" t="s">
        <v>383</v>
      </c>
      <c r="B345" t="s">
        <v>343</v>
      </c>
      <c r="C345" s="18">
        <f>(7+6.8)/2</f>
        <v>6.9</v>
      </c>
      <c r="D345" s="18">
        <f>(11+10.5)/2</f>
        <v>10.75</v>
      </c>
      <c r="E345" s="18">
        <f t="shared" si="117"/>
        <v>17.649999999999999</v>
      </c>
      <c r="F345">
        <f>(3+3)/2</f>
        <v>3</v>
      </c>
      <c r="G345" s="20">
        <v>2.4799999999999999E-2</v>
      </c>
      <c r="H345" s="20">
        <f>G345/M345</f>
        <v>1.24E-2</v>
      </c>
      <c r="I345" s="20">
        <v>3.7499999999999999E-2</v>
      </c>
      <c r="J345" s="20">
        <f t="shared" si="118"/>
        <v>1.8749999999999999E-2</v>
      </c>
      <c r="K345" s="20">
        <v>1.78E-2</v>
      </c>
      <c r="L345" s="20">
        <f t="shared" si="119"/>
        <v>8.8999999999999999E-3</v>
      </c>
      <c r="M345" s="15">
        <v>2</v>
      </c>
      <c r="N345" s="20">
        <f t="shared" si="120"/>
        <v>4.0049999999999995E-2</v>
      </c>
      <c r="O345" s="20">
        <f t="shared" si="121"/>
        <v>1.7499999999999998</v>
      </c>
      <c r="P345" s="20">
        <f t="shared" si="122"/>
        <v>0.30961298377028718</v>
      </c>
      <c r="Q345" s="20">
        <f t="shared" si="123"/>
        <v>0.46816479400749067</v>
      </c>
      <c r="R345" s="20">
        <f t="shared" si="124"/>
        <v>0.22222222222222224</v>
      </c>
    </row>
    <row r="346" spans="1:18" x14ac:dyDescent="0.25">
      <c r="A346" s="2" t="s">
        <v>383</v>
      </c>
      <c r="B346" t="s">
        <v>344</v>
      </c>
      <c r="C346" s="18">
        <f>(4.8+5.8+5+4.7+4.5+5.2+4.8)/7</f>
        <v>4.9714285714285706</v>
      </c>
      <c r="D346" s="18">
        <f>(7+4+10.5+6.1+9+7.2+8.9)/7</f>
        <v>7.5285714285714294</v>
      </c>
      <c r="E346" s="18">
        <f t="shared" si="117"/>
        <v>12.5</v>
      </c>
      <c r="F346" s="21">
        <f>(2+2+0+2+3+2+3)/7</f>
        <v>2</v>
      </c>
      <c r="G346" s="20">
        <v>4.1500000000000002E-2</v>
      </c>
      <c r="H346" s="20">
        <v>5.8999999999999999E-3</v>
      </c>
      <c r="I346" s="20">
        <v>2.7199999999999998E-2</v>
      </c>
      <c r="J346" s="20">
        <f t="shared" si="118"/>
        <v>3.8857142857142853E-3</v>
      </c>
      <c r="K346" s="20">
        <v>2.69E-2</v>
      </c>
      <c r="L346" s="20">
        <f t="shared" si="119"/>
        <v>3.8428571428571431E-3</v>
      </c>
      <c r="M346" s="15">
        <v>7</v>
      </c>
      <c r="N346" s="20">
        <f t="shared" si="120"/>
        <v>1.3628571428571427E-2</v>
      </c>
      <c r="O346" s="20">
        <f t="shared" si="121"/>
        <v>0.36378120021242694</v>
      </c>
      <c r="P346" s="20">
        <f t="shared" si="122"/>
        <v>0.43291404612159334</v>
      </c>
      <c r="Q346" s="20">
        <f t="shared" si="123"/>
        <v>0.28511530398322849</v>
      </c>
      <c r="R346" s="20">
        <f t="shared" si="124"/>
        <v>0.28197064989517823</v>
      </c>
    </row>
    <row r="347" spans="1:18" x14ac:dyDescent="0.25">
      <c r="A347" s="2" t="s">
        <v>383</v>
      </c>
      <c r="B347" t="s">
        <v>345</v>
      </c>
      <c r="C347" s="18">
        <v>7</v>
      </c>
      <c r="D347" s="18">
        <v>9.5</v>
      </c>
      <c r="E347" s="18">
        <f t="shared" si="117"/>
        <v>16.5</v>
      </c>
      <c r="F347" s="21">
        <v>3</v>
      </c>
      <c r="G347" s="20">
        <v>1.2200000000000001E-2</v>
      </c>
      <c r="H347" s="20">
        <f>G347/M347</f>
        <v>1.2200000000000001E-2</v>
      </c>
      <c r="I347" s="20">
        <v>1.2E-2</v>
      </c>
      <c r="J347" s="20">
        <f t="shared" si="118"/>
        <v>1.2E-2</v>
      </c>
      <c r="K347" s="20">
        <v>6.7000000000000002E-3</v>
      </c>
      <c r="L347" s="20">
        <f t="shared" si="119"/>
        <v>6.7000000000000002E-3</v>
      </c>
      <c r="M347" s="15">
        <v>1</v>
      </c>
      <c r="N347" s="20">
        <f t="shared" si="120"/>
        <v>3.09E-2</v>
      </c>
      <c r="O347" s="20">
        <f t="shared" si="121"/>
        <v>3.6119402985074625</v>
      </c>
      <c r="P347" s="20">
        <f t="shared" si="122"/>
        <v>0.39482200647249194</v>
      </c>
      <c r="Q347" s="20">
        <f t="shared" si="123"/>
        <v>0.38834951456310679</v>
      </c>
      <c r="R347" s="20">
        <f t="shared" si="124"/>
        <v>0.2168284789644013</v>
      </c>
    </row>
    <row r="348" spans="1:18" x14ac:dyDescent="0.25">
      <c r="A348" s="2" t="s">
        <v>383</v>
      </c>
      <c r="B348" t="s">
        <v>346</v>
      </c>
      <c r="C348" s="18">
        <f>(4.1+4.5+4.5+4.8+4.5+4.2)/6</f>
        <v>4.4333333333333327</v>
      </c>
      <c r="D348" s="18">
        <f>(6.7+7.5+6+7+6.5+5)/6</f>
        <v>6.45</v>
      </c>
      <c r="E348" s="18">
        <f t="shared" si="117"/>
        <v>10.883333333333333</v>
      </c>
      <c r="F348">
        <v>2</v>
      </c>
      <c r="G348" s="20">
        <v>2.5999999999999999E-2</v>
      </c>
      <c r="H348" s="20">
        <f>G348/M348</f>
        <v>4.3333333333333331E-3</v>
      </c>
      <c r="I348" s="20">
        <v>1.4E-2</v>
      </c>
      <c r="J348" s="20">
        <f t="shared" si="118"/>
        <v>2.3333333333333335E-3</v>
      </c>
      <c r="K348" s="20">
        <v>2.0199999999999999E-2</v>
      </c>
      <c r="L348" s="20">
        <f t="shared" si="119"/>
        <v>3.3666666666666667E-3</v>
      </c>
      <c r="M348" s="15">
        <v>6</v>
      </c>
      <c r="N348" s="20">
        <f t="shared" si="120"/>
        <v>1.0033333333333333E-2</v>
      </c>
      <c r="O348" s="20">
        <f t="shared" si="121"/>
        <v>0.33003300330033003</v>
      </c>
      <c r="P348" s="20">
        <f t="shared" si="122"/>
        <v>0.43189368770764119</v>
      </c>
      <c r="Q348" s="20">
        <f t="shared" si="123"/>
        <v>0.23255813953488375</v>
      </c>
      <c r="R348" s="20">
        <f t="shared" si="124"/>
        <v>0.33554817275747506</v>
      </c>
    </row>
    <row r="349" spans="1:18" x14ac:dyDescent="0.25">
      <c r="A349" s="2" t="s">
        <v>383</v>
      </c>
      <c r="B349" t="s">
        <v>347</v>
      </c>
      <c r="C349" s="18">
        <f>(3.8+3.2+3.8)/3</f>
        <v>3.6</v>
      </c>
      <c r="D349" s="18">
        <f>(4.5+5.5+9.9)/3</f>
        <v>6.6333333333333329</v>
      </c>
      <c r="E349" s="18">
        <f t="shared" si="117"/>
        <v>10.233333333333333</v>
      </c>
      <c r="F349" s="21">
        <v>3</v>
      </c>
      <c r="G349" s="20">
        <v>1.8499999999999999E-2</v>
      </c>
      <c r="H349" s="20">
        <f>G349/M349</f>
        <v>6.1666666666666667E-3</v>
      </c>
      <c r="I349" s="20">
        <v>2.0799999999999999E-2</v>
      </c>
      <c r="J349" s="20">
        <f t="shared" si="118"/>
        <v>6.933333333333333E-3</v>
      </c>
      <c r="K349" s="20">
        <v>1.44E-2</v>
      </c>
      <c r="L349" s="20">
        <f t="shared" si="119"/>
        <v>4.7999999999999996E-3</v>
      </c>
      <c r="M349" s="15">
        <v>3</v>
      </c>
      <c r="N349" s="20">
        <f t="shared" si="120"/>
        <v>1.7899999999999999E-2</v>
      </c>
      <c r="O349" s="20">
        <f t="shared" si="121"/>
        <v>0.90972222222222232</v>
      </c>
      <c r="P349" s="20">
        <f t="shared" si="122"/>
        <v>0.34450651769087526</v>
      </c>
      <c r="Q349" s="20">
        <f t="shared" si="123"/>
        <v>0.38733705772811916</v>
      </c>
      <c r="R349" s="20">
        <f t="shared" si="124"/>
        <v>0.26815642458100558</v>
      </c>
    </row>
    <row r="350" spans="1:18" x14ac:dyDescent="0.25">
      <c r="A350" s="2" t="s">
        <v>383</v>
      </c>
      <c r="B350" t="s">
        <v>348</v>
      </c>
      <c r="C350" s="18">
        <f>(7+6.9)/2</f>
        <v>6.95</v>
      </c>
      <c r="D350" s="18">
        <f>(9.9+11.7)/2</f>
        <v>10.8</v>
      </c>
      <c r="E350" s="18">
        <f t="shared" si="117"/>
        <v>17.75</v>
      </c>
      <c r="F350">
        <v>4</v>
      </c>
      <c r="G350" s="20">
        <v>2.2499999999999999E-2</v>
      </c>
      <c r="H350" s="20">
        <v>1.1299999999999999E-2</v>
      </c>
      <c r="I350" s="20">
        <v>3.5900000000000001E-2</v>
      </c>
      <c r="J350" s="20">
        <f t="shared" si="118"/>
        <v>1.7950000000000001E-2</v>
      </c>
      <c r="K350" s="20">
        <v>2.0299999999999999E-2</v>
      </c>
      <c r="L350" s="20">
        <f t="shared" si="119"/>
        <v>1.0149999999999999E-2</v>
      </c>
      <c r="M350" s="15">
        <v>2</v>
      </c>
      <c r="N350" s="20">
        <f t="shared" si="120"/>
        <v>3.9399999999999998E-2</v>
      </c>
      <c r="O350" s="20">
        <f t="shared" si="121"/>
        <v>1.4408866995073892</v>
      </c>
      <c r="P350" s="20">
        <f t="shared" si="122"/>
        <v>0.28680203045685282</v>
      </c>
      <c r="Q350" s="20">
        <f t="shared" si="123"/>
        <v>0.45558375634517773</v>
      </c>
      <c r="R350" s="20">
        <f t="shared" si="124"/>
        <v>0.25761421319796957</v>
      </c>
    </row>
    <row r="351" spans="1:18" x14ac:dyDescent="0.25">
      <c r="A351" s="2" t="s">
        <v>383</v>
      </c>
      <c r="B351" t="s">
        <v>349</v>
      </c>
      <c r="C351" s="18">
        <f>(7+5.9+5.1)/3</f>
        <v>6</v>
      </c>
      <c r="D351" s="18">
        <f>(6.5+11.5+8)/3</f>
        <v>8.6666666666666661</v>
      </c>
      <c r="E351" s="18">
        <f t="shared" si="117"/>
        <v>14.666666666666666</v>
      </c>
      <c r="F351">
        <v>3</v>
      </c>
      <c r="G351" s="20">
        <v>3.8199999999999998E-2</v>
      </c>
      <c r="H351" s="20">
        <f>G351/M351</f>
        <v>1.2733333333333333E-2</v>
      </c>
      <c r="I351" s="20">
        <v>4.3499999999999997E-2</v>
      </c>
      <c r="J351" s="20">
        <f t="shared" si="118"/>
        <v>1.4499999999999999E-2</v>
      </c>
      <c r="K351" s="20">
        <v>1.9199999999999998E-2</v>
      </c>
      <c r="L351" s="20">
        <f t="shared" si="119"/>
        <v>6.3999999999999994E-3</v>
      </c>
      <c r="M351" s="15">
        <v>3</v>
      </c>
      <c r="N351" s="20">
        <f t="shared" si="120"/>
        <v>3.3633333333333335E-2</v>
      </c>
      <c r="O351" s="20">
        <f t="shared" si="121"/>
        <v>1.4184027777777779</v>
      </c>
      <c r="P351" s="20">
        <f t="shared" si="122"/>
        <v>0.37859266600594643</v>
      </c>
      <c r="Q351" s="20">
        <f t="shared" si="123"/>
        <v>0.43111992071357774</v>
      </c>
      <c r="R351" s="20">
        <f t="shared" si="124"/>
        <v>0.19028741328047569</v>
      </c>
    </row>
    <row r="352" spans="1:18" x14ac:dyDescent="0.25">
      <c r="A352" s="2" t="s">
        <v>383</v>
      </c>
      <c r="B352" t="s">
        <v>350</v>
      </c>
      <c r="C352" s="18">
        <f>(7.3+7.3+7)/3</f>
        <v>7.2</v>
      </c>
      <c r="D352" s="18">
        <f>(6.3+9.2+4)/3</f>
        <v>6.5</v>
      </c>
      <c r="E352" s="18">
        <f t="shared" si="117"/>
        <v>13.7</v>
      </c>
      <c r="F352">
        <v>3</v>
      </c>
      <c r="G352" s="20">
        <v>3.5099999999999999E-2</v>
      </c>
      <c r="H352" s="20">
        <f>G352/M352</f>
        <v>1.17E-2</v>
      </c>
      <c r="I352" s="20">
        <v>0.05</v>
      </c>
      <c r="J352" s="20">
        <f t="shared" si="118"/>
        <v>1.6666666666666666E-2</v>
      </c>
      <c r="K352" s="20">
        <v>1.7899999999999999E-2</v>
      </c>
      <c r="L352" s="20">
        <f t="shared" si="119"/>
        <v>5.9666666666666661E-3</v>
      </c>
      <c r="M352" s="15">
        <v>3</v>
      </c>
      <c r="N352" s="20">
        <f t="shared" si="120"/>
        <v>3.4333333333333334E-2</v>
      </c>
      <c r="O352" s="20">
        <f t="shared" si="121"/>
        <v>1.584729981378026</v>
      </c>
      <c r="P352" s="20">
        <f t="shared" si="122"/>
        <v>0.34077669902912622</v>
      </c>
      <c r="Q352" s="20">
        <f t="shared" si="123"/>
        <v>0.4854368932038835</v>
      </c>
      <c r="R352" s="20">
        <f t="shared" si="124"/>
        <v>0.17378640776699028</v>
      </c>
    </row>
    <row r="353" spans="1:18" x14ac:dyDescent="0.25">
      <c r="A353" s="2" t="s">
        <v>383</v>
      </c>
      <c r="B353" t="s">
        <v>351</v>
      </c>
      <c r="C353" s="18">
        <f>(6.1+6.8+5.7+7)/4</f>
        <v>6.3999999999999995</v>
      </c>
      <c r="D353" s="18">
        <f>(9+10+6.7+10.7)/4</f>
        <v>9.1</v>
      </c>
      <c r="E353" s="18">
        <f t="shared" si="117"/>
        <v>15.5</v>
      </c>
      <c r="F353">
        <f>(3+3+3+3)/4</f>
        <v>3</v>
      </c>
      <c r="G353" s="20">
        <v>3.39E-2</v>
      </c>
      <c r="H353" s="20">
        <f>G353/M353</f>
        <v>8.4749999999999999E-3</v>
      </c>
      <c r="I353" s="20">
        <v>3.7999999999999999E-2</v>
      </c>
      <c r="J353" s="20">
        <f t="shared" si="118"/>
        <v>9.4999999999999998E-3</v>
      </c>
      <c r="K353" s="20">
        <v>2.3E-2</v>
      </c>
      <c r="L353" s="20">
        <f t="shared" si="119"/>
        <v>5.7499999999999999E-3</v>
      </c>
      <c r="M353" s="15">
        <v>4</v>
      </c>
      <c r="N353" s="20">
        <f t="shared" si="120"/>
        <v>2.3724999999999996E-2</v>
      </c>
      <c r="O353" s="20">
        <f t="shared" si="121"/>
        <v>0.78152173913043466</v>
      </c>
      <c r="P353" s="20">
        <f t="shared" si="122"/>
        <v>0.35721812434141209</v>
      </c>
      <c r="Q353" s="20">
        <f t="shared" si="123"/>
        <v>0.40042149631190732</v>
      </c>
      <c r="R353" s="20">
        <f t="shared" si="124"/>
        <v>0.24236037934668075</v>
      </c>
    </row>
    <row r="354" spans="1:18" x14ac:dyDescent="0.25">
      <c r="A354" s="2" t="s">
        <v>383</v>
      </c>
      <c r="B354" t="s">
        <v>352</v>
      </c>
      <c r="C354" s="18">
        <f>(5.3+5+4.6+4.2)/4</f>
        <v>4.7750000000000004</v>
      </c>
      <c r="D354" s="18">
        <f>(8+9.1+10+9.5)/4</f>
        <v>9.15</v>
      </c>
      <c r="E354" s="18">
        <f t="shared" si="117"/>
        <v>13.925000000000001</v>
      </c>
      <c r="F354" s="21">
        <f>(2+2+2+2)/4</f>
        <v>2</v>
      </c>
      <c r="G354" s="20">
        <v>1.8499999999999999E-2</v>
      </c>
      <c r="H354" s="20">
        <v>4.5999999999999999E-3</v>
      </c>
      <c r="I354" s="20">
        <v>8.6999999999999994E-3</v>
      </c>
      <c r="J354" s="20">
        <f t="shared" si="118"/>
        <v>2.1749999999999999E-3</v>
      </c>
      <c r="K354" s="20">
        <v>1.6E-2</v>
      </c>
      <c r="L354" s="20">
        <f t="shared" si="119"/>
        <v>4.0000000000000001E-3</v>
      </c>
      <c r="M354" s="15">
        <v>4</v>
      </c>
      <c r="N354" s="20">
        <f t="shared" si="120"/>
        <v>1.0775E-2</v>
      </c>
      <c r="O354" s="20">
        <f t="shared" si="121"/>
        <v>0.42343749999999997</v>
      </c>
      <c r="P354" s="20">
        <f t="shared" si="122"/>
        <v>0.42691415313225056</v>
      </c>
      <c r="Q354" s="20">
        <f t="shared" si="123"/>
        <v>0.20185614849187933</v>
      </c>
      <c r="R354" s="20">
        <f t="shared" si="124"/>
        <v>0.37122969837587011</v>
      </c>
    </row>
    <row r="355" spans="1:18" x14ac:dyDescent="0.25">
      <c r="A355" s="2" t="s">
        <v>383</v>
      </c>
      <c r="B355" t="s">
        <v>353</v>
      </c>
      <c r="C355" s="18">
        <f>(4+4.5+4.2)/3</f>
        <v>4.2333333333333334</v>
      </c>
      <c r="D355" s="18">
        <f>(6.5+7+6.6)/3</f>
        <v>6.7</v>
      </c>
      <c r="E355" s="18">
        <f t="shared" si="117"/>
        <v>10.933333333333334</v>
      </c>
      <c r="F355" s="21">
        <v>2</v>
      </c>
      <c r="G355" s="20">
        <v>1.3599999999999999E-2</v>
      </c>
      <c r="H355" s="20">
        <f>G355/M355</f>
        <v>4.5333333333333328E-3</v>
      </c>
      <c r="I355" s="20">
        <v>9.1999999999999998E-3</v>
      </c>
      <c r="J355" s="20">
        <f t="shared" si="118"/>
        <v>3.0666666666666668E-3</v>
      </c>
      <c r="K355" s="20">
        <v>7.7999999999999996E-3</v>
      </c>
      <c r="L355" s="20">
        <f t="shared" si="119"/>
        <v>2.5999999999999999E-3</v>
      </c>
      <c r="M355" s="15">
        <v>3</v>
      </c>
      <c r="N355" s="20">
        <f t="shared" si="120"/>
        <v>1.0199999999999999E-2</v>
      </c>
      <c r="O355" s="20">
        <f t="shared" si="121"/>
        <v>0.97435897435897434</v>
      </c>
      <c r="P355" s="20">
        <f t="shared" si="122"/>
        <v>0.44444444444444442</v>
      </c>
      <c r="Q355" s="20">
        <f t="shared" si="123"/>
        <v>0.30065359477124187</v>
      </c>
      <c r="R355" s="20">
        <f t="shared" si="124"/>
        <v>0.25490196078431376</v>
      </c>
    </row>
    <row r="356" spans="1:18" x14ac:dyDescent="0.25">
      <c r="A356" s="2" t="s">
        <v>383</v>
      </c>
      <c r="B356" t="s">
        <v>354</v>
      </c>
      <c r="C356" s="18">
        <f>(3.8+3.5)/2</f>
        <v>3.65</v>
      </c>
      <c r="D356" s="18">
        <f>(5.2+5.2)/2</f>
        <v>5.2</v>
      </c>
      <c r="E356" s="18">
        <f t="shared" si="117"/>
        <v>8.85</v>
      </c>
      <c r="F356">
        <v>2</v>
      </c>
      <c r="G356" s="20">
        <v>6.7999999999999996E-3</v>
      </c>
      <c r="H356" s="20">
        <f>G356/M356</f>
        <v>3.3999999999999998E-3</v>
      </c>
      <c r="I356" s="20">
        <v>6.7000000000000002E-3</v>
      </c>
      <c r="J356" s="20">
        <f t="shared" si="118"/>
        <v>3.3500000000000001E-3</v>
      </c>
      <c r="K356" s="20">
        <v>4.7999999999999996E-3</v>
      </c>
      <c r="L356" s="20">
        <f t="shared" si="119"/>
        <v>2.3999999999999998E-3</v>
      </c>
      <c r="M356" s="21">
        <v>2</v>
      </c>
      <c r="N356" s="20">
        <f t="shared" si="120"/>
        <v>9.1500000000000001E-3</v>
      </c>
      <c r="O356" s="20">
        <f t="shared" si="121"/>
        <v>1.40625</v>
      </c>
      <c r="P356" s="20">
        <f t="shared" si="122"/>
        <v>0.37158469945355188</v>
      </c>
      <c r="Q356" s="20">
        <f t="shared" si="123"/>
        <v>0.36612021857923499</v>
      </c>
      <c r="R356" s="20">
        <f t="shared" si="124"/>
        <v>0.26229508196721307</v>
      </c>
    </row>
    <row r="357" spans="1:18" x14ac:dyDescent="0.25">
      <c r="A357" s="2" t="s">
        <v>383</v>
      </c>
      <c r="B357" t="s">
        <v>355</v>
      </c>
      <c r="C357" s="18">
        <f>(4+3.5+4.2+4.3)/4</f>
        <v>4</v>
      </c>
      <c r="D357" s="18">
        <f>(9.5+8+7+10.2)/4</f>
        <v>8.6750000000000007</v>
      </c>
      <c r="E357" s="18">
        <f t="shared" si="117"/>
        <v>12.675000000000001</v>
      </c>
      <c r="F357" s="21">
        <v>2</v>
      </c>
      <c r="G357" s="20">
        <v>1.5900000000000001E-2</v>
      </c>
      <c r="H357" s="20">
        <f>G357/M357</f>
        <v>3.9750000000000002E-3</v>
      </c>
      <c r="I357" s="20">
        <v>6.7999999999999996E-3</v>
      </c>
      <c r="J357" s="20">
        <f t="shared" si="118"/>
        <v>1.6999999999999999E-3</v>
      </c>
      <c r="K357" s="20">
        <v>1.12E-2</v>
      </c>
      <c r="L357" s="20">
        <f t="shared" si="119"/>
        <v>2.8E-3</v>
      </c>
      <c r="M357" s="21">
        <v>4</v>
      </c>
      <c r="N357" s="20">
        <f t="shared" si="120"/>
        <v>8.4749999999999999E-3</v>
      </c>
      <c r="O357" s="20">
        <f t="shared" si="121"/>
        <v>0.5066964285714286</v>
      </c>
      <c r="P357" s="20">
        <f t="shared" si="122"/>
        <v>0.46902654867256638</v>
      </c>
      <c r="Q357" s="20">
        <f t="shared" si="123"/>
        <v>0.20058997050147492</v>
      </c>
      <c r="R357" s="20">
        <f t="shared" si="124"/>
        <v>0.3303834808259587</v>
      </c>
    </row>
    <row r="358" spans="1:18" x14ac:dyDescent="0.25">
      <c r="A358" s="2" t="s">
        <v>383</v>
      </c>
      <c r="B358" t="s">
        <v>356</v>
      </c>
      <c r="C358" s="18">
        <f>(4.5+4.2)/2</f>
        <v>4.3499999999999996</v>
      </c>
      <c r="D358" s="18">
        <f>(9.2+8.2)/2</f>
        <v>8.6999999999999993</v>
      </c>
      <c r="E358" s="18">
        <f t="shared" si="117"/>
        <v>13.049999999999999</v>
      </c>
      <c r="F358" s="21">
        <v>2</v>
      </c>
      <c r="G358" s="20">
        <v>1.01E-2</v>
      </c>
      <c r="H358" s="20">
        <v>5.1000000000000004E-3</v>
      </c>
      <c r="I358" s="20">
        <v>1.04E-2</v>
      </c>
      <c r="J358" s="20">
        <f t="shared" si="118"/>
        <v>5.1999999999999998E-3</v>
      </c>
      <c r="K358" s="20">
        <v>8.8000000000000005E-3</v>
      </c>
      <c r="L358" s="20">
        <f t="shared" si="119"/>
        <v>4.4000000000000003E-3</v>
      </c>
      <c r="M358" s="21">
        <v>2</v>
      </c>
      <c r="N358" s="20">
        <f t="shared" si="120"/>
        <v>1.4700000000000001E-2</v>
      </c>
      <c r="O358" s="20">
        <f t="shared" si="121"/>
        <v>1.1704545454545454</v>
      </c>
      <c r="P358" s="20">
        <f t="shared" si="122"/>
        <v>0.34693877551020408</v>
      </c>
      <c r="Q358" s="20">
        <f t="shared" si="123"/>
        <v>0.3537414965986394</v>
      </c>
      <c r="R358" s="20">
        <f t="shared" si="124"/>
        <v>0.29931972789115646</v>
      </c>
    </row>
    <row r="359" spans="1:18" x14ac:dyDescent="0.25">
      <c r="A359" s="2" t="s">
        <v>383</v>
      </c>
      <c r="B359" t="s">
        <v>357</v>
      </c>
      <c r="C359" s="18">
        <f>(4.6+4.7)/2</f>
        <v>4.6500000000000004</v>
      </c>
      <c r="D359" s="18">
        <f>(8+9.4)/2</f>
        <v>8.6999999999999993</v>
      </c>
      <c r="E359" s="18">
        <f t="shared" si="117"/>
        <v>13.35</v>
      </c>
      <c r="F359">
        <v>3</v>
      </c>
      <c r="G359" s="20">
        <v>1.06E-2</v>
      </c>
      <c r="H359" s="20">
        <f>G359/M359</f>
        <v>5.3E-3</v>
      </c>
      <c r="I359" s="20">
        <v>1.6E-2</v>
      </c>
      <c r="J359" s="20">
        <f t="shared" si="118"/>
        <v>8.0000000000000002E-3</v>
      </c>
      <c r="K359" s="20">
        <v>8.8000000000000005E-3</v>
      </c>
      <c r="L359" s="20">
        <f t="shared" si="119"/>
        <v>4.4000000000000003E-3</v>
      </c>
      <c r="M359" s="15">
        <v>2</v>
      </c>
      <c r="N359" s="20">
        <f t="shared" si="120"/>
        <v>1.77E-2</v>
      </c>
      <c r="O359" s="20">
        <f t="shared" si="121"/>
        <v>1.5113636363636362</v>
      </c>
      <c r="P359" s="20">
        <f t="shared" si="122"/>
        <v>0.29943502824858759</v>
      </c>
      <c r="Q359" s="20">
        <f t="shared" si="123"/>
        <v>0.4519774011299435</v>
      </c>
      <c r="R359" s="20">
        <f t="shared" si="124"/>
        <v>0.24858757062146894</v>
      </c>
    </row>
    <row r="360" spans="1:18" x14ac:dyDescent="0.25">
      <c r="A360" s="2" t="s">
        <v>383</v>
      </c>
      <c r="B360" t="s">
        <v>358</v>
      </c>
      <c r="C360" s="18" t="s">
        <v>360</v>
      </c>
      <c r="D360" s="18" t="s">
        <v>360</v>
      </c>
      <c r="E360" s="18" t="s">
        <v>360</v>
      </c>
      <c r="F360" t="s">
        <v>360</v>
      </c>
      <c r="G360" s="20" t="s">
        <v>360</v>
      </c>
      <c r="H360" s="20" t="s">
        <v>360</v>
      </c>
      <c r="I360" s="20" t="s">
        <v>360</v>
      </c>
      <c r="J360" s="20" t="s">
        <v>360</v>
      </c>
      <c r="K360" s="20" t="s">
        <v>360</v>
      </c>
      <c r="L360" s="20" t="s">
        <v>360</v>
      </c>
      <c r="M360" s="21" t="s">
        <v>360</v>
      </c>
      <c r="N360" s="20" t="s">
        <v>360</v>
      </c>
      <c r="O360" s="20" t="s">
        <v>360</v>
      </c>
      <c r="P360" s="20" t="s">
        <v>360</v>
      </c>
      <c r="Q360" s="20" t="s">
        <v>360</v>
      </c>
      <c r="R360" s="20" t="s">
        <v>360</v>
      </c>
    </row>
    <row r="361" spans="1:18" x14ac:dyDescent="0.25">
      <c r="A361" s="2" t="s">
        <v>383</v>
      </c>
      <c r="B361" t="s">
        <v>359</v>
      </c>
      <c r="C361" s="18">
        <f>(3.7+3.2+3.2+3.3+3.6)/5</f>
        <v>3.4000000000000008</v>
      </c>
      <c r="D361" s="18">
        <f>(8+9+9.5+6+10)/5</f>
        <v>8.5</v>
      </c>
      <c r="E361" s="18">
        <f>C361+D361</f>
        <v>11.9</v>
      </c>
      <c r="F361" s="22">
        <f>9/5</f>
        <v>1.8</v>
      </c>
      <c r="G361" s="20">
        <v>1.37E-2</v>
      </c>
      <c r="H361" s="20">
        <f>G361/M361</f>
        <v>2.7400000000000002E-3</v>
      </c>
      <c r="I361" s="20">
        <v>5.4999999999999997E-3</v>
      </c>
      <c r="J361" s="20">
        <f>I361/M361</f>
        <v>1.0999999999999998E-3</v>
      </c>
      <c r="K361" s="20">
        <v>1.5100000000000001E-2</v>
      </c>
      <c r="L361" s="20">
        <f>K361/M361</f>
        <v>3.0200000000000001E-3</v>
      </c>
      <c r="M361" s="15">
        <v>5</v>
      </c>
      <c r="N361" s="20">
        <f>H361+J361+L361</f>
        <v>6.8599999999999998E-3</v>
      </c>
      <c r="O361" s="20">
        <f>(H361+J361)/K361</f>
        <v>0.2543046357615894</v>
      </c>
      <c r="P361" s="20">
        <f>H361/N361</f>
        <v>0.3994169096209913</v>
      </c>
      <c r="Q361" s="20">
        <f>J361/N361</f>
        <v>0.16034985422740522</v>
      </c>
      <c r="R361" s="20">
        <f>L361/N361</f>
        <v>0.44023323615160354</v>
      </c>
    </row>
  </sheetData>
  <autoFilter ref="A1:R361"/>
  <pageMargins left="0.7" right="0.7" top="0.75" bottom="0.75" header="0.3" footer="0.3"/>
  <pageSetup orientation="portrait" horizontalDpi="300" verticalDpi="300" r:id="rId1"/>
  <ignoredErrors>
    <ignoredError sqref="D246 C9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Tricoderma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</dc:creator>
  <cp:lastModifiedBy>REVISOR</cp:lastModifiedBy>
  <dcterms:created xsi:type="dcterms:W3CDTF">2019-05-09T01:13:10Z</dcterms:created>
  <dcterms:modified xsi:type="dcterms:W3CDTF">2019-08-06T20:56:42Z</dcterms:modified>
</cp:coreProperties>
</file>