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tcrndlg_ucl_ac_uk/Documents/"/>
    </mc:Choice>
  </mc:AlternateContent>
  <xr:revisionPtr revIDLastSave="0" documentId="8_{39EB02A9-8C25-484B-AD37-5495B4BC4C6E}" xr6:coauthVersionLast="47" xr6:coauthVersionMax="47" xr10:uidLastSave="{00000000-0000-0000-0000-000000000000}"/>
  <bookViews>
    <workbookView xWindow="-120" yWindow="-120" windowWidth="29040" windowHeight="15720" xr2:uid="{94996F67-D41C-4C82-9340-12F7DC3DF12F}"/>
  </bookViews>
  <sheets>
    <sheet name="lithics_data" sheetId="1" r:id="rId1"/>
    <sheet name="NMDS" sheetId="2" r:id="rId2"/>
    <sheet name="osseous_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2" l="1"/>
  <c r="F23" i="2"/>
  <c r="E23" i="2"/>
  <c r="C23" i="2"/>
  <c r="AT22" i="2"/>
  <c r="AA22" i="2"/>
  <c r="O22" i="2"/>
  <c r="E22" i="2"/>
  <c r="D22" i="2"/>
  <c r="C22" i="2"/>
  <c r="AA20" i="2"/>
  <c r="Q20" i="2"/>
  <c r="O20" i="2"/>
  <c r="K20" i="2"/>
  <c r="I20" i="2"/>
  <c r="C20" i="2"/>
  <c r="AK19" i="2"/>
  <c r="AD19" i="2"/>
  <c r="AA19" i="2"/>
  <c r="Q19" i="2"/>
  <c r="O19" i="2"/>
  <c r="K19" i="2"/>
  <c r="AA18" i="2"/>
  <c r="Q18" i="2"/>
  <c r="O18" i="2"/>
  <c r="C18" i="2"/>
  <c r="AA17" i="2"/>
  <c r="R17" i="2"/>
  <c r="Q17" i="2"/>
  <c r="M17" i="2"/>
  <c r="C17" i="2"/>
  <c r="Q16" i="2"/>
  <c r="C16" i="2"/>
  <c r="B16" i="2"/>
  <c r="S15" i="2"/>
  <c r="Q15" i="2"/>
  <c r="P15" i="2"/>
  <c r="M15" i="2"/>
  <c r="K15" i="2"/>
  <c r="I15" i="2"/>
  <c r="C15" i="2"/>
  <c r="AT14" i="2"/>
  <c r="AN14" i="2"/>
  <c r="Z14" i="2"/>
  <c r="S14" i="2"/>
  <c r="Q14" i="2"/>
  <c r="O14" i="2"/>
  <c r="N14" i="2"/>
  <c r="M14" i="2"/>
  <c r="L14" i="2"/>
  <c r="I14" i="2"/>
  <c r="H14" i="2"/>
  <c r="G14" i="2"/>
  <c r="C14" i="2"/>
  <c r="B14" i="2"/>
  <c r="Q13" i="2"/>
  <c r="O13" i="2"/>
  <c r="N13" i="2"/>
  <c r="M13" i="2"/>
  <c r="J13" i="2"/>
  <c r="C13" i="2"/>
  <c r="B13" i="2"/>
  <c r="T12" i="2"/>
  <c r="S12" i="2"/>
  <c r="Q12" i="2"/>
  <c r="O12" i="2"/>
  <c r="K12" i="2"/>
  <c r="AT11" i="2"/>
  <c r="AS11" i="2"/>
  <c r="AQ11" i="2"/>
  <c r="AP11" i="2"/>
  <c r="AN11" i="2"/>
  <c r="AA11" i="2"/>
  <c r="Q11" i="2"/>
  <c r="O11" i="2"/>
  <c r="I11" i="2"/>
  <c r="F11" i="2"/>
  <c r="E11" i="2"/>
  <c r="C11" i="2"/>
  <c r="AT10" i="2"/>
  <c r="AL10" i="2"/>
  <c r="AK10" i="2"/>
  <c r="AJ10" i="2"/>
  <c r="R10" i="2"/>
  <c r="O10" i="2"/>
  <c r="M10" i="2"/>
  <c r="D10" i="2"/>
  <c r="C10" i="2"/>
  <c r="Q9" i="2"/>
  <c r="P9" i="2"/>
  <c r="O9" i="2"/>
  <c r="M9" i="2"/>
  <c r="C9" i="2"/>
  <c r="E8" i="2"/>
  <c r="C8" i="2"/>
  <c r="O6" i="2"/>
  <c r="M6" i="2"/>
  <c r="C6" i="2"/>
  <c r="O5" i="2"/>
  <c r="M5" i="2"/>
  <c r="C5" i="2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<sst xmlns="http://schemas.openxmlformats.org/spreadsheetml/2006/main" count="1129" uniqueCount="352">
  <si>
    <t>ArtNo</t>
  </si>
  <si>
    <t>RawMat</t>
  </si>
  <si>
    <t>Breakage</t>
  </si>
  <si>
    <t>Abrasion</t>
  </si>
  <si>
    <t>Weathering/staining</t>
  </si>
  <si>
    <t>Sediments</t>
  </si>
  <si>
    <t>Cortex</t>
  </si>
  <si>
    <t>Pb</t>
  </si>
  <si>
    <t>Zn</t>
  </si>
  <si>
    <t>Vn</t>
  </si>
  <si>
    <t>Type</t>
  </si>
  <si>
    <t>NMDS_type</t>
  </si>
  <si>
    <t>Length</t>
  </si>
  <si>
    <t>Width</t>
  </si>
  <si>
    <t>Thick</t>
  </si>
  <si>
    <t>PlatW</t>
  </si>
  <si>
    <t>PlatT</t>
  </si>
  <si>
    <t>Volume</t>
  </si>
  <si>
    <t>Area</t>
  </si>
  <si>
    <t>ScarC</t>
  </si>
  <si>
    <t>RetType</t>
  </si>
  <si>
    <t>RetPlan</t>
  </si>
  <si>
    <t>EdgeType</t>
  </si>
  <si>
    <t>PlatType</t>
  </si>
  <si>
    <t>BulbType</t>
  </si>
  <si>
    <t>ScarPat</t>
  </si>
  <si>
    <t>CoreType</t>
  </si>
  <si>
    <t>Notes</t>
  </si>
  <si>
    <t>Model</t>
  </si>
  <si>
    <t>Illustration</t>
  </si>
  <si>
    <t>E1095</t>
  </si>
  <si>
    <t>Limonite</t>
  </si>
  <si>
    <t>Complete</t>
  </si>
  <si>
    <t>Light</t>
  </si>
  <si>
    <t>Yellow staining, tertiary</t>
  </si>
  <si>
    <t>Secondary</t>
  </si>
  <si>
    <t>Core</t>
  </si>
  <si>
    <t>Discoid</t>
  </si>
  <si>
    <t>Battered</t>
  </si>
  <si>
    <t>Irregular</t>
  </si>
  <si>
    <t>Discoidal</t>
  </si>
  <si>
    <t>To illustrate</t>
  </si>
  <si>
    <t>E1096</t>
  </si>
  <si>
    <t>Quartzite</t>
  </si>
  <si>
    <t>Red staining, tertiary</t>
  </si>
  <si>
    <t>Yellow clay</t>
  </si>
  <si>
    <t>Redo model without smoothing</t>
  </si>
  <si>
    <t>E1097</t>
  </si>
  <si>
    <t>Rock crystal quartz</t>
  </si>
  <si>
    <t>Fresh</t>
  </si>
  <si>
    <t>Dark clay</t>
  </si>
  <si>
    <t>Tertiary</t>
  </si>
  <si>
    <t>Flake</t>
  </si>
  <si>
    <t>Unmodified</t>
  </si>
  <si>
    <t>Dihedral</t>
  </si>
  <si>
    <t>Hertzian</t>
  </si>
  <si>
    <t>Convergent</t>
  </si>
  <si>
    <t>Double check pictures for retouh</t>
  </si>
  <si>
    <t>E1098</t>
  </si>
  <si>
    <t>Retouched flake</t>
  </si>
  <si>
    <t>Scraper</t>
  </si>
  <si>
    <t>Minimal</t>
  </si>
  <si>
    <t>End</t>
  </si>
  <si>
    <t>Bifacial retouch</t>
  </si>
  <si>
    <t>Flat</t>
  </si>
  <si>
    <t>Bidirectional</t>
  </si>
  <si>
    <t>E1099</t>
  </si>
  <si>
    <t>Vein quartz</t>
  </si>
  <si>
    <t>Proximal</t>
  </si>
  <si>
    <t>Broken flake</t>
  </si>
  <si>
    <t>Modified flake</t>
  </si>
  <si>
    <t>Invasive</t>
  </si>
  <si>
    <t>Side</t>
  </si>
  <si>
    <t>Dorsal</t>
  </si>
  <si>
    <t>Multifacetted</t>
  </si>
  <si>
    <t>E1100</t>
  </si>
  <si>
    <t>Yellow and red staining, secondary</t>
  </si>
  <si>
    <t>Backed piece</t>
  </si>
  <si>
    <t>Backed</t>
  </si>
  <si>
    <t>Crushed</t>
  </si>
  <si>
    <t>Unidirectional</t>
  </si>
  <si>
    <t>Blade, probably naturally backed</t>
  </si>
  <si>
    <t>E1101</t>
  </si>
  <si>
    <t>Blade, modified</t>
  </si>
  <si>
    <t>Blade (this also looks prismatic)</t>
  </si>
  <si>
    <t>E1102</t>
  </si>
  <si>
    <t>None</t>
  </si>
  <si>
    <t>Severe rebound force on distal ventral, potential bipolar made on an expended discoid</t>
  </si>
  <si>
    <t>E1103</t>
  </si>
  <si>
    <t>Flake fragment</t>
  </si>
  <si>
    <t>Orthogonal</t>
  </si>
  <si>
    <t>E1104</t>
  </si>
  <si>
    <t>Several step terminations on dorsal</t>
  </si>
  <si>
    <t>E1105</t>
  </si>
  <si>
    <t>E1106</t>
  </si>
  <si>
    <t>Blade</t>
  </si>
  <si>
    <t>Platform used to be point, retouch could be post-depositional damage</t>
  </si>
  <si>
    <t>E1107</t>
  </si>
  <si>
    <t>Distal</t>
  </si>
  <si>
    <t>Pick</t>
  </si>
  <si>
    <t>Circular</t>
  </si>
  <si>
    <t>Placement according to tool-form is different than placement according to axis. Here it is placed as tool-form</t>
  </si>
  <si>
    <t>E1108</t>
  </si>
  <si>
    <t>Core-on-flake</t>
  </si>
  <si>
    <t>Hierarchical</t>
  </si>
  <si>
    <t>Levallois point core. Positioned according to last major scar. Bulb flaked away. Too much matrix to tell scar count on dorsal side</t>
  </si>
  <si>
    <t>E1109</t>
  </si>
  <si>
    <t>Sheared</t>
  </si>
  <si>
    <t>Probably bipolar</t>
  </si>
  <si>
    <t>E1110</t>
  </si>
  <si>
    <t>Misc retouch</t>
  </si>
  <si>
    <t>Ventral</t>
  </si>
  <si>
    <t>Nice example of scraper, potential for illustration</t>
  </si>
  <si>
    <t>E1111</t>
  </si>
  <si>
    <t>Point, unifacial</t>
  </si>
  <si>
    <t>Nosed</t>
  </si>
  <si>
    <t>Radial</t>
  </si>
  <si>
    <t>Point, could be nice illustrating</t>
  </si>
  <si>
    <t>E1112</t>
  </si>
  <si>
    <t>Cortical</t>
  </si>
  <si>
    <t>Suspect bipolar reduction was used to split the cobble before using it as a discoidal core</t>
  </si>
  <si>
    <t>E1113</t>
  </si>
  <si>
    <t>Facetted</t>
  </si>
  <si>
    <t>Has a small taphonomic burination</t>
  </si>
  <si>
    <t>E1114</t>
  </si>
  <si>
    <t>E1116</t>
  </si>
  <si>
    <t>E1117</t>
  </si>
  <si>
    <t>Notched</t>
  </si>
  <si>
    <t>Bifacial</t>
  </si>
  <si>
    <t>Notching is probably due to sedimentary damage</t>
  </si>
  <si>
    <t>E1118</t>
  </si>
  <si>
    <t>Blade fragment</t>
  </si>
  <si>
    <t>E1119</t>
  </si>
  <si>
    <t>E1120</t>
  </si>
  <si>
    <t>Primary</t>
  </si>
  <si>
    <t>Manuport</t>
  </si>
  <si>
    <t>Hammerstone</t>
  </si>
  <si>
    <t>E1121</t>
  </si>
  <si>
    <t>Shale, baked</t>
  </si>
  <si>
    <t>Medial</t>
  </si>
  <si>
    <t>Moderate</t>
  </si>
  <si>
    <t>Broken</t>
  </si>
  <si>
    <t>E1122</t>
  </si>
  <si>
    <t>Chert, potlitted</t>
  </si>
  <si>
    <t>Potlid</t>
  </si>
  <si>
    <t>E1123</t>
  </si>
  <si>
    <t>Denticulate</t>
  </si>
  <si>
    <t>E1125</t>
  </si>
  <si>
    <t>Point</t>
  </si>
  <si>
    <t>Potlid in middle</t>
  </si>
  <si>
    <t>E1126</t>
  </si>
  <si>
    <t>Radial core</t>
  </si>
  <si>
    <t>Multiplatform</t>
  </si>
  <si>
    <t>E1127</t>
  </si>
  <si>
    <t>Burinated</t>
  </si>
  <si>
    <t>Indet</t>
  </si>
  <si>
    <t>Too much matrix to tell dorsal scar count and pattern</t>
  </si>
  <si>
    <t>E1128</t>
  </si>
  <si>
    <t>Shale</t>
  </si>
  <si>
    <t>Breakage on right side from ventral view</t>
  </si>
  <si>
    <t>E1226</t>
  </si>
  <si>
    <t>Likely bipolar</t>
  </si>
  <si>
    <t>E4982</t>
  </si>
  <si>
    <t>Rolled</t>
  </si>
  <si>
    <t>Lots of matrix, might have a few more scars in reality</t>
  </si>
  <si>
    <t>E4983</t>
  </si>
  <si>
    <t>Borer</t>
  </si>
  <si>
    <t>Very large, think a bit more about typology</t>
  </si>
  <si>
    <t>E4984</t>
  </si>
  <si>
    <t>Bipolar. Retouch force at distal end. A few forcepoints on platform.</t>
  </si>
  <si>
    <t>E4985</t>
  </si>
  <si>
    <t>Possibly bipolar. Retouch likely taphonomic.</t>
  </si>
  <si>
    <t>E4986</t>
  </si>
  <si>
    <t>Yellow staining, secondary</t>
  </si>
  <si>
    <t xml:space="preserve">Ventral retouching probably taphonomic. </t>
  </si>
  <si>
    <t>E4987</t>
  </si>
  <si>
    <t>E4988</t>
  </si>
  <si>
    <t>E4989</t>
  </si>
  <si>
    <t>Looks like rebound force at the end. Bipolar?</t>
  </si>
  <si>
    <t>E4990</t>
  </si>
  <si>
    <t>Looks like a point. Burination. Likely a tool.</t>
  </si>
  <si>
    <t>Nice to model</t>
  </si>
  <si>
    <t>E4991</t>
  </si>
  <si>
    <t>Core maintenance flake</t>
  </si>
  <si>
    <t>Several step terminations on one side of the dorsal. Looks like a pick but only about 5 cm long</t>
  </si>
  <si>
    <t>E4992</t>
  </si>
  <si>
    <t>E537</t>
  </si>
  <si>
    <t>Notch</t>
  </si>
  <si>
    <t>Heavy chemical weathering</t>
  </si>
  <si>
    <t>Grindstone</t>
  </si>
  <si>
    <t>Ground</t>
  </si>
  <si>
    <t>E538a</t>
  </si>
  <si>
    <t>Looks bipolar</t>
  </si>
  <si>
    <t>E538b</t>
  </si>
  <si>
    <t>Nose</t>
  </si>
  <si>
    <t>Flake, one large scar to create a nosed tip</t>
  </si>
  <si>
    <t>E538c</t>
  </si>
  <si>
    <t>E538d</t>
  </si>
  <si>
    <t>Simple</t>
  </si>
  <si>
    <t>Lipped</t>
  </si>
  <si>
    <t>Notches taphonomic</t>
  </si>
  <si>
    <t>E538e</t>
  </si>
  <si>
    <t>Chert, grey</t>
  </si>
  <si>
    <t>Nosed scraper</t>
  </si>
  <si>
    <t>SEND TO CERI</t>
  </si>
  <si>
    <t>E538f</t>
  </si>
  <si>
    <t>Ventral side very sheared</t>
  </si>
  <si>
    <t>E538g</t>
  </si>
  <si>
    <t>Bipolar core</t>
  </si>
  <si>
    <t>Bipolar</t>
  </si>
  <si>
    <t>E699</t>
  </si>
  <si>
    <t>Arkose/sandstone/quartzite</t>
  </si>
  <si>
    <t>Spheroid</t>
  </si>
  <si>
    <t>E704a</t>
  </si>
  <si>
    <t>White staining, tertiary</t>
  </si>
  <si>
    <t>Clearly utilised</t>
  </si>
  <si>
    <t>E704b</t>
  </si>
  <si>
    <t>Lateral</t>
  </si>
  <si>
    <t>E705</t>
  </si>
  <si>
    <t>Chert, brown</t>
  </si>
  <si>
    <t>Hierarchical bifacial</t>
  </si>
  <si>
    <t>Hierachical</t>
  </si>
  <si>
    <t>Very likely Levallois</t>
  </si>
  <si>
    <t>E908</t>
  </si>
  <si>
    <t>Hierarchical unifacial</t>
  </si>
  <si>
    <t>Pyramidal</t>
  </si>
  <si>
    <t>E909</t>
  </si>
  <si>
    <t>White staining, primary</t>
  </si>
  <si>
    <t>E910</t>
  </si>
  <si>
    <t>Awl</t>
  </si>
  <si>
    <t>E911</t>
  </si>
  <si>
    <t>E912</t>
  </si>
  <si>
    <t>E913</t>
  </si>
  <si>
    <t>White staining, secondary</t>
  </si>
  <si>
    <t>E914</t>
  </si>
  <si>
    <t>Think nosing is taphonomic</t>
  </si>
  <si>
    <t>E915</t>
  </si>
  <si>
    <t>E916</t>
  </si>
  <si>
    <t>Assemblage</t>
  </si>
  <si>
    <t>Core_chunk</t>
  </si>
  <si>
    <t>Core_nonhierarch</t>
  </si>
  <si>
    <t>Core_radial</t>
  </si>
  <si>
    <t>Core_hierarch_bifac</t>
  </si>
  <si>
    <t>Core_hirearch_unifac</t>
  </si>
  <si>
    <t>Core_bipolar</t>
  </si>
  <si>
    <t>Core_on_flake</t>
  </si>
  <si>
    <t>Segment_bipolar</t>
  </si>
  <si>
    <t>Core_maint_flake</t>
  </si>
  <si>
    <t>Core_fragment</t>
  </si>
  <si>
    <t>Microdeb</t>
  </si>
  <si>
    <t>Chunks</t>
  </si>
  <si>
    <t>Flake_fragment</t>
  </si>
  <si>
    <t>Blade_frag</t>
  </si>
  <si>
    <t>Flakes_complete</t>
  </si>
  <si>
    <t>Flakes_edgedam</t>
  </si>
  <si>
    <t>Bladelet</t>
  </si>
  <si>
    <t>Burin_spall</t>
  </si>
  <si>
    <t>Anvil</t>
  </si>
  <si>
    <t>Chunk_edgedam</t>
  </si>
  <si>
    <t>Scrapers</t>
  </si>
  <si>
    <t>Backed_piece</t>
  </si>
  <si>
    <t>Adze</t>
  </si>
  <si>
    <t>Notch/denticulate</t>
  </si>
  <si>
    <t>Misc_coretool</t>
  </si>
  <si>
    <t>Awl/bec</t>
  </si>
  <si>
    <t>Core-axe</t>
  </si>
  <si>
    <t>Point_undiag</t>
  </si>
  <si>
    <t>Point_unifac</t>
  </si>
  <si>
    <t>Point_bifac</t>
  </si>
  <si>
    <t>Point_ret</t>
  </si>
  <si>
    <t>LCT_other</t>
  </si>
  <si>
    <t>LCT_contigret</t>
  </si>
  <si>
    <t>LCT_biface</t>
  </si>
  <si>
    <t>LCT_cleaverbifac</t>
  </si>
  <si>
    <t>LCT_unifac</t>
  </si>
  <si>
    <t>Burin</t>
  </si>
  <si>
    <t>Misc_retouch</t>
  </si>
  <si>
    <t>Tranchet</t>
  </si>
  <si>
    <t>Technocomplex</t>
  </si>
  <si>
    <t>Age_ka_median</t>
  </si>
  <si>
    <t>Rawmat_dominant</t>
  </si>
  <si>
    <t>Country</t>
  </si>
  <si>
    <t>Mumbwa</t>
  </si>
  <si>
    <t>MSA</t>
  </si>
  <si>
    <t>Quartz</t>
  </si>
  <si>
    <t>Zambia</t>
  </si>
  <si>
    <t>Twin Rivers</t>
  </si>
  <si>
    <t>Kalambo Falls Site C</t>
  </si>
  <si>
    <t>EMSA</t>
  </si>
  <si>
    <t>Kerratic Koppie</t>
  </si>
  <si>
    <t>ESA</t>
  </si>
  <si>
    <t>South Africa</t>
  </si>
  <si>
    <t>Hackthorn</t>
  </si>
  <si>
    <t>Kudu Koppie</t>
  </si>
  <si>
    <t>Erb Tanks</t>
  </si>
  <si>
    <t>Namibia</t>
  </si>
  <si>
    <t>Florisbad</t>
  </si>
  <si>
    <t>Hornfels</t>
  </si>
  <si>
    <t>Gi</t>
  </si>
  <si>
    <t>Chalcedony</t>
  </si>
  <si>
    <t>Botswana</t>
  </si>
  <si>
    <t>Canteen Koppie</t>
  </si>
  <si>
    <t>Andesite</t>
  </si>
  <si>
    <t>Pinnacle Point</t>
  </si>
  <si>
    <t>Lincoln Cave</t>
  </si>
  <si>
    <t>Sterkfontein</t>
  </si>
  <si>
    <t>NA</t>
  </si>
  <si>
    <t>Olduvai Gorge, DGS</t>
  </si>
  <si>
    <t>Tanzania</t>
  </si>
  <si>
    <t>Olduvai Gorge, VCS</t>
  </si>
  <si>
    <t>Magubike Rockshelter</t>
  </si>
  <si>
    <t>Omo Kibish, KS</t>
  </si>
  <si>
    <t>Chert</t>
  </si>
  <si>
    <t>Ethiopia</t>
  </si>
  <si>
    <t>Omo Kibish, AHS</t>
  </si>
  <si>
    <t>Omo Kibish, BNS</t>
  </si>
  <si>
    <t>Bundu Farm</t>
  </si>
  <si>
    <t>Kathu Pan</t>
  </si>
  <si>
    <t>Banded ironstone</t>
  </si>
  <si>
    <t>Wonderwerk</t>
  </si>
  <si>
    <t>Ngalue Cave</t>
  </si>
  <si>
    <t>Mozambique</t>
  </si>
  <si>
    <t>Etemba 14</t>
  </si>
  <si>
    <t>Pniel 6</t>
  </si>
  <si>
    <t>Border Cave</t>
  </si>
  <si>
    <t>Rhyolite</t>
  </si>
  <si>
    <t>Pomongwe Cave</t>
  </si>
  <si>
    <t>Zimbabwe</t>
  </si>
  <si>
    <t>Kabwe</t>
  </si>
  <si>
    <t>Artefact number</t>
  </si>
  <si>
    <t>Raw Material</t>
  </si>
  <si>
    <t>Collection</t>
  </si>
  <si>
    <t>Typology</t>
  </si>
  <si>
    <t>Note</t>
  </si>
  <si>
    <t>Modelled</t>
  </si>
  <si>
    <t>E1094</t>
  </si>
  <si>
    <t>Osseous</t>
  </si>
  <si>
    <t>NHM 21.B.4 42</t>
  </si>
  <si>
    <t>Gouge</t>
  </si>
  <si>
    <r>
      <t xml:space="preserve">In Barham et al 2002 </t>
    </r>
    <r>
      <rPr>
        <i/>
        <sz val="11"/>
        <color theme="1"/>
        <rFont val="Aptos Narrow"/>
        <family val="2"/>
        <scheme val="minor"/>
      </rPr>
      <t>Before Farming</t>
    </r>
  </si>
  <si>
    <t>E4795</t>
  </si>
  <si>
    <t>Ecofact</t>
  </si>
  <si>
    <t>Unclear. Note in box: "?worked bone fragments. Bone Cave, Broken Hill, Rhodesia. ?Deposited 1921. E 4795-7"</t>
  </si>
  <si>
    <t>E4796</t>
  </si>
  <si>
    <t>E4797</t>
  </si>
  <si>
    <t>E700</t>
  </si>
  <si>
    <t>E701a</t>
  </si>
  <si>
    <t>Note in box: "?Worked bones. Cave deposits. Broken Hill, N. Rhodesia. Presented by Franklin White 1921. E701a-c"</t>
  </si>
  <si>
    <t>E701c</t>
  </si>
  <si>
    <t>E701g</t>
  </si>
  <si>
    <t>Modified</t>
  </si>
  <si>
    <t>E702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</si>
</sst>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399F-0FD4-4BC4-9887-D608B789859A}">
  <dimension ref="A1:AD66"/>
  <sheetViews>
    <sheetView tabSelected="1" workbookViewId="0">
      <selection activeCell="U23" sqref="U23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 t="s">
        <v>31</v>
      </c>
      <c r="C2" t="s">
        <v>32</v>
      </c>
      <c r="D2" t="s">
        <v>33</v>
      </c>
      <c r="E2" t="s">
        <v>34</v>
      </c>
      <c r="G2" t="s">
        <v>35</v>
      </c>
      <c r="H2">
        <v>15</v>
      </c>
      <c r="I2">
        <v>12</v>
      </c>
      <c r="J2">
        <v>0.3</v>
      </c>
      <c r="K2" t="s">
        <v>36</v>
      </c>
      <c r="L2" t="s">
        <v>37</v>
      </c>
      <c r="M2">
        <v>93.904242999999994</v>
      </c>
      <c r="N2">
        <v>85.704151999999993</v>
      </c>
      <c r="O2">
        <v>45.808996999999998</v>
      </c>
      <c r="R2">
        <v>169471.01913599999</v>
      </c>
      <c r="S2">
        <f t="shared" ref="S2:S65" si="0">M2*N2</f>
        <v>8047.9835155169349</v>
      </c>
      <c r="T2">
        <v>21</v>
      </c>
      <c r="W2" t="s">
        <v>38</v>
      </c>
      <c r="Z2" t="s">
        <v>39</v>
      </c>
      <c r="AA2" t="s">
        <v>40</v>
      </c>
      <c r="AD2" t="s">
        <v>41</v>
      </c>
    </row>
    <row r="3" spans="1:30" x14ac:dyDescent="0.25">
      <c r="A3" t="s">
        <v>42</v>
      </c>
      <c r="B3" t="s">
        <v>43</v>
      </c>
      <c r="C3" t="s">
        <v>32</v>
      </c>
      <c r="D3" t="s">
        <v>33</v>
      </c>
      <c r="E3" t="s">
        <v>44</v>
      </c>
      <c r="F3" t="s">
        <v>45</v>
      </c>
      <c r="G3" t="s">
        <v>35</v>
      </c>
      <c r="K3" t="s">
        <v>36</v>
      </c>
      <c r="L3" t="s">
        <v>37</v>
      </c>
      <c r="M3">
        <v>60.011946000000002</v>
      </c>
      <c r="N3">
        <v>52.814252000000003</v>
      </c>
      <c r="O3">
        <v>42.850669000000003</v>
      </c>
      <c r="R3">
        <v>59618.473284</v>
      </c>
      <c r="S3">
        <f t="shared" si="0"/>
        <v>3169.4860390543922</v>
      </c>
      <c r="T3">
        <v>23</v>
      </c>
      <c r="W3" t="s">
        <v>38</v>
      </c>
      <c r="Z3" t="s">
        <v>39</v>
      </c>
      <c r="AA3" t="s">
        <v>40</v>
      </c>
      <c r="AB3" t="s">
        <v>46</v>
      </c>
      <c r="AD3" t="s">
        <v>41</v>
      </c>
    </row>
    <row r="4" spans="1:30" x14ac:dyDescent="0.25">
      <c r="A4" t="s">
        <v>47</v>
      </c>
      <c r="B4" t="s">
        <v>48</v>
      </c>
      <c r="C4" t="s">
        <v>32</v>
      </c>
      <c r="D4" t="s">
        <v>49</v>
      </c>
      <c r="F4" t="s">
        <v>50</v>
      </c>
      <c r="G4" t="s">
        <v>51</v>
      </c>
      <c r="K4" t="s">
        <v>52</v>
      </c>
      <c r="L4" t="s">
        <v>52</v>
      </c>
      <c r="M4">
        <v>50.1</v>
      </c>
      <c r="N4">
        <v>37.299999999999997</v>
      </c>
      <c r="O4">
        <v>16</v>
      </c>
      <c r="P4">
        <v>24.4</v>
      </c>
      <c r="Q4">
        <v>15</v>
      </c>
      <c r="S4">
        <f t="shared" si="0"/>
        <v>1868.73</v>
      </c>
      <c r="T4">
        <v>6</v>
      </c>
      <c r="W4" t="s">
        <v>53</v>
      </c>
      <c r="X4" t="s">
        <v>54</v>
      </c>
      <c r="Y4" t="s">
        <v>55</v>
      </c>
      <c r="Z4" t="s">
        <v>56</v>
      </c>
      <c r="AB4" t="s">
        <v>57</v>
      </c>
      <c r="AC4" t="b">
        <v>0</v>
      </c>
    </row>
    <row r="5" spans="1:30" x14ac:dyDescent="0.25">
      <c r="A5" t="s">
        <v>58</v>
      </c>
      <c r="B5" t="s">
        <v>31</v>
      </c>
      <c r="C5" t="s">
        <v>32</v>
      </c>
      <c r="D5" t="s">
        <v>33</v>
      </c>
      <c r="E5" t="s">
        <v>34</v>
      </c>
      <c r="F5" t="s">
        <v>45</v>
      </c>
      <c r="G5" t="s">
        <v>51</v>
      </c>
      <c r="K5" t="s">
        <v>59</v>
      </c>
      <c r="L5" t="s">
        <v>60</v>
      </c>
      <c r="M5">
        <v>43.903387000000002</v>
      </c>
      <c r="N5">
        <v>50.633817999999998</v>
      </c>
      <c r="O5">
        <v>12.626184</v>
      </c>
      <c r="P5">
        <v>23.8</v>
      </c>
      <c r="Q5">
        <v>9.08</v>
      </c>
      <c r="R5">
        <v>11410.659222</v>
      </c>
      <c r="S5">
        <f t="shared" si="0"/>
        <v>2222.9961069415658</v>
      </c>
      <c r="T5">
        <v>6</v>
      </c>
      <c r="U5" t="s">
        <v>61</v>
      </c>
      <c r="V5" t="s">
        <v>62</v>
      </c>
      <c r="W5" t="s">
        <v>63</v>
      </c>
      <c r="X5" t="s">
        <v>64</v>
      </c>
      <c r="Y5" t="s">
        <v>55</v>
      </c>
      <c r="Z5" t="s">
        <v>65</v>
      </c>
    </row>
    <row r="6" spans="1:30" x14ac:dyDescent="0.25">
      <c r="A6" t="s">
        <v>66</v>
      </c>
      <c r="B6" t="s">
        <v>67</v>
      </c>
      <c r="C6" t="s">
        <v>68</v>
      </c>
      <c r="D6" t="s">
        <v>49</v>
      </c>
      <c r="F6" t="s">
        <v>50</v>
      </c>
      <c r="G6" t="s">
        <v>51</v>
      </c>
      <c r="K6" t="s">
        <v>69</v>
      </c>
      <c r="L6" t="s">
        <v>70</v>
      </c>
      <c r="M6">
        <v>53.958508999999999</v>
      </c>
      <c r="N6">
        <v>36.251721000000003</v>
      </c>
      <c r="O6">
        <v>12.528556</v>
      </c>
      <c r="P6">
        <v>30.5</v>
      </c>
      <c r="Q6">
        <v>12.1</v>
      </c>
      <c r="R6">
        <v>9733.9904740000002</v>
      </c>
      <c r="S6">
        <f t="shared" si="0"/>
        <v>1956.0888138439891</v>
      </c>
      <c r="T6">
        <v>5</v>
      </c>
      <c r="U6" t="s">
        <v>71</v>
      </c>
      <c r="V6" t="s">
        <v>72</v>
      </c>
      <c r="W6" t="s">
        <v>73</v>
      </c>
      <c r="X6" t="s">
        <v>74</v>
      </c>
      <c r="Y6" t="s">
        <v>55</v>
      </c>
      <c r="Z6" t="s">
        <v>56</v>
      </c>
    </row>
    <row r="7" spans="1:30" x14ac:dyDescent="0.25">
      <c r="A7" t="s">
        <v>75</v>
      </c>
      <c r="B7" t="s">
        <v>67</v>
      </c>
      <c r="C7" t="s">
        <v>32</v>
      </c>
      <c r="D7" t="s">
        <v>49</v>
      </c>
      <c r="E7" t="s">
        <v>76</v>
      </c>
      <c r="F7" t="s">
        <v>50</v>
      </c>
      <c r="G7" t="s">
        <v>35</v>
      </c>
      <c r="K7" t="s">
        <v>59</v>
      </c>
      <c r="L7" t="s">
        <v>77</v>
      </c>
      <c r="M7">
        <v>70.895171000000005</v>
      </c>
      <c r="N7">
        <v>29.881193</v>
      </c>
      <c r="O7">
        <v>12.513035</v>
      </c>
      <c r="P7">
        <v>10.199999999999999</v>
      </c>
      <c r="Q7">
        <v>5.51</v>
      </c>
      <c r="R7">
        <v>11810.442861</v>
      </c>
      <c r="S7">
        <f t="shared" si="0"/>
        <v>2118.4322874190029</v>
      </c>
      <c r="T7">
        <v>7</v>
      </c>
      <c r="U7" t="s">
        <v>71</v>
      </c>
      <c r="V7" t="s">
        <v>72</v>
      </c>
      <c r="W7" t="s">
        <v>78</v>
      </c>
      <c r="X7" t="s">
        <v>79</v>
      </c>
      <c r="Y7" t="s">
        <v>55</v>
      </c>
      <c r="Z7" t="s">
        <v>80</v>
      </c>
      <c r="AB7" t="s">
        <v>81</v>
      </c>
    </row>
    <row r="8" spans="1:30" x14ac:dyDescent="0.25">
      <c r="A8" t="s">
        <v>82</v>
      </c>
      <c r="B8" t="s">
        <v>67</v>
      </c>
      <c r="C8" t="s">
        <v>32</v>
      </c>
      <c r="D8" t="s">
        <v>49</v>
      </c>
      <c r="F8" t="s">
        <v>45</v>
      </c>
      <c r="G8" t="s">
        <v>35</v>
      </c>
      <c r="K8" t="s">
        <v>59</v>
      </c>
      <c r="L8" t="s">
        <v>83</v>
      </c>
      <c r="M8">
        <v>66.802541000000005</v>
      </c>
      <c r="N8">
        <v>25.945705</v>
      </c>
      <c r="O8">
        <v>8.6326160000000005</v>
      </c>
      <c r="P8">
        <v>16.8</v>
      </c>
      <c r="Q8">
        <v>6.02</v>
      </c>
      <c r="R8">
        <v>5936.9483019999998</v>
      </c>
      <c r="S8">
        <f t="shared" si="0"/>
        <v>1733.2390220364052</v>
      </c>
      <c r="T8">
        <v>5</v>
      </c>
      <c r="U8" t="s">
        <v>61</v>
      </c>
      <c r="V8" t="s">
        <v>72</v>
      </c>
      <c r="W8" t="s">
        <v>73</v>
      </c>
      <c r="X8" t="s">
        <v>74</v>
      </c>
      <c r="Y8" t="s">
        <v>55</v>
      </c>
      <c r="Z8" t="s">
        <v>65</v>
      </c>
      <c r="AB8" t="s">
        <v>84</v>
      </c>
    </row>
    <row r="9" spans="1:30" x14ac:dyDescent="0.25">
      <c r="A9" t="s">
        <v>85</v>
      </c>
      <c r="B9" t="s">
        <v>67</v>
      </c>
      <c r="C9" t="s">
        <v>32</v>
      </c>
      <c r="D9" t="s">
        <v>49</v>
      </c>
      <c r="F9" t="s">
        <v>45</v>
      </c>
      <c r="G9" t="s">
        <v>51</v>
      </c>
      <c r="K9" t="s">
        <v>52</v>
      </c>
      <c r="L9" t="s">
        <v>52</v>
      </c>
      <c r="M9">
        <v>49.814850999999997</v>
      </c>
      <c r="N9">
        <v>52.018022000000002</v>
      </c>
      <c r="O9">
        <v>21.797339000000001</v>
      </c>
      <c r="P9">
        <v>47.1</v>
      </c>
      <c r="Q9">
        <v>18.5</v>
      </c>
      <c r="R9">
        <v>24050.278802000001</v>
      </c>
      <c r="S9">
        <f t="shared" si="0"/>
        <v>2591.2700152447219</v>
      </c>
      <c r="T9">
        <v>9</v>
      </c>
      <c r="W9" t="s">
        <v>53</v>
      </c>
      <c r="X9" t="s">
        <v>64</v>
      </c>
      <c r="Y9" t="s">
        <v>86</v>
      </c>
      <c r="Z9" t="s">
        <v>39</v>
      </c>
      <c r="AB9" t="s">
        <v>87</v>
      </c>
    </row>
    <row r="10" spans="1:30" x14ac:dyDescent="0.25">
      <c r="A10" t="s">
        <v>88</v>
      </c>
      <c r="B10" t="s">
        <v>48</v>
      </c>
      <c r="C10" t="s">
        <v>68</v>
      </c>
      <c r="D10" t="s">
        <v>49</v>
      </c>
      <c r="F10" t="s">
        <v>45</v>
      </c>
      <c r="G10" t="s">
        <v>51</v>
      </c>
      <c r="K10" t="s">
        <v>69</v>
      </c>
      <c r="L10" t="s">
        <v>89</v>
      </c>
      <c r="M10">
        <v>40.523707000000002</v>
      </c>
      <c r="N10">
        <v>27.196603</v>
      </c>
      <c r="O10">
        <v>11.181397</v>
      </c>
      <c r="P10">
        <v>17.7</v>
      </c>
      <c r="Q10">
        <v>8.6999999999999993</v>
      </c>
      <c r="R10">
        <v>5142.2395889999998</v>
      </c>
      <c r="S10">
        <f t="shared" si="0"/>
        <v>1102.1071713673211</v>
      </c>
      <c r="T10">
        <v>3</v>
      </c>
      <c r="W10" t="s">
        <v>53</v>
      </c>
      <c r="X10" t="s">
        <v>64</v>
      </c>
      <c r="Y10" t="s">
        <v>55</v>
      </c>
      <c r="Z10" t="s">
        <v>90</v>
      </c>
      <c r="AC10" t="b">
        <v>0</v>
      </c>
    </row>
    <row r="11" spans="1:30" x14ac:dyDescent="0.25">
      <c r="A11" t="s">
        <v>91</v>
      </c>
      <c r="B11" t="s">
        <v>67</v>
      </c>
      <c r="C11" t="s">
        <v>32</v>
      </c>
      <c r="D11" t="s">
        <v>49</v>
      </c>
      <c r="F11" t="s">
        <v>45</v>
      </c>
      <c r="G11" t="s">
        <v>51</v>
      </c>
      <c r="K11" t="s">
        <v>59</v>
      </c>
      <c r="L11" t="s">
        <v>70</v>
      </c>
      <c r="M11">
        <v>56.281374999999997</v>
      </c>
      <c r="N11">
        <v>48.166617000000002</v>
      </c>
      <c r="O11">
        <v>13.091469999999999</v>
      </c>
      <c r="P11">
        <v>38.200000000000003</v>
      </c>
      <c r="Q11">
        <v>12.3</v>
      </c>
      <c r="R11">
        <v>10376.920694</v>
      </c>
      <c r="S11">
        <f t="shared" si="0"/>
        <v>2710.8834338583752</v>
      </c>
      <c r="T11">
        <v>4</v>
      </c>
      <c r="U11" t="s">
        <v>61</v>
      </c>
      <c r="V11" t="s">
        <v>72</v>
      </c>
      <c r="W11" t="s">
        <v>73</v>
      </c>
      <c r="X11" t="s">
        <v>74</v>
      </c>
      <c r="Y11" t="s">
        <v>55</v>
      </c>
      <c r="Z11" t="s">
        <v>65</v>
      </c>
      <c r="AB11" t="s">
        <v>92</v>
      </c>
    </row>
    <row r="12" spans="1:30" x14ac:dyDescent="0.25">
      <c r="A12" t="s">
        <v>93</v>
      </c>
      <c r="B12" t="s">
        <v>67</v>
      </c>
      <c r="C12" t="s">
        <v>68</v>
      </c>
      <c r="D12" t="s">
        <v>49</v>
      </c>
      <c r="F12" t="s">
        <v>45</v>
      </c>
      <c r="G12" t="s">
        <v>51</v>
      </c>
      <c r="K12" t="s">
        <v>69</v>
      </c>
      <c r="L12" t="s">
        <v>70</v>
      </c>
      <c r="M12">
        <v>46.694800000000001</v>
      </c>
      <c r="N12">
        <v>41.327646000000001</v>
      </c>
      <c r="O12">
        <v>11.788615999999999</v>
      </c>
      <c r="P12">
        <v>28.3</v>
      </c>
      <c r="Q12">
        <v>8.59</v>
      </c>
      <c r="R12">
        <v>10183.957273</v>
      </c>
      <c r="S12">
        <f t="shared" si="0"/>
        <v>1929.7861644408001</v>
      </c>
      <c r="T12">
        <v>5</v>
      </c>
      <c r="U12" t="s">
        <v>61</v>
      </c>
      <c r="V12" t="s">
        <v>72</v>
      </c>
      <c r="W12" t="s">
        <v>73</v>
      </c>
      <c r="X12" t="s">
        <v>79</v>
      </c>
      <c r="Y12" t="s">
        <v>86</v>
      </c>
      <c r="Z12" t="s">
        <v>90</v>
      </c>
    </row>
    <row r="13" spans="1:30" x14ac:dyDescent="0.25">
      <c r="A13" t="s">
        <v>94</v>
      </c>
      <c r="B13" t="s">
        <v>67</v>
      </c>
      <c r="C13" t="s">
        <v>32</v>
      </c>
      <c r="D13" t="s">
        <v>49</v>
      </c>
      <c r="F13" t="s">
        <v>50</v>
      </c>
      <c r="G13" t="s">
        <v>51</v>
      </c>
      <c r="K13" t="s">
        <v>59</v>
      </c>
      <c r="L13" t="s">
        <v>95</v>
      </c>
      <c r="M13">
        <v>49.129055999999999</v>
      </c>
      <c r="N13">
        <v>22.130303999999999</v>
      </c>
      <c r="O13">
        <v>5.5823119999999999</v>
      </c>
      <c r="P13">
        <v>8.23</v>
      </c>
      <c r="Q13">
        <v>1.68</v>
      </c>
      <c r="R13">
        <v>2197.1183489999999</v>
      </c>
      <c r="S13">
        <f t="shared" si="0"/>
        <v>1087.2409445130238</v>
      </c>
      <c r="T13">
        <v>3</v>
      </c>
      <c r="U13" t="s">
        <v>61</v>
      </c>
      <c r="V13" t="s">
        <v>72</v>
      </c>
      <c r="W13" t="s">
        <v>63</v>
      </c>
      <c r="X13" t="s">
        <v>79</v>
      </c>
      <c r="Y13" t="s">
        <v>55</v>
      </c>
      <c r="Z13" t="s">
        <v>80</v>
      </c>
      <c r="AB13" t="s">
        <v>96</v>
      </c>
    </row>
    <row r="14" spans="1:30" x14ac:dyDescent="0.25">
      <c r="A14" t="s">
        <v>97</v>
      </c>
      <c r="B14" t="s">
        <v>67</v>
      </c>
      <c r="C14" t="s">
        <v>98</v>
      </c>
      <c r="D14" t="s">
        <v>49</v>
      </c>
      <c r="F14" t="s">
        <v>45</v>
      </c>
      <c r="G14" t="s">
        <v>51</v>
      </c>
      <c r="K14" t="s">
        <v>59</v>
      </c>
      <c r="L14" t="s">
        <v>99</v>
      </c>
      <c r="M14">
        <v>101.92098</v>
      </c>
      <c r="N14">
        <v>42.964405999999997</v>
      </c>
      <c r="O14">
        <v>27.602350999999999</v>
      </c>
      <c r="R14">
        <v>45802.023693000003</v>
      </c>
      <c r="S14">
        <f t="shared" si="0"/>
        <v>4378.9743646378793</v>
      </c>
      <c r="T14">
        <v>9</v>
      </c>
      <c r="U14" t="s">
        <v>61</v>
      </c>
      <c r="V14" t="s">
        <v>100</v>
      </c>
      <c r="W14" t="s">
        <v>63</v>
      </c>
      <c r="Y14" t="s">
        <v>86</v>
      </c>
      <c r="Z14" t="s">
        <v>90</v>
      </c>
      <c r="AB14" t="s">
        <v>101</v>
      </c>
    </row>
    <row r="15" spans="1:30" x14ac:dyDescent="0.25">
      <c r="A15" t="s">
        <v>102</v>
      </c>
      <c r="B15" t="s">
        <v>48</v>
      </c>
      <c r="C15" t="s">
        <v>32</v>
      </c>
      <c r="D15" t="s">
        <v>49</v>
      </c>
      <c r="F15" t="s">
        <v>45</v>
      </c>
      <c r="G15" t="s">
        <v>51</v>
      </c>
      <c r="K15" t="s">
        <v>103</v>
      </c>
      <c r="L15" t="s">
        <v>103</v>
      </c>
      <c r="M15">
        <v>49.102032999999999</v>
      </c>
      <c r="N15">
        <v>51.840730000000001</v>
      </c>
      <c r="O15">
        <v>14.579615</v>
      </c>
      <c r="P15">
        <v>38.200000000000003</v>
      </c>
      <c r="Q15">
        <v>11.1</v>
      </c>
      <c r="R15">
        <v>15830.810786</v>
      </c>
      <c r="S15">
        <f t="shared" si="0"/>
        <v>2545.4852352040898</v>
      </c>
      <c r="W15" t="s">
        <v>53</v>
      </c>
      <c r="X15" t="s">
        <v>54</v>
      </c>
      <c r="Z15" t="s">
        <v>56</v>
      </c>
      <c r="AA15" t="s">
        <v>104</v>
      </c>
      <c r="AB15" t="s">
        <v>105</v>
      </c>
      <c r="AD15" t="s">
        <v>41</v>
      </c>
    </row>
    <row r="16" spans="1:30" x14ac:dyDescent="0.25">
      <c r="A16" t="s">
        <v>106</v>
      </c>
      <c r="B16" t="s">
        <v>67</v>
      </c>
      <c r="C16" t="s">
        <v>68</v>
      </c>
      <c r="D16" t="s">
        <v>49</v>
      </c>
      <c r="F16" t="s">
        <v>50</v>
      </c>
      <c r="G16" t="s">
        <v>51</v>
      </c>
      <c r="K16" t="s">
        <v>69</v>
      </c>
      <c r="L16" t="s">
        <v>89</v>
      </c>
      <c r="M16">
        <v>47.225994999999998</v>
      </c>
      <c r="N16">
        <v>32.088735</v>
      </c>
      <c r="O16">
        <v>12.65197</v>
      </c>
      <c r="P16">
        <v>20.5</v>
      </c>
      <c r="Q16">
        <v>6.58</v>
      </c>
      <c r="R16">
        <v>7031.3716459999996</v>
      </c>
      <c r="S16">
        <f t="shared" si="0"/>
        <v>1515.422438666325</v>
      </c>
      <c r="T16">
        <v>5</v>
      </c>
      <c r="U16" t="s">
        <v>61</v>
      </c>
      <c r="V16" t="s">
        <v>72</v>
      </c>
      <c r="W16" t="s">
        <v>73</v>
      </c>
      <c r="X16" t="s">
        <v>64</v>
      </c>
      <c r="Y16" t="s">
        <v>107</v>
      </c>
      <c r="Z16" t="s">
        <v>80</v>
      </c>
      <c r="AB16" t="s">
        <v>108</v>
      </c>
    </row>
    <row r="17" spans="1:30" x14ac:dyDescent="0.25">
      <c r="A17" t="s">
        <v>109</v>
      </c>
      <c r="B17" t="s">
        <v>67</v>
      </c>
      <c r="C17" t="s">
        <v>32</v>
      </c>
      <c r="D17" t="s">
        <v>49</v>
      </c>
      <c r="F17" t="s">
        <v>45</v>
      </c>
      <c r="G17" t="s">
        <v>51</v>
      </c>
      <c r="K17" t="s">
        <v>59</v>
      </c>
      <c r="L17" t="s">
        <v>110</v>
      </c>
      <c r="M17">
        <v>45.213385000000002</v>
      </c>
      <c r="N17">
        <v>49.560882999999997</v>
      </c>
      <c r="O17">
        <v>15.063311000000001</v>
      </c>
      <c r="P17">
        <v>45.1</v>
      </c>
      <c r="Q17">
        <v>14.3</v>
      </c>
      <c r="R17">
        <v>12857.830626999999</v>
      </c>
      <c r="S17">
        <f t="shared" si="0"/>
        <v>2240.815284018955</v>
      </c>
      <c r="T17">
        <v>4</v>
      </c>
      <c r="U17" t="s">
        <v>61</v>
      </c>
      <c r="V17" t="s">
        <v>100</v>
      </c>
      <c r="W17" t="s">
        <v>111</v>
      </c>
      <c r="X17" t="s">
        <v>74</v>
      </c>
      <c r="Y17" t="s">
        <v>55</v>
      </c>
      <c r="Z17" t="s">
        <v>90</v>
      </c>
      <c r="AB17" t="s">
        <v>112</v>
      </c>
    </row>
    <row r="18" spans="1:30" x14ac:dyDescent="0.25">
      <c r="A18" t="s">
        <v>113</v>
      </c>
      <c r="B18" t="s">
        <v>67</v>
      </c>
      <c r="C18" t="s">
        <v>68</v>
      </c>
      <c r="D18" t="s">
        <v>49</v>
      </c>
      <c r="F18" t="s">
        <v>45</v>
      </c>
      <c r="G18" t="s">
        <v>51</v>
      </c>
      <c r="K18" t="s">
        <v>69</v>
      </c>
      <c r="L18" t="s">
        <v>114</v>
      </c>
      <c r="M18">
        <v>70.386420000000001</v>
      </c>
      <c r="N18">
        <v>48.849603999999999</v>
      </c>
      <c r="O18">
        <v>19.539733999999999</v>
      </c>
      <c r="P18">
        <v>26.5</v>
      </c>
      <c r="Q18">
        <v>11</v>
      </c>
      <c r="R18">
        <v>25028.716989</v>
      </c>
      <c r="S18">
        <f t="shared" si="0"/>
        <v>3438.34874397768</v>
      </c>
      <c r="T18">
        <v>5</v>
      </c>
      <c r="U18" t="s">
        <v>61</v>
      </c>
      <c r="V18" t="s">
        <v>115</v>
      </c>
      <c r="W18" t="s">
        <v>73</v>
      </c>
      <c r="X18" t="s">
        <v>74</v>
      </c>
      <c r="Y18" t="s">
        <v>55</v>
      </c>
      <c r="Z18" t="s">
        <v>116</v>
      </c>
      <c r="AB18" t="s">
        <v>117</v>
      </c>
    </row>
    <row r="19" spans="1:30" x14ac:dyDescent="0.25">
      <c r="A19" t="s">
        <v>118</v>
      </c>
      <c r="B19" t="s">
        <v>67</v>
      </c>
      <c r="C19" t="s">
        <v>32</v>
      </c>
      <c r="D19" t="s">
        <v>49</v>
      </c>
      <c r="F19" t="s">
        <v>45</v>
      </c>
      <c r="G19" t="s">
        <v>35</v>
      </c>
      <c r="K19" t="s">
        <v>103</v>
      </c>
      <c r="L19" t="s">
        <v>103</v>
      </c>
      <c r="M19">
        <v>47.322603999999998</v>
      </c>
      <c r="N19">
        <v>39.281596</v>
      </c>
      <c r="O19">
        <v>22.670480000000001</v>
      </c>
      <c r="P19">
        <v>32.6</v>
      </c>
      <c r="Q19">
        <v>15.2</v>
      </c>
      <c r="R19">
        <v>18737.472243</v>
      </c>
      <c r="S19">
        <f t="shared" si="0"/>
        <v>1858.9074119959839</v>
      </c>
      <c r="T19">
        <v>14</v>
      </c>
      <c r="W19" t="s">
        <v>53</v>
      </c>
      <c r="X19" t="s">
        <v>119</v>
      </c>
      <c r="Y19" t="s">
        <v>86</v>
      </c>
      <c r="Z19" t="s">
        <v>39</v>
      </c>
      <c r="AA19" t="s">
        <v>40</v>
      </c>
      <c r="AB19" t="s">
        <v>120</v>
      </c>
      <c r="AD19" t="s">
        <v>41</v>
      </c>
    </row>
    <row r="20" spans="1:30" x14ac:dyDescent="0.25">
      <c r="A20" t="s">
        <v>121</v>
      </c>
      <c r="B20" t="s">
        <v>67</v>
      </c>
      <c r="C20" t="s">
        <v>32</v>
      </c>
      <c r="D20" t="s">
        <v>33</v>
      </c>
      <c r="F20" t="s">
        <v>45</v>
      </c>
      <c r="G20" t="s">
        <v>51</v>
      </c>
      <c r="K20" t="s">
        <v>59</v>
      </c>
      <c r="L20" t="s">
        <v>60</v>
      </c>
      <c r="M20">
        <v>35.579749999999997</v>
      </c>
      <c r="N20">
        <v>29.686738999999999</v>
      </c>
      <c r="O20">
        <v>8.3940260000000002</v>
      </c>
      <c r="P20">
        <v>15.2</v>
      </c>
      <c r="Q20">
        <v>4.3099999999999996</v>
      </c>
      <c r="R20">
        <v>3337.622507</v>
      </c>
      <c r="S20">
        <f t="shared" si="0"/>
        <v>1056.2467519352499</v>
      </c>
      <c r="T20">
        <v>3</v>
      </c>
      <c r="U20" t="s">
        <v>61</v>
      </c>
      <c r="V20" t="s">
        <v>72</v>
      </c>
      <c r="W20" t="s">
        <v>73</v>
      </c>
      <c r="X20" t="s">
        <v>122</v>
      </c>
      <c r="Y20" t="s">
        <v>55</v>
      </c>
      <c r="Z20" t="s">
        <v>65</v>
      </c>
      <c r="AB20" t="s">
        <v>123</v>
      </c>
    </row>
    <row r="21" spans="1:30" x14ac:dyDescent="0.25">
      <c r="A21" t="s">
        <v>124</v>
      </c>
      <c r="B21" t="s">
        <v>67</v>
      </c>
      <c r="C21" t="s">
        <v>98</v>
      </c>
      <c r="D21" t="s">
        <v>49</v>
      </c>
      <c r="F21" t="s">
        <v>45</v>
      </c>
      <c r="G21" t="s">
        <v>51</v>
      </c>
      <c r="K21" t="s">
        <v>69</v>
      </c>
      <c r="L21" t="s">
        <v>89</v>
      </c>
      <c r="M21">
        <v>28.409541999999998</v>
      </c>
      <c r="N21">
        <v>25.907519000000001</v>
      </c>
      <c r="O21">
        <v>6.0116649999999998</v>
      </c>
      <c r="R21">
        <v>1939.944377</v>
      </c>
      <c r="S21">
        <f t="shared" si="0"/>
        <v>736.02074914629793</v>
      </c>
      <c r="T21">
        <v>2</v>
      </c>
      <c r="W21" t="s">
        <v>53</v>
      </c>
      <c r="Z21" t="s">
        <v>80</v>
      </c>
    </row>
    <row r="22" spans="1:30" x14ac:dyDescent="0.25">
      <c r="A22" t="s">
        <v>125</v>
      </c>
      <c r="B22" t="s">
        <v>67</v>
      </c>
      <c r="C22" t="s">
        <v>32</v>
      </c>
      <c r="D22" t="s">
        <v>33</v>
      </c>
      <c r="F22" t="s">
        <v>45</v>
      </c>
      <c r="G22" t="s">
        <v>51</v>
      </c>
      <c r="K22" t="s">
        <v>59</v>
      </c>
      <c r="L22" t="s">
        <v>52</v>
      </c>
      <c r="M22">
        <v>58.220787000000001</v>
      </c>
      <c r="N22">
        <v>30.740352000000001</v>
      </c>
      <c r="O22">
        <v>14.784383999999999</v>
      </c>
      <c r="R22">
        <v>9961.3687439999994</v>
      </c>
      <c r="S22">
        <f t="shared" si="0"/>
        <v>1789.7274860970242</v>
      </c>
      <c r="T22">
        <v>6</v>
      </c>
      <c r="U22" t="s">
        <v>61</v>
      </c>
      <c r="V22" t="s">
        <v>72</v>
      </c>
      <c r="W22" t="s">
        <v>73</v>
      </c>
      <c r="X22" t="s">
        <v>79</v>
      </c>
      <c r="Y22" t="s">
        <v>107</v>
      </c>
      <c r="Z22" t="s">
        <v>65</v>
      </c>
    </row>
    <row r="23" spans="1:30" x14ac:dyDescent="0.25">
      <c r="A23" t="s">
        <v>126</v>
      </c>
      <c r="B23" t="s">
        <v>67</v>
      </c>
      <c r="C23" t="s">
        <v>32</v>
      </c>
      <c r="D23" t="s">
        <v>49</v>
      </c>
      <c r="F23" t="s">
        <v>45</v>
      </c>
      <c r="G23" t="s">
        <v>51</v>
      </c>
      <c r="K23" t="s">
        <v>59</v>
      </c>
      <c r="L23" t="s">
        <v>52</v>
      </c>
      <c r="M23">
        <v>25.331755000000001</v>
      </c>
      <c r="N23">
        <v>26.478833999999999</v>
      </c>
      <c r="O23">
        <v>6.7637479999999996</v>
      </c>
      <c r="P23">
        <v>15.8</v>
      </c>
      <c r="Q23">
        <v>3.59</v>
      </c>
      <c r="R23">
        <v>1774.59367</v>
      </c>
      <c r="S23">
        <f t="shared" si="0"/>
        <v>670.75533557366998</v>
      </c>
      <c r="T23">
        <v>3</v>
      </c>
      <c r="U23" t="s">
        <v>61</v>
      </c>
      <c r="V23" t="s">
        <v>127</v>
      </c>
      <c r="W23" t="s">
        <v>128</v>
      </c>
      <c r="X23" t="s">
        <v>64</v>
      </c>
      <c r="Y23" t="s">
        <v>86</v>
      </c>
      <c r="Z23" t="s">
        <v>65</v>
      </c>
      <c r="AB23" t="s">
        <v>129</v>
      </c>
    </row>
    <row r="24" spans="1:30" x14ac:dyDescent="0.25">
      <c r="A24" t="s">
        <v>130</v>
      </c>
      <c r="B24" t="s">
        <v>67</v>
      </c>
      <c r="C24" t="s">
        <v>98</v>
      </c>
      <c r="D24" t="s">
        <v>49</v>
      </c>
      <c r="F24" t="s">
        <v>50</v>
      </c>
      <c r="G24" t="s">
        <v>35</v>
      </c>
      <c r="K24" t="s">
        <v>69</v>
      </c>
      <c r="L24" t="s">
        <v>131</v>
      </c>
      <c r="M24">
        <v>39.838177000000002</v>
      </c>
      <c r="N24">
        <v>20.269745</v>
      </c>
      <c r="O24">
        <v>8.2702329999999993</v>
      </c>
      <c r="R24">
        <v>2843.4503279999999</v>
      </c>
      <c r="S24">
        <f t="shared" si="0"/>
        <v>807.50968905486502</v>
      </c>
      <c r="T24">
        <v>2</v>
      </c>
      <c r="U24" t="s">
        <v>61</v>
      </c>
      <c r="V24" t="s">
        <v>72</v>
      </c>
      <c r="W24" t="s">
        <v>73</v>
      </c>
      <c r="Z24" t="s">
        <v>80</v>
      </c>
    </row>
    <row r="25" spans="1:30" x14ac:dyDescent="0.25">
      <c r="A25" t="s">
        <v>132</v>
      </c>
      <c r="B25" t="s">
        <v>67</v>
      </c>
      <c r="C25" t="s">
        <v>32</v>
      </c>
      <c r="D25" t="s">
        <v>49</v>
      </c>
      <c r="F25" t="s">
        <v>50</v>
      </c>
      <c r="G25" t="s">
        <v>51</v>
      </c>
      <c r="K25" t="s">
        <v>59</v>
      </c>
      <c r="L25" t="s">
        <v>70</v>
      </c>
      <c r="M25">
        <v>39.557720000000003</v>
      </c>
      <c r="N25">
        <v>25.670650999999999</v>
      </c>
      <c r="O25">
        <v>7.7286330000000003</v>
      </c>
      <c r="P25">
        <v>21.3</v>
      </c>
      <c r="Q25">
        <v>7.08</v>
      </c>
      <c r="R25">
        <v>2897.236496</v>
      </c>
      <c r="S25">
        <f t="shared" si="0"/>
        <v>1015.4724244757201</v>
      </c>
      <c r="T25">
        <v>3</v>
      </c>
      <c r="U25" t="s">
        <v>61</v>
      </c>
      <c r="V25" t="s">
        <v>62</v>
      </c>
      <c r="W25" t="s">
        <v>73</v>
      </c>
      <c r="X25" t="s">
        <v>122</v>
      </c>
      <c r="Y25" t="s">
        <v>107</v>
      </c>
      <c r="Z25" t="s">
        <v>65</v>
      </c>
    </row>
    <row r="26" spans="1:30" x14ac:dyDescent="0.25">
      <c r="A26" t="s">
        <v>133</v>
      </c>
      <c r="B26" t="s">
        <v>43</v>
      </c>
      <c r="C26" t="s">
        <v>32</v>
      </c>
      <c r="D26" t="s">
        <v>49</v>
      </c>
      <c r="G26" t="s">
        <v>134</v>
      </c>
      <c r="K26" t="s">
        <v>135</v>
      </c>
      <c r="L26" t="s">
        <v>136</v>
      </c>
      <c r="M26">
        <v>78.990201999999996</v>
      </c>
      <c r="N26">
        <v>74.546096000000006</v>
      </c>
      <c r="O26">
        <v>51.484025000000003</v>
      </c>
      <c r="R26">
        <v>147436.25903300001</v>
      </c>
      <c r="S26">
        <f t="shared" si="0"/>
        <v>5888.4111813513919</v>
      </c>
      <c r="W26" t="s">
        <v>38</v>
      </c>
      <c r="AD26" t="s">
        <v>41</v>
      </c>
    </row>
    <row r="27" spans="1:30" x14ac:dyDescent="0.25">
      <c r="A27" t="s">
        <v>137</v>
      </c>
      <c r="B27" t="s">
        <v>138</v>
      </c>
      <c r="C27" t="s">
        <v>139</v>
      </c>
      <c r="D27" t="s">
        <v>140</v>
      </c>
      <c r="F27" t="s">
        <v>50</v>
      </c>
      <c r="G27" t="s">
        <v>51</v>
      </c>
      <c r="K27" t="s">
        <v>69</v>
      </c>
      <c r="L27" t="s">
        <v>131</v>
      </c>
      <c r="M27">
        <v>35.140622999999998</v>
      </c>
      <c r="N27">
        <v>24.436987999999999</v>
      </c>
      <c r="O27">
        <v>8.680771</v>
      </c>
      <c r="R27">
        <v>3413.6206120000002</v>
      </c>
      <c r="S27">
        <f t="shared" si="0"/>
        <v>858.73098256352398</v>
      </c>
      <c r="U27" t="s">
        <v>61</v>
      </c>
      <c r="V27" t="s">
        <v>127</v>
      </c>
      <c r="W27" t="s">
        <v>111</v>
      </c>
      <c r="AB27" t="s">
        <v>141</v>
      </c>
    </row>
    <row r="28" spans="1:30" x14ac:dyDescent="0.25">
      <c r="A28" t="s">
        <v>142</v>
      </c>
      <c r="B28" t="s">
        <v>143</v>
      </c>
      <c r="C28" t="s">
        <v>32</v>
      </c>
      <c r="D28" t="s">
        <v>33</v>
      </c>
      <c r="G28" t="s">
        <v>51</v>
      </c>
      <c r="K28" t="s">
        <v>52</v>
      </c>
      <c r="L28" t="s">
        <v>89</v>
      </c>
      <c r="M28">
        <v>36.196387000000001</v>
      </c>
      <c r="N28">
        <v>27.255362000000002</v>
      </c>
      <c r="O28">
        <v>9.4624020000000009</v>
      </c>
      <c r="P28">
        <v>15.8</v>
      </c>
      <c r="Q28">
        <v>6.8</v>
      </c>
      <c r="R28">
        <v>2840.9267279999999</v>
      </c>
      <c r="S28">
        <f t="shared" si="0"/>
        <v>986.54563077709406</v>
      </c>
      <c r="T28">
        <v>4</v>
      </c>
      <c r="W28" t="s">
        <v>53</v>
      </c>
      <c r="X28" t="s">
        <v>122</v>
      </c>
      <c r="Y28" t="s">
        <v>55</v>
      </c>
      <c r="Z28" t="s">
        <v>116</v>
      </c>
      <c r="AB28" t="s">
        <v>144</v>
      </c>
      <c r="AD28" t="s">
        <v>41</v>
      </c>
    </row>
    <row r="29" spans="1:30" x14ac:dyDescent="0.25">
      <c r="A29" t="s">
        <v>145</v>
      </c>
      <c r="B29" t="s">
        <v>138</v>
      </c>
      <c r="C29" t="s">
        <v>139</v>
      </c>
      <c r="D29" t="s">
        <v>33</v>
      </c>
      <c r="F29" t="s">
        <v>45</v>
      </c>
      <c r="G29" t="s">
        <v>51</v>
      </c>
      <c r="K29" t="s">
        <v>69</v>
      </c>
      <c r="L29" t="s">
        <v>146</v>
      </c>
      <c r="M29">
        <v>34.702525000000001</v>
      </c>
      <c r="N29">
        <v>25.641026</v>
      </c>
      <c r="O29">
        <v>6.6682079999999999</v>
      </c>
      <c r="R29">
        <v>2368.368641</v>
      </c>
      <c r="S29">
        <f t="shared" si="0"/>
        <v>889.80834579065004</v>
      </c>
      <c r="T29">
        <v>2</v>
      </c>
      <c r="U29" t="s">
        <v>61</v>
      </c>
      <c r="V29" t="s">
        <v>146</v>
      </c>
      <c r="W29" t="s">
        <v>73</v>
      </c>
      <c r="Z29" t="s">
        <v>80</v>
      </c>
    </row>
    <row r="30" spans="1:30" x14ac:dyDescent="0.25">
      <c r="A30" t="s">
        <v>147</v>
      </c>
      <c r="B30" t="s">
        <v>138</v>
      </c>
      <c r="C30" t="s">
        <v>32</v>
      </c>
      <c r="D30" t="s">
        <v>33</v>
      </c>
      <c r="G30" t="s">
        <v>51</v>
      </c>
      <c r="K30" t="s">
        <v>52</v>
      </c>
      <c r="L30" t="s">
        <v>110</v>
      </c>
      <c r="M30">
        <v>49.078955000000001</v>
      </c>
      <c r="N30">
        <v>24.646681999999998</v>
      </c>
      <c r="O30">
        <v>7.0708640000000003</v>
      </c>
      <c r="P30">
        <v>4.87</v>
      </c>
      <c r="Q30">
        <v>1.25</v>
      </c>
      <c r="R30">
        <v>3069.0601790000001</v>
      </c>
      <c r="S30">
        <f t="shared" si="0"/>
        <v>1209.6333967773098</v>
      </c>
      <c r="T30">
        <v>5</v>
      </c>
      <c r="U30" t="s">
        <v>61</v>
      </c>
      <c r="V30" t="s">
        <v>127</v>
      </c>
      <c r="W30" t="s">
        <v>73</v>
      </c>
      <c r="X30" t="s">
        <v>148</v>
      </c>
      <c r="Y30" t="s">
        <v>55</v>
      </c>
      <c r="Z30" t="s">
        <v>90</v>
      </c>
      <c r="AB30" t="s">
        <v>149</v>
      </c>
      <c r="AD30" t="s">
        <v>41</v>
      </c>
    </row>
    <row r="31" spans="1:30" x14ac:dyDescent="0.25">
      <c r="A31" t="s">
        <v>150</v>
      </c>
      <c r="B31" t="s">
        <v>138</v>
      </c>
      <c r="C31" t="s">
        <v>32</v>
      </c>
      <c r="D31" t="s">
        <v>33</v>
      </c>
      <c r="G31" t="s">
        <v>51</v>
      </c>
      <c r="K31" t="s">
        <v>36</v>
      </c>
      <c r="L31" t="s">
        <v>151</v>
      </c>
      <c r="M31">
        <v>65.631501</v>
      </c>
      <c r="N31">
        <v>47.919339000000001</v>
      </c>
      <c r="O31">
        <v>19.824925</v>
      </c>
      <c r="R31">
        <v>20920.719958999998</v>
      </c>
      <c r="S31">
        <f t="shared" si="0"/>
        <v>3145.0181454978392</v>
      </c>
      <c r="T31">
        <v>13</v>
      </c>
      <c r="W31" t="s">
        <v>53</v>
      </c>
      <c r="Z31" t="s">
        <v>116</v>
      </c>
      <c r="AA31" t="s">
        <v>152</v>
      </c>
      <c r="AD31" t="s">
        <v>41</v>
      </c>
    </row>
    <row r="32" spans="1:30" x14ac:dyDescent="0.25">
      <c r="A32" t="s">
        <v>153</v>
      </c>
      <c r="B32" t="s">
        <v>43</v>
      </c>
      <c r="C32" t="s">
        <v>32</v>
      </c>
      <c r="D32" t="s">
        <v>33</v>
      </c>
      <c r="E32" t="s">
        <v>76</v>
      </c>
      <c r="F32" t="s">
        <v>45</v>
      </c>
      <c r="G32" t="s">
        <v>51</v>
      </c>
      <c r="K32" t="s">
        <v>52</v>
      </c>
      <c r="L32" t="s">
        <v>89</v>
      </c>
      <c r="M32">
        <v>53.884396000000002</v>
      </c>
      <c r="N32">
        <v>62.590685999999998</v>
      </c>
      <c r="O32">
        <v>19.283498000000002</v>
      </c>
      <c r="P32">
        <v>58.7</v>
      </c>
      <c r="Q32">
        <v>17.5</v>
      </c>
      <c r="R32">
        <v>21220.5841</v>
      </c>
      <c r="S32">
        <f t="shared" si="0"/>
        <v>3372.6613103356563</v>
      </c>
      <c r="U32" t="s">
        <v>61</v>
      </c>
      <c r="V32" t="s">
        <v>115</v>
      </c>
      <c r="W32" t="s">
        <v>154</v>
      </c>
      <c r="X32" t="s">
        <v>122</v>
      </c>
      <c r="Y32" t="s">
        <v>55</v>
      </c>
      <c r="Z32" t="s">
        <v>155</v>
      </c>
      <c r="AB32" t="s">
        <v>156</v>
      </c>
    </row>
    <row r="33" spans="1:30" x14ac:dyDescent="0.25">
      <c r="A33" t="s">
        <v>157</v>
      </c>
      <c r="B33" t="s">
        <v>158</v>
      </c>
      <c r="C33" t="s">
        <v>98</v>
      </c>
      <c r="D33" t="s">
        <v>33</v>
      </c>
      <c r="G33" t="s">
        <v>51</v>
      </c>
      <c r="K33" t="s">
        <v>69</v>
      </c>
      <c r="L33" t="s">
        <v>60</v>
      </c>
      <c r="M33">
        <v>41.460619999999999</v>
      </c>
      <c r="N33">
        <v>25.047411</v>
      </c>
      <c r="O33">
        <v>7.483365</v>
      </c>
      <c r="R33">
        <v>2451.2191469999998</v>
      </c>
      <c r="S33">
        <f t="shared" si="0"/>
        <v>1038.48118945482</v>
      </c>
      <c r="T33">
        <v>5</v>
      </c>
      <c r="U33" t="s">
        <v>61</v>
      </c>
      <c r="V33" t="s">
        <v>100</v>
      </c>
      <c r="W33" t="s">
        <v>73</v>
      </c>
      <c r="Z33" t="s">
        <v>90</v>
      </c>
      <c r="AB33" t="s">
        <v>159</v>
      </c>
    </row>
    <row r="34" spans="1:30" x14ac:dyDescent="0.25">
      <c r="A34" t="s">
        <v>160</v>
      </c>
      <c r="B34" t="s">
        <v>67</v>
      </c>
      <c r="C34" t="s">
        <v>32</v>
      </c>
      <c r="D34" t="s">
        <v>33</v>
      </c>
      <c r="F34" t="s">
        <v>50</v>
      </c>
      <c r="G34" t="s">
        <v>51</v>
      </c>
      <c r="K34" t="s">
        <v>59</v>
      </c>
      <c r="L34" t="s">
        <v>70</v>
      </c>
      <c r="M34">
        <v>61.386944</v>
      </c>
      <c r="N34">
        <v>44.334052999999997</v>
      </c>
      <c r="O34">
        <v>14.735493</v>
      </c>
      <c r="R34">
        <v>13085.75171</v>
      </c>
      <c r="S34">
        <f t="shared" si="0"/>
        <v>2721.5320288040316</v>
      </c>
      <c r="T34">
        <v>3</v>
      </c>
      <c r="U34" t="s">
        <v>61</v>
      </c>
      <c r="V34" t="s">
        <v>72</v>
      </c>
      <c r="W34" t="s">
        <v>73</v>
      </c>
      <c r="X34" t="s">
        <v>74</v>
      </c>
      <c r="Y34" t="s">
        <v>107</v>
      </c>
      <c r="Z34" t="s">
        <v>65</v>
      </c>
      <c r="AB34" t="s">
        <v>161</v>
      </c>
    </row>
    <row r="35" spans="1:30" x14ac:dyDescent="0.25">
      <c r="A35" t="s">
        <v>162</v>
      </c>
      <c r="B35" t="s">
        <v>158</v>
      </c>
      <c r="C35" t="s">
        <v>32</v>
      </c>
      <c r="D35" t="s">
        <v>163</v>
      </c>
      <c r="F35" t="s">
        <v>50</v>
      </c>
      <c r="G35" t="s">
        <v>51</v>
      </c>
      <c r="K35" t="s">
        <v>36</v>
      </c>
      <c r="L35" t="s">
        <v>37</v>
      </c>
      <c r="M35">
        <v>123.664343</v>
      </c>
      <c r="N35">
        <v>106.203326</v>
      </c>
      <c r="O35">
        <v>58.774650999999999</v>
      </c>
      <c r="R35">
        <v>320192.54322400002</v>
      </c>
      <c r="S35">
        <f t="shared" si="0"/>
        <v>13133.564534204819</v>
      </c>
      <c r="T35">
        <v>11</v>
      </c>
      <c r="W35" t="s">
        <v>53</v>
      </c>
      <c r="Z35" t="s">
        <v>116</v>
      </c>
      <c r="AA35" t="s">
        <v>40</v>
      </c>
      <c r="AB35" t="s">
        <v>164</v>
      </c>
      <c r="AD35" t="s">
        <v>41</v>
      </c>
    </row>
    <row r="36" spans="1:30" x14ac:dyDescent="0.25">
      <c r="A36" t="s">
        <v>165</v>
      </c>
      <c r="B36" t="s">
        <v>67</v>
      </c>
      <c r="C36" t="s">
        <v>32</v>
      </c>
      <c r="D36" t="s">
        <v>49</v>
      </c>
      <c r="F36" t="s">
        <v>45</v>
      </c>
      <c r="G36" t="s">
        <v>35</v>
      </c>
      <c r="K36" t="s">
        <v>52</v>
      </c>
      <c r="L36" t="s">
        <v>166</v>
      </c>
      <c r="M36">
        <v>67.241225999999997</v>
      </c>
      <c r="N36">
        <v>35.604031999999997</v>
      </c>
      <c r="O36">
        <v>14.68403</v>
      </c>
      <c r="P36">
        <v>19.8</v>
      </c>
      <c r="Q36">
        <v>7.35</v>
      </c>
      <c r="R36">
        <v>14029.003446000001</v>
      </c>
      <c r="S36">
        <f t="shared" si="0"/>
        <v>2394.0587622232315</v>
      </c>
      <c r="T36">
        <v>5</v>
      </c>
      <c r="W36" t="s">
        <v>53</v>
      </c>
      <c r="X36" t="s">
        <v>64</v>
      </c>
      <c r="Y36" t="s">
        <v>55</v>
      </c>
      <c r="Z36" t="s">
        <v>90</v>
      </c>
      <c r="AB36" t="s">
        <v>167</v>
      </c>
    </row>
    <row r="37" spans="1:30" x14ac:dyDescent="0.25">
      <c r="A37" t="s">
        <v>168</v>
      </c>
      <c r="B37" t="s">
        <v>67</v>
      </c>
      <c r="C37" t="s">
        <v>68</v>
      </c>
      <c r="D37" t="s">
        <v>49</v>
      </c>
      <c r="F37" t="s">
        <v>45</v>
      </c>
      <c r="G37" t="s">
        <v>51</v>
      </c>
      <c r="K37" t="s">
        <v>69</v>
      </c>
      <c r="L37" t="s">
        <v>89</v>
      </c>
      <c r="M37">
        <v>32.651975999999998</v>
      </c>
      <c r="N37">
        <v>26.807964999999999</v>
      </c>
      <c r="O37">
        <v>13.700011</v>
      </c>
      <c r="P37">
        <v>18.100000000000001</v>
      </c>
      <c r="Q37">
        <v>10.3</v>
      </c>
      <c r="R37">
        <v>5092.9025119999997</v>
      </c>
      <c r="S37">
        <f t="shared" si="0"/>
        <v>875.33302978883989</v>
      </c>
      <c r="T37">
        <v>2</v>
      </c>
      <c r="W37" t="s">
        <v>53</v>
      </c>
      <c r="X37" t="s">
        <v>64</v>
      </c>
      <c r="Y37" t="s">
        <v>55</v>
      </c>
      <c r="Z37" t="s">
        <v>80</v>
      </c>
      <c r="AB37" t="s">
        <v>169</v>
      </c>
    </row>
    <row r="38" spans="1:30" x14ac:dyDescent="0.25">
      <c r="A38" t="s">
        <v>170</v>
      </c>
      <c r="B38" t="s">
        <v>67</v>
      </c>
      <c r="C38" t="s">
        <v>32</v>
      </c>
      <c r="D38" t="s">
        <v>49</v>
      </c>
      <c r="F38" t="s">
        <v>45</v>
      </c>
      <c r="G38" t="s">
        <v>51</v>
      </c>
      <c r="K38" t="s">
        <v>59</v>
      </c>
      <c r="L38" t="s">
        <v>89</v>
      </c>
      <c r="M38">
        <v>45.179000000000002</v>
      </c>
      <c r="N38">
        <v>32.677570000000003</v>
      </c>
      <c r="O38">
        <v>9.1776660000000003</v>
      </c>
      <c r="P38">
        <v>27</v>
      </c>
      <c r="Q38">
        <v>7.86</v>
      </c>
      <c r="R38">
        <v>5116.6286970000001</v>
      </c>
      <c r="S38">
        <f t="shared" si="0"/>
        <v>1476.3399350300001</v>
      </c>
      <c r="T38">
        <v>2</v>
      </c>
      <c r="U38" t="s">
        <v>61</v>
      </c>
      <c r="V38" t="s">
        <v>62</v>
      </c>
      <c r="W38" t="s">
        <v>73</v>
      </c>
      <c r="X38" t="s">
        <v>122</v>
      </c>
      <c r="Y38" t="s">
        <v>107</v>
      </c>
      <c r="Z38" t="s">
        <v>90</v>
      </c>
      <c r="AB38" t="s">
        <v>171</v>
      </c>
    </row>
    <row r="39" spans="1:30" x14ac:dyDescent="0.25">
      <c r="A39" t="s">
        <v>172</v>
      </c>
      <c r="B39" t="s">
        <v>67</v>
      </c>
      <c r="C39" t="s">
        <v>98</v>
      </c>
      <c r="D39" t="s">
        <v>49</v>
      </c>
      <c r="E39" t="s">
        <v>173</v>
      </c>
      <c r="F39" t="s">
        <v>45</v>
      </c>
      <c r="G39" t="s">
        <v>51</v>
      </c>
      <c r="K39" t="s">
        <v>69</v>
      </c>
      <c r="L39" t="s">
        <v>89</v>
      </c>
      <c r="M39">
        <v>45.127856999999999</v>
      </c>
      <c r="N39">
        <v>35.755223999999998</v>
      </c>
      <c r="O39">
        <v>14.683953000000001</v>
      </c>
      <c r="P39">
        <v>22.4</v>
      </c>
      <c r="Q39">
        <v>10.7</v>
      </c>
      <c r="R39">
        <v>8568.6875940000009</v>
      </c>
      <c r="S39">
        <f t="shared" si="0"/>
        <v>1613.556635674968</v>
      </c>
      <c r="T39">
        <v>3</v>
      </c>
      <c r="U39" t="s">
        <v>61</v>
      </c>
      <c r="V39" t="s">
        <v>127</v>
      </c>
      <c r="W39" t="s">
        <v>128</v>
      </c>
      <c r="X39" t="s">
        <v>64</v>
      </c>
      <c r="Y39" t="s">
        <v>107</v>
      </c>
      <c r="Z39" t="s">
        <v>65</v>
      </c>
      <c r="AB39" t="s">
        <v>174</v>
      </c>
    </row>
    <row r="40" spans="1:30" x14ac:dyDescent="0.25">
      <c r="A40" t="s">
        <v>175</v>
      </c>
      <c r="B40" t="s">
        <v>67</v>
      </c>
      <c r="C40" t="s">
        <v>32</v>
      </c>
      <c r="D40" t="s">
        <v>49</v>
      </c>
      <c r="E40" t="s">
        <v>44</v>
      </c>
      <c r="F40" t="s">
        <v>45</v>
      </c>
      <c r="G40" t="s">
        <v>51</v>
      </c>
      <c r="K40" t="s">
        <v>36</v>
      </c>
      <c r="L40" t="s">
        <v>37</v>
      </c>
      <c r="M40">
        <v>52.900463999999999</v>
      </c>
      <c r="N40">
        <v>45.888294000000002</v>
      </c>
      <c r="O40">
        <v>21.20654</v>
      </c>
      <c r="R40">
        <v>18213.994348</v>
      </c>
      <c r="S40">
        <f t="shared" si="0"/>
        <v>2427.5120447684162</v>
      </c>
      <c r="T40">
        <v>11</v>
      </c>
      <c r="W40" t="s">
        <v>53</v>
      </c>
      <c r="Z40" t="s">
        <v>116</v>
      </c>
      <c r="AA40" t="s">
        <v>40</v>
      </c>
      <c r="AD40" t="s">
        <v>41</v>
      </c>
    </row>
    <row r="41" spans="1:30" x14ac:dyDescent="0.25">
      <c r="A41" t="s">
        <v>176</v>
      </c>
      <c r="B41" t="s">
        <v>67</v>
      </c>
      <c r="C41" t="s">
        <v>32</v>
      </c>
      <c r="D41" t="s">
        <v>49</v>
      </c>
      <c r="E41" t="s">
        <v>34</v>
      </c>
      <c r="F41" t="s">
        <v>45</v>
      </c>
      <c r="G41" t="s">
        <v>51</v>
      </c>
      <c r="K41" t="s">
        <v>36</v>
      </c>
      <c r="L41" t="s">
        <v>37</v>
      </c>
      <c r="M41">
        <v>56.040466000000002</v>
      </c>
      <c r="N41">
        <v>48.791066999999998</v>
      </c>
      <c r="O41">
        <v>37.216276999999998</v>
      </c>
      <c r="R41">
        <v>38416.805330000003</v>
      </c>
      <c r="S41">
        <f t="shared" si="0"/>
        <v>2734.2741313172219</v>
      </c>
      <c r="T41">
        <v>17</v>
      </c>
      <c r="W41" t="s">
        <v>53</v>
      </c>
      <c r="Z41" t="s">
        <v>116</v>
      </c>
      <c r="AA41" t="s">
        <v>40</v>
      </c>
      <c r="AD41" t="s">
        <v>41</v>
      </c>
    </row>
    <row r="42" spans="1:30" x14ac:dyDescent="0.25">
      <c r="A42" t="s">
        <v>177</v>
      </c>
      <c r="B42" t="s">
        <v>31</v>
      </c>
      <c r="C42" t="s">
        <v>32</v>
      </c>
      <c r="D42" t="s">
        <v>49</v>
      </c>
      <c r="G42" t="s">
        <v>51</v>
      </c>
      <c r="K42" t="s">
        <v>59</v>
      </c>
      <c r="L42" t="s">
        <v>70</v>
      </c>
      <c r="M42">
        <v>49.177182999999999</v>
      </c>
      <c r="N42">
        <v>52.933067000000001</v>
      </c>
      <c r="O42">
        <v>16.960771999999999</v>
      </c>
      <c r="P42">
        <v>35</v>
      </c>
      <c r="Q42">
        <v>6.77</v>
      </c>
      <c r="R42">
        <v>15521.238057</v>
      </c>
      <c r="S42">
        <f t="shared" si="0"/>
        <v>2603.099122610261</v>
      </c>
      <c r="T42">
        <v>3</v>
      </c>
      <c r="U42" t="s">
        <v>61</v>
      </c>
      <c r="V42" t="s">
        <v>72</v>
      </c>
      <c r="W42" t="s">
        <v>73</v>
      </c>
      <c r="X42" t="s">
        <v>64</v>
      </c>
      <c r="Y42" t="s">
        <v>107</v>
      </c>
      <c r="Z42" t="s">
        <v>56</v>
      </c>
      <c r="AB42" t="s">
        <v>178</v>
      </c>
    </row>
    <row r="43" spans="1:30" x14ac:dyDescent="0.25">
      <c r="A43" t="s">
        <v>179</v>
      </c>
      <c r="B43" t="s">
        <v>67</v>
      </c>
      <c r="C43" t="s">
        <v>32</v>
      </c>
      <c r="D43" t="s">
        <v>49</v>
      </c>
      <c r="F43" t="s">
        <v>45</v>
      </c>
      <c r="G43" t="s">
        <v>51</v>
      </c>
      <c r="K43" t="s">
        <v>59</v>
      </c>
      <c r="L43" t="s">
        <v>70</v>
      </c>
      <c r="M43">
        <v>58.615341000000001</v>
      </c>
      <c r="N43">
        <v>43.939529</v>
      </c>
      <c r="O43">
        <v>19.199394000000002</v>
      </c>
      <c r="R43">
        <v>17489.094062</v>
      </c>
      <c r="S43">
        <f t="shared" si="0"/>
        <v>2575.530475714389</v>
      </c>
      <c r="T43">
        <v>7</v>
      </c>
      <c r="U43" t="s">
        <v>71</v>
      </c>
      <c r="V43" t="s">
        <v>115</v>
      </c>
      <c r="W43" t="s">
        <v>128</v>
      </c>
      <c r="X43" t="s">
        <v>79</v>
      </c>
      <c r="Y43" t="s">
        <v>107</v>
      </c>
      <c r="Z43" t="s">
        <v>56</v>
      </c>
      <c r="AB43" t="s">
        <v>180</v>
      </c>
      <c r="AC43" t="s">
        <v>181</v>
      </c>
    </row>
    <row r="44" spans="1:30" x14ac:dyDescent="0.25">
      <c r="A44" t="s">
        <v>182</v>
      </c>
      <c r="B44" t="s">
        <v>67</v>
      </c>
      <c r="C44" t="s">
        <v>32</v>
      </c>
      <c r="D44" t="s">
        <v>49</v>
      </c>
      <c r="F44" t="s">
        <v>45</v>
      </c>
      <c r="G44" t="s">
        <v>51</v>
      </c>
      <c r="K44" t="s">
        <v>52</v>
      </c>
      <c r="L44" t="s">
        <v>183</v>
      </c>
      <c r="M44">
        <v>53.874847000000003</v>
      </c>
      <c r="N44">
        <v>29.574818</v>
      </c>
      <c r="O44">
        <v>23.167349999999999</v>
      </c>
      <c r="R44">
        <v>13834.027099999999</v>
      </c>
      <c r="S44">
        <f t="shared" si="0"/>
        <v>1593.338794802846</v>
      </c>
      <c r="T44">
        <v>4</v>
      </c>
      <c r="W44" t="s">
        <v>53</v>
      </c>
      <c r="X44" t="s">
        <v>79</v>
      </c>
      <c r="Y44" t="s">
        <v>107</v>
      </c>
      <c r="Z44" t="s">
        <v>65</v>
      </c>
      <c r="AB44" t="s">
        <v>184</v>
      </c>
    </row>
    <row r="45" spans="1:30" x14ac:dyDescent="0.25">
      <c r="A45" t="s">
        <v>185</v>
      </c>
      <c r="B45" t="s">
        <v>67</v>
      </c>
      <c r="C45" t="s">
        <v>32</v>
      </c>
      <c r="D45" t="s">
        <v>33</v>
      </c>
      <c r="F45" t="s">
        <v>45</v>
      </c>
      <c r="G45" t="s">
        <v>35</v>
      </c>
      <c r="K45" t="s">
        <v>52</v>
      </c>
      <c r="L45" t="s">
        <v>52</v>
      </c>
      <c r="M45">
        <v>40.063783999999998</v>
      </c>
      <c r="N45">
        <v>34.333928999999998</v>
      </c>
      <c r="O45">
        <v>14.503489</v>
      </c>
      <c r="P45">
        <v>32.299999999999997</v>
      </c>
      <c r="Q45">
        <v>14.4</v>
      </c>
      <c r="R45">
        <v>7212.9258959999997</v>
      </c>
      <c r="S45">
        <f t="shared" si="0"/>
        <v>1375.5471153273359</v>
      </c>
      <c r="T45">
        <v>3</v>
      </c>
      <c r="W45" t="s">
        <v>53</v>
      </c>
      <c r="X45" t="s">
        <v>122</v>
      </c>
      <c r="Y45" t="s">
        <v>86</v>
      </c>
      <c r="Z45" t="s">
        <v>65</v>
      </c>
    </row>
    <row r="46" spans="1:30" x14ac:dyDescent="0.25">
      <c r="A46" t="s">
        <v>186</v>
      </c>
      <c r="B46" t="s">
        <v>31</v>
      </c>
      <c r="C46" t="s">
        <v>187</v>
      </c>
      <c r="D46" t="s">
        <v>140</v>
      </c>
      <c r="E46" t="s">
        <v>188</v>
      </c>
      <c r="F46" t="s">
        <v>45</v>
      </c>
      <c r="G46" t="s">
        <v>134</v>
      </c>
      <c r="K46" t="s">
        <v>135</v>
      </c>
      <c r="L46" t="s">
        <v>189</v>
      </c>
      <c r="M46">
        <v>122.591908</v>
      </c>
      <c r="N46">
        <v>114.22736999999999</v>
      </c>
      <c r="O46">
        <v>74.317006000000006</v>
      </c>
      <c r="R46">
        <v>585150.36283</v>
      </c>
      <c r="S46">
        <f t="shared" si="0"/>
        <v>14003.351234121959</v>
      </c>
      <c r="W46" t="s">
        <v>190</v>
      </c>
      <c r="AD46" t="s">
        <v>41</v>
      </c>
    </row>
    <row r="47" spans="1:30" x14ac:dyDescent="0.25">
      <c r="A47" t="s">
        <v>191</v>
      </c>
      <c r="B47" t="s">
        <v>67</v>
      </c>
      <c r="C47" t="s">
        <v>68</v>
      </c>
      <c r="D47" t="s">
        <v>33</v>
      </c>
      <c r="E47" t="s">
        <v>76</v>
      </c>
      <c r="F47" t="s">
        <v>45</v>
      </c>
      <c r="G47" t="s">
        <v>35</v>
      </c>
      <c r="K47" t="s">
        <v>69</v>
      </c>
      <c r="L47" t="s">
        <v>114</v>
      </c>
      <c r="M47">
        <v>62.456909000000003</v>
      </c>
      <c r="N47">
        <v>41.212330999999999</v>
      </c>
      <c r="O47">
        <v>15.979637</v>
      </c>
      <c r="P47">
        <v>17.100000000000001</v>
      </c>
      <c r="Q47">
        <v>8.8699999999999992</v>
      </c>
      <c r="R47">
        <v>14991.433139000001</v>
      </c>
      <c r="S47">
        <f t="shared" si="0"/>
        <v>2573.9948069448792</v>
      </c>
      <c r="T47">
        <v>4</v>
      </c>
      <c r="U47" t="s">
        <v>61</v>
      </c>
      <c r="V47" t="s">
        <v>72</v>
      </c>
      <c r="W47" t="s">
        <v>73</v>
      </c>
      <c r="X47" t="s">
        <v>119</v>
      </c>
      <c r="Y47" t="s">
        <v>55</v>
      </c>
      <c r="Z47" t="s">
        <v>65</v>
      </c>
      <c r="AB47" t="s">
        <v>192</v>
      </c>
    </row>
    <row r="48" spans="1:30" x14ac:dyDescent="0.25">
      <c r="A48" t="s">
        <v>193</v>
      </c>
      <c r="B48" t="s">
        <v>67</v>
      </c>
      <c r="C48" t="s">
        <v>32</v>
      </c>
      <c r="D48" t="s">
        <v>33</v>
      </c>
      <c r="E48" t="s">
        <v>76</v>
      </c>
      <c r="F48" t="s">
        <v>50</v>
      </c>
      <c r="G48" t="s">
        <v>35</v>
      </c>
      <c r="K48" t="s">
        <v>59</v>
      </c>
      <c r="L48" t="s">
        <v>166</v>
      </c>
      <c r="M48">
        <v>62.968415999999998</v>
      </c>
      <c r="N48">
        <v>41.004168</v>
      </c>
      <c r="O48">
        <v>10.336558999999999</v>
      </c>
      <c r="P48">
        <v>34.299999999999997</v>
      </c>
      <c r="Q48">
        <v>9.11</v>
      </c>
      <c r="R48">
        <v>11375.414224</v>
      </c>
      <c r="S48">
        <f t="shared" si="0"/>
        <v>2581.9675083578877</v>
      </c>
      <c r="T48">
        <v>3</v>
      </c>
      <c r="U48" t="s">
        <v>61</v>
      </c>
      <c r="V48" t="s">
        <v>194</v>
      </c>
      <c r="W48" t="s">
        <v>53</v>
      </c>
      <c r="X48" t="s">
        <v>119</v>
      </c>
      <c r="Y48" t="s">
        <v>86</v>
      </c>
      <c r="Z48" t="s">
        <v>80</v>
      </c>
      <c r="AB48" t="s">
        <v>195</v>
      </c>
    </row>
    <row r="49" spans="1:30" x14ac:dyDescent="0.25">
      <c r="A49" t="s">
        <v>196</v>
      </c>
      <c r="B49" t="s">
        <v>67</v>
      </c>
      <c r="C49" t="s">
        <v>32</v>
      </c>
      <c r="D49" t="s">
        <v>49</v>
      </c>
      <c r="F49" t="s">
        <v>50</v>
      </c>
      <c r="G49" t="s">
        <v>51</v>
      </c>
      <c r="K49" t="s">
        <v>59</v>
      </c>
      <c r="L49" t="s">
        <v>60</v>
      </c>
      <c r="M49">
        <v>57.434604</v>
      </c>
      <c r="N49">
        <v>35.245151999999997</v>
      </c>
      <c r="O49">
        <v>13.502553000000001</v>
      </c>
      <c r="P49">
        <v>20.8</v>
      </c>
      <c r="Q49">
        <v>10.6</v>
      </c>
      <c r="R49">
        <v>9324.7380450000001</v>
      </c>
      <c r="S49">
        <f t="shared" si="0"/>
        <v>2024.2913480398079</v>
      </c>
      <c r="T49">
        <v>4</v>
      </c>
      <c r="U49" t="s">
        <v>71</v>
      </c>
      <c r="V49" t="s">
        <v>62</v>
      </c>
      <c r="W49" t="s">
        <v>73</v>
      </c>
      <c r="X49" t="s">
        <v>64</v>
      </c>
      <c r="Y49" t="s">
        <v>55</v>
      </c>
      <c r="Z49" t="s">
        <v>65</v>
      </c>
      <c r="AD49" t="s">
        <v>41</v>
      </c>
    </row>
    <row r="50" spans="1:30" x14ac:dyDescent="0.25">
      <c r="A50" t="s">
        <v>197</v>
      </c>
      <c r="B50" t="s">
        <v>31</v>
      </c>
      <c r="C50" t="s">
        <v>32</v>
      </c>
      <c r="D50" t="s">
        <v>33</v>
      </c>
      <c r="E50" t="s">
        <v>34</v>
      </c>
      <c r="F50" t="s">
        <v>45</v>
      </c>
      <c r="G50" t="s">
        <v>51</v>
      </c>
      <c r="K50" t="s">
        <v>59</v>
      </c>
      <c r="L50" t="s">
        <v>114</v>
      </c>
      <c r="M50">
        <v>77.983092999999997</v>
      </c>
      <c r="N50">
        <v>58.718237000000002</v>
      </c>
      <c r="O50">
        <v>20.956893999999998</v>
      </c>
      <c r="P50">
        <v>18.399999999999999</v>
      </c>
      <c r="Q50">
        <v>5.82</v>
      </c>
      <c r="R50">
        <v>34503.343558</v>
      </c>
      <c r="S50">
        <f t="shared" si="0"/>
        <v>4579.029736767041</v>
      </c>
      <c r="T50">
        <v>5</v>
      </c>
      <c r="U50" t="s">
        <v>61</v>
      </c>
      <c r="V50" t="s">
        <v>127</v>
      </c>
      <c r="W50" t="s">
        <v>111</v>
      </c>
      <c r="X50" t="s">
        <v>198</v>
      </c>
      <c r="Y50" t="s">
        <v>199</v>
      </c>
      <c r="Z50" t="s">
        <v>90</v>
      </c>
      <c r="AB50" t="s">
        <v>200</v>
      </c>
    </row>
    <row r="51" spans="1:30" x14ac:dyDescent="0.25">
      <c r="A51" t="s">
        <v>201</v>
      </c>
      <c r="B51" t="s">
        <v>202</v>
      </c>
      <c r="C51" t="s">
        <v>32</v>
      </c>
      <c r="D51" t="s">
        <v>33</v>
      </c>
      <c r="G51" t="s">
        <v>35</v>
      </c>
      <c r="K51" t="s">
        <v>59</v>
      </c>
      <c r="L51" t="s">
        <v>77</v>
      </c>
      <c r="M51">
        <v>46.096826999999998</v>
      </c>
      <c r="N51">
        <v>33.544066999999998</v>
      </c>
      <c r="O51">
        <v>10.114623</v>
      </c>
      <c r="R51">
        <v>5844.4813889999996</v>
      </c>
      <c r="S51">
        <f t="shared" si="0"/>
        <v>1546.2750533754088</v>
      </c>
      <c r="T51">
        <v>4</v>
      </c>
      <c r="U51" t="s">
        <v>61</v>
      </c>
      <c r="V51" t="s">
        <v>115</v>
      </c>
      <c r="W51" t="s">
        <v>78</v>
      </c>
      <c r="X51" t="s">
        <v>79</v>
      </c>
      <c r="Y51" t="s">
        <v>86</v>
      </c>
      <c r="Z51" t="s">
        <v>116</v>
      </c>
      <c r="AB51" t="s">
        <v>203</v>
      </c>
      <c r="AD51" t="s">
        <v>204</v>
      </c>
    </row>
    <row r="52" spans="1:30" x14ac:dyDescent="0.25">
      <c r="A52" t="s">
        <v>205</v>
      </c>
      <c r="B52" t="s">
        <v>67</v>
      </c>
      <c r="C52" t="s">
        <v>32</v>
      </c>
      <c r="D52" t="s">
        <v>33</v>
      </c>
      <c r="F52" t="s">
        <v>50</v>
      </c>
      <c r="G52" t="s">
        <v>51</v>
      </c>
      <c r="K52" t="s">
        <v>52</v>
      </c>
      <c r="L52" t="s">
        <v>52</v>
      </c>
      <c r="M52">
        <v>56.399538999999997</v>
      </c>
      <c r="N52">
        <v>27.626947999999999</v>
      </c>
      <c r="O52">
        <v>16.028621999999999</v>
      </c>
      <c r="R52">
        <v>8136.8340109999999</v>
      </c>
      <c r="S52">
        <f t="shared" si="0"/>
        <v>1558.1471311769719</v>
      </c>
      <c r="T52">
        <v>7</v>
      </c>
      <c r="W52" t="s">
        <v>53</v>
      </c>
      <c r="X52" t="s">
        <v>79</v>
      </c>
      <c r="Y52" t="s">
        <v>107</v>
      </c>
      <c r="Z52" t="s">
        <v>39</v>
      </c>
      <c r="AB52" t="s">
        <v>206</v>
      </c>
      <c r="AD52" t="s">
        <v>204</v>
      </c>
    </row>
    <row r="53" spans="1:30" x14ac:dyDescent="0.25">
      <c r="A53" t="s">
        <v>207</v>
      </c>
      <c r="B53" t="s">
        <v>67</v>
      </c>
      <c r="C53" t="s">
        <v>32</v>
      </c>
      <c r="D53" t="s">
        <v>49</v>
      </c>
      <c r="F53" t="s">
        <v>50</v>
      </c>
      <c r="G53" t="s">
        <v>51</v>
      </c>
      <c r="K53" t="s">
        <v>36</v>
      </c>
      <c r="L53" t="s">
        <v>208</v>
      </c>
      <c r="M53">
        <v>36.682020000000001</v>
      </c>
      <c r="N53">
        <v>33.283450000000002</v>
      </c>
      <c r="O53">
        <v>20.558530999999999</v>
      </c>
      <c r="R53">
        <v>12398.624567999999</v>
      </c>
      <c r="S53">
        <f t="shared" si="0"/>
        <v>1220.9041785690001</v>
      </c>
      <c r="T53">
        <v>9</v>
      </c>
      <c r="W53" t="s">
        <v>53</v>
      </c>
      <c r="Z53" t="s">
        <v>65</v>
      </c>
      <c r="AA53" t="s">
        <v>209</v>
      </c>
      <c r="AD53" t="s">
        <v>41</v>
      </c>
    </row>
    <row r="54" spans="1:30" x14ac:dyDescent="0.25">
      <c r="A54" t="s">
        <v>210</v>
      </c>
      <c r="B54" t="s">
        <v>211</v>
      </c>
      <c r="C54" t="s">
        <v>187</v>
      </c>
      <c r="D54" t="s">
        <v>33</v>
      </c>
      <c r="F54" t="s">
        <v>50</v>
      </c>
      <c r="G54" t="s">
        <v>51</v>
      </c>
      <c r="H54">
        <v>30</v>
      </c>
      <c r="I54">
        <v>1</v>
      </c>
      <c r="J54">
        <v>0.5</v>
      </c>
      <c r="K54" t="s">
        <v>135</v>
      </c>
      <c r="L54" t="s">
        <v>212</v>
      </c>
      <c r="M54">
        <v>92.755605000000003</v>
      </c>
      <c r="N54">
        <v>91.404803000000001</v>
      </c>
      <c r="O54">
        <v>93.818538000000004</v>
      </c>
      <c r="R54">
        <v>393460.12829899997</v>
      </c>
      <c r="S54">
        <f t="shared" si="0"/>
        <v>8478.3078021708152</v>
      </c>
      <c r="W54" t="s">
        <v>38</v>
      </c>
      <c r="AD54" t="s">
        <v>41</v>
      </c>
    </row>
    <row r="55" spans="1:30" x14ac:dyDescent="0.25">
      <c r="A55" t="s">
        <v>213</v>
      </c>
      <c r="B55" t="s">
        <v>43</v>
      </c>
      <c r="C55" t="s">
        <v>32</v>
      </c>
      <c r="D55" t="s">
        <v>49</v>
      </c>
      <c r="E55" t="s">
        <v>214</v>
      </c>
      <c r="F55" t="s">
        <v>50</v>
      </c>
      <c r="G55" t="s">
        <v>51</v>
      </c>
      <c r="K55" t="s">
        <v>52</v>
      </c>
      <c r="L55" t="s">
        <v>110</v>
      </c>
      <c r="M55">
        <v>93.730919999999998</v>
      </c>
      <c r="N55">
        <v>53.940984999999998</v>
      </c>
      <c r="O55">
        <v>14.769204999999999</v>
      </c>
      <c r="P55">
        <v>15.9</v>
      </c>
      <c r="Q55">
        <v>8.25</v>
      </c>
      <c r="R55">
        <v>22486.569238</v>
      </c>
      <c r="S55">
        <f t="shared" si="0"/>
        <v>5055.9381497561999</v>
      </c>
      <c r="T55">
        <v>5</v>
      </c>
      <c r="U55" t="s">
        <v>61</v>
      </c>
      <c r="V55" t="s">
        <v>72</v>
      </c>
      <c r="W55" t="s">
        <v>73</v>
      </c>
      <c r="X55" t="s">
        <v>148</v>
      </c>
      <c r="Y55" t="s">
        <v>86</v>
      </c>
      <c r="Z55" t="s">
        <v>65</v>
      </c>
      <c r="AB55" t="s">
        <v>215</v>
      </c>
    </row>
    <row r="56" spans="1:30" x14ac:dyDescent="0.25">
      <c r="A56" t="s">
        <v>216</v>
      </c>
      <c r="B56" t="s">
        <v>43</v>
      </c>
      <c r="C56" t="s">
        <v>217</v>
      </c>
      <c r="D56" t="s">
        <v>33</v>
      </c>
      <c r="E56" t="s">
        <v>44</v>
      </c>
      <c r="F56" t="s">
        <v>50</v>
      </c>
      <c r="G56" t="s">
        <v>51</v>
      </c>
      <c r="K56" t="s">
        <v>69</v>
      </c>
      <c r="L56" t="s">
        <v>89</v>
      </c>
      <c r="M56">
        <v>77.273992000000007</v>
      </c>
      <c r="N56">
        <v>39.857742000000002</v>
      </c>
      <c r="O56">
        <v>11.143573999999999</v>
      </c>
      <c r="P56">
        <v>35</v>
      </c>
      <c r="Q56">
        <v>10.7</v>
      </c>
      <c r="R56">
        <v>11240.296026</v>
      </c>
      <c r="S56">
        <f t="shared" si="0"/>
        <v>3079.9668364460645</v>
      </c>
      <c r="T56">
        <v>6</v>
      </c>
      <c r="U56" t="s">
        <v>61</v>
      </c>
      <c r="V56" t="s">
        <v>72</v>
      </c>
      <c r="W56" t="s">
        <v>73</v>
      </c>
      <c r="X56" t="s">
        <v>74</v>
      </c>
      <c r="Y56" t="s">
        <v>55</v>
      </c>
      <c r="Z56" t="s">
        <v>116</v>
      </c>
    </row>
    <row r="57" spans="1:30" x14ac:dyDescent="0.25">
      <c r="A57" t="s">
        <v>218</v>
      </c>
      <c r="B57" t="s">
        <v>219</v>
      </c>
      <c r="C57" t="s">
        <v>32</v>
      </c>
      <c r="D57" t="s">
        <v>49</v>
      </c>
      <c r="F57" t="s">
        <v>45</v>
      </c>
      <c r="G57" t="s">
        <v>35</v>
      </c>
      <c r="H57">
        <v>15</v>
      </c>
      <c r="I57">
        <v>7</v>
      </c>
      <c r="J57">
        <v>0.7</v>
      </c>
      <c r="K57" t="s">
        <v>36</v>
      </c>
      <c r="L57" t="s">
        <v>220</v>
      </c>
      <c r="M57">
        <v>48.260649000000001</v>
      </c>
      <c r="N57">
        <v>64.412514000000002</v>
      </c>
      <c r="O57">
        <v>25.423590000000001</v>
      </c>
      <c r="R57">
        <v>31803.626108</v>
      </c>
      <c r="S57">
        <f t="shared" si="0"/>
        <v>3108.5897293615863</v>
      </c>
      <c r="T57">
        <v>23</v>
      </c>
      <c r="W57" t="s">
        <v>53</v>
      </c>
      <c r="Z57" t="s">
        <v>116</v>
      </c>
      <c r="AA57" t="s">
        <v>221</v>
      </c>
      <c r="AB57" t="s">
        <v>222</v>
      </c>
      <c r="AD57" t="s">
        <v>41</v>
      </c>
    </row>
    <row r="58" spans="1:30" x14ac:dyDescent="0.25">
      <c r="A58" t="s">
        <v>223</v>
      </c>
      <c r="B58" t="s">
        <v>219</v>
      </c>
      <c r="C58" t="s">
        <v>32</v>
      </c>
      <c r="D58" t="s">
        <v>49</v>
      </c>
      <c r="G58" t="s">
        <v>35</v>
      </c>
      <c r="K58" t="s">
        <v>36</v>
      </c>
      <c r="L58" t="s">
        <v>224</v>
      </c>
      <c r="M58">
        <v>42.937233999999997</v>
      </c>
      <c r="N58">
        <v>53.378794999999997</v>
      </c>
      <c r="O58">
        <v>38.930301</v>
      </c>
      <c r="R58">
        <v>38186.793568000001</v>
      </c>
      <c r="S58">
        <f t="shared" si="0"/>
        <v>2291.9378115530299</v>
      </c>
      <c r="T58">
        <v>18</v>
      </c>
      <c r="W58" t="s">
        <v>53</v>
      </c>
      <c r="Z58" t="s">
        <v>80</v>
      </c>
      <c r="AA58" t="s">
        <v>104</v>
      </c>
      <c r="AB58" t="s">
        <v>225</v>
      </c>
      <c r="AD58" t="s">
        <v>41</v>
      </c>
    </row>
    <row r="59" spans="1:30" x14ac:dyDescent="0.25">
      <c r="A59" t="s">
        <v>226</v>
      </c>
      <c r="B59" t="s">
        <v>219</v>
      </c>
      <c r="C59" t="s">
        <v>139</v>
      </c>
      <c r="D59" t="s">
        <v>49</v>
      </c>
      <c r="E59" t="s">
        <v>227</v>
      </c>
      <c r="G59" t="s">
        <v>51</v>
      </c>
      <c r="K59" t="s">
        <v>69</v>
      </c>
      <c r="L59" t="s">
        <v>60</v>
      </c>
      <c r="M59">
        <v>37.011696999999998</v>
      </c>
      <c r="N59">
        <v>34.379165999999998</v>
      </c>
      <c r="O59">
        <v>11.97162</v>
      </c>
      <c r="P59">
        <v>21.6</v>
      </c>
      <c r="Q59">
        <v>7.28</v>
      </c>
      <c r="R59">
        <v>6107.8668960000005</v>
      </c>
      <c r="S59">
        <f t="shared" si="0"/>
        <v>1272.4312751047019</v>
      </c>
      <c r="T59">
        <v>5</v>
      </c>
      <c r="U59" t="s">
        <v>61</v>
      </c>
      <c r="V59" t="s">
        <v>100</v>
      </c>
      <c r="W59" t="s">
        <v>73</v>
      </c>
      <c r="X59" t="s">
        <v>74</v>
      </c>
      <c r="Y59" t="s">
        <v>86</v>
      </c>
      <c r="Z59" t="s">
        <v>116</v>
      </c>
      <c r="AA59" s="1"/>
    </row>
    <row r="60" spans="1:30" x14ac:dyDescent="0.25">
      <c r="A60" t="s">
        <v>228</v>
      </c>
      <c r="B60" t="s">
        <v>219</v>
      </c>
      <c r="C60" t="s">
        <v>32</v>
      </c>
      <c r="D60" t="s">
        <v>33</v>
      </c>
      <c r="F60" t="s">
        <v>50</v>
      </c>
      <c r="G60" t="s">
        <v>51</v>
      </c>
      <c r="K60" t="s">
        <v>59</v>
      </c>
      <c r="L60" t="s">
        <v>229</v>
      </c>
      <c r="M60">
        <v>42.425505000000001</v>
      </c>
      <c r="N60">
        <v>38.546922000000002</v>
      </c>
      <c r="O60">
        <v>11.212235</v>
      </c>
      <c r="P60">
        <v>33.700000000000003</v>
      </c>
      <c r="Q60">
        <v>8.84</v>
      </c>
      <c r="R60">
        <v>5834.859974</v>
      </c>
      <c r="S60">
        <f t="shared" si="0"/>
        <v>1635.3726320456101</v>
      </c>
      <c r="T60">
        <v>7</v>
      </c>
      <c r="U60" t="s">
        <v>61</v>
      </c>
      <c r="V60" t="s">
        <v>115</v>
      </c>
      <c r="W60" t="s">
        <v>73</v>
      </c>
      <c r="X60" t="s">
        <v>122</v>
      </c>
      <c r="Y60" t="s">
        <v>55</v>
      </c>
      <c r="Z60" t="s">
        <v>56</v>
      </c>
    </row>
    <row r="61" spans="1:30" x14ac:dyDescent="0.25">
      <c r="A61" t="s">
        <v>230</v>
      </c>
      <c r="B61" t="s">
        <v>48</v>
      </c>
      <c r="C61" t="s">
        <v>32</v>
      </c>
      <c r="D61" t="s">
        <v>49</v>
      </c>
      <c r="G61" t="s">
        <v>51</v>
      </c>
      <c r="K61" t="s">
        <v>52</v>
      </c>
      <c r="L61" t="s">
        <v>70</v>
      </c>
      <c r="M61">
        <v>26.5</v>
      </c>
      <c r="N61">
        <v>16.100000000000001</v>
      </c>
      <c r="O61">
        <v>6.7</v>
      </c>
      <c r="P61">
        <v>10.9</v>
      </c>
      <c r="Q61">
        <v>4.5</v>
      </c>
      <c r="S61">
        <f t="shared" si="0"/>
        <v>426.65000000000003</v>
      </c>
      <c r="T61">
        <v>3</v>
      </c>
      <c r="W61" t="s">
        <v>53</v>
      </c>
      <c r="X61" t="s">
        <v>64</v>
      </c>
      <c r="Y61" t="s">
        <v>86</v>
      </c>
      <c r="Z61" t="s">
        <v>56</v>
      </c>
      <c r="AC61" t="b">
        <v>0</v>
      </c>
    </row>
    <row r="62" spans="1:30" x14ac:dyDescent="0.25">
      <c r="A62" t="s">
        <v>231</v>
      </c>
      <c r="B62" t="s">
        <v>67</v>
      </c>
      <c r="C62" t="s">
        <v>68</v>
      </c>
      <c r="D62" t="s">
        <v>49</v>
      </c>
      <c r="F62" t="s">
        <v>50</v>
      </c>
      <c r="G62" t="s">
        <v>51</v>
      </c>
      <c r="K62" t="s">
        <v>69</v>
      </c>
      <c r="L62" t="s">
        <v>99</v>
      </c>
      <c r="M62">
        <v>89.993495999999993</v>
      </c>
      <c r="N62">
        <v>57.790863000000002</v>
      </c>
      <c r="O62">
        <v>26.725763000000001</v>
      </c>
      <c r="P62">
        <v>32.9</v>
      </c>
      <c r="Q62">
        <v>9.39</v>
      </c>
      <c r="R62">
        <v>60540.475157000001</v>
      </c>
      <c r="S62">
        <f t="shared" si="0"/>
        <v>5200.8017982270476</v>
      </c>
      <c r="T62">
        <v>15</v>
      </c>
      <c r="U62" s="1"/>
      <c r="W62" t="s">
        <v>53</v>
      </c>
      <c r="X62" t="s">
        <v>64</v>
      </c>
      <c r="Y62" t="s">
        <v>55</v>
      </c>
      <c r="Z62" t="s">
        <v>116</v>
      </c>
      <c r="AD62" t="s">
        <v>41</v>
      </c>
    </row>
    <row r="63" spans="1:30" x14ac:dyDescent="0.25">
      <c r="A63" t="s">
        <v>232</v>
      </c>
      <c r="B63" t="s">
        <v>67</v>
      </c>
      <c r="C63" t="s">
        <v>32</v>
      </c>
      <c r="D63" t="s">
        <v>49</v>
      </c>
      <c r="E63" t="s">
        <v>233</v>
      </c>
      <c r="F63" t="s">
        <v>45</v>
      </c>
      <c r="G63" t="s">
        <v>51</v>
      </c>
      <c r="H63">
        <v>0.05</v>
      </c>
      <c r="I63">
        <v>20</v>
      </c>
      <c r="J63">
        <v>0.05</v>
      </c>
      <c r="K63" t="s">
        <v>59</v>
      </c>
      <c r="L63" t="s">
        <v>70</v>
      </c>
      <c r="M63">
        <v>44.362166999999999</v>
      </c>
      <c r="N63">
        <v>46.975343000000002</v>
      </c>
      <c r="O63">
        <v>15.632439</v>
      </c>
      <c r="P63">
        <v>29.7</v>
      </c>
      <c r="Q63">
        <v>7.1</v>
      </c>
      <c r="R63">
        <v>12300.187236</v>
      </c>
      <c r="S63">
        <f t="shared" si="0"/>
        <v>2083.928011048281</v>
      </c>
      <c r="T63">
        <v>4</v>
      </c>
      <c r="U63" t="s">
        <v>61</v>
      </c>
      <c r="V63" t="s">
        <v>100</v>
      </c>
      <c r="W63" t="s">
        <v>73</v>
      </c>
      <c r="X63" t="s">
        <v>74</v>
      </c>
      <c r="Y63" t="s">
        <v>55</v>
      </c>
      <c r="Z63" t="s">
        <v>116</v>
      </c>
    </row>
    <row r="64" spans="1:30" x14ac:dyDescent="0.25">
      <c r="A64" t="s">
        <v>234</v>
      </c>
      <c r="B64" t="s">
        <v>67</v>
      </c>
      <c r="C64" t="s">
        <v>32</v>
      </c>
      <c r="D64" t="s">
        <v>49</v>
      </c>
      <c r="E64" t="s">
        <v>214</v>
      </c>
      <c r="F64" t="s">
        <v>50</v>
      </c>
      <c r="G64" t="s">
        <v>51</v>
      </c>
      <c r="K64" t="s">
        <v>59</v>
      </c>
      <c r="L64" t="s">
        <v>70</v>
      </c>
      <c r="M64">
        <v>56.954436999999999</v>
      </c>
      <c r="N64">
        <v>53.682848</v>
      </c>
      <c r="O64">
        <v>17.926739999999999</v>
      </c>
      <c r="P64">
        <v>40.5</v>
      </c>
      <c r="Q64">
        <v>13.8</v>
      </c>
      <c r="R64">
        <v>17923.211434000001</v>
      </c>
      <c r="S64">
        <f t="shared" si="0"/>
        <v>3057.4763843965761</v>
      </c>
      <c r="T64">
        <v>5</v>
      </c>
      <c r="U64" t="s">
        <v>71</v>
      </c>
      <c r="V64" t="s">
        <v>115</v>
      </c>
      <c r="W64" t="s">
        <v>73</v>
      </c>
      <c r="X64" t="s">
        <v>122</v>
      </c>
      <c r="Y64" t="s">
        <v>55</v>
      </c>
      <c r="Z64" t="s">
        <v>56</v>
      </c>
      <c r="AB64" t="s">
        <v>235</v>
      </c>
    </row>
    <row r="65" spans="1:30" x14ac:dyDescent="0.25">
      <c r="A65" t="s">
        <v>236</v>
      </c>
      <c r="B65" t="s">
        <v>43</v>
      </c>
      <c r="C65" t="s">
        <v>32</v>
      </c>
      <c r="D65" t="s">
        <v>49</v>
      </c>
      <c r="G65" t="s">
        <v>51</v>
      </c>
      <c r="K65" t="s">
        <v>135</v>
      </c>
      <c r="L65" t="s">
        <v>212</v>
      </c>
      <c r="M65">
        <v>77.829635999999994</v>
      </c>
      <c r="N65">
        <v>78.222249000000005</v>
      </c>
      <c r="O65">
        <v>77.789090999999999</v>
      </c>
      <c r="R65">
        <v>246467.26399800001</v>
      </c>
      <c r="S65">
        <f t="shared" si="0"/>
        <v>6088.0091667713641</v>
      </c>
      <c r="W65" t="s">
        <v>190</v>
      </c>
      <c r="AD65" t="s">
        <v>41</v>
      </c>
    </row>
    <row r="66" spans="1:30" x14ac:dyDescent="0.25">
      <c r="A66" t="s">
        <v>237</v>
      </c>
      <c r="B66" t="s">
        <v>43</v>
      </c>
      <c r="C66" t="s">
        <v>32</v>
      </c>
      <c r="D66" t="s">
        <v>49</v>
      </c>
      <c r="G66" t="s">
        <v>134</v>
      </c>
      <c r="K66" t="s">
        <v>135</v>
      </c>
      <c r="L66" t="s">
        <v>136</v>
      </c>
      <c r="M66">
        <v>89.716530000000006</v>
      </c>
      <c r="N66">
        <v>86.695330999999996</v>
      </c>
      <c r="O66">
        <v>67.841874000000004</v>
      </c>
      <c r="R66">
        <v>283408.48710999999</v>
      </c>
      <c r="S66">
        <f t="shared" ref="S66" si="1">M66*N66</f>
        <v>7778.0042645214298</v>
      </c>
      <c r="W66" t="s">
        <v>38</v>
      </c>
      <c r="AB66" t="s">
        <v>136</v>
      </c>
      <c r="AD66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5A98-938C-486F-BF3F-7FD24FEFD8CA}">
  <dimension ref="A1:AY29"/>
  <sheetViews>
    <sheetView workbookViewId="0">
      <selection sqref="A1:AY29"/>
    </sheetView>
  </sheetViews>
  <sheetFormatPr defaultRowHeight="15" x14ac:dyDescent="0.25"/>
  <sheetData>
    <row r="1" spans="1:51" x14ac:dyDescent="0.25">
      <c r="A1" t="s">
        <v>238</v>
      </c>
      <c r="B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37</v>
      </c>
      <c r="J1" t="s">
        <v>246</v>
      </c>
      <c r="K1" t="s">
        <v>247</v>
      </c>
      <c r="L1" t="s">
        <v>248</v>
      </c>
      <c r="M1" t="s">
        <v>249</v>
      </c>
      <c r="N1" t="s">
        <v>250</v>
      </c>
      <c r="O1" t="s">
        <v>251</v>
      </c>
      <c r="P1" t="s">
        <v>252</v>
      </c>
      <c r="Q1" t="s">
        <v>253</v>
      </c>
      <c r="R1" t="s">
        <v>254</v>
      </c>
      <c r="S1" t="s">
        <v>95</v>
      </c>
      <c r="T1" t="s">
        <v>255</v>
      </c>
      <c r="U1" t="s">
        <v>256</v>
      </c>
      <c r="V1" t="s">
        <v>257</v>
      </c>
      <c r="W1" t="s">
        <v>136</v>
      </c>
      <c r="X1" t="s">
        <v>189</v>
      </c>
      <c r="Y1" t="s">
        <v>212</v>
      </c>
      <c r="Z1" t="s">
        <v>258</v>
      </c>
      <c r="AA1" t="s">
        <v>259</v>
      </c>
      <c r="AB1" t="s">
        <v>260</v>
      </c>
      <c r="AC1" t="s">
        <v>261</v>
      </c>
      <c r="AD1" t="s">
        <v>262</v>
      </c>
      <c r="AE1" t="s">
        <v>263</v>
      </c>
      <c r="AF1" t="s">
        <v>264</v>
      </c>
      <c r="AG1" t="s">
        <v>166</v>
      </c>
      <c r="AH1" t="s">
        <v>99</v>
      </c>
      <c r="AI1" t="s">
        <v>265</v>
      </c>
      <c r="AJ1" t="s">
        <v>266</v>
      </c>
      <c r="AK1" t="s">
        <v>267</v>
      </c>
      <c r="AL1" t="s">
        <v>268</v>
      </c>
      <c r="AM1" t="s">
        <v>269</v>
      </c>
      <c r="AN1" t="s">
        <v>270</v>
      </c>
      <c r="AO1" t="s">
        <v>271</v>
      </c>
      <c r="AP1" t="s">
        <v>272</v>
      </c>
      <c r="AQ1" t="s">
        <v>273</v>
      </c>
      <c r="AR1" t="s">
        <v>274</v>
      </c>
      <c r="AS1" t="s">
        <v>275</v>
      </c>
      <c r="AT1" t="s">
        <v>276</v>
      </c>
      <c r="AU1" t="s">
        <v>277</v>
      </c>
      <c r="AV1" t="s">
        <v>278</v>
      </c>
      <c r="AW1" t="s">
        <v>279</v>
      </c>
      <c r="AX1" t="s">
        <v>280</v>
      </c>
      <c r="AY1" t="s">
        <v>281</v>
      </c>
    </row>
    <row r="2" spans="1:51" x14ac:dyDescent="0.25">
      <c r="A2" t="s">
        <v>282</v>
      </c>
      <c r="B2">
        <v>202</v>
      </c>
      <c r="C2">
        <v>278</v>
      </c>
      <c r="D2">
        <v>139</v>
      </c>
      <c r="E2">
        <v>42</v>
      </c>
      <c r="F2">
        <v>34</v>
      </c>
      <c r="G2">
        <v>24</v>
      </c>
      <c r="H2">
        <v>10</v>
      </c>
      <c r="I2">
        <v>20</v>
      </c>
      <c r="J2">
        <v>14</v>
      </c>
      <c r="K2">
        <v>50</v>
      </c>
      <c r="L2">
        <v>140</v>
      </c>
      <c r="M2">
        <v>44658</v>
      </c>
      <c r="N2">
        <v>242</v>
      </c>
      <c r="O2">
        <v>7016</v>
      </c>
      <c r="P2">
        <v>0</v>
      </c>
      <c r="Q2">
        <v>1726</v>
      </c>
      <c r="R2">
        <v>98</v>
      </c>
      <c r="S2">
        <v>46</v>
      </c>
      <c r="T2">
        <v>8</v>
      </c>
      <c r="U2">
        <v>0</v>
      </c>
      <c r="V2">
        <v>0</v>
      </c>
      <c r="W2">
        <v>17</v>
      </c>
      <c r="X2">
        <v>3</v>
      </c>
      <c r="Y2">
        <v>11</v>
      </c>
      <c r="Z2">
        <v>0</v>
      </c>
      <c r="AA2">
        <v>56</v>
      </c>
      <c r="AB2">
        <v>15</v>
      </c>
      <c r="AC2">
        <v>3</v>
      </c>
      <c r="AD2">
        <v>17</v>
      </c>
      <c r="AE2">
        <v>0</v>
      </c>
      <c r="AF2">
        <v>33</v>
      </c>
      <c r="AG2">
        <v>30</v>
      </c>
      <c r="AH2">
        <v>0</v>
      </c>
      <c r="AI2">
        <v>0</v>
      </c>
      <c r="AJ2">
        <v>1</v>
      </c>
      <c r="AK2">
        <v>4</v>
      </c>
      <c r="AL2">
        <v>0</v>
      </c>
      <c r="AM2">
        <v>9</v>
      </c>
      <c r="AN2">
        <v>0</v>
      </c>
      <c r="AO2">
        <v>0</v>
      </c>
      <c r="AP2">
        <v>0</v>
      </c>
      <c r="AQ2">
        <v>0</v>
      </c>
      <c r="AR2">
        <v>0</v>
      </c>
      <c r="AS2">
        <v>2</v>
      </c>
      <c r="AT2">
        <v>26</v>
      </c>
      <c r="AU2">
        <v>1</v>
      </c>
      <c r="AV2" t="s">
        <v>283</v>
      </c>
      <c r="AW2">
        <v>160</v>
      </c>
      <c r="AX2" t="s">
        <v>284</v>
      </c>
      <c r="AY2" t="s">
        <v>285</v>
      </c>
    </row>
    <row r="3" spans="1:51" x14ac:dyDescent="0.25">
      <c r="A3" t="s">
        <v>286</v>
      </c>
      <c r="B3">
        <v>36</v>
      </c>
      <c r="C3">
        <v>75</v>
      </c>
      <c r="D3">
        <v>17</v>
      </c>
      <c r="E3">
        <v>13</v>
      </c>
      <c r="F3">
        <v>11</v>
      </c>
      <c r="G3">
        <v>41</v>
      </c>
      <c r="H3">
        <v>20</v>
      </c>
      <c r="I3">
        <v>2</v>
      </c>
      <c r="J3">
        <v>20</v>
      </c>
      <c r="K3">
        <v>34</v>
      </c>
      <c r="L3">
        <v>29</v>
      </c>
      <c r="M3">
        <v>0</v>
      </c>
      <c r="N3">
        <v>0</v>
      </c>
      <c r="O3">
        <v>0</v>
      </c>
      <c r="P3">
        <v>0</v>
      </c>
      <c r="Q3">
        <v>1036</v>
      </c>
      <c r="R3">
        <v>46</v>
      </c>
      <c r="S3">
        <v>22</v>
      </c>
      <c r="T3">
        <v>17</v>
      </c>
      <c r="U3">
        <v>7</v>
      </c>
      <c r="V3">
        <v>0</v>
      </c>
      <c r="W3">
        <v>0</v>
      </c>
      <c r="X3">
        <v>0</v>
      </c>
      <c r="Y3">
        <v>0</v>
      </c>
      <c r="Z3">
        <v>0</v>
      </c>
      <c r="AA3">
        <v>29</v>
      </c>
      <c r="AB3">
        <v>29</v>
      </c>
      <c r="AC3">
        <v>1</v>
      </c>
      <c r="AD3">
        <v>6</v>
      </c>
      <c r="AE3">
        <v>0</v>
      </c>
      <c r="AF3">
        <v>42</v>
      </c>
      <c r="AG3">
        <v>2</v>
      </c>
      <c r="AH3">
        <v>2</v>
      </c>
      <c r="AI3">
        <v>0</v>
      </c>
      <c r="AJ3">
        <v>0</v>
      </c>
      <c r="AK3">
        <v>0</v>
      </c>
      <c r="AL3">
        <v>3</v>
      </c>
      <c r="AM3">
        <v>5</v>
      </c>
      <c r="AN3">
        <v>0</v>
      </c>
      <c r="AO3">
        <v>0</v>
      </c>
      <c r="AP3">
        <v>0</v>
      </c>
      <c r="AQ3">
        <v>0</v>
      </c>
      <c r="AR3">
        <v>0</v>
      </c>
      <c r="AS3">
        <v>6</v>
      </c>
      <c r="AT3">
        <v>13</v>
      </c>
      <c r="AU3">
        <v>6</v>
      </c>
      <c r="AV3" t="s">
        <v>283</v>
      </c>
      <c r="AW3">
        <v>335</v>
      </c>
      <c r="AX3" t="s">
        <v>284</v>
      </c>
      <c r="AY3" t="s">
        <v>285</v>
      </c>
    </row>
    <row r="4" spans="1:51" x14ac:dyDescent="0.25">
      <c r="A4" t="s">
        <v>287</v>
      </c>
      <c r="B4">
        <v>10</v>
      </c>
      <c r="C4">
        <v>53</v>
      </c>
      <c r="D4">
        <v>1</v>
      </c>
      <c r="E4">
        <v>10</v>
      </c>
      <c r="F4">
        <v>4</v>
      </c>
      <c r="G4">
        <v>0</v>
      </c>
      <c r="H4">
        <v>8</v>
      </c>
      <c r="I4">
        <v>6</v>
      </c>
      <c r="J4">
        <v>0</v>
      </c>
      <c r="K4">
        <v>0</v>
      </c>
      <c r="L4">
        <v>7</v>
      </c>
      <c r="M4">
        <v>10</v>
      </c>
      <c r="N4">
        <v>8</v>
      </c>
      <c r="O4">
        <v>10</v>
      </c>
      <c r="P4">
        <v>1</v>
      </c>
      <c r="Q4">
        <v>473</v>
      </c>
      <c r="R4">
        <v>5</v>
      </c>
      <c r="S4">
        <v>1</v>
      </c>
      <c r="T4">
        <v>0</v>
      </c>
      <c r="U4">
        <v>0</v>
      </c>
      <c r="V4">
        <v>1</v>
      </c>
      <c r="W4">
        <v>6</v>
      </c>
      <c r="X4">
        <v>1</v>
      </c>
      <c r="Y4">
        <v>0</v>
      </c>
      <c r="Z4">
        <v>3</v>
      </c>
      <c r="AA4">
        <v>8</v>
      </c>
      <c r="AB4">
        <v>1</v>
      </c>
      <c r="AC4">
        <v>4</v>
      </c>
      <c r="AD4">
        <v>6</v>
      </c>
      <c r="AE4">
        <v>0</v>
      </c>
      <c r="AF4">
        <v>4</v>
      </c>
      <c r="AG4">
        <v>0</v>
      </c>
      <c r="AH4">
        <v>10</v>
      </c>
      <c r="AI4">
        <v>2</v>
      </c>
      <c r="AJ4">
        <v>0</v>
      </c>
      <c r="AK4">
        <v>0</v>
      </c>
      <c r="AL4">
        <v>2</v>
      </c>
      <c r="AM4">
        <v>0</v>
      </c>
      <c r="AN4">
        <v>2</v>
      </c>
      <c r="AO4">
        <v>1</v>
      </c>
      <c r="AP4">
        <v>5</v>
      </c>
      <c r="AQ4">
        <v>3</v>
      </c>
      <c r="AR4">
        <v>0</v>
      </c>
      <c r="AS4">
        <v>0</v>
      </c>
      <c r="AT4">
        <v>5</v>
      </c>
      <c r="AU4">
        <v>2</v>
      </c>
      <c r="AV4" t="s">
        <v>288</v>
      </c>
      <c r="AW4">
        <v>315</v>
      </c>
      <c r="AX4" t="s">
        <v>43</v>
      </c>
      <c r="AY4" t="s">
        <v>285</v>
      </c>
    </row>
    <row r="5" spans="1:51" x14ac:dyDescent="0.25">
      <c r="A5" t="s">
        <v>289</v>
      </c>
      <c r="B5">
        <v>5</v>
      </c>
      <c r="C5">
        <f>10+6+8+3</f>
        <v>27</v>
      </c>
      <c r="D5">
        <v>16</v>
      </c>
      <c r="E5">
        <v>4</v>
      </c>
      <c r="G5">
        <v>4</v>
      </c>
      <c r="L5">
        <v>5</v>
      </c>
      <c r="M5">
        <f>1086+1006</f>
        <v>2092</v>
      </c>
      <c r="N5">
        <v>172</v>
      </c>
      <c r="O5">
        <f>137+34+160</f>
        <v>331</v>
      </c>
      <c r="Q5">
        <v>169</v>
      </c>
      <c r="R5">
        <v>2</v>
      </c>
      <c r="W5">
        <v>4</v>
      </c>
      <c r="AD5">
        <v>3</v>
      </c>
      <c r="AH5">
        <v>1</v>
      </c>
      <c r="AI5">
        <v>1</v>
      </c>
      <c r="AQ5">
        <v>1</v>
      </c>
      <c r="AR5">
        <v>1</v>
      </c>
      <c r="AV5" t="s">
        <v>290</v>
      </c>
      <c r="AX5" t="s">
        <v>43</v>
      </c>
      <c r="AY5" t="s">
        <v>291</v>
      </c>
    </row>
    <row r="6" spans="1:51" x14ac:dyDescent="0.25">
      <c r="A6" t="s">
        <v>292</v>
      </c>
      <c r="B6">
        <v>16</v>
      </c>
      <c r="C6">
        <f>12+22+12+9</f>
        <v>55</v>
      </c>
      <c r="D6">
        <v>28</v>
      </c>
      <c r="E6">
        <v>10</v>
      </c>
      <c r="J6">
        <v>27</v>
      </c>
      <c r="K6">
        <v>51</v>
      </c>
      <c r="L6">
        <v>18</v>
      </c>
      <c r="M6">
        <f>2146+3702</f>
        <v>5848</v>
      </c>
      <c r="N6">
        <v>703</v>
      </c>
      <c r="O6">
        <f>451+109+580</f>
        <v>1140</v>
      </c>
      <c r="Q6">
        <v>687</v>
      </c>
      <c r="W6">
        <v>11</v>
      </c>
      <c r="AA6">
        <v>1</v>
      </c>
      <c r="AD6">
        <v>25</v>
      </c>
      <c r="AH6">
        <v>6</v>
      </c>
      <c r="AP6">
        <v>1</v>
      </c>
      <c r="AQ6">
        <v>1</v>
      </c>
      <c r="AR6">
        <v>1</v>
      </c>
      <c r="AV6" t="s">
        <v>290</v>
      </c>
      <c r="AX6" t="s">
        <v>43</v>
      </c>
      <c r="AY6" t="s">
        <v>291</v>
      </c>
    </row>
    <row r="7" spans="1:51" x14ac:dyDescent="0.25">
      <c r="A7" t="s">
        <v>293</v>
      </c>
      <c r="B7">
        <v>5</v>
      </c>
      <c r="C7">
        <v>89</v>
      </c>
      <c r="D7">
        <v>36</v>
      </c>
      <c r="E7">
        <v>47</v>
      </c>
      <c r="F7">
        <v>8</v>
      </c>
      <c r="G7">
        <v>14</v>
      </c>
      <c r="H7">
        <v>0</v>
      </c>
      <c r="I7">
        <v>0</v>
      </c>
      <c r="J7">
        <v>9</v>
      </c>
      <c r="K7">
        <v>23</v>
      </c>
      <c r="L7">
        <v>16</v>
      </c>
      <c r="M7">
        <v>15789</v>
      </c>
      <c r="N7">
        <v>1421</v>
      </c>
      <c r="O7">
        <v>2707</v>
      </c>
      <c r="P7">
        <v>0</v>
      </c>
      <c r="Q7">
        <v>451</v>
      </c>
      <c r="R7">
        <v>4</v>
      </c>
      <c r="S7">
        <v>0</v>
      </c>
      <c r="T7">
        <v>0</v>
      </c>
      <c r="U7">
        <v>0</v>
      </c>
      <c r="V7">
        <v>0</v>
      </c>
      <c r="W7">
        <v>15</v>
      </c>
      <c r="X7">
        <v>0</v>
      </c>
      <c r="Y7">
        <v>0</v>
      </c>
      <c r="Z7">
        <v>0</v>
      </c>
      <c r="AA7">
        <v>14</v>
      </c>
      <c r="AB7">
        <v>2</v>
      </c>
      <c r="AC7">
        <v>0</v>
      </c>
      <c r="AD7">
        <v>71</v>
      </c>
      <c r="AE7">
        <v>0</v>
      </c>
      <c r="AF7">
        <v>0</v>
      </c>
      <c r="AG7">
        <v>1</v>
      </c>
      <c r="AH7">
        <v>0</v>
      </c>
      <c r="AI7">
        <v>1</v>
      </c>
      <c r="AJ7">
        <v>1</v>
      </c>
      <c r="AK7">
        <v>0</v>
      </c>
      <c r="AL7">
        <v>0</v>
      </c>
      <c r="AM7">
        <v>0</v>
      </c>
      <c r="AN7">
        <v>0</v>
      </c>
      <c r="AO7">
        <v>2</v>
      </c>
      <c r="AP7">
        <v>0</v>
      </c>
      <c r="AQ7">
        <v>0</v>
      </c>
      <c r="AR7">
        <v>0</v>
      </c>
      <c r="AS7">
        <v>1</v>
      </c>
      <c r="AT7">
        <v>22</v>
      </c>
      <c r="AU7">
        <v>0</v>
      </c>
      <c r="AV7" t="s">
        <v>288</v>
      </c>
      <c r="AX7" t="s">
        <v>43</v>
      </c>
      <c r="AY7" t="s">
        <v>291</v>
      </c>
    </row>
    <row r="8" spans="1:51" x14ac:dyDescent="0.25">
      <c r="A8" t="s">
        <v>294</v>
      </c>
      <c r="C8">
        <f>3+1+7+7</f>
        <v>18</v>
      </c>
      <c r="E8">
        <f>4+9</f>
        <v>13</v>
      </c>
      <c r="K8">
        <v>32</v>
      </c>
      <c r="L8">
        <v>26</v>
      </c>
      <c r="Q8">
        <v>18</v>
      </c>
      <c r="S8">
        <v>29</v>
      </c>
      <c r="AA8">
        <v>9</v>
      </c>
      <c r="AD8">
        <v>14</v>
      </c>
      <c r="AK8">
        <v>10</v>
      </c>
      <c r="AM8">
        <v>2</v>
      </c>
      <c r="AT8">
        <v>2</v>
      </c>
      <c r="AV8" t="s">
        <v>283</v>
      </c>
      <c r="AW8">
        <v>90</v>
      </c>
      <c r="AX8" t="s">
        <v>284</v>
      </c>
      <c r="AY8" t="s">
        <v>295</v>
      </c>
    </row>
    <row r="9" spans="1:51" x14ac:dyDescent="0.25">
      <c r="A9" t="s">
        <v>296</v>
      </c>
      <c r="C9">
        <f>2+4+1+3+2</f>
        <v>12</v>
      </c>
      <c r="E9">
        <v>2</v>
      </c>
      <c r="F9">
        <v>1</v>
      </c>
      <c r="H9">
        <v>5</v>
      </c>
      <c r="J9">
        <v>1</v>
      </c>
      <c r="K9">
        <v>32</v>
      </c>
      <c r="L9">
        <v>3</v>
      </c>
      <c r="M9">
        <f>4+11+8+11+11+20+10+10+8+15+5+3+10+20+26+20+55+3+3+97+565+212+231</f>
        <v>1358</v>
      </c>
      <c r="N9">
        <v>38</v>
      </c>
      <c r="O9">
        <f>123+12</f>
        <v>135</v>
      </c>
      <c r="P9">
        <f>329-50</f>
        <v>279</v>
      </c>
      <c r="Q9">
        <f>14+27+21+12+27+6+2</f>
        <v>109</v>
      </c>
      <c r="S9">
        <v>51</v>
      </c>
      <c r="W9">
        <v>2</v>
      </c>
      <c r="Y9">
        <v>4</v>
      </c>
      <c r="AA9">
        <v>5</v>
      </c>
      <c r="AB9">
        <v>9</v>
      </c>
      <c r="AD9">
        <v>1</v>
      </c>
      <c r="AK9">
        <v>1</v>
      </c>
      <c r="AM9">
        <v>1</v>
      </c>
      <c r="AS9">
        <v>2</v>
      </c>
      <c r="AT9">
        <v>3</v>
      </c>
      <c r="AV9" t="s">
        <v>283</v>
      </c>
      <c r="AW9">
        <v>200</v>
      </c>
      <c r="AX9" t="s">
        <v>297</v>
      </c>
      <c r="AY9" t="s">
        <v>291</v>
      </c>
    </row>
    <row r="10" spans="1:51" x14ac:dyDescent="0.25">
      <c r="A10" t="s">
        <v>298</v>
      </c>
      <c r="C10">
        <f>20+180+19+3+2+2</f>
        <v>226</v>
      </c>
      <c r="D10">
        <f>157+25</f>
        <v>182</v>
      </c>
      <c r="E10">
        <v>4</v>
      </c>
      <c r="H10">
        <v>76</v>
      </c>
      <c r="K10">
        <v>4</v>
      </c>
      <c r="L10">
        <v>12</v>
      </c>
      <c r="M10">
        <f>3273</f>
        <v>3273</v>
      </c>
      <c r="N10">
        <v>151</v>
      </c>
      <c r="O10">
        <f>329+143+30</f>
        <v>502</v>
      </c>
      <c r="Q10">
        <v>306</v>
      </c>
      <c r="R10">
        <f>230+349</f>
        <v>579</v>
      </c>
      <c r="Y10">
        <v>1</v>
      </c>
      <c r="AA10">
        <v>365</v>
      </c>
      <c r="AD10">
        <v>70</v>
      </c>
      <c r="AF10">
        <v>18</v>
      </c>
      <c r="AJ10">
        <f>18+14+2</f>
        <v>34</v>
      </c>
      <c r="AK10">
        <f>224+93</f>
        <v>317</v>
      </c>
      <c r="AL10">
        <f>124+6+131+5</f>
        <v>266</v>
      </c>
      <c r="AT10">
        <f>169+14+12</f>
        <v>195</v>
      </c>
      <c r="AV10" t="s">
        <v>283</v>
      </c>
      <c r="AW10">
        <v>77</v>
      </c>
      <c r="AX10" t="s">
        <v>299</v>
      </c>
      <c r="AY10" t="s">
        <v>300</v>
      </c>
    </row>
    <row r="11" spans="1:51" x14ac:dyDescent="0.25">
      <c r="A11" t="s">
        <v>301</v>
      </c>
      <c r="C11">
        <f>12+11+7+19+1+1+0+1+7+14+10+10+83+118+93+253+8+9+3+31</f>
        <v>691</v>
      </c>
      <c r="E11">
        <f>24+46+3+13+5+1+0+7+4+3+6+11+3</f>
        <v>126</v>
      </c>
      <c r="F11">
        <f>34+11+4</f>
        <v>49</v>
      </c>
      <c r="I11">
        <f>17+21+15+9</f>
        <v>62</v>
      </c>
      <c r="O11">
        <f>3839+2531+3152+10953</f>
        <v>20475</v>
      </c>
      <c r="Q11">
        <f>2657+1527+1151+2982</f>
        <v>8317</v>
      </c>
      <c r="U11">
        <v>22</v>
      </c>
      <c r="AA11">
        <f>8+1+11+3+3+1</f>
        <v>27</v>
      </c>
      <c r="AD11">
        <v>13</v>
      </c>
      <c r="AM11">
        <v>7</v>
      </c>
      <c r="AN11">
        <f>15+8+6+18</f>
        <v>47</v>
      </c>
      <c r="AP11">
        <f>13+10+2+20</f>
        <v>45</v>
      </c>
      <c r="AQ11">
        <f>10+11+9+36</f>
        <v>66</v>
      </c>
      <c r="AS11">
        <f>46+9</f>
        <v>55</v>
      </c>
      <c r="AT11">
        <f>15+4+4+1</f>
        <v>24</v>
      </c>
      <c r="AV11" t="s">
        <v>290</v>
      </c>
      <c r="AW11">
        <v>400</v>
      </c>
      <c r="AX11" t="s">
        <v>302</v>
      </c>
      <c r="AY11" t="s">
        <v>291</v>
      </c>
    </row>
    <row r="12" spans="1:51" x14ac:dyDescent="0.25">
      <c r="A12" t="s">
        <v>303</v>
      </c>
      <c r="B12">
        <v>11</v>
      </c>
      <c r="C12">
        <v>23</v>
      </c>
      <c r="D12">
        <v>13</v>
      </c>
      <c r="E12">
        <v>7</v>
      </c>
      <c r="F12">
        <v>7</v>
      </c>
      <c r="H12">
        <v>13</v>
      </c>
      <c r="K12">
        <f>6+7</f>
        <v>13</v>
      </c>
      <c r="L12">
        <v>18</v>
      </c>
      <c r="O12">
        <f>312+149</f>
        <v>461</v>
      </c>
      <c r="Q12">
        <f>961+14+225+6</f>
        <v>1206</v>
      </c>
      <c r="S12">
        <f>141-2-35</f>
        <v>104</v>
      </c>
      <c r="T12">
        <f>39+29</f>
        <v>68</v>
      </c>
      <c r="W12">
        <v>15</v>
      </c>
      <c r="AA12">
        <v>2</v>
      </c>
      <c r="AJ12">
        <v>131</v>
      </c>
      <c r="AT12">
        <v>24</v>
      </c>
      <c r="AV12" t="s">
        <v>283</v>
      </c>
      <c r="AW12">
        <v>160</v>
      </c>
      <c r="AX12" t="s">
        <v>43</v>
      </c>
      <c r="AY12" t="s">
        <v>291</v>
      </c>
    </row>
    <row r="13" spans="1:51" x14ac:dyDescent="0.25">
      <c r="A13" t="s">
        <v>304</v>
      </c>
      <c r="B13" s="2">
        <f>(20*5/100)+(4.3*69/100)+(14.7*(10.2*69/100)/100)</f>
        <v>5.0015859999999996</v>
      </c>
      <c r="C13" s="2">
        <f>(60*5/100)+((42.4+14.7+28.4)*(10.2*69/100)/100)+((50+50)*(4*50/100)/100)</f>
        <v>11.017489999999999</v>
      </c>
      <c r="D13" s="2"/>
      <c r="E13" s="2"/>
      <c r="F13" s="2"/>
      <c r="G13" s="2"/>
      <c r="H13" s="2"/>
      <c r="I13" s="2"/>
      <c r="J13" s="2">
        <f>1.5*69/100</f>
        <v>1.0349999999999999</v>
      </c>
      <c r="K13" s="2"/>
      <c r="L13" s="2"/>
      <c r="M13" s="2">
        <f>(15.9*69/100)+(48*50/100)</f>
        <v>34.971000000000004</v>
      </c>
      <c r="N13" s="2">
        <f>(20*5/100)+(1.4*69/100)+(8*50/100)</f>
        <v>5.9660000000000002</v>
      </c>
      <c r="O13" s="2">
        <f>(21.7*69/100)+(24*50/100)</f>
        <v>26.972999999999999</v>
      </c>
      <c r="Q13" s="2">
        <f>(24.6*69/100)+(10*50/100)</f>
        <v>21.974</v>
      </c>
      <c r="R13" s="2"/>
      <c r="S13" s="2">
        <v>1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 t="s">
        <v>290</v>
      </c>
      <c r="AW13">
        <v>184</v>
      </c>
      <c r="AX13" t="s">
        <v>284</v>
      </c>
      <c r="AY13" s="2" t="s">
        <v>291</v>
      </c>
    </row>
    <row r="14" spans="1:51" x14ac:dyDescent="0.25">
      <c r="A14" t="s">
        <v>305</v>
      </c>
      <c r="B14" s="2">
        <f>(4*701/100)+(12.5*(36.8*701/100)/100)</f>
        <v>60.286000000000001</v>
      </c>
      <c r="C14" s="2">
        <f>(38+22.3+7.1+12.5+1.1)*(36.8*701/100)/100</f>
        <v>208.95408</v>
      </c>
      <c r="D14" s="2"/>
      <c r="E14" s="2"/>
      <c r="F14" s="2"/>
      <c r="G14" s="2">
        <f>2.7*(36.8*701/100)/100</f>
        <v>6.9651360000000011</v>
      </c>
      <c r="H14" s="2">
        <f>0.7*701/100</f>
        <v>4.907</v>
      </c>
      <c r="I14" s="2">
        <f>3.8*(36.8*701/100)/100</f>
        <v>9.8027840000000008</v>
      </c>
      <c r="J14" s="2"/>
      <c r="K14" s="2"/>
      <c r="L14" s="2">
        <f>1.6*701/100</f>
        <v>11.216000000000001</v>
      </c>
      <c r="M14" s="2">
        <f>2.7/100*701</f>
        <v>18.927000000000003</v>
      </c>
      <c r="N14" s="2">
        <f>14.5*701/100</f>
        <v>101.645</v>
      </c>
      <c r="O14" s="2">
        <f>4.7*701/100</f>
        <v>32.947000000000003</v>
      </c>
      <c r="P14" s="2"/>
      <c r="Q14" s="2">
        <f>3*701/100</f>
        <v>21.03</v>
      </c>
      <c r="R14" s="2"/>
      <c r="S14" s="2">
        <f>1.5*69/100</f>
        <v>1.0349999999999999</v>
      </c>
      <c r="T14" s="2"/>
      <c r="U14" s="2"/>
      <c r="V14" s="2"/>
      <c r="W14" s="2"/>
      <c r="X14" s="2"/>
      <c r="Y14" s="2"/>
      <c r="Z14" s="2">
        <f>0.3*701/100</f>
        <v>2.1029999999999998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>
        <f>1*701/100</f>
        <v>7.01</v>
      </c>
      <c r="AO14" s="2"/>
      <c r="AP14" s="2"/>
      <c r="AQ14" s="2"/>
      <c r="AR14" s="2"/>
      <c r="AS14" s="2"/>
      <c r="AT14" s="2">
        <f>0.4*701/100</f>
        <v>2.8040000000000003</v>
      </c>
      <c r="AU14" s="2"/>
      <c r="AV14" s="2" t="s">
        <v>290</v>
      </c>
      <c r="AW14">
        <v>184</v>
      </c>
      <c r="AX14" t="s">
        <v>306</v>
      </c>
      <c r="AY14" s="2" t="s">
        <v>291</v>
      </c>
    </row>
    <row r="15" spans="1:51" x14ac:dyDescent="0.25">
      <c r="A15" t="s">
        <v>307</v>
      </c>
      <c r="B15">
        <v>10</v>
      </c>
      <c r="C15">
        <f>7+15+7+4</f>
        <v>33</v>
      </c>
      <c r="E15">
        <v>2</v>
      </c>
      <c r="F15">
        <v>1</v>
      </c>
      <c r="I15">
        <f>10+1+15</f>
        <v>26</v>
      </c>
      <c r="K15">
        <f>3+5+27</f>
        <v>35</v>
      </c>
      <c r="M15">
        <f>29+3+12</f>
        <v>44</v>
      </c>
      <c r="N15">
        <v>63</v>
      </c>
      <c r="P15">
        <f>14</f>
        <v>14</v>
      </c>
      <c r="Q15">
        <f>22+35+1+2+428+19+38+9+1+183+3+7+1+22+1-40</f>
        <v>732</v>
      </c>
      <c r="S15">
        <f>1+1</f>
        <v>2</v>
      </c>
      <c r="V15">
        <v>1</v>
      </c>
      <c r="W15">
        <v>5</v>
      </c>
      <c r="AA15">
        <v>6</v>
      </c>
      <c r="AD15">
        <v>19</v>
      </c>
      <c r="AF15">
        <v>1</v>
      </c>
      <c r="AI15">
        <v>1</v>
      </c>
      <c r="AK15">
        <v>4</v>
      </c>
      <c r="AT15">
        <v>13</v>
      </c>
      <c r="AV15" t="s">
        <v>283</v>
      </c>
      <c r="AW15">
        <v>77</v>
      </c>
      <c r="AX15" t="s">
        <v>284</v>
      </c>
      <c r="AY15" t="s">
        <v>308</v>
      </c>
    </row>
    <row r="16" spans="1:51" x14ac:dyDescent="0.25">
      <c r="A16" t="s">
        <v>309</v>
      </c>
      <c r="B16">
        <f>1</f>
        <v>1</v>
      </c>
      <c r="C16">
        <f>1+1+1+1+1+1+2</f>
        <v>8</v>
      </c>
      <c r="E16">
        <v>1</v>
      </c>
      <c r="Q16">
        <f>1+2+3+5+46+8+4+1+2+1+1</f>
        <v>74</v>
      </c>
      <c r="S16">
        <v>1</v>
      </c>
      <c r="AA16">
        <v>3</v>
      </c>
      <c r="AD16">
        <v>4</v>
      </c>
      <c r="AI16">
        <v>1</v>
      </c>
      <c r="AK16">
        <v>1</v>
      </c>
      <c r="AV16" t="s">
        <v>283</v>
      </c>
      <c r="AW16">
        <v>80</v>
      </c>
      <c r="AX16" t="s">
        <v>284</v>
      </c>
      <c r="AY16" t="s">
        <v>308</v>
      </c>
    </row>
    <row r="17" spans="1:51" x14ac:dyDescent="0.25">
      <c r="A17" t="s">
        <v>310</v>
      </c>
      <c r="C17">
        <f>34+36+5+2</f>
        <v>77</v>
      </c>
      <c r="G17">
        <v>424</v>
      </c>
      <c r="M17">
        <f>12189</f>
        <v>12189</v>
      </c>
      <c r="Q17">
        <f>3165+103</f>
        <v>3268</v>
      </c>
      <c r="R17">
        <f>415</f>
        <v>415</v>
      </c>
      <c r="S17">
        <v>298</v>
      </c>
      <c r="AA17">
        <f>245</f>
        <v>245</v>
      </c>
      <c r="AB17">
        <v>240</v>
      </c>
      <c r="AJ17">
        <v>76</v>
      </c>
      <c r="AV17" t="s">
        <v>283</v>
      </c>
      <c r="AW17">
        <v>120</v>
      </c>
      <c r="AX17" t="s">
        <v>284</v>
      </c>
      <c r="AY17" t="s">
        <v>308</v>
      </c>
    </row>
    <row r="18" spans="1:51" x14ac:dyDescent="0.25">
      <c r="A18" t="s">
        <v>311</v>
      </c>
      <c r="C18">
        <f>1+2+1+1+2</f>
        <v>7</v>
      </c>
      <c r="E18">
        <v>10</v>
      </c>
      <c r="I18">
        <v>1</v>
      </c>
      <c r="K18">
        <v>6</v>
      </c>
      <c r="L18">
        <v>6</v>
      </c>
      <c r="M18">
        <v>148</v>
      </c>
      <c r="N18">
        <v>1</v>
      </c>
      <c r="O18">
        <f>3+40+22</f>
        <v>65</v>
      </c>
      <c r="Q18">
        <f>19+25+10+13</f>
        <v>67</v>
      </c>
      <c r="S18">
        <v>2</v>
      </c>
      <c r="W18">
        <v>2</v>
      </c>
      <c r="AA18">
        <f>4+1</f>
        <v>5</v>
      </c>
      <c r="AB18">
        <v>3</v>
      </c>
      <c r="AD18">
        <v>5</v>
      </c>
      <c r="AF18">
        <v>1</v>
      </c>
      <c r="AJ18">
        <v>1</v>
      </c>
      <c r="AK18">
        <v>2</v>
      </c>
      <c r="AP18">
        <v>1</v>
      </c>
      <c r="AV18" t="s">
        <v>283</v>
      </c>
      <c r="AW18">
        <v>265</v>
      </c>
      <c r="AX18" t="s">
        <v>312</v>
      </c>
      <c r="AY18" t="s">
        <v>313</v>
      </c>
    </row>
    <row r="19" spans="1:51" x14ac:dyDescent="0.25">
      <c r="A19" t="s">
        <v>314</v>
      </c>
      <c r="C19">
        <v>6</v>
      </c>
      <c r="E19">
        <v>4</v>
      </c>
      <c r="H19">
        <v>3</v>
      </c>
      <c r="I19">
        <v>12</v>
      </c>
      <c r="K19">
        <f>2+41</f>
        <v>43</v>
      </c>
      <c r="L19">
        <v>10</v>
      </c>
      <c r="M19">
        <v>6377</v>
      </c>
      <c r="N19">
        <v>19</v>
      </c>
      <c r="O19">
        <f>219+450</f>
        <v>669</v>
      </c>
      <c r="Q19">
        <f>27+68+84+38+3+1+2+248+1</f>
        <v>472</v>
      </c>
      <c r="S19">
        <v>4</v>
      </c>
      <c r="AA19">
        <f>13+5+6</f>
        <v>24</v>
      </c>
      <c r="AB19">
        <v>2</v>
      </c>
      <c r="AD19">
        <f>6+3</f>
        <v>9</v>
      </c>
      <c r="AF19">
        <v>4</v>
      </c>
      <c r="AK19">
        <f>8+1+45</f>
        <v>54</v>
      </c>
      <c r="AL19">
        <v>9</v>
      </c>
      <c r="AM19">
        <v>2</v>
      </c>
      <c r="AP19">
        <v>1</v>
      </c>
      <c r="AT19">
        <v>12</v>
      </c>
      <c r="AV19" t="s">
        <v>283</v>
      </c>
      <c r="AW19">
        <v>265</v>
      </c>
      <c r="AX19" t="s">
        <v>312</v>
      </c>
      <c r="AY19" t="s">
        <v>313</v>
      </c>
    </row>
    <row r="20" spans="1:51" x14ac:dyDescent="0.25">
      <c r="A20" t="s">
        <v>315</v>
      </c>
      <c r="C20">
        <f>5+1+2</f>
        <v>8</v>
      </c>
      <c r="E20">
        <v>8</v>
      </c>
      <c r="H20">
        <v>2</v>
      </c>
      <c r="I20">
        <f>4+37</f>
        <v>41</v>
      </c>
      <c r="K20">
        <f>2+60</f>
        <v>62</v>
      </c>
      <c r="L20">
        <v>15</v>
      </c>
      <c r="M20">
        <v>999</v>
      </c>
      <c r="N20">
        <v>16</v>
      </c>
      <c r="O20">
        <f>61+84+204</f>
        <v>349</v>
      </c>
      <c r="Q20">
        <f>101+122+30+1+1+112+6</f>
        <v>373</v>
      </c>
      <c r="S20">
        <v>4</v>
      </c>
      <c r="AA20">
        <f>4+2+1+1</f>
        <v>8</v>
      </c>
      <c r="AB20">
        <v>6</v>
      </c>
      <c r="AK20">
        <v>22</v>
      </c>
      <c r="AL20">
        <v>8</v>
      </c>
      <c r="AT20">
        <v>2</v>
      </c>
      <c r="AV20" t="s">
        <v>283</v>
      </c>
      <c r="AW20">
        <v>265</v>
      </c>
      <c r="AX20" t="s">
        <v>312</v>
      </c>
      <c r="AY20" t="s">
        <v>313</v>
      </c>
    </row>
    <row r="21" spans="1:51" x14ac:dyDescent="0.25">
      <c r="A21" t="s">
        <v>316</v>
      </c>
      <c r="B21">
        <v>0</v>
      </c>
      <c r="C21">
        <v>140</v>
      </c>
      <c r="D21">
        <v>140</v>
      </c>
      <c r="E21">
        <v>103</v>
      </c>
      <c r="F21">
        <v>0</v>
      </c>
      <c r="G21">
        <v>19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1096</v>
      </c>
      <c r="O21">
        <v>0</v>
      </c>
      <c r="P21">
        <v>0</v>
      </c>
      <c r="Q21">
        <v>2452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b">
        <v>1</v>
      </c>
      <c r="AB21">
        <v>0</v>
      </c>
      <c r="AC21">
        <v>0</v>
      </c>
      <c r="AD21" t="b">
        <v>1</v>
      </c>
      <c r="AE21">
        <v>74</v>
      </c>
      <c r="AF21">
        <v>0</v>
      </c>
      <c r="AG21" t="b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7</v>
      </c>
      <c r="AN21">
        <v>0</v>
      </c>
      <c r="AO21">
        <v>0</v>
      </c>
      <c r="AP21">
        <v>1</v>
      </c>
      <c r="AQ21">
        <v>0</v>
      </c>
      <c r="AR21">
        <v>0</v>
      </c>
      <c r="AS21" t="b">
        <v>1</v>
      </c>
      <c r="AT21" t="b">
        <v>1</v>
      </c>
      <c r="AV21" t="s">
        <v>288</v>
      </c>
      <c r="AW21">
        <v>245</v>
      </c>
      <c r="AX21" t="s">
        <v>43</v>
      </c>
      <c r="AY21" t="s">
        <v>291</v>
      </c>
    </row>
    <row r="22" spans="1:51" x14ac:dyDescent="0.25">
      <c r="A22" t="s">
        <v>317</v>
      </c>
      <c r="C22">
        <f>54+39</f>
        <v>93</v>
      </c>
      <c r="D22">
        <f>13+23</f>
        <v>36</v>
      </c>
      <c r="E22">
        <f>81+39+48</f>
        <v>168</v>
      </c>
      <c r="F22">
        <v>58</v>
      </c>
      <c r="M22">
        <v>139</v>
      </c>
      <c r="N22">
        <v>93</v>
      </c>
      <c r="O22">
        <f>219+347</f>
        <v>566</v>
      </c>
      <c r="Q22">
        <v>232</v>
      </c>
      <c r="S22">
        <v>213</v>
      </c>
      <c r="W22">
        <v>2</v>
      </c>
      <c r="AA22">
        <f>36+27+16+12</f>
        <v>91</v>
      </c>
      <c r="AD22">
        <v>36</v>
      </c>
      <c r="AM22">
        <v>42</v>
      </c>
      <c r="AP22">
        <v>4</v>
      </c>
      <c r="AT22">
        <f>12+8+7</f>
        <v>27</v>
      </c>
      <c r="AV22" t="s">
        <v>290</v>
      </c>
      <c r="AW22">
        <v>503</v>
      </c>
      <c r="AX22" t="s">
        <v>318</v>
      </c>
      <c r="AY22" t="s">
        <v>291</v>
      </c>
    </row>
    <row r="23" spans="1:51" x14ac:dyDescent="0.25">
      <c r="A23" t="s">
        <v>319</v>
      </c>
      <c r="C23">
        <f>1+15+4</f>
        <v>20</v>
      </c>
      <c r="E23">
        <f>8+2+2</f>
        <v>12</v>
      </c>
      <c r="F23">
        <f>1+2</f>
        <v>3</v>
      </c>
      <c r="I23">
        <v>15</v>
      </c>
      <c r="O23">
        <f>11+13+10+6</f>
        <v>40</v>
      </c>
      <c r="Q23">
        <v>83</v>
      </c>
      <c r="S23">
        <v>9</v>
      </c>
      <c r="Y23">
        <v>1</v>
      </c>
      <c r="AA23">
        <v>10</v>
      </c>
      <c r="AD23">
        <v>3</v>
      </c>
      <c r="AV23" t="s">
        <v>283</v>
      </c>
      <c r="AW23">
        <v>100</v>
      </c>
      <c r="AX23" t="s">
        <v>312</v>
      </c>
      <c r="AY23" t="s">
        <v>291</v>
      </c>
    </row>
    <row r="24" spans="1:51" x14ac:dyDescent="0.25">
      <c r="A24" t="s">
        <v>320</v>
      </c>
      <c r="B24" t="b">
        <v>1</v>
      </c>
      <c r="C24" t="b">
        <v>1</v>
      </c>
      <c r="E24" t="b">
        <v>1</v>
      </c>
      <c r="I24" t="b">
        <v>1</v>
      </c>
      <c r="O24" t="b">
        <v>1</v>
      </c>
      <c r="Q24" t="b">
        <v>1</v>
      </c>
      <c r="X24" t="b">
        <v>1</v>
      </c>
      <c r="AA24" t="b">
        <v>1</v>
      </c>
      <c r="AD24" t="b">
        <v>1</v>
      </c>
      <c r="AF24" t="b">
        <v>1</v>
      </c>
      <c r="AI24" t="b">
        <v>1</v>
      </c>
      <c r="AJ24" t="b">
        <v>1</v>
      </c>
      <c r="AK24" t="b">
        <v>1</v>
      </c>
      <c r="AS24" t="b">
        <v>1</v>
      </c>
      <c r="AT24" t="b">
        <v>1</v>
      </c>
      <c r="AV24" t="s">
        <v>283</v>
      </c>
      <c r="AW24">
        <v>75</v>
      </c>
      <c r="AX24" t="s">
        <v>284</v>
      </c>
      <c r="AY24" t="s">
        <v>321</v>
      </c>
    </row>
    <row r="25" spans="1:51" x14ac:dyDescent="0.25">
      <c r="A25" t="s">
        <v>322</v>
      </c>
      <c r="B25" t="b">
        <v>1</v>
      </c>
      <c r="C25" t="b">
        <v>1</v>
      </c>
      <c r="I25" t="b">
        <v>1</v>
      </c>
      <c r="K25" t="b">
        <v>1</v>
      </c>
      <c r="L25" t="b">
        <v>1</v>
      </c>
      <c r="M25" t="b">
        <v>1</v>
      </c>
      <c r="O25" t="b">
        <v>1</v>
      </c>
      <c r="Q25" t="b">
        <v>1</v>
      </c>
      <c r="S25" t="b">
        <v>1</v>
      </c>
      <c r="T25" t="b">
        <v>1</v>
      </c>
      <c r="W25" t="b">
        <v>1</v>
      </c>
      <c r="AA25" t="b">
        <v>1</v>
      </c>
      <c r="AD25" t="b">
        <v>1</v>
      </c>
      <c r="AJ25" t="b">
        <v>1</v>
      </c>
      <c r="AK25" t="b">
        <v>1</v>
      </c>
      <c r="AM25" t="b">
        <v>1</v>
      </c>
      <c r="AT25" t="b">
        <v>1</v>
      </c>
      <c r="AV25" t="s">
        <v>283</v>
      </c>
      <c r="AW25">
        <v>300</v>
      </c>
      <c r="AX25" t="s">
        <v>284</v>
      </c>
      <c r="AY25" t="s">
        <v>295</v>
      </c>
    </row>
    <row r="26" spans="1:51" x14ac:dyDescent="0.25">
      <c r="A26" t="s">
        <v>323</v>
      </c>
      <c r="D26" t="b">
        <v>1</v>
      </c>
      <c r="E26" t="b">
        <v>1</v>
      </c>
      <c r="F26" t="b">
        <v>1</v>
      </c>
      <c r="H26" t="b">
        <v>1</v>
      </c>
      <c r="K26" t="b">
        <v>1</v>
      </c>
      <c r="M26" t="b">
        <v>1</v>
      </c>
      <c r="O26" t="b">
        <v>1</v>
      </c>
      <c r="P26" t="b">
        <v>1</v>
      </c>
      <c r="Q26" t="b">
        <v>1</v>
      </c>
      <c r="R26" t="b">
        <v>1</v>
      </c>
      <c r="S26" t="b">
        <v>1</v>
      </c>
      <c r="AD26" t="b">
        <v>1</v>
      </c>
      <c r="AJ26" t="b">
        <v>1</v>
      </c>
      <c r="AK26" t="b">
        <v>1</v>
      </c>
      <c r="AM26" t="b">
        <v>1</v>
      </c>
      <c r="AP26" t="b">
        <v>1</v>
      </c>
      <c r="AT26" t="b">
        <v>1</v>
      </c>
      <c r="AV26" t="s">
        <v>283</v>
      </c>
      <c r="AW26">
        <v>215</v>
      </c>
      <c r="AX26" t="s">
        <v>297</v>
      </c>
      <c r="AY26" t="s">
        <v>291</v>
      </c>
    </row>
    <row r="27" spans="1:51" x14ac:dyDescent="0.25">
      <c r="A27" t="s">
        <v>324</v>
      </c>
      <c r="C27" t="b">
        <v>1</v>
      </c>
      <c r="D27" t="b">
        <v>1</v>
      </c>
      <c r="E27" t="b">
        <v>1</v>
      </c>
      <c r="G27" t="b">
        <v>1</v>
      </c>
      <c r="J27" t="b">
        <v>1</v>
      </c>
      <c r="M27">
        <v>3527</v>
      </c>
      <c r="O27" t="b">
        <v>1</v>
      </c>
      <c r="P27" t="b">
        <v>1</v>
      </c>
      <c r="Q27" t="b">
        <v>1</v>
      </c>
      <c r="S27" t="b">
        <v>1</v>
      </c>
      <c r="T27" t="b">
        <v>1</v>
      </c>
      <c r="AA27" t="b">
        <v>1</v>
      </c>
      <c r="AB27" t="b">
        <v>1</v>
      </c>
      <c r="AD27" t="b">
        <v>1</v>
      </c>
      <c r="AK27" t="b">
        <v>1</v>
      </c>
      <c r="AM27" t="b">
        <v>1</v>
      </c>
      <c r="AV27" t="s">
        <v>283</v>
      </c>
      <c r="AW27">
        <v>145</v>
      </c>
      <c r="AX27" t="s">
        <v>325</v>
      </c>
      <c r="AY27" t="s">
        <v>291</v>
      </c>
    </row>
    <row r="28" spans="1:51" x14ac:dyDescent="0.25">
      <c r="A28" t="s">
        <v>326</v>
      </c>
      <c r="C28">
        <v>569</v>
      </c>
      <c r="D28" t="b">
        <v>1</v>
      </c>
      <c r="E28">
        <v>590</v>
      </c>
      <c r="F28" t="b">
        <v>1</v>
      </c>
      <c r="I28" t="b">
        <v>1</v>
      </c>
      <c r="O28" t="b">
        <v>1</v>
      </c>
      <c r="Q28" t="b">
        <v>1</v>
      </c>
      <c r="S28" t="b">
        <v>1</v>
      </c>
      <c r="V28" t="b">
        <v>1</v>
      </c>
      <c r="W28" t="b">
        <v>1</v>
      </c>
      <c r="AA28" t="b">
        <v>1</v>
      </c>
      <c r="AD28" t="b">
        <v>1</v>
      </c>
      <c r="AE28" t="b">
        <v>1</v>
      </c>
      <c r="AI28" t="b">
        <v>1</v>
      </c>
      <c r="AV28" t="s">
        <v>283</v>
      </c>
      <c r="AW28">
        <v>255</v>
      </c>
      <c r="AX28" t="s">
        <v>284</v>
      </c>
      <c r="AY28" t="s">
        <v>327</v>
      </c>
    </row>
    <row r="29" spans="1:51" x14ac:dyDescent="0.25">
      <c r="A29" t="s">
        <v>328</v>
      </c>
      <c r="D29">
        <v>1</v>
      </c>
      <c r="E29">
        <v>1</v>
      </c>
      <c r="F29">
        <v>1</v>
      </c>
      <c r="G29">
        <v>1</v>
      </c>
      <c r="H29">
        <v>2</v>
      </c>
      <c r="I29">
        <v>5</v>
      </c>
      <c r="K29">
        <v>1</v>
      </c>
      <c r="P29">
        <v>11</v>
      </c>
      <c r="Q29">
        <v>6</v>
      </c>
      <c r="R29">
        <v>10</v>
      </c>
      <c r="S29">
        <v>2</v>
      </c>
      <c r="W29">
        <v>2</v>
      </c>
      <c r="X29">
        <v>1</v>
      </c>
      <c r="Y29">
        <v>2</v>
      </c>
      <c r="AA29">
        <v>5</v>
      </c>
      <c r="AB29">
        <v>2</v>
      </c>
      <c r="AD29">
        <v>1</v>
      </c>
      <c r="AF29">
        <v>1</v>
      </c>
      <c r="AG29">
        <v>2</v>
      </c>
      <c r="AH29">
        <v>2</v>
      </c>
      <c r="AK29">
        <v>3</v>
      </c>
      <c r="AT29">
        <v>3</v>
      </c>
      <c r="AV29" t="s">
        <v>283</v>
      </c>
      <c r="AW29">
        <v>225</v>
      </c>
      <c r="AX29" t="s">
        <v>284</v>
      </c>
      <c r="AY29" t="s">
        <v>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2FC7-03E5-4E64-9549-B9030E597FEB}">
  <dimension ref="A1:F10"/>
  <sheetViews>
    <sheetView workbookViewId="0">
      <selection activeCell="G9" sqref="G9"/>
    </sheetView>
  </sheetViews>
  <sheetFormatPr defaultRowHeight="15" x14ac:dyDescent="0.25"/>
  <sheetData>
    <row r="1" spans="1:6" x14ac:dyDescent="0.25">
      <c r="A1" t="s">
        <v>329</v>
      </c>
      <c r="B1" t="s">
        <v>330</v>
      </c>
      <c r="C1" t="s">
        <v>331</v>
      </c>
      <c r="D1" t="s">
        <v>332</v>
      </c>
      <c r="E1" t="s">
        <v>333</v>
      </c>
      <c r="F1" t="s">
        <v>334</v>
      </c>
    </row>
    <row r="2" spans="1:6" x14ac:dyDescent="0.25">
      <c r="A2" t="s">
        <v>335</v>
      </c>
      <c r="B2" t="s">
        <v>336</v>
      </c>
      <c r="C2" t="s">
        <v>337</v>
      </c>
      <c r="D2" t="s">
        <v>338</v>
      </c>
      <c r="E2" t="s">
        <v>339</v>
      </c>
      <c r="F2" t="b">
        <v>1</v>
      </c>
    </row>
    <row r="3" spans="1:6" x14ac:dyDescent="0.25">
      <c r="A3" t="s">
        <v>340</v>
      </c>
      <c r="B3" t="s">
        <v>336</v>
      </c>
      <c r="C3" t="s">
        <v>337</v>
      </c>
      <c r="D3" t="s">
        <v>341</v>
      </c>
      <c r="E3" t="s">
        <v>342</v>
      </c>
      <c r="F3" t="b">
        <v>0</v>
      </c>
    </row>
    <row r="4" spans="1:6" x14ac:dyDescent="0.25">
      <c r="A4" t="s">
        <v>343</v>
      </c>
      <c r="B4" t="s">
        <v>336</v>
      </c>
      <c r="C4" t="s">
        <v>337</v>
      </c>
      <c r="D4" t="s">
        <v>341</v>
      </c>
      <c r="E4" t="s">
        <v>342</v>
      </c>
      <c r="F4" t="b">
        <v>0</v>
      </c>
    </row>
    <row r="5" spans="1:6" x14ac:dyDescent="0.25">
      <c r="A5" t="s">
        <v>344</v>
      </c>
      <c r="B5" t="s">
        <v>336</v>
      </c>
      <c r="C5" t="s">
        <v>337</v>
      </c>
      <c r="D5" t="s">
        <v>341</v>
      </c>
      <c r="E5" t="s">
        <v>342</v>
      </c>
      <c r="F5" t="b">
        <v>0</v>
      </c>
    </row>
    <row r="6" spans="1:6" x14ac:dyDescent="0.25">
      <c r="A6" t="s">
        <v>345</v>
      </c>
      <c r="B6" t="s">
        <v>336</v>
      </c>
      <c r="C6" t="s">
        <v>337</v>
      </c>
      <c r="D6" t="s">
        <v>148</v>
      </c>
      <c r="E6" t="s">
        <v>339</v>
      </c>
      <c r="F6" t="b">
        <v>1</v>
      </c>
    </row>
    <row r="7" spans="1:6" x14ac:dyDescent="0.25">
      <c r="A7" t="s">
        <v>346</v>
      </c>
      <c r="B7" t="s">
        <v>336</v>
      </c>
      <c r="C7" t="s">
        <v>337</v>
      </c>
      <c r="D7" t="s">
        <v>187</v>
      </c>
      <c r="E7" t="s">
        <v>347</v>
      </c>
      <c r="F7" t="b">
        <v>0</v>
      </c>
    </row>
    <row r="8" spans="1:6" x14ac:dyDescent="0.25">
      <c r="A8" t="s">
        <v>348</v>
      </c>
      <c r="B8" t="s">
        <v>336</v>
      </c>
      <c r="C8" t="s">
        <v>337</v>
      </c>
      <c r="D8" t="s">
        <v>148</v>
      </c>
      <c r="E8" t="s">
        <v>347</v>
      </c>
      <c r="F8" t="b">
        <v>0</v>
      </c>
    </row>
    <row r="9" spans="1:6" x14ac:dyDescent="0.25">
      <c r="A9" t="s">
        <v>349</v>
      </c>
      <c r="B9" t="s">
        <v>336</v>
      </c>
      <c r="C9" t="s">
        <v>337</v>
      </c>
      <c r="D9" t="s">
        <v>350</v>
      </c>
      <c r="E9" t="s">
        <v>347</v>
      </c>
      <c r="F9" t="b">
        <v>0</v>
      </c>
    </row>
    <row r="10" spans="1:6" x14ac:dyDescent="0.25">
      <c r="A10" t="s">
        <v>351</v>
      </c>
      <c r="B10" t="s">
        <v>336</v>
      </c>
      <c r="C10" t="s">
        <v>337</v>
      </c>
      <c r="D10" t="s">
        <v>338</v>
      </c>
      <c r="E10" t="s">
        <v>339</v>
      </c>
      <c r="F10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lithics_data</vt:lpstr>
      <vt:lpstr>NMDS</vt:lpstr>
      <vt:lpstr>osseous_data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Miedzianogora, David</dc:creator>
  <cp:lastModifiedBy>Miedzianogora, David</cp:lastModifiedBy>
  <dcterms:created xsi:type="dcterms:W3CDTF">2024-09-02T14:09:38Z</dcterms:created>
  <dcterms:modified xsi:type="dcterms:W3CDTF">2024-09-02T14:12:02Z</dcterms:modified>
</cp:coreProperties>
</file>