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ew folder\ITR\"/>
    </mc:Choice>
  </mc:AlternateContent>
  <xr:revisionPtr revIDLastSave="0" documentId="13_ncr:1_{90F3FCA4-363D-4BCB-834F-132AC143D7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S" sheetId="4" r:id="rId1"/>
    <sheet name="PL" sheetId="1" r:id="rId2"/>
    <sheet name="DSCR" sheetId="3" r:id="rId3"/>
    <sheet name="Ratios" sheetId="11" r:id="rId4"/>
    <sheet name="FA" sheetId="5" r:id="rId5"/>
    <sheet name="Loans" sheetId="10" state="hidden" r:id="rId6"/>
    <sheet name="Fixed Assets" sheetId="8" state="hidden" r:id="rId7"/>
    <sheet name="Loan schedule" sheetId="2" state="hidden" r:id="rId8"/>
    <sheet name="Car Loan" sheetId="6" state="hidden" r:id="rId9"/>
    <sheet name="Loan Summary" sheetId="7" state="hidden" r:id="rId10"/>
    <sheet name="Sheet2" sheetId="9" state="hidden" r:id="rId11"/>
  </sheets>
  <definedNames>
    <definedName name="_xlnm.Print_Area" localSheetId="0">BS!$A$1:$J$37</definedName>
    <definedName name="_xlnm.Print_Area" localSheetId="8">'Car Loan'!$A$1:$H$59</definedName>
    <definedName name="_xlnm.Print_Area" localSheetId="2">DSCR!$A$1:$J$24</definedName>
    <definedName name="_xlnm.Print_Area" localSheetId="4">FA!$A$1:$I$54</definedName>
    <definedName name="_xlnm.Print_Area" localSheetId="7">'Loan schedule'!$A$1:$H$99</definedName>
    <definedName name="_xlnm.Print_Area" localSheetId="9">'Loan Summary'!$A$1:$H$15</definedName>
    <definedName name="_xlnm.Print_Area" localSheetId="1">PL!$A$1:$J$47</definedName>
    <definedName name="_xlnm.Print_Area" localSheetId="3">Ratios!$A$1:$J$40</definedName>
    <definedName name="_xlnm.Print_Titles" localSheetId="8">'Car Loan'!$6:$6</definedName>
    <definedName name="_xlnm.Print_Titles" localSheetId="7">'Loan schedule'!$6:$6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1" l="1"/>
  <c r="D25" i="11"/>
  <c r="E25" i="11"/>
  <c r="F25" i="11"/>
  <c r="G25" i="11"/>
  <c r="H25" i="11"/>
  <c r="I25" i="11"/>
  <c r="J25" i="11"/>
  <c r="C21" i="11"/>
  <c r="C9" i="11"/>
  <c r="D14" i="1"/>
  <c r="E15" i="1"/>
  <c r="F15" i="1" s="1"/>
  <c r="G15" i="1" s="1"/>
  <c r="H15" i="1" s="1"/>
  <c r="I15" i="1" s="1"/>
  <c r="J15" i="1" s="1"/>
  <c r="E32" i="4" l="1"/>
  <c r="F32" i="4" s="1"/>
  <c r="G32" i="4" s="1"/>
  <c r="H32" i="4" s="1"/>
  <c r="I32" i="4" s="1"/>
  <c r="J32" i="4" s="1"/>
  <c r="D14" i="4"/>
  <c r="J36" i="1"/>
  <c r="I36" i="1"/>
  <c r="H36" i="1"/>
  <c r="G36" i="1"/>
  <c r="F36" i="1"/>
  <c r="E36" i="1"/>
  <c r="D36" i="1"/>
  <c r="D7" i="1"/>
  <c r="E7" i="1" s="1"/>
  <c r="F7" i="1" s="1"/>
  <c r="G7" i="1" s="1"/>
  <c r="H7" i="1" s="1"/>
  <c r="I7" i="1" s="1"/>
  <c r="J7" i="1" s="1"/>
  <c r="D18" i="4"/>
  <c r="D26" i="11" s="1"/>
  <c r="D27" i="11" s="1"/>
  <c r="D35" i="11" s="1"/>
  <c r="C11" i="3"/>
  <c r="D26" i="1"/>
  <c r="I47" i="5"/>
  <c r="J13" i="3" s="1"/>
  <c r="I41" i="5"/>
  <c r="I13" i="3" s="1"/>
  <c r="I35" i="5"/>
  <c r="H13" i="3" s="1"/>
  <c r="I29" i="5"/>
  <c r="G13" i="3" s="1"/>
  <c r="I23" i="5"/>
  <c r="F13" i="3" s="1"/>
  <c r="I17" i="5"/>
  <c r="E13" i="3" s="1"/>
  <c r="I11" i="5"/>
  <c r="D13" i="3" s="1"/>
  <c r="C27" i="4"/>
  <c r="C19" i="11" s="1"/>
  <c r="D27" i="4"/>
  <c r="D19" i="11" s="1"/>
  <c r="E4" i="5"/>
  <c r="B8" i="8"/>
  <c r="D24" i="1"/>
  <c r="E24" i="1" s="1"/>
  <c r="F24" i="1" s="1"/>
  <c r="G24" i="1" s="1"/>
  <c r="H24" i="1" s="1"/>
  <c r="I24" i="1" s="1"/>
  <c r="J24" i="1" s="1"/>
  <c r="E30" i="1"/>
  <c r="F30" i="1" s="1"/>
  <c r="G30" i="1" s="1"/>
  <c r="H30" i="1" s="1"/>
  <c r="I30" i="1" s="1"/>
  <c r="J30" i="1" s="1"/>
  <c r="E29" i="1"/>
  <c r="F29" i="1" s="1"/>
  <c r="G29" i="1" s="1"/>
  <c r="H29" i="1" s="1"/>
  <c r="I29" i="1" s="1"/>
  <c r="J29" i="1" s="1"/>
  <c r="E28" i="1"/>
  <c r="F28" i="1" s="1"/>
  <c r="G28" i="1" s="1"/>
  <c r="H28" i="1" s="1"/>
  <c r="I28" i="1" s="1"/>
  <c r="J28" i="1" s="1"/>
  <c r="D25" i="1"/>
  <c r="E25" i="1" s="1"/>
  <c r="F25" i="1" s="1"/>
  <c r="G25" i="1" s="1"/>
  <c r="H25" i="1" s="1"/>
  <c r="I25" i="1" s="1"/>
  <c r="J25" i="1" s="1"/>
  <c r="F13" i="1"/>
  <c r="E13" i="1"/>
  <c r="D13" i="1"/>
  <c r="E6" i="1"/>
  <c r="C36" i="1"/>
  <c r="C27" i="1"/>
  <c r="D27" i="1" s="1"/>
  <c r="E27" i="1" s="1"/>
  <c r="F27" i="1" s="1"/>
  <c r="G27" i="1" s="1"/>
  <c r="H27" i="1" s="1"/>
  <c r="I27" i="1" s="1"/>
  <c r="J27" i="1" s="1"/>
  <c r="C26" i="1"/>
  <c r="E26" i="1" s="1"/>
  <c r="F26" i="1" s="1"/>
  <c r="G26" i="1" s="1"/>
  <c r="H26" i="1" s="1"/>
  <c r="I26" i="1" s="1"/>
  <c r="J26" i="1" s="1"/>
  <c r="C24" i="1"/>
  <c r="C22" i="1"/>
  <c r="D22" i="1" s="1"/>
  <c r="E22" i="1" s="1"/>
  <c r="F22" i="1" s="1"/>
  <c r="C23" i="1"/>
  <c r="D23" i="1" s="1"/>
  <c r="E23" i="1" s="1"/>
  <c r="F23" i="1" s="1"/>
  <c r="G23" i="1" s="1"/>
  <c r="H23" i="1" s="1"/>
  <c r="I23" i="1" s="1"/>
  <c r="J23" i="1" s="1"/>
  <c r="C14" i="1"/>
  <c r="C18" i="4" s="1"/>
  <c r="C26" i="11" s="1"/>
  <c r="C27" i="11" s="1"/>
  <c r="C35" i="11" s="1"/>
  <c r="L6" i="1"/>
  <c r="E14" i="1" l="1"/>
  <c r="E18" i="4" s="1"/>
  <c r="E26" i="11" s="1"/>
  <c r="E27" i="11" s="1"/>
  <c r="E35" i="11" s="1"/>
  <c r="F6" i="1"/>
  <c r="E14" i="4"/>
  <c r="D9" i="11"/>
  <c r="E27" i="4"/>
  <c r="E19" i="11" s="1"/>
  <c r="C11" i="1"/>
  <c r="G22" i="1"/>
  <c r="H22" i="1" s="1"/>
  <c r="I22" i="1" s="1"/>
  <c r="J22" i="1" s="1"/>
  <c r="J9" i="3"/>
  <c r="J18" i="3" s="1"/>
  <c r="I5" i="5"/>
  <c r="C13" i="3" s="1"/>
  <c r="C7" i="6"/>
  <c r="D7" i="6"/>
  <c r="F14" i="1" l="1"/>
  <c r="F18" i="4" s="1"/>
  <c r="F26" i="11" s="1"/>
  <c r="F27" i="11" s="1"/>
  <c r="F35" i="11" s="1"/>
  <c r="G6" i="1"/>
  <c r="F14" i="4"/>
  <c r="E9" i="11"/>
  <c r="F27" i="4"/>
  <c r="F19" i="11" s="1"/>
  <c r="G13" i="1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20" i="6" s="1"/>
  <c r="G21" i="6" s="1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G14" i="1" l="1"/>
  <c r="G18" i="4" s="1"/>
  <c r="G26" i="11" s="1"/>
  <c r="G27" i="11" s="1"/>
  <c r="G35" i="11" s="1"/>
  <c r="H6" i="1"/>
  <c r="G14" i="4"/>
  <c r="F9" i="11"/>
  <c r="G27" i="4"/>
  <c r="G19" i="11" s="1"/>
  <c r="H13" i="1"/>
  <c r="I13" i="1"/>
  <c r="G22" i="6"/>
  <c r="H14" i="1" l="1"/>
  <c r="H18" i="4" s="1"/>
  <c r="H26" i="11" s="1"/>
  <c r="H27" i="11" s="1"/>
  <c r="H35" i="11" s="1"/>
  <c r="I6" i="1"/>
  <c r="H14" i="4"/>
  <c r="G9" i="11"/>
  <c r="H27" i="4"/>
  <c r="H19" i="11" s="1"/>
  <c r="G23" i="6"/>
  <c r="I14" i="1" l="1"/>
  <c r="I18" i="4" s="1"/>
  <c r="I26" i="11" s="1"/>
  <c r="I27" i="11" s="1"/>
  <c r="I35" i="11" s="1"/>
  <c r="J6" i="1"/>
  <c r="J14" i="1" s="1"/>
  <c r="J18" i="4" s="1"/>
  <c r="J26" i="11" s="1"/>
  <c r="J27" i="11" s="1"/>
  <c r="J35" i="11" s="1"/>
  <c r="I14" i="4"/>
  <c r="H9" i="11"/>
  <c r="J27" i="4"/>
  <c r="J19" i="11" s="1"/>
  <c r="I27" i="4"/>
  <c r="I19" i="11" s="1"/>
  <c r="J13" i="1"/>
  <c r="G24" i="6"/>
  <c r="J14" i="4" l="1"/>
  <c r="J9" i="11" s="1"/>
  <c r="I9" i="11"/>
  <c r="G25" i="6"/>
  <c r="F7" i="2"/>
  <c r="D7" i="2"/>
  <c r="H7" i="2" s="1"/>
  <c r="D8" i="2" s="1"/>
  <c r="C7" i="2"/>
  <c r="C8" i="2" s="1"/>
  <c r="C9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9" i="2" s="1"/>
  <c r="C90" i="2" s="1"/>
  <c r="C91" i="2" s="1"/>
  <c r="C92" i="2" s="1"/>
  <c r="C93" i="2" s="1"/>
  <c r="C94" i="2" s="1"/>
  <c r="C95" i="2" s="1"/>
  <c r="C96" i="2" s="1"/>
  <c r="C97" i="2" s="1"/>
  <c r="C16" i="1"/>
  <c r="E7" i="2" l="1"/>
  <c r="G7" i="2" s="1"/>
  <c r="F8" i="2"/>
  <c r="F9" i="2" s="1"/>
  <c r="F11" i="2" s="1"/>
  <c r="C31" i="1"/>
  <c r="H9" i="1"/>
  <c r="H29" i="4" s="1"/>
  <c r="H20" i="11" s="1"/>
  <c r="G26" i="6"/>
  <c r="E6" i="5"/>
  <c r="E7" i="5" s="1"/>
  <c r="E8" i="5" s="1"/>
  <c r="E10" i="5" s="1"/>
  <c r="E12" i="5" s="1"/>
  <c r="F6" i="5"/>
  <c r="H6" i="5"/>
  <c r="D6" i="5"/>
  <c r="G6" i="5"/>
  <c r="E8" i="2"/>
  <c r="G8" i="2" s="1"/>
  <c r="E9" i="1"/>
  <c r="E29" i="4" s="1"/>
  <c r="E20" i="11" s="1"/>
  <c r="D9" i="1"/>
  <c r="D29" i="4" s="1"/>
  <c r="D20" i="11" s="1"/>
  <c r="C9" i="1"/>
  <c r="H8" i="2" l="1"/>
  <c r="D9" i="2" s="1"/>
  <c r="E9" i="2" s="1"/>
  <c r="C18" i="1"/>
  <c r="C33" i="1" s="1"/>
  <c r="C34" i="1" s="1"/>
  <c r="C29" i="4"/>
  <c r="C20" i="11" s="1"/>
  <c r="C22" i="11" s="1"/>
  <c r="E13" i="5"/>
  <c r="E14" i="5" s="1"/>
  <c r="E16" i="5" s="1"/>
  <c r="E18" i="5" s="1"/>
  <c r="E10" i="2"/>
  <c r="D6" i="7" s="1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4" i="2" s="1"/>
  <c r="F23" i="2"/>
  <c r="G7" i="7" s="1"/>
  <c r="F10" i="2"/>
  <c r="G6" i="7" s="1"/>
  <c r="I9" i="1"/>
  <c r="I29" i="4" s="1"/>
  <c r="I20" i="11" s="1"/>
  <c r="J9" i="1"/>
  <c r="J29" i="4" s="1"/>
  <c r="J20" i="11" s="1"/>
  <c r="G27" i="6"/>
  <c r="G7" i="5"/>
  <c r="G8" i="5" s="1"/>
  <c r="G10" i="5" s="1"/>
  <c r="G12" i="5" s="1"/>
  <c r="F7" i="5"/>
  <c r="F8" i="5" s="1"/>
  <c r="F10" i="5" s="1"/>
  <c r="F12" i="5" s="1"/>
  <c r="D7" i="5"/>
  <c r="D8" i="5" s="1"/>
  <c r="D10" i="5" s="1"/>
  <c r="D12" i="5" s="1"/>
  <c r="H7" i="5"/>
  <c r="H8" i="5" s="1"/>
  <c r="H10" i="5" s="1"/>
  <c r="H12" i="5" s="1"/>
  <c r="H9" i="2"/>
  <c r="G9" i="2"/>
  <c r="G10" i="2" s="1"/>
  <c r="D31" i="1"/>
  <c r="D16" i="1"/>
  <c r="D18" i="1" s="1"/>
  <c r="F9" i="1"/>
  <c r="F29" i="4" s="1"/>
  <c r="F20" i="11" s="1"/>
  <c r="G9" i="1"/>
  <c r="G29" i="4" s="1"/>
  <c r="G20" i="11" s="1"/>
  <c r="C19" i="1" l="1"/>
  <c r="C33" i="11"/>
  <c r="C37" i="11" s="1"/>
  <c r="C29" i="11"/>
  <c r="D33" i="1"/>
  <c r="D34" i="1" s="1"/>
  <c r="E19" i="5"/>
  <c r="E20" i="5" s="1"/>
  <c r="E22" i="5" s="1"/>
  <c r="E24" i="5" s="1"/>
  <c r="E25" i="5" s="1"/>
  <c r="E26" i="5" s="1"/>
  <c r="E28" i="5" s="1"/>
  <c r="E30" i="5" s="1"/>
  <c r="D11" i="2"/>
  <c r="E11" i="2" s="1"/>
  <c r="H10" i="2"/>
  <c r="F25" i="2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7" i="2" s="1"/>
  <c r="G28" i="6"/>
  <c r="H13" i="5"/>
  <c r="H14" i="5" s="1"/>
  <c r="H16" i="5" s="1"/>
  <c r="H18" i="5" s="1"/>
  <c r="H19" i="5" s="1"/>
  <c r="H20" i="5" s="1"/>
  <c r="H22" i="5" s="1"/>
  <c r="H24" i="5" s="1"/>
  <c r="D13" i="5"/>
  <c r="D14" i="5" s="1"/>
  <c r="D16" i="5" s="1"/>
  <c r="D18" i="5" s="1"/>
  <c r="G13" i="5"/>
  <c r="G14" i="5" s="1"/>
  <c r="G16" i="5" s="1"/>
  <c r="G18" i="5" s="1"/>
  <c r="F13" i="5"/>
  <c r="F14" i="5" s="1"/>
  <c r="F16" i="5" s="1"/>
  <c r="F18" i="5" s="1"/>
  <c r="I4" i="5"/>
  <c r="I6" i="5" s="1"/>
  <c r="D19" i="1"/>
  <c r="E31" i="1"/>
  <c r="E16" i="1"/>
  <c r="E18" i="1" s="1"/>
  <c r="H11" i="2" l="1"/>
  <c r="D12" i="2" s="1"/>
  <c r="E12" i="2" s="1"/>
  <c r="E33" i="1"/>
  <c r="E34" i="1" s="1"/>
  <c r="F38" i="2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50" i="2" s="1"/>
  <c r="F49" i="2"/>
  <c r="G9" i="7" s="1"/>
  <c r="F36" i="2"/>
  <c r="G8" i="7" s="1"/>
  <c r="G11" i="2"/>
  <c r="F16" i="1"/>
  <c r="F18" i="1" s="1"/>
  <c r="F19" i="1" s="1"/>
  <c r="E7" i="6"/>
  <c r="F7" i="6" s="1"/>
  <c r="H7" i="6" s="1"/>
  <c r="D8" i="6" s="1"/>
  <c r="E8" i="6" s="1"/>
  <c r="F8" i="6" s="1"/>
  <c r="H8" i="6" s="1"/>
  <c r="D9" i="6" s="1"/>
  <c r="E9" i="6" s="1"/>
  <c r="F9" i="6" s="1"/>
  <c r="H9" i="6" s="1"/>
  <c r="D10" i="6" s="1"/>
  <c r="G29" i="6"/>
  <c r="G19" i="5"/>
  <c r="G20" i="5" s="1"/>
  <c r="G22" i="5" s="1"/>
  <c r="G24" i="5" s="1"/>
  <c r="F19" i="5"/>
  <c r="F20" i="5" s="1"/>
  <c r="F22" i="5" s="1"/>
  <c r="F24" i="5" s="1"/>
  <c r="D19" i="5"/>
  <c r="D20" i="5" s="1"/>
  <c r="D22" i="5" s="1"/>
  <c r="D24" i="5" s="1"/>
  <c r="I7" i="5"/>
  <c r="C37" i="1" s="1"/>
  <c r="E31" i="5"/>
  <c r="E32" i="5" s="1"/>
  <c r="E34" i="5" s="1"/>
  <c r="E36" i="5" s="1"/>
  <c r="H25" i="5"/>
  <c r="H26" i="5" s="1"/>
  <c r="H28" i="5" s="1"/>
  <c r="H30" i="5" s="1"/>
  <c r="H12" i="2"/>
  <c r="D13" i="2" s="1"/>
  <c r="E13" i="2" s="1"/>
  <c r="G12" i="2"/>
  <c r="E19" i="1"/>
  <c r="F31" i="1"/>
  <c r="F33" i="1" l="1"/>
  <c r="F34" i="1" s="1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3" i="2" s="1"/>
  <c r="G31" i="1"/>
  <c r="I8" i="5"/>
  <c r="C25" i="4" s="1"/>
  <c r="C35" i="4" s="1"/>
  <c r="C7" i="3"/>
  <c r="G30" i="6"/>
  <c r="E10" i="6"/>
  <c r="F10" i="6" s="1"/>
  <c r="H10" i="6" s="1"/>
  <c r="D11" i="6" s="1"/>
  <c r="E11" i="6" s="1"/>
  <c r="F11" i="6" s="1"/>
  <c r="H11" i="6" s="1"/>
  <c r="D12" i="6" s="1"/>
  <c r="G25" i="5"/>
  <c r="G26" i="5" s="1"/>
  <c r="G28" i="5" s="1"/>
  <c r="G30" i="5" s="1"/>
  <c r="F25" i="5"/>
  <c r="F26" i="5" s="1"/>
  <c r="F28" i="5" s="1"/>
  <c r="F30" i="5" s="1"/>
  <c r="E37" i="5"/>
  <c r="E38" i="5" s="1"/>
  <c r="E40" i="5" s="1"/>
  <c r="E42" i="5" s="1"/>
  <c r="E43" i="5" s="1"/>
  <c r="E44" i="5" s="1"/>
  <c r="E46" i="5" s="1"/>
  <c r="H31" i="5"/>
  <c r="H32" i="5" s="1"/>
  <c r="H34" i="5" s="1"/>
  <c r="H36" i="5" s="1"/>
  <c r="D25" i="5"/>
  <c r="D26" i="5" s="1"/>
  <c r="D28" i="5" s="1"/>
  <c r="D30" i="5" s="1"/>
  <c r="H13" i="2"/>
  <c r="D14" i="2" s="1"/>
  <c r="G13" i="2"/>
  <c r="G16" i="1"/>
  <c r="G18" i="1" s="1"/>
  <c r="F62" i="2" l="1"/>
  <c r="G10" i="7" s="1"/>
  <c r="H10" i="7" s="1"/>
  <c r="G33" i="1"/>
  <c r="G34" i="1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6" i="2" s="1"/>
  <c r="F75" i="2"/>
  <c r="G11" i="7" s="1"/>
  <c r="H11" i="7" s="1"/>
  <c r="E48" i="5"/>
  <c r="H16" i="1"/>
  <c r="H18" i="1" s="1"/>
  <c r="H19" i="1" s="1"/>
  <c r="H31" i="1"/>
  <c r="G31" i="6"/>
  <c r="G33" i="6" s="1"/>
  <c r="E12" i="6"/>
  <c r="F12" i="6" s="1"/>
  <c r="H12" i="6" s="1"/>
  <c r="D13" i="6" s="1"/>
  <c r="E13" i="6" s="1"/>
  <c r="F13" i="6" s="1"/>
  <c r="H13" i="6" s="1"/>
  <c r="D14" i="6" s="1"/>
  <c r="D31" i="5"/>
  <c r="D32" i="5" s="1"/>
  <c r="D34" i="5" s="1"/>
  <c r="D36" i="5" s="1"/>
  <c r="G31" i="5"/>
  <c r="G32" i="5" s="1"/>
  <c r="G34" i="5" s="1"/>
  <c r="G36" i="5" s="1"/>
  <c r="H37" i="5"/>
  <c r="H38" i="5" s="1"/>
  <c r="H40" i="5" s="1"/>
  <c r="H42" i="5" s="1"/>
  <c r="I10" i="5"/>
  <c r="I12" i="5" s="1"/>
  <c r="F31" i="5"/>
  <c r="F32" i="5" s="1"/>
  <c r="F34" i="5" s="1"/>
  <c r="F36" i="5" s="1"/>
  <c r="E14" i="2"/>
  <c r="H14" i="2"/>
  <c r="D15" i="2" s="1"/>
  <c r="G19" i="1"/>
  <c r="H33" i="1" l="1"/>
  <c r="H34" i="1" s="1"/>
  <c r="G14" i="2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9" i="2" s="1"/>
  <c r="F88" i="2"/>
  <c r="G12" i="7" s="1"/>
  <c r="H12" i="7" s="1"/>
  <c r="E49" i="5"/>
  <c r="E50" i="5" s="1"/>
  <c r="I16" i="1"/>
  <c r="I18" i="1" s="1"/>
  <c r="I19" i="1" s="1"/>
  <c r="J31" i="1"/>
  <c r="I31" i="1"/>
  <c r="G34" i="6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6" i="6" s="1"/>
  <c r="G47" i="6" s="1"/>
  <c r="G48" i="6" s="1"/>
  <c r="G49" i="6" s="1"/>
  <c r="E14" i="6"/>
  <c r="F14" i="6" s="1"/>
  <c r="H14" i="6" s="1"/>
  <c r="D15" i="6" s="1"/>
  <c r="E15" i="6" s="1"/>
  <c r="F15" i="6" s="1"/>
  <c r="H15" i="6" s="1"/>
  <c r="D16" i="6" s="1"/>
  <c r="D37" i="5"/>
  <c r="D38" i="5" s="1"/>
  <c r="D40" i="5" s="1"/>
  <c r="D42" i="5" s="1"/>
  <c r="H43" i="5"/>
  <c r="H44" i="5" s="1"/>
  <c r="H46" i="5" s="1"/>
  <c r="H48" i="5" s="1"/>
  <c r="F37" i="5"/>
  <c r="F38" i="5" s="1"/>
  <c r="F40" i="5" s="1"/>
  <c r="F42" i="5" s="1"/>
  <c r="G37" i="5"/>
  <c r="G38" i="5" s="1"/>
  <c r="G40" i="5" s="1"/>
  <c r="G42" i="5" s="1"/>
  <c r="I13" i="5"/>
  <c r="E15" i="2"/>
  <c r="G15" i="2" s="1"/>
  <c r="H15" i="2"/>
  <c r="D16" i="2" s="1"/>
  <c r="E16" i="2" s="1"/>
  <c r="I14" i="5" l="1"/>
  <c r="D25" i="4" s="1"/>
  <c r="D37" i="1"/>
  <c r="D7" i="3" s="1"/>
  <c r="I33" i="1"/>
  <c r="I34" i="1" s="1"/>
  <c r="F90" i="2"/>
  <c r="F91" i="2" s="1"/>
  <c r="F92" i="2" s="1"/>
  <c r="F93" i="2" s="1"/>
  <c r="F94" i="2" s="1"/>
  <c r="F95" i="2" s="1"/>
  <c r="F96" i="2" s="1"/>
  <c r="F97" i="2" s="1"/>
  <c r="H49" i="5"/>
  <c r="H50" i="5" s="1"/>
  <c r="J16" i="1"/>
  <c r="J18" i="1" s="1"/>
  <c r="J19" i="1" s="1"/>
  <c r="E16" i="6"/>
  <c r="F16" i="6" s="1"/>
  <c r="H16" i="6" s="1"/>
  <c r="D17" i="6" s="1"/>
  <c r="F43" i="5"/>
  <c r="F44" i="5" s="1"/>
  <c r="F46" i="5" s="1"/>
  <c r="F48" i="5" s="1"/>
  <c r="G43" i="5"/>
  <c r="G44" i="5" s="1"/>
  <c r="G46" i="5" s="1"/>
  <c r="G48" i="5" s="1"/>
  <c r="G49" i="5" s="1"/>
  <c r="G50" i="5" s="1"/>
  <c r="D43" i="5"/>
  <c r="D44" i="5" s="1"/>
  <c r="D46" i="5" s="1"/>
  <c r="H16" i="2"/>
  <c r="D17" i="2" s="1"/>
  <c r="E17" i="2" s="1"/>
  <c r="G16" i="2"/>
  <c r="F98" i="2" l="1"/>
  <c r="G13" i="7" s="1"/>
  <c r="H13" i="7" s="1"/>
  <c r="J20" i="3" s="1"/>
  <c r="J33" i="1"/>
  <c r="F49" i="5"/>
  <c r="F50" i="5" s="1"/>
  <c r="D48" i="5"/>
  <c r="E17" i="6"/>
  <c r="F17" i="6" s="1"/>
  <c r="H17" i="6" s="1"/>
  <c r="D18" i="6" s="1"/>
  <c r="I16" i="5"/>
  <c r="I18" i="5" s="1"/>
  <c r="H17" i="2"/>
  <c r="D18" i="2" s="1"/>
  <c r="E18" i="2" s="1"/>
  <c r="G17" i="2"/>
  <c r="D49" i="5" l="1"/>
  <c r="J34" i="1"/>
  <c r="E18" i="6"/>
  <c r="F18" i="6" s="1"/>
  <c r="H18" i="6" s="1"/>
  <c r="I19" i="5"/>
  <c r="H18" i="2"/>
  <c r="D19" i="2" s="1"/>
  <c r="E19" i="2" s="1"/>
  <c r="G18" i="2"/>
  <c r="E37" i="1" l="1"/>
  <c r="E7" i="3" s="1"/>
  <c r="D50" i="5"/>
  <c r="I20" i="5"/>
  <c r="E25" i="4" s="1"/>
  <c r="F19" i="6"/>
  <c r="F6" i="7" s="1"/>
  <c r="H6" i="7" s="1"/>
  <c r="H19" i="6"/>
  <c r="D20" i="6"/>
  <c r="G19" i="6"/>
  <c r="E19" i="6"/>
  <c r="C6" i="7" s="1"/>
  <c r="E6" i="7" s="1"/>
  <c r="H19" i="2"/>
  <c r="D20" i="2" s="1"/>
  <c r="G19" i="2"/>
  <c r="C9" i="3" l="1"/>
  <c r="C18" i="3" s="1"/>
  <c r="C20" i="3" s="1"/>
  <c r="C39" i="1"/>
  <c r="E20" i="6"/>
  <c r="F20" i="6" s="1"/>
  <c r="H20" i="6" s="1"/>
  <c r="D21" i="6" s="1"/>
  <c r="I22" i="5"/>
  <c r="I24" i="5" s="1"/>
  <c r="E20" i="2"/>
  <c r="G20" i="2" s="1"/>
  <c r="H20" i="2"/>
  <c r="D21" i="2" s="1"/>
  <c r="E21" i="2" s="1"/>
  <c r="C43" i="1" l="1"/>
  <c r="C45" i="1" s="1"/>
  <c r="C41" i="1"/>
  <c r="E21" i="6"/>
  <c r="F21" i="6" s="1"/>
  <c r="H21" i="6" s="1"/>
  <c r="D22" i="6" s="1"/>
  <c r="I25" i="5"/>
  <c r="F37" i="1" s="1"/>
  <c r="H21" i="2"/>
  <c r="D22" i="2" s="1"/>
  <c r="G21" i="2"/>
  <c r="C6" i="3" l="1"/>
  <c r="C8" i="3" s="1"/>
  <c r="C10" i="3" s="1"/>
  <c r="C10" i="4"/>
  <c r="C12" i="4" s="1"/>
  <c r="C12" i="11" s="1"/>
  <c r="C14" i="11" s="1"/>
  <c r="C47" i="1"/>
  <c r="C21" i="4"/>
  <c r="C38" i="4" s="1"/>
  <c r="D9" i="4"/>
  <c r="I26" i="5"/>
  <c r="F25" i="4" s="1"/>
  <c r="F7" i="3"/>
  <c r="E22" i="6"/>
  <c r="F22" i="6" s="1"/>
  <c r="E22" i="2"/>
  <c r="H22" i="2"/>
  <c r="D24" i="2" l="1"/>
  <c r="H23" i="2"/>
  <c r="G22" i="2"/>
  <c r="G23" i="2" s="1"/>
  <c r="E23" i="2"/>
  <c r="D7" i="7" s="1"/>
  <c r="H22" i="6"/>
  <c r="D23" i="6" s="1"/>
  <c r="E23" i="6" s="1"/>
  <c r="F23" i="6" s="1"/>
  <c r="I28" i="5"/>
  <c r="I30" i="5" s="1"/>
  <c r="E24" i="2"/>
  <c r="H24" i="2"/>
  <c r="D25" i="2" s="1"/>
  <c r="H23" i="6" l="1"/>
  <c r="D24" i="6" s="1"/>
  <c r="I31" i="5"/>
  <c r="G37" i="1" s="1"/>
  <c r="G24" i="2"/>
  <c r="E25" i="2"/>
  <c r="G25" i="2" s="1"/>
  <c r="H25" i="2"/>
  <c r="D26" i="2" s="1"/>
  <c r="E26" i="2" s="1"/>
  <c r="I32" i="5" l="1"/>
  <c r="G25" i="4" s="1"/>
  <c r="G7" i="3"/>
  <c r="E24" i="6"/>
  <c r="F24" i="6" s="1"/>
  <c r="H24" i="6" s="1"/>
  <c r="D25" i="6" s="1"/>
  <c r="E25" i="6" s="1"/>
  <c r="F25" i="6" s="1"/>
  <c r="H26" i="2"/>
  <c r="D27" i="2" s="1"/>
  <c r="G26" i="2"/>
  <c r="H25" i="6" l="1"/>
  <c r="D26" i="6" s="1"/>
  <c r="E26" i="6" s="1"/>
  <c r="F26" i="6" s="1"/>
  <c r="H26" i="6" s="1"/>
  <c r="D27" i="6" s="1"/>
  <c r="I34" i="5"/>
  <c r="I36" i="5" s="1"/>
  <c r="E27" i="2"/>
  <c r="H27" i="2"/>
  <c r="D28" i="2" s="1"/>
  <c r="E28" i="2" s="1"/>
  <c r="E27" i="6" l="1"/>
  <c r="F27" i="6" s="1"/>
  <c r="H27" i="6" s="1"/>
  <c r="D28" i="6" s="1"/>
  <c r="I37" i="5"/>
  <c r="H37" i="1" s="1"/>
  <c r="G27" i="2"/>
  <c r="H28" i="2"/>
  <c r="D29" i="2" s="1"/>
  <c r="G28" i="2"/>
  <c r="I38" i="5" l="1"/>
  <c r="H25" i="4" s="1"/>
  <c r="H7" i="3"/>
  <c r="E28" i="6"/>
  <c r="F28" i="6" s="1"/>
  <c r="H28" i="6" s="1"/>
  <c r="D29" i="6" s="1"/>
  <c r="I40" i="5"/>
  <c r="I42" i="5" s="1"/>
  <c r="E29" i="2"/>
  <c r="H29" i="2"/>
  <c r="D30" i="2" s="1"/>
  <c r="E30" i="2" s="1"/>
  <c r="E29" i="6" l="1"/>
  <c r="F29" i="6" s="1"/>
  <c r="H29" i="6" s="1"/>
  <c r="D30" i="6" s="1"/>
  <c r="I43" i="5"/>
  <c r="I37" i="1" s="1"/>
  <c r="G29" i="2"/>
  <c r="H30" i="2"/>
  <c r="D31" i="2" s="1"/>
  <c r="E31" i="2" s="1"/>
  <c r="G30" i="2"/>
  <c r="I44" i="5" l="1"/>
  <c r="I25" i="4" s="1"/>
  <c r="I7" i="3"/>
  <c r="E30" i="6"/>
  <c r="F30" i="6" s="1"/>
  <c r="H30" i="6" s="1"/>
  <c r="D31" i="6" s="1"/>
  <c r="H31" i="2"/>
  <c r="D32" i="2" s="1"/>
  <c r="G31" i="2"/>
  <c r="I46" i="5" l="1"/>
  <c r="I48" i="5" s="1"/>
  <c r="E31" i="6"/>
  <c r="F31" i="6" s="1"/>
  <c r="H31" i="6" s="1"/>
  <c r="E32" i="2"/>
  <c r="H32" i="2"/>
  <c r="D33" i="2" s="1"/>
  <c r="I49" i="5" l="1"/>
  <c r="F32" i="6"/>
  <c r="F7" i="7" s="1"/>
  <c r="H7" i="7" s="1"/>
  <c r="H32" i="6"/>
  <c r="D33" i="6"/>
  <c r="G32" i="6"/>
  <c r="E32" i="6"/>
  <c r="C7" i="7" s="1"/>
  <c r="E7" i="7" s="1"/>
  <c r="G32" i="2"/>
  <c r="E33" i="2"/>
  <c r="G33" i="2" s="1"/>
  <c r="H33" i="2"/>
  <c r="D34" i="2" s="1"/>
  <c r="E34" i="2" s="1"/>
  <c r="J37" i="1" l="1"/>
  <c r="J39" i="1" s="1"/>
  <c r="I50" i="5"/>
  <c r="J25" i="4" s="1"/>
  <c r="D9" i="3"/>
  <c r="D18" i="3" s="1"/>
  <c r="D20" i="3" s="1"/>
  <c r="D39" i="1"/>
  <c r="E33" i="6"/>
  <c r="F33" i="6" s="1"/>
  <c r="H33" i="6" s="1"/>
  <c r="D34" i="6" s="1"/>
  <c r="H34" i="2"/>
  <c r="D35" i="2" s="1"/>
  <c r="G34" i="2"/>
  <c r="J43" i="1" l="1"/>
  <c r="J45" i="1" s="1"/>
  <c r="J6" i="3" s="1"/>
  <c r="D43" i="1"/>
  <c r="D45" i="1" s="1"/>
  <c r="D6" i="3" s="1"/>
  <c r="J7" i="3"/>
  <c r="J41" i="1"/>
  <c r="D41" i="1"/>
  <c r="D8" i="3"/>
  <c r="D10" i="3" s="1"/>
  <c r="E34" i="6"/>
  <c r="F34" i="6" s="1"/>
  <c r="H34" i="6" s="1"/>
  <c r="D35" i="6" s="1"/>
  <c r="E35" i="2"/>
  <c r="H35" i="2"/>
  <c r="J47" i="1" l="1"/>
  <c r="J10" i="4"/>
  <c r="D47" i="1"/>
  <c r="D10" i="4"/>
  <c r="J8" i="3"/>
  <c r="J10" i="3" s="1"/>
  <c r="E35" i="6"/>
  <c r="F35" i="6" s="1"/>
  <c r="G35" i="2"/>
  <c r="G36" i="2" s="1"/>
  <c r="E36" i="2"/>
  <c r="D8" i="7" s="1"/>
  <c r="D37" i="2"/>
  <c r="H36" i="2"/>
  <c r="E37" i="2"/>
  <c r="H37" i="2"/>
  <c r="D38" i="2" s="1"/>
  <c r="D11" i="4" l="1"/>
  <c r="D12" i="4" s="1"/>
  <c r="J11" i="4"/>
  <c r="J11" i="3" s="1"/>
  <c r="J12" i="3" s="1"/>
  <c r="J15" i="3" s="1"/>
  <c r="J22" i="3" s="1"/>
  <c r="H35" i="6"/>
  <c r="D36" i="6" s="1"/>
  <c r="E36" i="6" s="1"/>
  <c r="F36" i="6" s="1"/>
  <c r="G37" i="2"/>
  <c r="E38" i="2"/>
  <c r="G38" i="2" s="1"/>
  <c r="H38" i="2"/>
  <c r="D39" i="2" s="1"/>
  <c r="E39" i="2" s="1"/>
  <c r="E9" i="4" l="1"/>
  <c r="D12" i="11"/>
  <c r="D14" i="11" s="1"/>
  <c r="D11" i="3"/>
  <c r="D21" i="4"/>
  <c r="D33" i="4" s="1"/>
  <c r="H36" i="6"/>
  <c r="D37" i="6" s="1"/>
  <c r="E37" i="6" s="1"/>
  <c r="F37" i="6" s="1"/>
  <c r="H39" i="2"/>
  <c r="D40" i="2" s="1"/>
  <c r="G39" i="2"/>
  <c r="D35" i="4" l="1"/>
  <c r="D38" i="4" s="1"/>
  <c r="D21" i="11"/>
  <c r="D22" i="11" s="1"/>
  <c r="H37" i="6"/>
  <c r="D38" i="6" s="1"/>
  <c r="E38" i="6" s="1"/>
  <c r="F38" i="6" s="1"/>
  <c r="E40" i="2"/>
  <c r="H40" i="2"/>
  <c r="D41" i="2" s="1"/>
  <c r="D29" i="11" l="1"/>
  <c r="D33" i="11"/>
  <c r="D37" i="11" s="1"/>
  <c r="H38" i="6"/>
  <c r="D39" i="6" s="1"/>
  <c r="G40" i="2"/>
  <c r="E41" i="2"/>
  <c r="G41" i="2" s="1"/>
  <c r="H41" i="2"/>
  <c r="D42" i="2" s="1"/>
  <c r="E39" i="6" l="1"/>
  <c r="F39" i="6" s="1"/>
  <c r="H39" i="6" s="1"/>
  <c r="D40" i="6" s="1"/>
  <c r="E40" i="6" s="1"/>
  <c r="F40" i="6" s="1"/>
  <c r="E42" i="2"/>
  <c r="H42" i="2"/>
  <c r="D43" i="2" s="1"/>
  <c r="E43" i="2" s="1"/>
  <c r="H40" i="6" l="1"/>
  <c r="D41" i="6" s="1"/>
  <c r="G42" i="2"/>
  <c r="H43" i="2"/>
  <c r="D44" i="2" s="1"/>
  <c r="E44" i="2" s="1"/>
  <c r="G43" i="2"/>
  <c r="E41" i="6" l="1"/>
  <c r="F41" i="6" s="1"/>
  <c r="H41" i="6" s="1"/>
  <c r="D42" i="6" s="1"/>
  <c r="E42" i="6" s="1"/>
  <c r="F42" i="6" s="1"/>
  <c r="H44" i="2"/>
  <c r="D45" i="2" s="1"/>
  <c r="G44" i="2"/>
  <c r="H42" i="6" l="1"/>
  <c r="D43" i="6" s="1"/>
  <c r="E45" i="2"/>
  <c r="H45" i="2"/>
  <c r="D46" i="2" s="1"/>
  <c r="E43" i="6" l="1"/>
  <c r="F43" i="6" s="1"/>
  <c r="H43" i="6" s="1"/>
  <c r="D44" i="6" s="1"/>
  <c r="E44" i="6" s="1"/>
  <c r="F44" i="6" s="1"/>
  <c r="G45" i="2"/>
  <c r="E46" i="2"/>
  <c r="G46" i="2" s="1"/>
  <c r="H46" i="2"/>
  <c r="D47" i="2" s="1"/>
  <c r="E47" i="2" s="1"/>
  <c r="F45" i="6" l="1"/>
  <c r="F8" i="7" s="1"/>
  <c r="H8" i="7" s="1"/>
  <c r="H44" i="6"/>
  <c r="H45" i="6" s="1"/>
  <c r="G45" i="6"/>
  <c r="E45" i="6"/>
  <c r="C8" i="7" s="1"/>
  <c r="E8" i="7" s="1"/>
  <c r="H47" i="2"/>
  <c r="D48" i="2" s="1"/>
  <c r="G47" i="2"/>
  <c r="E9" i="3" l="1"/>
  <c r="E18" i="3" s="1"/>
  <c r="E20" i="3" s="1"/>
  <c r="E39" i="1"/>
  <c r="D46" i="6"/>
  <c r="E48" i="2"/>
  <c r="H48" i="2"/>
  <c r="E43" i="1" l="1"/>
  <c r="E45" i="1" s="1"/>
  <c r="E6" i="3" s="1"/>
  <c r="E8" i="3" s="1"/>
  <c r="E10" i="3" s="1"/>
  <c r="E41" i="1"/>
  <c r="E46" i="6"/>
  <c r="G48" i="2"/>
  <c r="G49" i="2" s="1"/>
  <c r="E49" i="2"/>
  <c r="D9" i="7" s="1"/>
  <c r="D50" i="2"/>
  <c r="H50" i="2" s="1"/>
  <c r="D51" i="2" s="1"/>
  <c r="H49" i="2"/>
  <c r="E50" i="2"/>
  <c r="E10" i="4" l="1"/>
  <c r="E47" i="1"/>
  <c r="C12" i="3"/>
  <c r="C15" i="3" s="1"/>
  <c r="C22" i="3" s="1"/>
  <c r="F46" i="6"/>
  <c r="H46" i="6" s="1"/>
  <c r="D47" i="6" s="1"/>
  <c r="G50" i="2"/>
  <c r="E51" i="2"/>
  <c r="G51" i="2" s="1"/>
  <c r="H51" i="2"/>
  <c r="D52" i="2" s="1"/>
  <c r="E52" i="2" s="1"/>
  <c r="E11" i="4" l="1"/>
  <c r="E11" i="3" s="1"/>
  <c r="E47" i="6"/>
  <c r="F47" i="6" s="1"/>
  <c r="H47" i="6"/>
  <c r="D48" i="6" s="1"/>
  <c r="E48" i="6" s="1"/>
  <c r="F48" i="6" s="1"/>
  <c r="H52" i="2"/>
  <c r="D53" i="2" s="1"/>
  <c r="G52" i="2"/>
  <c r="H48" i="6" l="1"/>
  <c r="D49" i="6" s="1"/>
  <c r="E12" i="4"/>
  <c r="E49" i="6"/>
  <c r="F49" i="6" s="1"/>
  <c r="H49" i="6" s="1"/>
  <c r="E53" i="2"/>
  <c r="H53" i="2"/>
  <c r="D54" i="2" s="1"/>
  <c r="E21" i="4" l="1"/>
  <c r="E33" i="4" s="1"/>
  <c r="E12" i="11"/>
  <c r="E14" i="11" s="1"/>
  <c r="F9" i="4"/>
  <c r="H50" i="6"/>
  <c r="G53" i="2"/>
  <c r="E54" i="2"/>
  <c r="G54" i="2" s="1"/>
  <c r="H54" i="2"/>
  <c r="D55" i="2" s="1"/>
  <c r="E35" i="4" l="1"/>
  <c r="E38" i="4" s="1"/>
  <c r="E21" i="11"/>
  <c r="E22" i="11" s="1"/>
  <c r="H51" i="6"/>
  <c r="E55" i="2"/>
  <c r="H55" i="2"/>
  <c r="D56" i="2" s="1"/>
  <c r="E56" i="2" s="1"/>
  <c r="E29" i="11" l="1"/>
  <c r="E33" i="11"/>
  <c r="E37" i="11" s="1"/>
  <c r="H52" i="6"/>
  <c r="G55" i="2"/>
  <c r="H56" i="2"/>
  <c r="D57" i="2" s="1"/>
  <c r="G56" i="2"/>
  <c r="H53" i="6" l="1"/>
  <c r="E57" i="2"/>
  <c r="H57" i="2"/>
  <c r="D58" i="2" s="1"/>
  <c r="H54" i="6" l="1"/>
  <c r="G57" i="2"/>
  <c r="E58" i="2"/>
  <c r="G58" i="2" s="1"/>
  <c r="H58" i="2"/>
  <c r="D59" i="2" s="1"/>
  <c r="H55" i="6" l="1"/>
  <c r="E59" i="2"/>
  <c r="G59" i="2" s="1"/>
  <c r="H59" i="2"/>
  <c r="D60" i="2" s="1"/>
  <c r="E60" i="2" s="1"/>
  <c r="H60" i="2" l="1"/>
  <c r="D61" i="2" s="1"/>
  <c r="G60" i="2"/>
  <c r="H56" i="6" l="1"/>
  <c r="F58" i="6"/>
  <c r="F9" i="7" s="1"/>
  <c r="H9" i="7" s="1"/>
  <c r="G58" i="6"/>
  <c r="E58" i="6"/>
  <c r="C9" i="7" s="1"/>
  <c r="E9" i="7" s="1"/>
  <c r="E61" i="2"/>
  <c r="H61" i="2"/>
  <c r="F39" i="1" l="1"/>
  <c r="F9" i="3"/>
  <c r="F18" i="3" s="1"/>
  <c r="F20" i="3" s="1"/>
  <c r="H57" i="6"/>
  <c r="H58" i="6" s="1"/>
  <c r="G61" i="2"/>
  <c r="G62" i="2" s="1"/>
  <c r="E62" i="2"/>
  <c r="D10" i="7" s="1"/>
  <c r="E10" i="7" s="1"/>
  <c r="D63" i="2"/>
  <c r="H63" i="2" s="1"/>
  <c r="D64" i="2" s="1"/>
  <c r="H62" i="2"/>
  <c r="E63" i="2"/>
  <c r="F43" i="1" l="1"/>
  <c r="F45" i="1" s="1"/>
  <c r="F6" i="3" s="1"/>
  <c r="F41" i="1"/>
  <c r="F8" i="3"/>
  <c r="F10" i="3" s="1"/>
  <c r="G63" i="2"/>
  <c r="G9" i="3"/>
  <c r="G18" i="3" s="1"/>
  <c r="G20" i="3" s="1"/>
  <c r="G39" i="1"/>
  <c r="E64" i="2"/>
  <c r="G64" i="2" s="1"/>
  <c r="H64" i="2"/>
  <c r="D65" i="2" s="1"/>
  <c r="E65" i="2" s="1"/>
  <c r="F47" i="1" l="1"/>
  <c r="F10" i="4"/>
  <c r="F11" i="4" s="1"/>
  <c r="F11" i="3" s="1"/>
  <c r="G43" i="1"/>
  <c r="G45" i="1" s="1"/>
  <c r="G6" i="3" s="1"/>
  <c r="D12" i="3"/>
  <c r="D15" i="3" s="1"/>
  <c r="D22" i="3" s="1"/>
  <c r="E12" i="3"/>
  <c r="E15" i="3" s="1"/>
  <c r="E22" i="3" s="1"/>
  <c r="G41" i="1"/>
  <c r="G8" i="3"/>
  <c r="G10" i="3" s="1"/>
  <c r="H65" i="2"/>
  <c r="D66" i="2" s="1"/>
  <c r="G65" i="2"/>
  <c r="F12" i="4" l="1"/>
  <c r="G10" i="4"/>
  <c r="G47" i="1"/>
  <c r="E66" i="2"/>
  <c r="H66" i="2"/>
  <c r="D67" i="2" s="1"/>
  <c r="F21" i="4" l="1"/>
  <c r="F33" i="4" s="1"/>
  <c r="F12" i="11"/>
  <c r="F14" i="11" s="1"/>
  <c r="G9" i="4"/>
  <c r="G11" i="4"/>
  <c r="G11" i="3" s="1"/>
  <c r="G66" i="2"/>
  <c r="E67" i="2"/>
  <c r="G67" i="2" s="1"/>
  <c r="H67" i="2"/>
  <c r="D68" i="2" s="1"/>
  <c r="F35" i="4" l="1"/>
  <c r="F38" i="4" s="1"/>
  <c r="F21" i="11"/>
  <c r="F22" i="11" s="1"/>
  <c r="G12" i="4"/>
  <c r="E68" i="2"/>
  <c r="H68" i="2"/>
  <c r="D69" i="2" s="1"/>
  <c r="E69" i="2" s="1"/>
  <c r="F29" i="11" l="1"/>
  <c r="F33" i="11"/>
  <c r="F37" i="11" s="1"/>
  <c r="G21" i="4"/>
  <c r="G33" i="4" s="1"/>
  <c r="G12" i="11"/>
  <c r="G14" i="11" s="1"/>
  <c r="H9" i="4"/>
  <c r="G68" i="2"/>
  <c r="H69" i="2"/>
  <c r="D70" i="2" s="1"/>
  <c r="E70" i="2" s="1"/>
  <c r="G69" i="2"/>
  <c r="G35" i="4" l="1"/>
  <c r="G38" i="4" s="1"/>
  <c r="G21" i="11"/>
  <c r="G22" i="11" s="1"/>
  <c r="H70" i="2"/>
  <c r="D71" i="2" s="1"/>
  <c r="G70" i="2"/>
  <c r="G29" i="11" l="1"/>
  <c r="G33" i="11"/>
  <c r="G37" i="11" s="1"/>
  <c r="E71" i="2"/>
  <c r="H71" i="2"/>
  <c r="D72" i="2" s="1"/>
  <c r="G71" i="2" l="1"/>
  <c r="E72" i="2"/>
  <c r="G72" i="2" s="1"/>
  <c r="H72" i="2"/>
  <c r="D73" i="2" s="1"/>
  <c r="E73" i="2" s="1"/>
  <c r="H73" i="2" l="1"/>
  <c r="D74" i="2" s="1"/>
  <c r="G73" i="2"/>
  <c r="E74" i="2" l="1"/>
  <c r="H74" i="2"/>
  <c r="G74" i="2" l="1"/>
  <c r="G75" i="2" s="1"/>
  <c r="E75" i="2"/>
  <c r="D11" i="7" s="1"/>
  <c r="E11" i="7" s="1"/>
  <c r="D76" i="2"/>
  <c r="E76" i="2" s="1"/>
  <c r="H75" i="2"/>
  <c r="H76" i="2" l="1"/>
  <c r="D77" i="2" s="1"/>
  <c r="G76" i="2"/>
  <c r="H9" i="3"/>
  <c r="H18" i="3" s="1"/>
  <c r="H20" i="3" s="1"/>
  <c r="H39" i="1"/>
  <c r="E77" i="2"/>
  <c r="G77" i="2" s="1"/>
  <c r="H77" i="2"/>
  <c r="D78" i="2" s="1"/>
  <c r="E78" i="2" s="1"/>
  <c r="H43" i="1" l="1"/>
  <c r="H45" i="1" s="1"/>
  <c r="H6" i="3" s="1"/>
  <c r="H41" i="1"/>
  <c r="H8" i="3"/>
  <c r="H10" i="3" s="1"/>
  <c r="H78" i="2"/>
  <c r="D79" i="2" s="1"/>
  <c r="G78" i="2"/>
  <c r="H47" i="1" l="1"/>
  <c r="H10" i="4"/>
  <c r="F12" i="3"/>
  <c r="F15" i="3" s="1"/>
  <c r="F22" i="3" s="1"/>
  <c r="E79" i="2"/>
  <c r="H79" i="2"/>
  <c r="D80" i="2" s="1"/>
  <c r="H11" i="4" l="1"/>
  <c r="H12" i="4" s="1"/>
  <c r="G79" i="2"/>
  <c r="E80" i="2"/>
  <c r="G80" i="2" s="1"/>
  <c r="H80" i="2"/>
  <c r="D81" i="2" s="1"/>
  <c r="H21" i="4" l="1"/>
  <c r="H33" i="4" s="1"/>
  <c r="H12" i="11"/>
  <c r="H14" i="11" s="1"/>
  <c r="H11" i="3"/>
  <c r="H12" i="3" s="1"/>
  <c r="H15" i="3" s="1"/>
  <c r="H22" i="3" s="1"/>
  <c r="I9" i="4"/>
  <c r="E81" i="2"/>
  <c r="H81" i="2"/>
  <c r="D82" i="2" s="1"/>
  <c r="E82" i="2" s="1"/>
  <c r="H35" i="4" l="1"/>
  <c r="H38" i="4" s="1"/>
  <c r="H21" i="11"/>
  <c r="H22" i="11" s="1"/>
  <c r="G81" i="2"/>
  <c r="H82" i="2"/>
  <c r="D83" i="2" s="1"/>
  <c r="G82" i="2"/>
  <c r="H29" i="11" l="1"/>
  <c r="H33" i="11"/>
  <c r="H37" i="11" s="1"/>
  <c r="E83" i="2"/>
  <c r="H83" i="2"/>
  <c r="D84" i="2" s="1"/>
  <c r="G83" i="2" l="1"/>
  <c r="H84" i="2"/>
  <c r="D85" i="2" s="1"/>
  <c r="E85" i="2" s="1"/>
  <c r="E84" i="2"/>
  <c r="G84" i="2" s="1"/>
  <c r="H85" i="2" l="1"/>
  <c r="D86" i="2" s="1"/>
  <c r="E86" i="2" s="1"/>
  <c r="G85" i="2"/>
  <c r="H86" i="2" l="1"/>
  <c r="D87" i="2" s="1"/>
  <c r="E87" i="2" s="1"/>
  <c r="E88" i="2" s="1"/>
  <c r="D12" i="7" s="1"/>
  <c r="E12" i="7" s="1"/>
  <c r="G86" i="2"/>
  <c r="I9" i="3" l="1"/>
  <c r="I18" i="3" s="1"/>
  <c r="I20" i="3" s="1"/>
  <c r="I39" i="1"/>
  <c r="H87" i="2"/>
  <c r="G87" i="2"/>
  <c r="G88" i="2" s="1"/>
  <c r="I43" i="1" l="1"/>
  <c r="I45" i="1" s="1"/>
  <c r="I6" i="3" s="1"/>
  <c r="I8" i="3" s="1"/>
  <c r="I10" i="3" s="1"/>
  <c r="D89" i="2"/>
  <c r="E89" i="2" s="1"/>
  <c r="H88" i="2"/>
  <c r="I41" i="1"/>
  <c r="I10" i="4" l="1"/>
  <c r="I47" i="1"/>
  <c r="G12" i="3"/>
  <c r="G15" i="3" s="1"/>
  <c r="G22" i="3" s="1"/>
  <c r="H89" i="2"/>
  <c r="D90" i="2" s="1"/>
  <c r="E90" i="2" s="1"/>
  <c r="G90" i="2" s="1"/>
  <c r="G89" i="2"/>
  <c r="I11" i="4" l="1"/>
  <c r="I11" i="3" s="1"/>
  <c r="I12" i="3" s="1"/>
  <c r="I15" i="3" s="1"/>
  <c r="I22" i="3" s="1"/>
  <c r="H90" i="2"/>
  <c r="D91" i="2" s="1"/>
  <c r="E91" i="2" s="1"/>
  <c r="G91" i="2" s="1"/>
  <c r="H91" i="2"/>
  <c r="D92" i="2" s="1"/>
  <c r="I12" i="4" l="1"/>
  <c r="E92" i="2"/>
  <c r="H92" i="2"/>
  <c r="D93" i="2" s="1"/>
  <c r="I21" i="4" l="1"/>
  <c r="I33" i="4" s="1"/>
  <c r="I12" i="11"/>
  <c r="I14" i="11" s="1"/>
  <c r="J9" i="4"/>
  <c r="J12" i="4" s="1"/>
  <c r="G92" i="2"/>
  <c r="E93" i="2"/>
  <c r="G93" i="2" s="1"/>
  <c r="H93" i="2"/>
  <c r="D94" i="2" s="1"/>
  <c r="E94" i="2" s="1"/>
  <c r="I35" i="4" l="1"/>
  <c r="I38" i="4" s="1"/>
  <c r="I21" i="11"/>
  <c r="I22" i="11" s="1"/>
  <c r="J21" i="4"/>
  <c r="J33" i="4" s="1"/>
  <c r="J12" i="11"/>
  <c r="J14" i="11" s="1"/>
  <c r="H94" i="2"/>
  <c r="D95" i="2" s="1"/>
  <c r="E95" i="2" s="1"/>
  <c r="G94" i="2"/>
  <c r="I29" i="11" l="1"/>
  <c r="I33" i="11"/>
  <c r="I37" i="11" s="1"/>
  <c r="J35" i="4"/>
  <c r="J38" i="4" s="1"/>
  <c r="J21" i="11"/>
  <c r="J22" i="11" s="1"/>
  <c r="H95" i="2"/>
  <c r="D96" i="2" s="1"/>
  <c r="G95" i="2"/>
  <c r="J29" i="11" l="1"/>
  <c r="J33" i="11"/>
  <c r="J37" i="11" s="1"/>
  <c r="E96" i="2"/>
  <c r="G96" i="2" s="1"/>
  <c r="H96" i="2"/>
  <c r="D97" i="2" s="1"/>
  <c r="E97" i="2" l="1"/>
  <c r="E98" i="2" s="1"/>
  <c r="D13" i="7" s="1"/>
  <c r="E13" i="7" s="1"/>
  <c r="H97" i="2"/>
  <c r="H98" i="2" s="1"/>
  <c r="G97" i="2" l="1"/>
  <c r="G98" i="2" s="1"/>
</calcChain>
</file>

<file path=xl/sharedStrings.xml><?xml version="1.0" encoding="utf-8"?>
<sst xmlns="http://schemas.openxmlformats.org/spreadsheetml/2006/main" count="234" uniqueCount="163">
  <si>
    <t>Sale</t>
  </si>
  <si>
    <t>Opening Stock</t>
  </si>
  <si>
    <t>Add: Purchases</t>
  </si>
  <si>
    <t>Less: Closing Stock</t>
  </si>
  <si>
    <t>Total Revenue</t>
  </si>
  <si>
    <t>Total Expenses</t>
  </si>
  <si>
    <t>Profit before Interest and Depreciation</t>
  </si>
  <si>
    <t>Profit before tax</t>
  </si>
  <si>
    <t>FY 16-17</t>
  </si>
  <si>
    <t>FY 17-18</t>
  </si>
  <si>
    <t>FY 18-19</t>
  </si>
  <si>
    <t>FY 19-20</t>
  </si>
  <si>
    <t>FY 20-21</t>
  </si>
  <si>
    <t>Gross Profit %</t>
  </si>
  <si>
    <t>Profit before tax %</t>
  </si>
  <si>
    <t>PBID %</t>
  </si>
  <si>
    <t>Particulars</t>
  </si>
  <si>
    <t>Profit &amp; Loss Statement</t>
  </si>
  <si>
    <t>FY 21-22</t>
  </si>
  <si>
    <t>FY 22-23</t>
  </si>
  <si>
    <t>Cost of Good Sold</t>
  </si>
  <si>
    <t>I</t>
  </si>
  <si>
    <t>II</t>
  </si>
  <si>
    <t>Gross Profit (I-II)</t>
  </si>
  <si>
    <t>Other Operating Expenses</t>
  </si>
  <si>
    <t>III</t>
  </si>
  <si>
    <t xml:space="preserve">Loan Amount </t>
  </si>
  <si>
    <t>Interest Rate</t>
  </si>
  <si>
    <t>Month</t>
  </si>
  <si>
    <t>Int Rate</t>
  </si>
  <si>
    <t>Opening Balance</t>
  </si>
  <si>
    <t>Interest</t>
  </si>
  <si>
    <t>Principal</t>
  </si>
  <si>
    <t>Total Repayment</t>
  </si>
  <si>
    <t>Closing Balance</t>
  </si>
  <si>
    <t>Repayment period - 84 months</t>
  </si>
  <si>
    <t>Add: Depreciation</t>
  </si>
  <si>
    <t>Cash Profit</t>
  </si>
  <si>
    <t>Add: Interest</t>
  </si>
  <si>
    <t>Cash profit before Interest</t>
  </si>
  <si>
    <t>Loan Repayment</t>
  </si>
  <si>
    <t>Debt Service Covergae Ratio</t>
  </si>
  <si>
    <t>IV</t>
  </si>
  <si>
    <t>Total</t>
  </si>
  <si>
    <t>Balance Sheet</t>
  </si>
  <si>
    <t>Shop</t>
  </si>
  <si>
    <t>Machinery</t>
  </si>
  <si>
    <t>Computer</t>
  </si>
  <si>
    <t>Additions/ (Disposal)</t>
  </si>
  <si>
    <t>FY 2016-17</t>
  </si>
  <si>
    <t>Dep FY 16-17</t>
  </si>
  <si>
    <t>Opening balance</t>
  </si>
  <si>
    <t>Add: Net Proft</t>
  </si>
  <si>
    <t>Less: Drawings</t>
  </si>
  <si>
    <t>Closing balance</t>
  </si>
  <si>
    <t>i</t>
  </si>
  <si>
    <t>ii</t>
  </si>
  <si>
    <t>iii</t>
  </si>
  <si>
    <t>vi</t>
  </si>
  <si>
    <t>vii</t>
  </si>
  <si>
    <t>Fixed Assets</t>
  </si>
  <si>
    <t>viii</t>
  </si>
  <si>
    <t>Closing Stock</t>
  </si>
  <si>
    <t>ix</t>
  </si>
  <si>
    <t>Cash &amp; Bank Balances</t>
  </si>
  <si>
    <t>Cash In Hand</t>
  </si>
  <si>
    <t>Total Rs.</t>
  </si>
  <si>
    <t>CAPITAL &amp; LIABILITIES</t>
  </si>
  <si>
    <t>ASSETS</t>
  </si>
  <si>
    <t>FY 2017-18</t>
  </si>
  <si>
    <t>FY 2018-19</t>
  </si>
  <si>
    <t>FY 2019-20</t>
  </si>
  <si>
    <t>FY 2020-21</t>
  </si>
  <si>
    <t>FY 2021-22</t>
  </si>
  <si>
    <t>FY 2022-23</t>
  </si>
  <si>
    <t>Dep FY 17-18</t>
  </si>
  <si>
    <t>Dep FY 18-19</t>
  </si>
  <si>
    <t>Dep FY 19-20</t>
  </si>
  <si>
    <t>Dep FY 20-21</t>
  </si>
  <si>
    <t>Dep FY 21-22</t>
  </si>
  <si>
    <t>Dep FY 22-23</t>
  </si>
  <si>
    <t>Balances in Bank</t>
  </si>
  <si>
    <t>Sundry Creditors &amp; Other payables</t>
  </si>
  <si>
    <t>Loan Account No 292300NG00001354</t>
  </si>
  <si>
    <t>Car Loan Repayment Schedule</t>
  </si>
  <si>
    <t>Loan Amount as on 31.03.2016</t>
  </si>
  <si>
    <t>Interest Repayment</t>
  </si>
  <si>
    <t>Car Loan</t>
  </si>
  <si>
    <t>New Loan</t>
  </si>
  <si>
    <t>Principal Repayment</t>
  </si>
  <si>
    <t>Year</t>
  </si>
  <si>
    <t>2016-17</t>
  </si>
  <si>
    <t>2017-18</t>
  </si>
  <si>
    <t>2018-19</t>
  </si>
  <si>
    <t>2019-20</t>
  </si>
  <si>
    <t>2020-21</t>
  </si>
  <si>
    <t>2021-22</t>
  </si>
  <si>
    <t>2022-23</t>
  </si>
  <si>
    <t>CASH FLOW &amp; DEBT SERVICE COVERAGE RATIO</t>
  </si>
  <si>
    <t>Add: New Loan taken</t>
  </si>
  <si>
    <t>Add: (Purchase)/Sale of fixed asset</t>
  </si>
  <si>
    <t>V</t>
  </si>
  <si>
    <t>Balance Cash</t>
  </si>
  <si>
    <t>VI</t>
  </si>
  <si>
    <t>(IV/V)</t>
  </si>
  <si>
    <t>New Loan Repayment Schedule</t>
  </si>
  <si>
    <t>Loan Summary</t>
  </si>
  <si>
    <t>FY 23-24</t>
  </si>
  <si>
    <t>2023-24</t>
  </si>
  <si>
    <t>FY 2023-24</t>
  </si>
  <si>
    <t>Dep FY 23-24</t>
  </si>
  <si>
    <t>Debtors</t>
  </si>
  <si>
    <t>Bank Loan Type</t>
  </si>
  <si>
    <t>Overdraft</t>
  </si>
  <si>
    <t>Balance as on 31.03.2017</t>
  </si>
  <si>
    <t>Interest rate</t>
  </si>
  <si>
    <t>Security</t>
  </si>
  <si>
    <t>Office Building</t>
  </si>
  <si>
    <t>Vehicles</t>
  </si>
  <si>
    <t>Furniture</t>
  </si>
  <si>
    <t>stocks</t>
  </si>
  <si>
    <t>cc</t>
  </si>
  <si>
    <t>cd</t>
  </si>
  <si>
    <t>Service &amp; Installation charges</t>
  </si>
  <si>
    <t>Plant &amp; Machinery</t>
  </si>
  <si>
    <t>Air Conditioner</t>
  </si>
  <si>
    <t>Bank Overdaft</t>
  </si>
  <si>
    <t>Unsecured Loans from Relatives</t>
  </si>
  <si>
    <t>Proprietors Capital Account</t>
  </si>
  <si>
    <t xml:space="preserve">Less: Taxes </t>
  </si>
  <si>
    <t>Fuel Expenses</t>
  </si>
  <si>
    <t>Freight &amp; Transportation</t>
  </si>
  <si>
    <t>Salary &amp; wages</t>
  </si>
  <si>
    <t>Printing &amp; stationary</t>
  </si>
  <si>
    <t>Telephone Expenses</t>
  </si>
  <si>
    <t>Electricity/Water charges</t>
  </si>
  <si>
    <t>Rates &amp; taxes</t>
  </si>
  <si>
    <t>Professional fees</t>
  </si>
  <si>
    <t>Miscellaneuos expenses</t>
  </si>
  <si>
    <t>Interest on Loan</t>
  </si>
  <si>
    <t>Depreciation</t>
  </si>
  <si>
    <t>Net Profit after Tax</t>
  </si>
  <si>
    <t>Net Profit after Tax %</t>
  </si>
  <si>
    <t>Debt Equity Ratio</t>
  </si>
  <si>
    <t>Debt</t>
  </si>
  <si>
    <t>Unsecured Loans</t>
  </si>
  <si>
    <t xml:space="preserve">Equity </t>
  </si>
  <si>
    <t>Capital Account</t>
  </si>
  <si>
    <t>Current Liabilities</t>
  </si>
  <si>
    <t>a</t>
  </si>
  <si>
    <t>b</t>
  </si>
  <si>
    <t>Debt Equit ratio</t>
  </si>
  <si>
    <t>Current Ratio</t>
  </si>
  <si>
    <t>Current Assets</t>
  </si>
  <si>
    <t>Cash &amp; Bank Balance</t>
  </si>
  <si>
    <t>Creditors</t>
  </si>
  <si>
    <t>sub-total</t>
  </si>
  <si>
    <t>Current Ratio (CA/CL)</t>
  </si>
  <si>
    <t>Liquid Ratio</t>
  </si>
  <si>
    <t>Current Assets less stock</t>
  </si>
  <si>
    <t>Liquid Ratio (CA/CL)</t>
  </si>
  <si>
    <t>Profit after tax</t>
  </si>
  <si>
    <t>SIDDHIRAJ PEDNEKAR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</si>
</sst>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 * #,##0.0_ ;_ * \-#,##0.0_ ;_ * &quot;-&quot;??_ ;_ @_ 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165" fontId="0" fillId="0" borderId="0" xfId="1" applyNumberFormat="1" applyFont="1" applyBorder="1"/>
    <xf numFmtId="0" fontId="0" fillId="0" borderId="0" xfId="0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/>
    <xf numFmtId="9" fontId="2" fillId="0" borderId="0" xfId="12" applyFont="1" applyBorder="1" applyAlignment="1">
      <alignment horizontal="center" vertical="center"/>
    </xf>
    <xf numFmtId="165" fontId="0" fillId="0" borderId="1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165" fontId="2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2" borderId="0" xfId="12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vertical="center"/>
    </xf>
    <xf numFmtId="9" fontId="2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17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5" fontId="0" fillId="0" borderId="3" xfId="1" applyNumberFormat="1" applyFont="1" applyBorder="1"/>
    <xf numFmtId="17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65" fontId="0" fillId="0" borderId="4" xfId="1" applyNumberFormat="1" applyFont="1" applyBorder="1"/>
    <xf numFmtId="0" fontId="2" fillId="3" borderId="2" xfId="0" applyFont="1" applyFill="1" applyBorder="1" applyAlignment="1">
      <alignment horizontal="center" vertical="center" wrapText="1"/>
    </xf>
    <xf numFmtId="17" fontId="2" fillId="3" borderId="5" xfId="0" applyNumberFormat="1" applyFont="1" applyFill="1" applyBorder="1" applyAlignment="1">
      <alignment horizontal="center"/>
    </xf>
    <xf numFmtId="9" fontId="2" fillId="3" borderId="6" xfId="0" applyNumberFormat="1" applyFont="1" applyFill="1" applyBorder="1" applyAlignment="1">
      <alignment horizontal="center"/>
    </xf>
    <xf numFmtId="165" fontId="2" fillId="3" borderId="6" xfId="1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/>
    <xf numFmtId="165" fontId="0" fillId="0" borderId="1" xfId="1" applyNumberFormat="1" applyFont="1" applyBorder="1"/>
    <xf numFmtId="166" fontId="2" fillId="0" borderId="0" xfId="1" applyNumberFormat="1" applyFont="1" applyBorder="1" applyAlignment="1">
      <alignment vertical="center"/>
    </xf>
    <xf numFmtId="9" fontId="2" fillId="0" borderId="0" xfId="0" applyNumberFormat="1" applyFont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65" fontId="0" fillId="0" borderId="0" xfId="0" applyNumberFormat="1" applyBorder="1"/>
    <xf numFmtId="165" fontId="9" fillId="0" borderId="0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65" fontId="0" fillId="2" borderId="0" xfId="1" applyNumberFormat="1" applyFont="1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vertical="center" wrapText="1"/>
    </xf>
    <xf numFmtId="9" fontId="6" fillId="2" borderId="0" xfId="12" applyFont="1" applyFill="1" applyBorder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5" fontId="4" fillId="0" borderId="0" xfId="1" applyNumberFormat="1" applyFont="1" applyBorder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7" xfId="0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165" fontId="2" fillId="2" borderId="7" xfId="1" applyNumberFormat="1" applyFont="1" applyFill="1" applyBorder="1" applyAlignment="1">
      <alignment horizontal="center" vertical="center"/>
    </xf>
    <xf numFmtId="165" fontId="0" fillId="0" borderId="7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2" fillId="0" borderId="7" xfId="1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indent="1"/>
    </xf>
    <xf numFmtId="9" fontId="2" fillId="0" borderId="7" xfId="12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 indent="1"/>
    </xf>
    <xf numFmtId="9" fontId="2" fillId="2" borderId="7" xfId="1" applyNumberFormat="1" applyFont="1" applyFill="1" applyBorder="1" applyAlignment="1">
      <alignment horizontal="center" vertical="center"/>
    </xf>
    <xf numFmtId="165" fontId="0" fillId="0" borderId="7" xfId="1" applyNumberFormat="1" applyFont="1" applyFill="1" applyBorder="1" applyAlignment="1">
      <alignment vertical="center"/>
    </xf>
    <xf numFmtId="165" fontId="0" fillId="0" borderId="13" xfId="1" applyNumberFormat="1" applyFont="1" applyFill="1" applyBorder="1" applyAlignment="1">
      <alignment vertical="center"/>
    </xf>
    <xf numFmtId="165" fontId="2" fillId="0" borderId="7" xfId="1" applyNumberFormat="1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9" fontId="2" fillId="2" borderId="7" xfId="12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4" xfId="0" applyBorder="1" applyAlignment="1">
      <alignment horizontal="center" vertical="center"/>
    </xf>
    <xf numFmtId="0" fontId="10" fillId="0" borderId="0" xfId="0" applyFont="1" applyBorder="1" applyAlignment="1">
      <alignment horizontal="left" indent="1"/>
    </xf>
    <xf numFmtId="165" fontId="0" fillId="0" borderId="7" xfId="1" applyNumberFormat="1" applyFont="1" applyBorder="1"/>
    <xf numFmtId="0" fontId="0" fillId="0" borderId="0" xfId="0" applyBorder="1" applyAlignment="1">
      <alignment horizontal="left" indent="1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0" fontId="2" fillId="0" borderId="15" xfId="0" applyFont="1" applyBorder="1" applyAlignment="1">
      <alignment horizontal="center"/>
    </xf>
    <xf numFmtId="165" fontId="2" fillId="0" borderId="7" xfId="1" applyNumberFormat="1" applyFont="1" applyBorder="1"/>
    <xf numFmtId="165" fontId="0" fillId="0" borderId="13" xfId="1" applyNumberFormat="1" applyFont="1" applyBorder="1"/>
    <xf numFmtId="0" fontId="0" fillId="0" borderId="7" xfId="0" applyBorder="1"/>
    <xf numFmtId="166" fontId="2" fillId="0" borderId="7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indent="1"/>
    </xf>
    <xf numFmtId="165" fontId="9" fillId="0" borderId="8" xfId="1" applyNumberFormat="1" applyFont="1" applyBorder="1"/>
    <xf numFmtId="0" fontId="12" fillId="0" borderId="0" xfId="0" applyFont="1" applyBorder="1" applyAlignment="1">
      <alignment horizontal="left" vertical="center" indent="1"/>
    </xf>
    <xf numFmtId="0" fontId="13" fillId="0" borderId="0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165" fontId="4" fillId="0" borderId="1" xfId="1" applyNumberFormat="1" applyFont="1" applyBorder="1"/>
    <xf numFmtId="165" fontId="9" fillId="0" borderId="0" xfId="1" applyNumberFormat="1" applyFont="1" applyBorder="1"/>
    <xf numFmtId="165" fontId="9" fillId="0" borderId="7" xfId="1" applyNumberFormat="1" applyFont="1" applyBorder="1"/>
    <xf numFmtId="165" fontId="9" fillId="0" borderId="1" xfId="1" applyNumberFormat="1" applyFont="1" applyBorder="1"/>
    <xf numFmtId="165" fontId="9" fillId="0" borderId="13" xfId="1" applyNumberFormat="1" applyFont="1" applyBorder="1"/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167" fontId="4" fillId="0" borderId="1" xfId="1" applyNumberFormat="1" applyFont="1" applyBorder="1"/>
    <xf numFmtId="167" fontId="4" fillId="0" borderId="13" xfId="1" applyNumberFormat="1" applyFont="1" applyBorder="1"/>
    <xf numFmtId="0" fontId="0" fillId="2" borderId="9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indent="1"/>
    </xf>
    <xf numFmtId="165" fontId="0" fillId="4" borderId="1" xfId="1" applyNumberFormat="1" applyFont="1" applyFill="1" applyBorder="1"/>
    <xf numFmtId="165" fontId="8" fillId="4" borderId="1" xfId="1" applyNumberFormat="1" applyFont="1" applyFill="1" applyBorder="1"/>
    <xf numFmtId="0" fontId="0" fillId="4" borderId="0" xfId="0" applyFill="1"/>
    <xf numFmtId="10" fontId="0" fillId="0" borderId="0" xfId="0" applyNumberFormat="1"/>
    <xf numFmtId="0" fontId="2" fillId="0" borderId="12" xfId="0" applyFont="1" applyBorder="1" applyAlignment="1">
      <alignment horizontal="center" vertical="center"/>
    </xf>
    <xf numFmtId="165" fontId="2" fillId="2" borderId="10" xfId="1" applyNumberFormat="1" applyFont="1" applyFill="1" applyBorder="1" applyAlignment="1">
      <alignment horizontal="center" vertical="center"/>
    </xf>
    <xf numFmtId="165" fontId="2" fillId="2" borderId="11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9" fontId="2" fillId="0" borderId="0" xfId="12" applyFont="1" applyFill="1" applyBorder="1" applyAlignment="1">
      <alignment horizontal="center"/>
    </xf>
    <xf numFmtId="9" fontId="2" fillId="0" borderId="7" xfId="12" applyFont="1" applyFill="1" applyBorder="1" applyAlignment="1">
      <alignment horizontal="center"/>
    </xf>
    <xf numFmtId="165" fontId="0" fillId="0" borderId="0" xfId="1" applyNumberFormat="1" applyFont="1" applyFill="1"/>
    <xf numFmtId="0" fontId="0" fillId="0" borderId="0" xfId="0" applyFill="1"/>
    <xf numFmtId="0" fontId="2" fillId="2" borderId="14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9" fontId="2" fillId="2" borderId="1" xfId="12" applyFont="1" applyFill="1" applyBorder="1" applyAlignment="1">
      <alignment horizontal="center"/>
    </xf>
    <xf numFmtId="9" fontId="2" fillId="2" borderId="13" xfId="12" applyFont="1" applyFill="1" applyBorder="1" applyAlignment="1">
      <alignment horizontal="center"/>
    </xf>
    <xf numFmtId="167" fontId="4" fillId="0" borderId="1" xfId="1" applyNumberFormat="1" applyFont="1" applyFill="1" applyBorder="1"/>
    <xf numFmtId="165" fontId="4" fillId="0" borderId="0" xfId="1" applyNumberFormat="1" applyFont="1" applyFill="1" applyBorder="1"/>
    <xf numFmtId="9" fontId="0" fillId="0" borderId="0" xfId="12" applyFont="1" applyFill="1" applyBorder="1" applyAlignment="1">
      <alignment vertical="center"/>
    </xf>
    <xf numFmtId="9" fontId="2" fillId="0" borderId="0" xfId="12" applyFont="1" applyFill="1" applyBorder="1" applyAlignment="1">
      <alignment horizontal="center" vertical="center"/>
    </xf>
    <xf numFmtId="167" fontId="4" fillId="0" borderId="0" xfId="1" applyNumberFormat="1" applyFont="1" applyBorder="1"/>
    <xf numFmtId="165" fontId="1" fillId="0" borderId="0" xfId="1" applyNumberFormat="1" applyFont="1" applyBorder="1"/>
    <xf numFmtId="0" fontId="0" fillId="0" borderId="0" xfId="0" applyFont="1" applyBorder="1" applyAlignment="1">
      <alignment horizontal="left" indent="1"/>
    </xf>
    <xf numFmtId="165" fontId="1" fillId="0" borderId="1" xfId="1" applyNumberFormat="1" applyFont="1" applyBorder="1"/>
    <xf numFmtId="165" fontId="1" fillId="0" borderId="0" xfId="1" applyNumberFormat="1" applyFont="1" applyBorder="1" applyAlignment="1">
      <alignment vertical="center"/>
    </xf>
    <xf numFmtId="165" fontId="1" fillId="0" borderId="1" xfId="1" applyNumberFormat="1" applyFon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2" fillId="0" borderId="0" xfId="0" applyFont="1" applyBorder="1"/>
    <xf numFmtId="0" fontId="2" fillId="0" borderId="7" xfId="0" applyFont="1" applyBorder="1"/>
    <xf numFmtId="165" fontId="1" fillId="0" borderId="7" xfId="1" applyNumberFormat="1" applyFont="1" applyBorder="1"/>
    <xf numFmtId="167" fontId="4" fillId="0" borderId="7" xfId="1" applyNumberFormat="1" applyFont="1" applyBorder="1"/>
    <xf numFmtId="165" fontId="4" fillId="0" borderId="7" xfId="1" applyNumberFormat="1" applyFont="1" applyBorder="1"/>
    <xf numFmtId="165" fontId="1" fillId="0" borderId="13" xfId="1" applyNumberFormat="1" applyFont="1" applyBorder="1"/>
    <xf numFmtId="165" fontId="1" fillId="0" borderId="7" xfId="1" applyNumberFormat="1" applyFont="1" applyBorder="1" applyAlignment="1">
      <alignment vertical="center"/>
    </xf>
    <xf numFmtId="165" fontId="1" fillId="0" borderId="13" xfId="1" applyNumberFormat="1" applyFont="1" applyBorder="1" applyAlignment="1">
      <alignment vertical="center"/>
    </xf>
    <xf numFmtId="165" fontId="0" fillId="0" borderId="7" xfId="0" applyNumberFormat="1" applyBorder="1" applyAlignment="1">
      <alignment vertical="center"/>
    </xf>
    <xf numFmtId="43" fontId="9" fillId="0" borderId="0" xfId="1" applyNumberFormat="1" applyFont="1" applyBorder="1"/>
    <xf numFmtId="43" fontId="9" fillId="0" borderId="7" xfId="1" applyNumberFormat="1" applyFont="1" applyBorder="1"/>
    <xf numFmtId="43" fontId="0" fillId="0" borderId="0" xfId="0" applyNumberForma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43" fontId="0" fillId="0" borderId="7" xfId="0" applyNumberFormat="1" applyBorder="1" applyAlignment="1">
      <alignment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3">
    <cellStyle name="Comma" xfId="1" builtinId="3"/>
    <cellStyle name="Comma 2 10" xfId="10" xr:uid="{00000000-0005-0000-0000-000001000000}"/>
    <cellStyle name="Comma 2 11" xfId="11" xr:uid="{00000000-0005-0000-0000-000002000000}"/>
    <cellStyle name="Comma 2 2" xfId="2" xr:uid="{00000000-0005-0000-0000-000003000000}"/>
    <cellStyle name="Comma 2 3" xfId="3" xr:uid="{00000000-0005-0000-0000-000004000000}"/>
    <cellStyle name="Comma 2 4" xfId="4" xr:uid="{00000000-0005-0000-0000-000005000000}"/>
    <cellStyle name="Comma 2 5" xfId="5" xr:uid="{00000000-0005-0000-0000-000006000000}"/>
    <cellStyle name="Comma 2 6" xfId="6" xr:uid="{00000000-0005-0000-0000-000007000000}"/>
    <cellStyle name="Comma 2 7" xfId="7" xr:uid="{00000000-0005-0000-0000-000008000000}"/>
    <cellStyle name="Comma 2 8" xfId="8" xr:uid="{00000000-0005-0000-0000-000009000000}"/>
    <cellStyle name="Comma 2 9" xfId="9" xr:uid="{00000000-0005-0000-0000-00000A000000}"/>
    <cellStyle name="Normal" xfId="0" builtinId="0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42"/>
  <sheetViews>
    <sheetView tabSelected="1" zoomScale="90" zoomScaleNormal="90" workbookViewId="0">
      <pane ySplit="4" topLeftCell="A11" activePane="bottomLeft" state="frozen"/>
      <selection pane="bottomLeft" activeCell="I25" sqref="I25"/>
    </sheetView>
  </sheetViews>
  <sheetFormatPr defaultRowHeight="15" x14ac:dyDescent="0.25"/>
  <cols>
    <col min="1" max="1" width="3.140625" style="23" customWidth="1"/>
    <col min="2" max="2" width="36" style="17" customWidth="1"/>
    <col min="3" max="4" width="13.140625" style="1" customWidth="1"/>
    <col min="5" max="8" width="13.140625" customWidth="1"/>
    <col min="9" max="10" width="13.7109375" customWidth="1"/>
    <col min="11" max="11" width="12.5703125" style="10" bestFit="1" customWidth="1"/>
    <col min="12" max="12" width="9.28515625" style="10" bestFit="1" customWidth="1"/>
  </cols>
  <sheetData>
    <row r="1" spans="1:13" s="2" customFormat="1" ht="16.5" customHeight="1" x14ac:dyDescent="0.25">
      <c r="A1" s="180" t="s">
        <v>162</v>
      </c>
      <c r="B1" s="181"/>
      <c r="C1" s="181"/>
      <c r="D1" s="181"/>
      <c r="E1" s="181"/>
      <c r="F1" s="181"/>
      <c r="G1" s="181"/>
      <c r="H1" s="181"/>
      <c r="I1" s="181"/>
      <c r="J1" s="181"/>
      <c r="K1" s="9"/>
      <c r="L1" s="9"/>
    </row>
    <row r="2" spans="1:13" s="2" customFormat="1" ht="16.5" customHeight="1" x14ac:dyDescent="0.25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9"/>
      <c r="L2" s="9"/>
    </row>
    <row r="3" spans="1:13" s="2" customFormat="1" ht="16.5" customHeight="1" x14ac:dyDescent="0.25">
      <c r="A3" s="66"/>
      <c r="B3" s="67"/>
      <c r="C3" s="3"/>
      <c r="D3" s="3"/>
      <c r="E3" s="7"/>
      <c r="F3" s="7"/>
      <c r="G3" s="7"/>
      <c r="H3" s="7"/>
      <c r="I3" s="7"/>
      <c r="J3" s="7"/>
      <c r="K3" s="9"/>
      <c r="L3" s="9"/>
    </row>
    <row r="4" spans="1:13" s="2" customFormat="1" ht="21.75" customHeight="1" x14ac:dyDescent="0.25">
      <c r="A4" s="167"/>
      <c r="B4" s="70" t="s">
        <v>16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18</v>
      </c>
      <c r="I4" s="18" t="s">
        <v>19</v>
      </c>
      <c r="J4" s="71" t="s">
        <v>107</v>
      </c>
      <c r="K4" s="9"/>
      <c r="L4" s="9"/>
      <c r="M4" s="168"/>
    </row>
    <row r="5" spans="1:13" s="2" customFormat="1" ht="14.25" customHeight="1" x14ac:dyDescent="0.25">
      <c r="A5" s="169"/>
      <c r="B5" s="170"/>
      <c r="C5" s="3"/>
      <c r="D5" s="3"/>
      <c r="E5" s="171"/>
      <c r="F5" s="171"/>
      <c r="G5" s="171"/>
      <c r="H5" s="171"/>
      <c r="I5" s="171"/>
      <c r="J5" s="171"/>
      <c r="K5" s="9"/>
      <c r="L5" s="9"/>
      <c r="M5" s="168"/>
    </row>
    <row r="6" spans="1:13" s="2" customFormat="1" ht="21.75" customHeight="1" x14ac:dyDescent="0.25">
      <c r="A6" s="169"/>
      <c r="B6" s="75" t="s">
        <v>67</v>
      </c>
      <c r="C6" s="3"/>
      <c r="D6" s="3"/>
      <c r="E6" s="3"/>
      <c r="F6" s="3"/>
      <c r="G6" s="3"/>
      <c r="H6" s="3"/>
      <c r="I6" s="3"/>
      <c r="J6" s="3"/>
      <c r="K6" s="9"/>
      <c r="L6" s="9"/>
      <c r="M6" s="168"/>
    </row>
    <row r="7" spans="1:13" s="2" customFormat="1" ht="13.5" customHeight="1" x14ac:dyDescent="0.25">
      <c r="A7" s="169"/>
      <c r="B7" s="170"/>
      <c r="C7" s="3"/>
      <c r="D7" s="3"/>
      <c r="E7" s="3"/>
      <c r="F7" s="3"/>
      <c r="G7" s="3"/>
      <c r="H7" s="3"/>
      <c r="I7" s="3"/>
      <c r="J7" s="3"/>
      <c r="K7" s="9"/>
      <c r="L7" s="9"/>
      <c r="M7" s="168"/>
    </row>
    <row r="8" spans="1:13" ht="21.75" customHeight="1" x14ac:dyDescent="0.25">
      <c r="A8" s="172" t="s">
        <v>55</v>
      </c>
      <c r="B8" s="87" t="s">
        <v>128</v>
      </c>
      <c r="E8" s="1"/>
      <c r="F8" s="1"/>
      <c r="G8" s="1"/>
      <c r="H8" s="1"/>
      <c r="I8" s="1"/>
      <c r="J8" s="1"/>
      <c r="M8" s="173"/>
    </row>
    <row r="9" spans="1:13" ht="21.75" customHeight="1" x14ac:dyDescent="0.25">
      <c r="A9" s="172"/>
      <c r="B9" s="147" t="s">
        <v>51</v>
      </c>
      <c r="C9" s="4">
        <v>2000000</v>
      </c>
      <c r="D9" s="4">
        <f>C12</f>
        <v>2042409</v>
      </c>
      <c r="E9" s="4">
        <f t="shared" ref="E9:J9" si="0">D12</f>
        <v>2908374</v>
      </c>
      <c r="F9" s="4">
        <f t="shared" si="0"/>
        <v>3530104.5750000002</v>
      </c>
      <c r="G9" s="4">
        <f t="shared" si="0"/>
        <v>4435988.4487500004</v>
      </c>
      <c r="H9" s="4">
        <f t="shared" si="0"/>
        <v>5448450.9159375001</v>
      </c>
      <c r="I9" s="4">
        <f t="shared" si="0"/>
        <v>6504875.8824468739</v>
      </c>
      <c r="J9" s="4">
        <f t="shared" si="0"/>
        <v>7737891.4612598419</v>
      </c>
      <c r="M9" s="173"/>
    </row>
    <row r="10" spans="1:13" ht="21.75" customHeight="1" x14ac:dyDescent="0.25">
      <c r="A10" s="172"/>
      <c r="B10" s="147" t="s">
        <v>52</v>
      </c>
      <c r="C10" s="4">
        <f>PL!C45</f>
        <v>256272</v>
      </c>
      <c r="D10" s="4">
        <f>PL!D45</f>
        <v>1731930</v>
      </c>
      <c r="E10" s="4">
        <f>PL!E45</f>
        <v>2072435.25</v>
      </c>
      <c r="F10" s="4">
        <f>PL!F45</f>
        <v>3019612.9125000001</v>
      </c>
      <c r="G10" s="4">
        <f>PL!G45</f>
        <v>3374874.890625</v>
      </c>
      <c r="H10" s="4">
        <f>PL!H45</f>
        <v>3521416.5550312502</v>
      </c>
      <c r="I10" s="4">
        <f>PL!I45</f>
        <v>4110051.9293765612</v>
      </c>
      <c r="J10" s="4">
        <f>PL!J45</f>
        <v>4639818.3460900811</v>
      </c>
      <c r="M10" s="173"/>
    </row>
    <row r="11" spans="1:13" ht="21.75" customHeight="1" x14ac:dyDescent="0.25">
      <c r="A11" s="172"/>
      <c r="B11" s="147" t="s">
        <v>53</v>
      </c>
      <c r="C11" s="141">
        <v>-213863</v>
      </c>
      <c r="D11" s="141">
        <f>-D10*50%</f>
        <v>-865965</v>
      </c>
      <c r="E11" s="141">
        <f>-E10*70%</f>
        <v>-1450704.6749999998</v>
      </c>
      <c r="F11" s="141">
        <f t="shared" ref="F11:J11" si="1">-F10*70%</f>
        <v>-2113729.0387499998</v>
      </c>
      <c r="G11" s="141">
        <f t="shared" si="1"/>
        <v>-2362412.4234374999</v>
      </c>
      <c r="H11" s="141">
        <f t="shared" si="1"/>
        <v>-2464991.588521875</v>
      </c>
      <c r="I11" s="141">
        <f t="shared" si="1"/>
        <v>-2877036.3505635927</v>
      </c>
      <c r="J11" s="141">
        <f t="shared" si="1"/>
        <v>-3247872.8422630564</v>
      </c>
      <c r="M11" s="173"/>
    </row>
    <row r="12" spans="1:13" s="40" customFormat="1" ht="21.75" customHeight="1" x14ac:dyDescent="0.25">
      <c r="A12" s="90"/>
      <c r="B12" s="91" t="s">
        <v>54</v>
      </c>
      <c r="C12" s="52">
        <f>SUM(C9:C11)</f>
        <v>2042409</v>
      </c>
      <c r="D12" s="52">
        <f t="shared" ref="D12:J12" si="2">SUM(D9:D11)</f>
        <v>2908374</v>
      </c>
      <c r="E12" s="52">
        <f t="shared" si="2"/>
        <v>3530104.5750000002</v>
      </c>
      <c r="F12" s="52">
        <f t="shared" si="2"/>
        <v>4435988.4487500004</v>
      </c>
      <c r="G12" s="52">
        <f t="shared" si="2"/>
        <v>5448450.9159375001</v>
      </c>
      <c r="H12" s="52">
        <f t="shared" si="2"/>
        <v>6504875.8824468739</v>
      </c>
      <c r="I12" s="52">
        <f t="shared" si="2"/>
        <v>7737891.4612598419</v>
      </c>
      <c r="J12" s="52">
        <f t="shared" si="2"/>
        <v>9129836.965086868</v>
      </c>
      <c r="K12" s="43"/>
      <c r="L12" s="43"/>
    </row>
    <row r="13" spans="1:13" ht="21.75" customHeight="1" x14ac:dyDescent="0.25">
      <c r="A13" s="172"/>
      <c r="B13" s="147"/>
      <c r="C13" s="4"/>
      <c r="D13" s="4"/>
      <c r="E13" s="4"/>
      <c r="F13" s="4"/>
      <c r="G13" s="4"/>
      <c r="H13" s="4"/>
      <c r="I13" s="4"/>
      <c r="J13" s="4"/>
      <c r="M13" s="173"/>
    </row>
    <row r="14" spans="1:13" ht="21.75" customHeight="1" x14ac:dyDescent="0.25">
      <c r="A14" s="172" t="s">
        <v>56</v>
      </c>
      <c r="B14" s="147" t="s">
        <v>127</v>
      </c>
      <c r="C14" s="4">
        <v>1500000</v>
      </c>
      <c r="D14" s="4">
        <f>C14-200000</f>
        <v>1300000</v>
      </c>
      <c r="E14" s="4">
        <f t="shared" ref="E14:J14" si="3">D14-200000</f>
        <v>1100000</v>
      </c>
      <c r="F14" s="4">
        <f t="shared" si="3"/>
        <v>900000</v>
      </c>
      <c r="G14" s="4">
        <f t="shared" si="3"/>
        <v>700000</v>
      </c>
      <c r="H14" s="4">
        <f t="shared" si="3"/>
        <v>500000</v>
      </c>
      <c r="I14" s="4">
        <f t="shared" si="3"/>
        <v>300000</v>
      </c>
      <c r="J14" s="4">
        <f t="shared" si="3"/>
        <v>100000</v>
      </c>
      <c r="M14" s="173"/>
    </row>
    <row r="15" spans="1:13" ht="16.5" customHeight="1" x14ac:dyDescent="0.25">
      <c r="A15" s="172"/>
      <c r="B15" s="147"/>
      <c r="C15" s="4"/>
      <c r="D15" s="4"/>
      <c r="E15" s="4"/>
      <c r="F15" s="4"/>
      <c r="G15" s="4"/>
      <c r="H15" s="4"/>
      <c r="I15" s="4"/>
      <c r="J15" s="4"/>
      <c r="M15" s="173"/>
    </row>
    <row r="16" spans="1:13" ht="21.75" customHeight="1" x14ac:dyDescent="0.25">
      <c r="A16" s="172" t="s">
        <v>57</v>
      </c>
      <c r="B16" s="93" t="s">
        <v>148</v>
      </c>
      <c r="C16" s="4"/>
      <c r="D16" s="4"/>
      <c r="E16" s="4"/>
      <c r="F16" s="4"/>
      <c r="G16" s="4"/>
      <c r="H16" s="4"/>
      <c r="I16" s="4"/>
      <c r="J16" s="4"/>
      <c r="M16" s="173"/>
    </row>
    <row r="17" spans="1:13" ht="21.75" customHeight="1" x14ac:dyDescent="0.25">
      <c r="A17" s="172" t="s">
        <v>149</v>
      </c>
      <c r="B17" s="147" t="s">
        <v>126</v>
      </c>
      <c r="C17" s="4">
        <v>300000</v>
      </c>
      <c r="D17" s="4">
        <v>2000000</v>
      </c>
      <c r="E17" s="4">
        <v>2000000</v>
      </c>
      <c r="F17" s="4">
        <v>1500000</v>
      </c>
      <c r="G17" s="4">
        <v>1500000</v>
      </c>
      <c r="H17" s="4">
        <v>1000000</v>
      </c>
      <c r="I17" s="4">
        <v>1000000</v>
      </c>
      <c r="J17" s="4">
        <v>1000000</v>
      </c>
      <c r="M17" s="173"/>
    </row>
    <row r="18" spans="1:13" ht="21.75" customHeight="1" x14ac:dyDescent="0.25">
      <c r="A18" s="172" t="s">
        <v>150</v>
      </c>
      <c r="B18" s="147" t="s">
        <v>82</v>
      </c>
      <c r="C18" s="4">
        <f>(PL!C14/2)/12</f>
        <v>138983.33333333334</v>
      </c>
      <c r="D18" s="4">
        <f>(PL!D14/2)/12</f>
        <v>390468.75</v>
      </c>
      <c r="E18" s="4">
        <f>(PL!E14/2)/12</f>
        <v>457537.5</v>
      </c>
      <c r="F18" s="4">
        <f>(PL!F14/2)/12</f>
        <v>529200</v>
      </c>
      <c r="G18" s="4">
        <f>(PL!G14/2)/12</f>
        <v>582120</v>
      </c>
      <c r="H18" s="4">
        <f>(PL!H14/2)/12</f>
        <v>640332</v>
      </c>
      <c r="I18" s="4">
        <f>(PL!I14/2)/12</f>
        <v>704365.20000000007</v>
      </c>
      <c r="J18" s="4">
        <f>(PL!J14/2)/12</f>
        <v>774801.72000000009</v>
      </c>
      <c r="M18" s="173"/>
    </row>
    <row r="19" spans="1:13" ht="21.75" customHeight="1" x14ac:dyDescent="0.25">
      <c r="A19" s="172"/>
      <c r="B19" s="147"/>
      <c r="C19" s="4"/>
      <c r="D19" s="4"/>
      <c r="E19" s="4"/>
      <c r="F19" s="4"/>
      <c r="G19" s="4"/>
      <c r="H19" s="4"/>
      <c r="I19" s="4"/>
      <c r="J19" s="4"/>
      <c r="M19" s="173"/>
    </row>
    <row r="20" spans="1:13" ht="21.75" customHeight="1" x14ac:dyDescent="0.25">
      <c r="A20" s="172"/>
      <c r="B20" s="147"/>
      <c r="C20" s="4"/>
      <c r="D20" s="4"/>
      <c r="E20" s="4"/>
      <c r="F20" s="4"/>
      <c r="G20" s="4"/>
      <c r="H20" s="4"/>
      <c r="I20" s="4"/>
      <c r="J20" s="4"/>
      <c r="M20" s="173"/>
    </row>
    <row r="21" spans="1:13" s="40" customFormat="1" ht="21.75" customHeight="1" thickBot="1" x14ac:dyDescent="0.3">
      <c r="A21" s="94"/>
      <c r="B21" s="107" t="s">
        <v>66</v>
      </c>
      <c r="C21" s="108">
        <f t="shared" ref="C21:J21" si="4">SUM(C12:C20)</f>
        <v>3981392.3333333335</v>
      </c>
      <c r="D21" s="108">
        <f t="shared" si="4"/>
        <v>6598842.75</v>
      </c>
      <c r="E21" s="108">
        <f t="shared" si="4"/>
        <v>7087642.0750000002</v>
      </c>
      <c r="F21" s="108">
        <f t="shared" si="4"/>
        <v>7365188.4487500004</v>
      </c>
      <c r="G21" s="108">
        <f t="shared" si="4"/>
        <v>8230570.9159375001</v>
      </c>
      <c r="H21" s="108">
        <f t="shared" si="4"/>
        <v>8645207.8824468739</v>
      </c>
      <c r="I21" s="108">
        <f t="shared" si="4"/>
        <v>9742256.6612598412</v>
      </c>
      <c r="J21" s="108">
        <f t="shared" si="4"/>
        <v>11004638.685086869</v>
      </c>
      <c r="K21" s="43"/>
      <c r="L21" s="43"/>
    </row>
    <row r="22" spans="1:13" ht="21.75" customHeight="1" x14ac:dyDescent="0.25">
      <c r="A22" s="172"/>
      <c r="B22" s="93"/>
      <c r="C22" s="65"/>
      <c r="D22" s="65"/>
      <c r="E22" s="65"/>
      <c r="F22" s="65"/>
      <c r="G22" s="65"/>
      <c r="H22" s="65"/>
      <c r="I22" s="65"/>
      <c r="J22" s="65"/>
      <c r="M22" s="173"/>
    </row>
    <row r="23" spans="1:13" ht="21.75" customHeight="1" x14ac:dyDescent="0.25">
      <c r="A23" s="172"/>
      <c r="B23" s="109" t="s">
        <v>68</v>
      </c>
      <c r="C23" s="65"/>
      <c r="D23" s="65"/>
      <c r="E23" s="65"/>
      <c r="F23" s="65"/>
      <c r="G23" s="65"/>
      <c r="H23" s="65"/>
      <c r="I23" s="65"/>
      <c r="J23" s="65"/>
      <c r="M23" s="173"/>
    </row>
    <row r="24" spans="1:13" ht="16.5" customHeight="1" x14ac:dyDescent="0.25">
      <c r="A24" s="172"/>
      <c r="B24" s="93"/>
      <c r="C24" s="65"/>
      <c r="D24" s="65"/>
      <c r="E24" s="65"/>
      <c r="F24" s="65"/>
      <c r="G24" s="65"/>
      <c r="H24" s="65"/>
      <c r="I24" s="65"/>
      <c r="J24" s="65"/>
      <c r="M24" s="173"/>
    </row>
    <row r="25" spans="1:13" ht="21.75" customHeight="1" x14ac:dyDescent="0.25">
      <c r="A25" s="172" t="s">
        <v>58</v>
      </c>
      <c r="B25" s="93" t="s">
        <v>60</v>
      </c>
      <c r="C25" s="142">
        <f>FA!$I$8</f>
        <v>3267600</v>
      </c>
      <c r="D25" s="142">
        <f>FA!$I$14</f>
        <v>3744460</v>
      </c>
      <c r="E25" s="142">
        <f>FA!$I$20</f>
        <v>3797591</v>
      </c>
      <c r="F25" s="142">
        <f>FA!$I$26</f>
        <v>3717572.35</v>
      </c>
      <c r="G25" s="142">
        <f>FA!$I$32</f>
        <v>3661814.4974999996</v>
      </c>
      <c r="H25" s="142">
        <f>FA!$I$38</f>
        <v>3814220.5228750007</v>
      </c>
      <c r="I25" s="142">
        <f>FA!$I$44</f>
        <v>3224093.0244437503</v>
      </c>
      <c r="J25" s="142">
        <f>FA!$I$50</f>
        <v>2770482.1727771871</v>
      </c>
      <c r="M25" s="173"/>
    </row>
    <row r="26" spans="1:13" ht="17.25" customHeight="1" x14ac:dyDescent="0.25">
      <c r="A26" s="172"/>
      <c r="B26" s="93"/>
      <c r="C26" s="142"/>
      <c r="D26" s="142"/>
      <c r="E26" s="142"/>
      <c r="F26" s="142"/>
      <c r="G26" s="142"/>
      <c r="H26" s="142"/>
      <c r="I26" s="142"/>
      <c r="J26" s="142"/>
      <c r="M26" s="173"/>
    </row>
    <row r="27" spans="1:13" ht="21.75" customHeight="1" x14ac:dyDescent="0.25">
      <c r="A27" s="172" t="s">
        <v>59</v>
      </c>
      <c r="B27" s="93" t="s">
        <v>62</v>
      </c>
      <c r="C27" s="142">
        <f>PL!C15</f>
        <v>305400</v>
      </c>
      <c r="D27" s="142">
        <f>PL!D15</f>
        <v>669000</v>
      </c>
      <c r="E27" s="142">
        <f>PL!E15</f>
        <v>802800</v>
      </c>
      <c r="F27" s="142">
        <f>PL!F15</f>
        <v>963360</v>
      </c>
      <c r="G27" s="142">
        <f>PL!G15</f>
        <v>1156032</v>
      </c>
      <c r="H27" s="142">
        <f>PL!H15</f>
        <v>1387238.3999999999</v>
      </c>
      <c r="I27" s="142">
        <f>PL!I15</f>
        <v>1664686.0799999998</v>
      </c>
      <c r="J27" s="142">
        <f>PL!J15</f>
        <v>1997623.2959999996</v>
      </c>
      <c r="M27" s="173"/>
    </row>
    <row r="28" spans="1:13" ht="18.75" customHeight="1" x14ac:dyDescent="0.25">
      <c r="A28" s="172"/>
      <c r="B28" s="93"/>
      <c r="C28" s="142"/>
      <c r="D28" s="142"/>
      <c r="E28" s="142"/>
      <c r="F28" s="142"/>
      <c r="G28" s="142"/>
      <c r="H28" s="142"/>
      <c r="I28" s="142"/>
      <c r="J28" s="142"/>
      <c r="M28" s="173"/>
    </row>
    <row r="29" spans="1:13" ht="21.75" customHeight="1" x14ac:dyDescent="0.25">
      <c r="A29" s="172" t="s">
        <v>61</v>
      </c>
      <c r="B29" s="147" t="s">
        <v>111</v>
      </c>
      <c r="C29" s="142">
        <f>(PL!C9)/12</f>
        <v>356392.33333333331</v>
      </c>
      <c r="D29" s="142">
        <f>(PL!D9)/12</f>
        <v>1056562.5</v>
      </c>
      <c r="E29" s="142">
        <f>(PL!E9)/12+200000</f>
        <v>1467875</v>
      </c>
      <c r="F29" s="142">
        <f>(PL!F9)/12+200000</f>
        <v>1721450</v>
      </c>
      <c r="G29" s="142">
        <f>(PL!G9)/12+200000</f>
        <v>1873595</v>
      </c>
      <c r="H29" s="142">
        <f>(PL!H9)/12</f>
        <v>1840954.5</v>
      </c>
      <c r="I29" s="142">
        <f>(PL!I9)/12</f>
        <v>2025049.95</v>
      </c>
      <c r="J29" s="142">
        <f>(PL!J9)/12</f>
        <v>2227554.9450000003</v>
      </c>
      <c r="M29" s="10"/>
    </row>
    <row r="30" spans="1:13" ht="15.75" customHeight="1" x14ac:dyDescent="0.25">
      <c r="A30" s="172"/>
      <c r="B30" s="147"/>
      <c r="C30" s="142"/>
      <c r="D30" s="142"/>
      <c r="E30" s="142"/>
      <c r="F30" s="142"/>
      <c r="G30" s="142"/>
      <c r="H30" s="142"/>
      <c r="I30" s="142"/>
      <c r="J30" s="142"/>
      <c r="M30" s="10"/>
    </row>
    <row r="31" spans="1:13" ht="21.75" customHeight="1" x14ac:dyDescent="0.25">
      <c r="A31" s="172" t="s">
        <v>63</v>
      </c>
      <c r="B31" s="110" t="s">
        <v>64</v>
      </c>
      <c r="C31" s="142"/>
      <c r="D31" s="142"/>
      <c r="E31" s="142"/>
      <c r="F31" s="142"/>
      <c r="G31" s="142"/>
      <c r="H31" s="142"/>
      <c r="I31" s="142"/>
      <c r="J31" s="142"/>
      <c r="M31" s="10"/>
    </row>
    <row r="32" spans="1:13" ht="21.75" customHeight="1" x14ac:dyDescent="0.25">
      <c r="A32" s="172"/>
      <c r="B32" s="93" t="s">
        <v>65</v>
      </c>
      <c r="C32" s="142">
        <v>2000</v>
      </c>
      <c r="D32" s="142">
        <v>25600</v>
      </c>
      <c r="E32" s="142">
        <f>D32*1.3</f>
        <v>33280</v>
      </c>
      <c r="F32" s="142">
        <f t="shared" ref="F32:J32" si="5">E32*1.3</f>
        <v>43264</v>
      </c>
      <c r="G32" s="142">
        <f t="shared" si="5"/>
        <v>56243.200000000004</v>
      </c>
      <c r="H32" s="142">
        <f t="shared" si="5"/>
        <v>73116.160000000003</v>
      </c>
      <c r="I32" s="142">
        <f t="shared" si="5"/>
        <v>95051.008000000002</v>
      </c>
      <c r="J32" s="142">
        <f t="shared" si="5"/>
        <v>123566.3104</v>
      </c>
      <c r="M32" s="173"/>
    </row>
    <row r="33" spans="1:13" ht="21.75" customHeight="1" x14ac:dyDescent="0.25">
      <c r="A33" s="172"/>
      <c r="B33" s="93" t="s">
        <v>81</v>
      </c>
      <c r="C33" s="142">
        <v>50000</v>
      </c>
      <c r="D33" s="142">
        <f t="shared" ref="D33:J33" si="6">D21-D25-D27-D29-D32</f>
        <v>1103220.25</v>
      </c>
      <c r="E33" s="142">
        <f t="shared" si="6"/>
        <v>986096.07500000019</v>
      </c>
      <c r="F33" s="142">
        <f t="shared" si="6"/>
        <v>919542.09875000035</v>
      </c>
      <c r="G33" s="142">
        <f t="shared" si="6"/>
        <v>1482886.2184375005</v>
      </c>
      <c r="H33" s="142">
        <f t="shared" si="6"/>
        <v>1529678.2995718734</v>
      </c>
      <c r="I33" s="142">
        <f t="shared" si="6"/>
        <v>2733376.5988160907</v>
      </c>
      <c r="J33" s="142">
        <f t="shared" si="6"/>
        <v>3885411.9609096814</v>
      </c>
      <c r="M33" s="173"/>
    </row>
    <row r="34" spans="1:13" ht="21.75" customHeight="1" x14ac:dyDescent="0.25">
      <c r="A34" s="172"/>
      <c r="B34" s="93"/>
      <c r="C34" s="65"/>
      <c r="D34" s="65"/>
      <c r="E34" s="65"/>
      <c r="F34" s="65"/>
      <c r="G34" s="65"/>
      <c r="H34" s="65"/>
      <c r="I34" s="65"/>
      <c r="J34" s="65"/>
      <c r="M34" s="173"/>
    </row>
    <row r="35" spans="1:13" s="40" customFormat="1" ht="21.75" customHeight="1" thickBot="1" x14ac:dyDescent="0.3">
      <c r="A35" s="94"/>
      <c r="B35" s="107" t="s">
        <v>66</v>
      </c>
      <c r="C35" s="108">
        <f t="shared" ref="C35:J35" si="7">SUM(C25:C33)</f>
        <v>3981392.3333333335</v>
      </c>
      <c r="D35" s="108">
        <f t="shared" si="7"/>
        <v>6598842.75</v>
      </c>
      <c r="E35" s="108">
        <f t="shared" si="7"/>
        <v>7087642.0750000002</v>
      </c>
      <c r="F35" s="108">
        <f t="shared" si="7"/>
        <v>7365188.4487500004</v>
      </c>
      <c r="G35" s="108">
        <f t="shared" si="7"/>
        <v>8230570.9159375001</v>
      </c>
      <c r="H35" s="108">
        <f t="shared" si="7"/>
        <v>8645207.8824468739</v>
      </c>
      <c r="I35" s="108">
        <f t="shared" si="7"/>
        <v>9742256.6612598412</v>
      </c>
      <c r="J35" s="108">
        <f t="shared" si="7"/>
        <v>11004638.685086869</v>
      </c>
      <c r="K35" s="43"/>
      <c r="L35" s="43"/>
    </row>
    <row r="36" spans="1:13" ht="21.75" customHeight="1" x14ac:dyDescent="0.25">
      <c r="A36" s="172"/>
      <c r="B36" s="147"/>
      <c r="E36" s="174"/>
      <c r="F36" s="174"/>
      <c r="G36" s="174"/>
      <c r="H36" s="174"/>
      <c r="I36" s="174"/>
      <c r="J36" s="174"/>
      <c r="M36" s="173"/>
    </row>
    <row r="37" spans="1:13" ht="21.75" customHeight="1" x14ac:dyDescent="0.25">
      <c r="A37" s="175"/>
      <c r="B37" s="176"/>
      <c r="C37" s="44"/>
      <c r="D37" s="44"/>
      <c r="E37" s="177"/>
      <c r="F37" s="177"/>
      <c r="G37" s="177"/>
      <c r="H37" s="177"/>
      <c r="I37" s="177"/>
      <c r="J37" s="177"/>
      <c r="M37" s="173"/>
    </row>
    <row r="38" spans="1:13" ht="21.75" customHeight="1" x14ac:dyDescent="0.25">
      <c r="A38" s="178"/>
      <c r="B38" s="179"/>
      <c r="C38" s="1">
        <f t="shared" ref="C38:J38" si="8">C21-C35</f>
        <v>0</v>
      </c>
      <c r="D38" s="1">
        <f t="shared" si="8"/>
        <v>0</v>
      </c>
      <c r="E38" s="1">
        <f t="shared" si="8"/>
        <v>0</v>
      </c>
      <c r="F38" s="1">
        <f t="shared" si="8"/>
        <v>0</v>
      </c>
      <c r="G38" s="1">
        <f t="shared" si="8"/>
        <v>0</v>
      </c>
      <c r="H38" s="1">
        <f t="shared" si="8"/>
        <v>0</v>
      </c>
      <c r="I38" s="1">
        <f t="shared" si="8"/>
        <v>0</v>
      </c>
      <c r="J38" s="1">
        <f t="shared" si="8"/>
        <v>0</v>
      </c>
      <c r="M38" s="173"/>
    </row>
    <row r="39" spans="1:13" ht="21.75" customHeight="1" x14ac:dyDescent="0.25">
      <c r="A39" s="178"/>
      <c r="B39" s="179"/>
      <c r="E39" s="173"/>
      <c r="F39" s="173"/>
      <c r="G39" s="173"/>
      <c r="H39" s="173"/>
      <c r="I39" s="173"/>
      <c r="J39" s="173"/>
      <c r="M39" s="173"/>
    </row>
    <row r="40" spans="1:13" ht="21.75" customHeight="1" x14ac:dyDescent="0.25">
      <c r="A40" s="178"/>
      <c r="B40" s="179"/>
      <c r="E40" s="173"/>
      <c r="F40" s="173"/>
      <c r="G40" s="173"/>
      <c r="H40" s="173"/>
      <c r="I40" s="173"/>
      <c r="J40" s="173"/>
      <c r="M40" s="173"/>
    </row>
    <row r="41" spans="1:13" ht="21.75" customHeight="1" x14ac:dyDescent="0.25"/>
    <row r="42" spans="1:13" ht="21.75" customHeight="1" x14ac:dyDescent="0.25"/>
  </sheetData>
  <mergeCells count="2">
    <mergeCell ref="A1:J1"/>
    <mergeCell ref="A2:J2"/>
  </mergeCells>
  <pageMargins left="0.9055118110236221" right="0.70866141732283472" top="0.74803149606299213" bottom="0.35433070866141736" header="0.31496062992125984" footer="0.31496062992125984"/>
  <pageSetup paperSize="9" scale="71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H19"/>
  <sheetViews>
    <sheetView workbookViewId="0">
      <selection activeCell="D25" sqref="D25"/>
    </sheetView>
  </sheetViews>
  <sheetFormatPr defaultRowHeight="15" x14ac:dyDescent="0.25"/>
  <cols>
    <col min="1" max="1" width="2.140625" customWidth="1"/>
    <col min="2" max="2" width="9.140625" style="19"/>
    <col min="3" max="4" width="14.42578125" style="19" customWidth="1"/>
    <col min="5" max="5" width="12" style="19" customWidth="1"/>
    <col min="6" max="7" width="14.42578125" style="19" customWidth="1"/>
    <col min="8" max="8" width="12.42578125" style="19" customWidth="1"/>
  </cols>
  <sheetData>
    <row r="2" spans="2:8" ht="18" customHeight="1" x14ac:dyDescent="0.25">
      <c r="B2" s="106" t="s">
        <v>106</v>
      </c>
    </row>
    <row r="4" spans="2:8" s="40" customFormat="1" ht="20.25" customHeight="1" x14ac:dyDescent="0.25">
      <c r="B4" s="191" t="s">
        <v>90</v>
      </c>
      <c r="C4" s="191" t="s">
        <v>86</v>
      </c>
      <c r="D4" s="191"/>
      <c r="E4" s="191" t="s">
        <v>43</v>
      </c>
      <c r="F4" s="191" t="s">
        <v>89</v>
      </c>
      <c r="G4" s="191"/>
      <c r="H4" s="191" t="s">
        <v>43</v>
      </c>
    </row>
    <row r="5" spans="2:8" s="40" customFormat="1" ht="20.25" customHeight="1" x14ac:dyDescent="0.25">
      <c r="B5" s="191"/>
      <c r="C5" s="101" t="s">
        <v>87</v>
      </c>
      <c r="D5" s="101" t="s">
        <v>88</v>
      </c>
      <c r="E5" s="191"/>
      <c r="F5" s="101" t="s">
        <v>87</v>
      </c>
      <c r="G5" s="101" t="s">
        <v>88</v>
      </c>
      <c r="H5" s="191"/>
    </row>
    <row r="6" spans="2:8" ht="20.25" customHeight="1" x14ac:dyDescent="0.25">
      <c r="B6" s="103" t="s">
        <v>91</v>
      </c>
      <c r="C6" s="102">
        <f>'Car Loan'!E19</f>
        <v>32852.874093211809</v>
      </c>
      <c r="D6" s="102">
        <f>'Loan schedule'!E10</f>
        <v>75041.095890410958</v>
      </c>
      <c r="E6" s="102">
        <f>SUM(C6:D6)</f>
        <v>107893.96998362277</v>
      </c>
      <c r="F6" s="102">
        <f>'Car Loan'!F19</f>
        <v>99147.125906788191</v>
      </c>
      <c r="G6" s="102">
        <f>'Loan schedule'!F10</f>
        <v>100000</v>
      </c>
      <c r="H6" s="102">
        <f>SUM(F6:G6)</f>
        <v>199147.12590678819</v>
      </c>
    </row>
    <row r="7" spans="2:8" ht="20.25" customHeight="1" x14ac:dyDescent="0.25">
      <c r="B7" s="103" t="s">
        <v>92</v>
      </c>
      <c r="C7" s="102">
        <f>'Car Loan'!E32</f>
        <v>22470.910471295058</v>
      </c>
      <c r="D7" s="102">
        <f>'Loan schedule'!E23</f>
        <v>276888.58447488566</v>
      </c>
      <c r="E7" s="102">
        <f t="shared" ref="E7:E12" si="0">SUM(C7:D7)</f>
        <v>299359.49494618073</v>
      </c>
      <c r="F7" s="102">
        <f>'Car Loan'!F32</f>
        <v>109529.08952870495</v>
      </c>
      <c r="G7" s="102">
        <f>'Loan schedule'!F23</f>
        <v>399999.99999999994</v>
      </c>
      <c r="H7" s="102">
        <f t="shared" ref="H7:H12" si="1">SUM(F7:G7)</f>
        <v>509529.08952870488</v>
      </c>
    </row>
    <row r="8" spans="2:8" ht="20.25" customHeight="1" x14ac:dyDescent="0.25">
      <c r="B8" s="103" t="s">
        <v>93</v>
      </c>
      <c r="C8" s="102">
        <f>'Car Loan'!E45</f>
        <v>11001.823368379612</v>
      </c>
      <c r="D8" s="102">
        <f>'Loan schedule'!E36</f>
        <v>232888.58447488552</v>
      </c>
      <c r="E8" s="102">
        <f t="shared" si="0"/>
        <v>243890.40784326513</v>
      </c>
      <c r="F8" s="102">
        <f>'Car Loan'!F45</f>
        <v>120998.17663162039</v>
      </c>
      <c r="G8" s="102">
        <f>'Loan schedule'!F36</f>
        <v>399999.99999999994</v>
      </c>
      <c r="H8" s="102">
        <f t="shared" si="1"/>
        <v>520998.17663162033</v>
      </c>
    </row>
    <row r="9" spans="2:8" ht="20.25" customHeight="1" x14ac:dyDescent="0.25">
      <c r="B9" s="103" t="s">
        <v>94</v>
      </c>
      <c r="C9" s="102">
        <f>'Car Loan'!E58</f>
        <v>908.53358954187456</v>
      </c>
      <c r="D9" s="102">
        <f>'Loan schedule'!E49</f>
        <v>188888.5844748856</v>
      </c>
      <c r="E9" s="102">
        <f t="shared" si="0"/>
        <v>189797.11806442749</v>
      </c>
      <c r="F9" s="102">
        <f>'Car Loan'!F58</f>
        <v>43318.466410458124</v>
      </c>
      <c r="G9" s="102">
        <f>'Loan schedule'!F49</f>
        <v>399999.99999999994</v>
      </c>
      <c r="H9" s="102">
        <f t="shared" si="1"/>
        <v>443318.46641045809</v>
      </c>
    </row>
    <row r="10" spans="2:8" ht="20.25" customHeight="1" x14ac:dyDescent="0.25">
      <c r="B10" s="103" t="s">
        <v>95</v>
      </c>
      <c r="C10" s="102">
        <v>0</v>
      </c>
      <c r="D10" s="102">
        <f>'Loan schedule'!E62</f>
        <v>144888.58447488569</v>
      </c>
      <c r="E10" s="102">
        <f t="shared" si="0"/>
        <v>144888.58447488569</v>
      </c>
      <c r="F10" s="102">
        <v>0</v>
      </c>
      <c r="G10" s="102">
        <f>'Loan schedule'!F62</f>
        <v>399999.99999999994</v>
      </c>
      <c r="H10" s="102">
        <f t="shared" si="1"/>
        <v>399999.99999999994</v>
      </c>
    </row>
    <row r="11" spans="2:8" ht="20.25" customHeight="1" x14ac:dyDescent="0.25">
      <c r="B11" s="103" t="s">
        <v>96</v>
      </c>
      <c r="C11" s="102">
        <v>0</v>
      </c>
      <c r="D11" s="102">
        <f>'Loan schedule'!E75</f>
        <v>100888.58447488573</v>
      </c>
      <c r="E11" s="102">
        <f t="shared" si="0"/>
        <v>100888.58447488573</v>
      </c>
      <c r="F11" s="102">
        <v>0</v>
      </c>
      <c r="G11" s="102">
        <f>'Loan schedule'!F75</f>
        <v>399999.99999999994</v>
      </c>
      <c r="H11" s="102">
        <f t="shared" si="1"/>
        <v>399999.99999999994</v>
      </c>
    </row>
    <row r="12" spans="2:8" ht="20.25" customHeight="1" x14ac:dyDescent="0.25">
      <c r="B12" s="103" t="s">
        <v>97</v>
      </c>
      <c r="C12" s="102">
        <v>0</v>
      </c>
      <c r="D12" s="102">
        <f>'Loan schedule'!E88</f>
        <v>56888.584474885698</v>
      </c>
      <c r="E12" s="102">
        <f t="shared" si="0"/>
        <v>56888.584474885698</v>
      </c>
      <c r="F12" s="102">
        <v>0</v>
      </c>
      <c r="G12" s="102">
        <f>'Loan schedule'!F88</f>
        <v>399999.99999999994</v>
      </c>
      <c r="H12" s="102">
        <f t="shared" si="1"/>
        <v>399999.99999999994</v>
      </c>
    </row>
    <row r="13" spans="2:8" x14ac:dyDescent="0.25">
      <c r="B13" s="103" t="s">
        <v>108</v>
      </c>
      <c r="C13" s="102">
        <v>0</v>
      </c>
      <c r="D13" s="102">
        <f>'Loan schedule'!E98</f>
        <v>13792.694063926829</v>
      </c>
      <c r="E13" s="102">
        <f t="shared" ref="E13" si="2">SUM(C13:D13)</f>
        <v>13792.694063926829</v>
      </c>
      <c r="F13" s="102">
        <v>0</v>
      </c>
      <c r="G13" s="102">
        <f>'Loan schedule'!F98</f>
        <v>300000</v>
      </c>
      <c r="H13" s="102">
        <f t="shared" ref="H13" si="3">SUM(F13:G13)</f>
        <v>300000</v>
      </c>
    </row>
    <row r="14" spans="2:8" x14ac:dyDescent="0.25">
      <c r="C14" s="64"/>
      <c r="D14" s="64"/>
      <c r="E14" s="64"/>
      <c r="F14" s="64"/>
      <c r="G14" s="64"/>
      <c r="H14" s="64"/>
    </row>
    <row r="15" spans="2:8" x14ac:dyDescent="0.25">
      <c r="C15" s="64"/>
      <c r="D15" s="64"/>
      <c r="E15" s="64"/>
      <c r="F15" s="64"/>
      <c r="G15" s="64"/>
      <c r="H15" s="64"/>
    </row>
    <row r="16" spans="2:8" x14ac:dyDescent="0.25">
      <c r="C16" s="64"/>
      <c r="D16" s="64"/>
      <c r="E16" s="64"/>
      <c r="F16" s="64"/>
      <c r="G16" s="64"/>
      <c r="H16" s="64"/>
    </row>
    <row r="17" spans="3:8" x14ac:dyDescent="0.25">
      <c r="C17" s="64"/>
      <c r="D17" s="64"/>
      <c r="E17" s="64"/>
      <c r="F17" s="64"/>
      <c r="G17" s="64"/>
      <c r="H17" s="64"/>
    </row>
    <row r="18" spans="3:8" x14ac:dyDescent="0.25">
      <c r="C18" s="64"/>
      <c r="D18" s="64"/>
      <c r="E18" s="64"/>
      <c r="F18" s="64"/>
      <c r="G18" s="64"/>
      <c r="H18" s="64"/>
    </row>
    <row r="19" spans="3:8" x14ac:dyDescent="0.25">
      <c r="C19" s="64"/>
      <c r="D19" s="64"/>
      <c r="E19" s="64"/>
      <c r="F19" s="64"/>
      <c r="G19" s="64"/>
      <c r="H19" s="64"/>
    </row>
  </sheetData>
  <mergeCells count="5">
    <mergeCell ref="E4:E5"/>
    <mergeCell ref="H4:H5"/>
    <mergeCell ref="C4:D4"/>
    <mergeCell ref="F4:G4"/>
    <mergeCell ref="B4:B5"/>
  </mergeCells>
  <pageMargins left="0.70866141732283472" right="0.51181102362204722" top="0.74803149606299213" bottom="0.74803149606299213" header="0.31496062992125984" footer="0.31496062992125984"/>
  <pageSetup paperSize="9" scale="9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55"/>
  <sheetViews>
    <sheetView workbookViewId="0">
      <pane ySplit="4" topLeftCell="A5" activePane="bottomLeft" state="frozen"/>
      <selection pane="bottomLeft" activeCell="K11" sqref="K11"/>
    </sheetView>
  </sheetViews>
  <sheetFormatPr defaultRowHeight="15" x14ac:dyDescent="0.25"/>
  <cols>
    <col min="1" max="1" width="3.140625" style="23" customWidth="1"/>
    <col min="2" max="2" width="27" style="17" customWidth="1"/>
    <col min="3" max="6" width="13.140625" customWidth="1"/>
    <col min="7" max="9" width="13.7109375" customWidth="1"/>
    <col min="10" max="10" width="13" customWidth="1"/>
    <col min="11" max="11" width="12.5703125" style="10" bestFit="1" customWidth="1"/>
    <col min="12" max="12" width="11.5703125" style="10" bestFit="1" customWidth="1"/>
  </cols>
  <sheetData>
    <row r="1" spans="1:12" s="2" customFormat="1" ht="16.5" customHeight="1" x14ac:dyDescent="0.25">
      <c r="A1" s="182" t="s">
        <v>162</v>
      </c>
      <c r="B1" s="183"/>
      <c r="C1" s="183"/>
      <c r="D1" s="183"/>
      <c r="E1" s="183"/>
      <c r="F1" s="183"/>
      <c r="G1" s="183"/>
      <c r="H1" s="183"/>
      <c r="I1" s="183"/>
      <c r="J1" s="183"/>
      <c r="K1" s="9"/>
      <c r="L1" s="9"/>
    </row>
    <row r="2" spans="1:12" s="2" customFormat="1" ht="16.5" customHeight="1" x14ac:dyDescent="0.25">
      <c r="A2" s="182" t="s">
        <v>17</v>
      </c>
      <c r="B2" s="183"/>
      <c r="C2" s="183"/>
      <c r="D2" s="183"/>
      <c r="E2" s="183"/>
      <c r="F2" s="183"/>
      <c r="G2" s="183"/>
      <c r="H2" s="183"/>
      <c r="I2" s="183"/>
      <c r="J2" s="183"/>
      <c r="K2" s="9"/>
      <c r="L2" s="9"/>
    </row>
    <row r="3" spans="1:12" s="2" customFormat="1" ht="16.5" customHeight="1" x14ac:dyDescent="0.25">
      <c r="A3" s="66"/>
      <c r="B3" s="67"/>
      <c r="C3" s="7"/>
      <c r="D3" s="7"/>
      <c r="E3" s="7"/>
      <c r="F3" s="7"/>
      <c r="G3" s="7"/>
      <c r="H3" s="7"/>
      <c r="I3" s="7"/>
      <c r="J3" s="7"/>
      <c r="K3" s="9"/>
      <c r="L3" s="9"/>
    </row>
    <row r="4" spans="1:12" s="2" customFormat="1" ht="19.5" customHeight="1" x14ac:dyDescent="0.25">
      <c r="A4" s="121"/>
      <c r="B4" s="122" t="s">
        <v>16</v>
      </c>
      <c r="C4" s="128" t="s">
        <v>8</v>
      </c>
      <c r="D4" s="128" t="s">
        <v>9</v>
      </c>
      <c r="E4" s="128" t="s">
        <v>10</v>
      </c>
      <c r="F4" s="128" t="s">
        <v>11</v>
      </c>
      <c r="G4" s="128" t="s">
        <v>12</v>
      </c>
      <c r="H4" s="128" t="s">
        <v>18</v>
      </c>
      <c r="I4" s="128" t="s">
        <v>19</v>
      </c>
      <c r="J4" s="129" t="s">
        <v>107</v>
      </c>
      <c r="K4" s="9"/>
      <c r="L4" s="9"/>
    </row>
    <row r="5" spans="1:12" s="2" customFormat="1" ht="16.5" customHeight="1" x14ac:dyDescent="0.25">
      <c r="A5" s="66"/>
      <c r="B5" s="67"/>
      <c r="C5" s="7"/>
      <c r="D5" s="7"/>
      <c r="E5" s="7"/>
      <c r="F5" s="7"/>
      <c r="G5" s="7"/>
      <c r="H5" s="7"/>
      <c r="I5" s="7"/>
      <c r="J5" s="68"/>
      <c r="K5" s="9"/>
      <c r="L5" s="9"/>
    </row>
    <row r="6" spans="1:12" s="2" customFormat="1" ht="16.5" customHeight="1" x14ac:dyDescent="0.25">
      <c r="A6" s="66"/>
      <c r="B6" s="67" t="s">
        <v>0</v>
      </c>
      <c r="C6" s="14">
        <v>3708908</v>
      </c>
      <c r="D6" s="3">
        <v>11025000</v>
      </c>
      <c r="E6" s="3">
        <f>D6*1.2</f>
        <v>13230000</v>
      </c>
      <c r="F6" s="3">
        <f t="shared" ref="F6:F7" si="0">E6*1.2</f>
        <v>15876000</v>
      </c>
      <c r="G6" s="3">
        <f>F6*1.1</f>
        <v>17463600</v>
      </c>
      <c r="H6" s="3">
        <f t="shared" ref="H6:J6" si="1">G6*1.1</f>
        <v>19209960</v>
      </c>
      <c r="I6" s="3">
        <f t="shared" si="1"/>
        <v>21130956</v>
      </c>
      <c r="J6" s="72">
        <f t="shared" si="1"/>
        <v>23244051.600000001</v>
      </c>
      <c r="K6" s="9"/>
      <c r="L6" s="9">
        <f>C6*15%</f>
        <v>556336.19999999995</v>
      </c>
    </row>
    <row r="7" spans="1:12" s="2" customFormat="1" ht="16.5" customHeight="1" x14ac:dyDescent="0.25">
      <c r="A7" s="66"/>
      <c r="B7" s="67" t="s">
        <v>123</v>
      </c>
      <c r="C7" s="14">
        <v>567800</v>
      </c>
      <c r="D7" s="3">
        <f>D6*15%</f>
        <v>1653750</v>
      </c>
      <c r="E7" s="3">
        <f>D7*1.2</f>
        <v>1984500</v>
      </c>
      <c r="F7" s="3">
        <f t="shared" si="0"/>
        <v>2381400</v>
      </c>
      <c r="G7" s="3">
        <f>F7*1.1</f>
        <v>2619540</v>
      </c>
      <c r="H7" s="3">
        <f>G7*1.1</f>
        <v>2881494</v>
      </c>
      <c r="I7" s="3">
        <f>H7*1.1</f>
        <v>3169643.4000000004</v>
      </c>
      <c r="J7" s="72">
        <f>I7*1.1</f>
        <v>3486607.7400000007</v>
      </c>
      <c r="K7" s="9"/>
      <c r="L7" s="25"/>
    </row>
    <row r="8" spans="1:12" s="2" customFormat="1" ht="16.5" customHeight="1" x14ac:dyDescent="0.25">
      <c r="A8" s="86"/>
      <c r="B8" s="15"/>
      <c r="C8" s="12"/>
      <c r="D8" s="5"/>
      <c r="E8" s="5"/>
      <c r="F8" s="5"/>
      <c r="G8" s="5"/>
      <c r="H8" s="5"/>
      <c r="I8" s="5"/>
      <c r="J8" s="73"/>
      <c r="K8" s="9"/>
      <c r="L8" s="9"/>
    </row>
    <row r="9" spans="1:12" s="7" customFormat="1" ht="16.5" customHeight="1" x14ac:dyDescent="0.25">
      <c r="A9" s="66" t="s">
        <v>21</v>
      </c>
      <c r="B9" s="16" t="s">
        <v>4</v>
      </c>
      <c r="C9" s="13">
        <f t="shared" ref="C9:G9" si="2">SUM(C6:C8)</f>
        <v>4276708</v>
      </c>
      <c r="D9" s="6">
        <f t="shared" si="2"/>
        <v>12678750</v>
      </c>
      <c r="E9" s="6">
        <f t="shared" si="2"/>
        <v>15214500</v>
      </c>
      <c r="F9" s="6">
        <f t="shared" si="2"/>
        <v>18257400</v>
      </c>
      <c r="G9" s="6">
        <f t="shared" si="2"/>
        <v>20083140</v>
      </c>
      <c r="H9" s="6">
        <f t="shared" ref="H9:I9" si="3">SUM(H6:H8)</f>
        <v>22091454</v>
      </c>
      <c r="I9" s="6">
        <f t="shared" si="3"/>
        <v>24300599.399999999</v>
      </c>
      <c r="J9" s="74">
        <f t="shared" ref="J9" si="4">SUM(J6:J8)</f>
        <v>26730659.340000004</v>
      </c>
      <c r="K9" s="3"/>
      <c r="L9" s="3"/>
    </row>
    <row r="10" spans="1:12" s="2" customFormat="1" ht="16.5" customHeight="1" x14ac:dyDescent="0.25">
      <c r="A10" s="66"/>
      <c r="B10" s="67"/>
      <c r="C10" s="14"/>
      <c r="D10" s="3"/>
      <c r="E10" s="3"/>
      <c r="F10" s="3"/>
      <c r="G10" s="3"/>
      <c r="H10" s="3"/>
      <c r="I10" s="3"/>
      <c r="J10" s="72"/>
      <c r="K10" s="9"/>
      <c r="L10" s="9"/>
    </row>
    <row r="11" spans="1:12" s="2" customFormat="1" ht="16.5" customHeight="1" x14ac:dyDescent="0.25">
      <c r="A11" s="66"/>
      <c r="B11" s="67"/>
      <c r="C11" s="143">
        <f>C14/C6</f>
        <v>0.89934827178242216</v>
      </c>
      <c r="D11" s="3"/>
      <c r="E11" s="3"/>
      <c r="F11" s="3"/>
      <c r="G11" s="3"/>
      <c r="H11" s="3"/>
      <c r="I11" s="3"/>
      <c r="J11" s="72"/>
      <c r="K11" s="9"/>
      <c r="L11" s="9"/>
    </row>
    <row r="12" spans="1:12" s="2" customFormat="1" ht="16.5" customHeight="1" x14ac:dyDescent="0.25">
      <c r="A12" s="66"/>
      <c r="B12" s="75" t="s">
        <v>20</v>
      </c>
      <c r="C12" s="14"/>
      <c r="D12" s="3"/>
      <c r="E12" s="3"/>
      <c r="F12" s="3"/>
      <c r="G12" s="3"/>
      <c r="H12" s="3"/>
      <c r="I12" s="3"/>
      <c r="J12" s="72"/>
      <c r="K12" s="9"/>
      <c r="L12" s="9"/>
    </row>
    <row r="13" spans="1:12" s="2" customFormat="1" ht="16.5" customHeight="1" x14ac:dyDescent="0.25">
      <c r="A13" s="66"/>
      <c r="B13" s="67" t="s">
        <v>1</v>
      </c>
      <c r="C13" s="14">
        <v>101012</v>
      </c>
      <c r="D13" s="3">
        <f>C15</f>
        <v>305400</v>
      </c>
      <c r="E13" s="3">
        <f t="shared" ref="E13:J13" si="5">D15</f>
        <v>669000</v>
      </c>
      <c r="F13" s="3">
        <f t="shared" si="5"/>
        <v>802800</v>
      </c>
      <c r="G13" s="3">
        <f t="shared" si="5"/>
        <v>963360</v>
      </c>
      <c r="H13" s="3">
        <f t="shared" si="5"/>
        <v>1156032</v>
      </c>
      <c r="I13" s="3">
        <f t="shared" si="5"/>
        <v>1387238.3999999999</v>
      </c>
      <c r="J13" s="72">
        <f t="shared" si="5"/>
        <v>1664686.0799999998</v>
      </c>
      <c r="K13" s="9"/>
      <c r="L13" s="9"/>
    </row>
    <row r="14" spans="1:12" s="2" customFormat="1" ht="16.5" customHeight="1" x14ac:dyDescent="0.25">
      <c r="A14" s="66"/>
      <c r="B14" s="67" t="s">
        <v>2</v>
      </c>
      <c r="C14" s="14">
        <f>3335600</f>
        <v>3335600</v>
      </c>
      <c r="D14" s="3">
        <f>D6*85%</f>
        <v>9371250</v>
      </c>
      <c r="E14" s="3">
        <f>E6*83%</f>
        <v>10980900</v>
      </c>
      <c r="F14" s="3">
        <f>F6*80%</f>
        <v>12700800</v>
      </c>
      <c r="G14" s="3">
        <f>G6*80%</f>
        <v>13970880</v>
      </c>
      <c r="H14" s="3">
        <f>H6*80%</f>
        <v>15367968</v>
      </c>
      <c r="I14" s="3">
        <f>I6*80%</f>
        <v>16904764.800000001</v>
      </c>
      <c r="J14" s="72">
        <f>J6*80%</f>
        <v>18595241.280000001</v>
      </c>
      <c r="K14" s="9"/>
      <c r="L14" s="9"/>
    </row>
    <row r="15" spans="1:12" s="2" customFormat="1" ht="16.5" customHeight="1" x14ac:dyDescent="0.25">
      <c r="A15" s="86"/>
      <c r="B15" s="15" t="s">
        <v>3</v>
      </c>
      <c r="C15" s="12">
        <v>305400</v>
      </c>
      <c r="D15" s="5">
        <v>669000</v>
      </c>
      <c r="E15" s="5">
        <f>D15*1.2</f>
        <v>802800</v>
      </c>
      <c r="F15" s="5">
        <f t="shared" ref="F15:J15" si="6">E15*1.2</f>
        <v>963360</v>
      </c>
      <c r="G15" s="5">
        <f t="shared" si="6"/>
        <v>1156032</v>
      </c>
      <c r="H15" s="5">
        <f t="shared" si="6"/>
        <v>1387238.3999999999</v>
      </c>
      <c r="I15" s="5">
        <f t="shared" si="6"/>
        <v>1664686.0799999998</v>
      </c>
      <c r="J15" s="73">
        <f t="shared" si="6"/>
        <v>1997623.2959999996</v>
      </c>
      <c r="K15" s="9"/>
      <c r="L15" s="9"/>
    </row>
    <row r="16" spans="1:12" s="2" customFormat="1" ht="16.5" customHeight="1" x14ac:dyDescent="0.25">
      <c r="A16" s="66" t="s">
        <v>22</v>
      </c>
      <c r="B16" s="16" t="s">
        <v>20</v>
      </c>
      <c r="C16" s="13">
        <f t="shared" ref="C16:G16" si="7">C13+C14-C15</f>
        <v>3131212</v>
      </c>
      <c r="D16" s="6">
        <f t="shared" si="7"/>
        <v>9007650</v>
      </c>
      <c r="E16" s="6">
        <f t="shared" si="7"/>
        <v>10847100</v>
      </c>
      <c r="F16" s="6">
        <f t="shared" si="7"/>
        <v>12540240</v>
      </c>
      <c r="G16" s="6">
        <f t="shared" si="7"/>
        <v>13778208</v>
      </c>
      <c r="H16" s="6">
        <f t="shared" ref="H16:I16" si="8">H13+H14-H15</f>
        <v>15136761.6</v>
      </c>
      <c r="I16" s="6">
        <f t="shared" si="8"/>
        <v>16627317.119999999</v>
      </c>
      <c r="J16" s="74">
        <f t="shared" ref="J16" si="9">J13+J14-J15</f>
        <v>18262304.063999999</v>
      </c>
      <c r="K16" s="9"/>
      <c r="L16" s="9"/>
    </row>
    <row r="17" spans="1:12" s="2" customFormat="1" ht="16.5" customHeight="1" x14ac:dyDescent="0.25">
      <c r="A17" s="66"/>
      <c r="B17" s="67"/>
      <c r="C17" s="14"/>
      <c r="D17" s="3"/>
      <c r="E17" s="3"/>
      <c r="F17" s="3"/>
      <c r="G17" s="3"/>
      <c r="H17" s="3"/>
      <c r="I17" s="3"/>
      <c r="J17" s="72"/>
      <c r="K17" s="9"/>
      <c r="L17" s="9"/>
    </row>
    <row r="18" spans="1:12" s="8" customFormat="1" ht="16.5" customHeight="1" x14ac:dyDescent="0.25">
      <c r="A18" s="127"/>
      <c r="B18" s="16" t="s">
        <v>23</v>
      </c>
      <c r="C18" s="13">
        <f t="shared" ref="C18:G18" si="10">C9-C16</f>
        <v>1145496</v>
      </c>
      <c r="D18" s="6">
        <f t="shared" si="10"/>
        <v>3671100</v>
      </c>
      <c r="E18" s="6">
        <f t="shared" si="10"/>
        <v>4367400</v>
      </c>
      <c r="F18" s="6">
        <f t="shared" si="10"/>
        <v>5717160</v>
      </c>
      <c r="G18" s="6">
        <f t="shared" si="10"/>
        <v>6304932</v>
      </c>
      <c r="H18" s="6">
        <f t="shared" ref="H18:I18" si="11">H9-H16</f>
        <v>6954692.4000000004</v>
      </c>
      <c r="I18" s="6">
        <f t="shared" si="11"/>
        <v>7673282.2799999993</v>
      </c>
      <c r="J18" s="74">
        <f t="shared" ref="J18" si="12">J9-J16</f>
        <v>8468355.2760000043</v>
      </c>
      <c r="K18" s="24"/>
      <c r="L18" s="24"/>
    </row>
    <row r="19" spans="1:12" s="8" customFormat="1" ht="16.5" customHeight="1" x14ac:dyDescent="0.25">
      <c r="A19" s="127"/>
      <c r="B19" s="16" t="s">
        <v>13</v>
      </c>
      <c r="C19" s="144">
        <f t="shared" ref="C19:G19" si="13">C18/C9</f>
        <v>0.2678452679023211</v>
      </c>
      <c r="D19" s="11">
        <f t="shared" si="13"/>
        <v>0.289547471162378</v>
      </c>
      <c r="E19" s="11">
        <f t="shared" si="13"/>
        <v>0.2870551118998324</v>
      </c>
      <c r="F19" s="11">
        <f t="shared" si="13"/>
        <v>0.31314206842157155</v>
      </c>
      <c r="G19" s="11">
        <f t="shared" si="13"/>
        <v>0.31394154499744564</v>
      </c>
      <c r="H19" s="11">
        <f t="shared" ref="H19:I19" si="14">H18/H9</f>
        <v>0.31481370126203556</v>
      </c>
      <c r="I19" s="11">
        <f t="shared" si="14"/>
        <v>0.31576514445977</v>
      </c>
      <c r="J19" s="76">
        <f t="shared" ref="J19" si="15">J18/J9</f>
        <v>0.31680308249366224</v>
      </c>
      <c r="K19" s="24"/>
      <c r="L19" s="24"/>
    </row>
    <row r="20" spans="1:12" s="2" customFormat="1" ht="16.5" customHeight="1" x14ac:dyDescent="0.25">
      <c r="A20" s="66"/>
      <c r="B20" s="67"/>
      <c r="C20" s="14"/>
      <c r="D20" s="3"/>
      <c r="E20" s="3"/>
      <c r="F20" s="3"/>
      <c r="G20" s="3"/>
      <c r="H20" s="3"/>
      <c r="I20" s="3"/>
      <c r="J20" s="72"/>
      <c r="K20" s="9"/>
      <c r="L20" s="9"/>
    </row>
    <row r="21" spans="1:12" s="2" customFormat="1" ht="16.5" customHeight="1" x14ac:dyDescent="0.25">
      <c r="A21" s="66" t="s">
        <v>25</v>
      </c>
      <c r="B21" s="75" t="s">
        <v>24</v>
      </c>
      <c r="C21" s="14"/>
      <c r="D21" s="3"/>
      <c r="E21" s="3"/>
      <c r="F21" s="3"/>
      <c r="G21" s="3"/>
      <c r="H21" s="3"/>
      <c r="I21" s="3"/>
      <c r="J21" s="72"/>
      <c r="K21" s="9"/>
      <c r="L21" s="9"/>
    </row>
    <row r="22" spans="1:12" s="2" customFormat="1" ht="16.5" customHeight="1" x14ac:dyDescent="0.25">
      <c r="A22" s="66"/>
      <c r="B22" s="67" t="s">
        <v>130</v>
      </c>
      <c r="C22" s="14">
        <f>5300*12</f>
        <v>63600</v>
      </c>
      <c r="D22" s="3">
        <f>C22*1.5</f>
        <v>95400</v>
      </c>
      <c r="E22" s="3">
        <f>D22*1.5</f>
        <v>143100</v>
      </c>
      <c r="F22" s="3">
        <f>E22*1.5</f>
        <v>214650</v>
      </c>
      <c r="G22" s="3">
        <f t="shared" ref="G22:J22" si="16">F22*1.2</f>
        <v>257580</v>
      </c>
      <c r="H22" s="3">
        <f t="shared" si="16"/>
        <v>309096</v>
      </c>
      <c r="I22" s="3">
        <f t="shared" si="16"/>
        <v>370915.2</v>
      </c>
      <c r="J22" s="72">
        <f t="shared" si="16"/>
        <v>445098.23999999999</v>
      </c>
      <c r="K22" s="9"/>
      <c r="L22" s="9"/>
    </row>
    <row r="23" spans="1:12" s="2" customFormat="1" ht="16.5" customHeight="1" x14ac:dyDescent="0.25">
      <c r="A23" s="66"/>
      <c r="B23" s="67" t="s">
        <v>131</v>
      </c>
      <c r="C23" s="14">
        <f>5600*12</f>
        <v>67200</v>
      </c>
      <c r="D23" s="3">
        <f t="shared" ref="D23:J23" si="17">C23*1.2</f>
        <v>80640</v>
      </c>
      <c r="E23" s="3">
        <f t="shared" si="17"/>
        <v>96768</v>
      </c>
      <c r="F23" s="3">
        <f t="shared" si="17"/>
        <v>116121.59999999999</v>
      </c>
      <c r="G23" s="3">
        <f t="shared" si="17"/>
        <v>139345.91999999998</v>
      </c>
      <c r="H23" s="3">
        <f t="shared" si="17"/>
        <v>167215.10399999996</v>
      </c>
      <c r="I23" s="3">
        <f t="shared" si="17"/>
        <v>200658.12479999996</v>
      </c>
      <c r="J23" s="72">
        <f t="shared" si="17"/>
        <v>240789.74975999995</v>
      </c>
      <c r="K23" s="9"/>
      <c r="L23" s="9"/>
    </row>
    <row r="24" spans="1:12" s="2" customFormat="1" ht="16.5" customHeight="1" x14ac:dyDescent="0.25">
      <c r="A24" s="66"/>
      <c r="B24" s="67" t="s">
        <v>132</v>
      </c>
      <c r="C24" s="14">
        <f>13000*12</f>
        <v>156000</v>
      </c>
      <c r="D24" s="3">
        <f>24000*12</f>
        <v>288000</v>
      </c>
      <c r="E24" s="3">
        <f t="shared" ref="E24:J24" si="18">D24*1.1</f>
        <v>316800</v>
      </c>
      <c r="F24" s="3">
        <f t="shared" si="18"/>
        <v>348480</v>
      </c>
      <c r="G24" s="3">
        <f t="shared" si="18"/>
        <v>383328.00000000006</v>
      </c>
      <c r="H24" s="3">
        <f t="shared" si="18"/>
        <v>421660.8000000001</v>
      </c>
      <c r="I24" s="3">
        <f t="shared" si="18"/>
        <v>463826.88000000018</v>
      </c>
      <c r="J24" s="72">
        <f t="shared" si="18"/>
        <v>510209.56800000026</v>
      </c>
      <c r="K24" s="9"/>
      <c r="L24" s="9"/>
    </row>
    <row r="25" spans="1:12" s="2" customFormat="1" ht="16.5" customHeight="1" x14ac:dyDescent="0.25">
      <c r="A25" s="66"/>
      <c r="B25" s="67" t="s">
        <v>133</v>
      </c>
      <c r="C25" s="14">
        <v>5400</v>
      </c>
      <c r="D25" s="3">
        <f t="shared" ref="D25:J25" si="19">C25*1.2</f>
        <v>6480</v>
      </c>
      <c r="E25" s="3">
        <f t="shared" si="19"/>
        <v>7776</v>
      </c>
      <c r="F25" s="3">
        <f t="shared" si="19"/>
        <v>9331.1999999999989</v>
      </c>
      <c r="G25" s="3">
        <f t="shared" si="19"/>
        <v>11197.439999999999</v>
      </c>
      <c r="H25" s="3">
        <f t="shared" si="19"/>
        <v>13436.927999999998</v>
      </c>
      <c r="I25" s="3">
        <f t="shared" si="19"/>
        <v>16124.313599999998</v>
      </c>
      <c r="J25" s="72">
        <f t="shared" si="19"/>
        <v>19349.176319999995</v>
      </c>
      <c r="K25" s="9"/>
      <c r="L25" s="9"/>
    </row>
    <row r="26" spans="1:12" s="2" customFormat="1" ht="16.5" customHeight="1" x14ac:dyDescent="0.25">
      <c r="A26" s="66"/>
      <c r="B26" s="67" t="s">
        <v>134</v>
      </c>
      <c r="C26" s="14">
        <f>2000*12</f>
        <v>24000</v>
      </c>
      <c r="D26" s="3">
        <f>4000*2</f>
        <v>8000</v>
      </c>
      <c r="E26" s="3">
        <f t="shared" ref="E26:J26" si="20">D26*1.2</f>
        <v>9600</v>
      </c>
      <c r="F26" s="3">
        <f t="shared" si="20"/>
        <v>11520</v>
      </c>
      <c r="G26" s="3">
        <f t="shared" si="20"/>
        <v>13824</v>
      </c>
      <c r="H26" s="3">
        <f t="shared" si="20"/>
        <v>16588.8</v>
      </c>
      <c r="I26" s="3">
        <f t="shared" si="20"/>
        <v>19906.559999999998</v>
      </c>
      <c r="J26" s="72">
        <f t="shared" si="20"/>
        <v>23887.871999999996</v>
      </c>
      <c r="K26" s="9"/>
      <c r="L26" s="9"/>
    </row>
    <row r="27" spans="1:12" s="2" customFormat="1" ht="16.5" customHeight="1" x14ac:dyDescent="0.25">
      <c r="A27" s="66"/>
      <c r="B27" s="67" t="s">
        <v>135</v>
      </c>
      <c r="C27" s="14">
        <f>1000*12</f>
        <v>12000</v>
      </c>
      <c r="D27" s="3">
        <f t="shared" ref="D27:J27" si="21">C27*1.2</f>
        <v>14400</v>
      </c>
      <c r="E27" s="3">
        <f t="shared" si="21"/>
        <v>17280</v>
      </c>
      <c r="F27" s="3">
        <f t="shared" si="21"/>
        <v>20736</v>
      </c>
      <c r="G27" s="3">
        <f t="shared" si="21"/>
        <v>24883.200000000001</v>
      </c>
      <c r="H27" s="3">
        <f t="shared" si="21"/>
        <v>29859.84</v>
      </c>
      <c r="I27" s="3">
        <f t="shared" si="21"/>
        <v>35831.807999999997</v>
      </c>
      <c r="J27" s="72">
        <f t="shared" si="21"/>
        <v>42998.169599999994</v>
      </c>
      <c r="K27" s="9"/>
      <c r="L27" s="9"/>
    </row>
    <row r="28" spans="1:12" s="2" customFormat="1" ht="16.5" customHeight="1" x14ac:dyDescent="0.25">
      <c r="A28" s="66"/>
      <c r="B28" s="67" t="s">
        <v>136</v>
      </c>
      <c r="C28" s="14">
        <v>5000</v>
      </c>
      <c r="D28" s="3">
        <v>15000</v>
      </c>
      <c r="E28" s="3">
        <f t="shared" ref="E28:J28" si="22">D28*1.2</f>
        <v>18000</v>
      </c>
      <c r="F28" s="3">
        <f t="shared" si="22"/>
        <v>21600</v>
      </c>
      <c r="G28" s="3">
        <f t="shared" si="22"/>
        <v>25920</v>
      </c>
      <c r="H28" s="3">
        <f t="shared" si="22"/>
        <v>31104</v>
      </c>
      <c r="I28" s="3">
        <f t="shared" si="22"/>
        <v>37324.799999999996</v>
      </c>
      <c r="J28" s="72">
        <f t="shared" si="22"/>
        <v>44789.759999999995</v>
      </c>
      <c r="K28" s="9"/>
      <c r="L28" s="9"/>
    </row>
    <row r="29" spans="1:12" s="2" customFormat="1" ht="16.5" customHeight="1" x14ac:dyDescent="0.25">
      <c r="A29" s="66"/>
      <c r="B29" s="67" t="s">
        <v>137</v>
      </c>
      <c r="C29" s="14">
        <v>10000</v>
      </c>
      <c r="D29" s="3">
        <v>50000</v>
      </c>
      <c r="E29" s="3">
        <f t="shared" ref="E29:J29" si="23">D29*1.2</f>
        <v>60000</v>
      </c>
      <c r="F29" s="3">
        <f t="shared" si="23"/>
        <v>72000</v>
      </c>
      <c r="G29" s="3">
        <f t="shared" si="23"/>
        <v>86400</v>
      </c>
      <c r="H29" s="3">
        <f t="shared" si="23"/>
        <v>103680</v>
      </c>
      <c r="I29" s="3">
        <f t="shared" si="23"/>
        <v>124416</v>
      </c>
      <c r="J29" s="72">
        <f t="shared" si="23"/>
        <v>149299.19999999998</v>
      </c>
      <c r="K29" s="9"/>
      <c r="L29" s="9"/>
    </row>
    <row r="30" spans="1:12" s="2" customFormat="1" ht="16.5" customHeight="1" x14ac:dyDescent="0.25">
      <c r="A30" s="86"/>
      <c r="B30" s="15" t="s">
        <v>138</v>
      </c>
      <c r="C30" s="12">
        <v>15000</v>
      </c>
      <c r="D30" s="5">
        <v>35800</v>
      </c>
      <c r="E30" s="5">
        <f t="shared" ref="E30:J30" si="24">D30*1.2</f>
        <v>42960</v>
      </c>
      <c r="F30" s="5">
        <f t="shared" si="24"/>
        <v>51552</v>
      </c>
      <c r="G30" s="5">
        <f t="shared" si="24"/>
        <v>61862.399999999994</v>
      </c>
      <c r="H30" s="5">
        <f t="shared" si="24"/>
        <v>74234.87999999999</v>
      </c>
      <c r="I30" s="5">
        <f t="shared" si="24"/>
        <v>89081.855999999985</v>
      </c>
      <c r="J30" s="73">
        <f t="shared" si="24"/>
        <v>106898.22719999998</v>
      </c>
      <c r="K30" s="9"/>
      <c r="L30" s="9"/>
    </row>
    <row r="31" spans="1:12" s="7" customFormat="1" ht="16.5" customHeight="1" x14ac:dyDescent="0.25">
      <c r="A31" s="66"/>
      <c r="B31" s="16" t="s">
        <v>5</v>
      </c>
      <c r="C31" s="13">
        <f t="shared" ref="C31:J31" si="25">SUM(C22:C30)</f>
        <v>358200</v>
      </c>
      <c r="D31" s="6">
        <f t="shared" si="25"/>
        <v>593720</v>
      </c>
      <c r="E31" s="6">
        <f t="shared" si="25"/>
        <v>712284</v>
      </c>
      <c r="F31" s="6">
        <f t="shared" si="25"/>
        <v>865990.79999999993</v>
      </c>
      <c r="G31" s="6">
        <f t="shared" si="25"/>
        <v>1004340.96</v>
      </c>
      <c r="H31" s="6">
        <f t="shared" si="25"/>
        <v>1166876.352</v>
      </c>
      <c r="I31" s="6">
        <f t="shared" si="25"/>
        <v>1358085.5424000002</v>
      </c>
      <c r="J31" s="74">
        <f t="shared" si="25"/>
        <v>1583319.9628800002</v>
      </c>
      <c r="K31" s="3"/>
      <c r="L31" s="3"/>
    </row>
    <row r="32" spans="1:12" s="2" customFormat="1" ht="16.5" customHeight="1" x14ac:dyDescent="0.25">
      <c r="A32" s="66"/>
      <c r="B32" s="67"/>
      <c r="C32" s="3"/>
      <c r="D32" s="3"/>
      <c r="E32" s="3"/>
      <c r="F32" s="3"/>
      <c r="G32" s="3"/>
      <c r="H32" s="3"/>
      <c r="I32" s="3"/>
      <c r="J32" s="72"/>
      <c r="K32" s="9"/>
      <c r="L32" s="9"/>
    </row>
    <row r="33" spans="1:12" s="2" customFormat="1" ht="36.75" customHeight="1" x14ac:dyDescent="0.25">
      <c r="A33" s="104"/>
      <c r="B33" s="77" t="s">
        <v>6</v>
      </c>
      <c r="C33" s="21">
        <f t="shared" ref="C33:J33" si="26">C18-C31</f>
        <v>787296</v>
      </c>
      <c r="D33" s="21">
        <f t="shared" si="26"/>
        <v>3077380</v>
      </c>
      <c r="E33" s="21">
        <f t="shared" si="26"/>
        <v>3655116</v>
      </c>
      <c r="F33" s="21">
        <f t="shared" si="26"/>
        <v>4851169.2</v>
      </c>
      <c r="G33" s="21">
        <f t="shared" si="26"/>
        <v>5300591.04</v>
      </c>
      <c r="H33" s="21">
        <f t="shared" si="26"/>
        <v>5787816.0480000004</v>
      </c>
      <c r="I33" s="21">
        <f t="shared" si="26"/>
        <v>6315196.7375999987</v>
      </c>
      <c r="J33" s="130">
        <f t="shared" si="26"/>
        <v>6885035.3131200038</v>
      </c>
      <c r="K33" s="9"/>
      <c r="L33" s="9"/>
    </row>
    <row r="34" spans="1:12" s="2" customFormat="1" ht="16.5" customHeight="1" x14ac:dyDescent="0.25">
      <c r="A34" s="105"/>
      <c r="B34" s="70" t="s">
        <v>15</v>
      </c>
      <c r="C34" s="22">
        <f t="shared" ref="C34:J34" si="27">C33/C9</f>
        <v>0.18408925743819779</v>
      </c>
      <c r="D34" s="22">
        <f t="shared" si="27"/>
        <v>0.24271951099280292</v>
      </c>
      <c r="E34" s="22">
        <f t="shared" si="27"/>
        <v>0.24023898254954157</v>
      </c>
      <c r="F34" s="22">
        <f t="shared" si="27"/>
        <v>0.26570975056689344</v>
      </c>
      <c r="G34" s="22">
        <f t="shared" si="27"/>
        <v>0.26393238507524219</v>
      </c>
      <c r="H34" s="22">
        <f t="shared" si="27"/>
        <v>0.26199344090253185</v>
      </c>
      <c r="I34" s="22">
        <f t="shared" si="27"/>
        <v>0.25987822907775676</v>
      </c>
      <c r="J34" s="78">
        <f t="shared" si="27"/>
        <v>0.2575707252689115</v>
      </c>
      <c r="K34" s="9"/>
      <c r="L34" s="9"/>
    </row>
    <row r="35" spans="1:12" s="2" customFormat="1" ht="16.5" customHeight="1" x14ac:dyDescent="0.25">
      <c r="A35" s="66"/>
      <c r="B35" s="67"/>
      <c r="C35" s="3"/>
      <c r="D35" s="3"/>
      <c r="E35" s="3"/>
      <c r="F35" s="3"/>
      <c r="G35" s="3"/>
      <c r="H35" s="3"/>
      <c r="I35" s="3"/>
      <c r="J35" s="72"/>
      <c r="K35" s="9"/>
      <c r="L35" s="9"/>
    </row>
    <row r="36" spans="1:12" s="2" customFormat="1" ht="16.5" customHeight="1" x14ac:dyDescent="0.25">
      <c r="A36" s="66"/>
      <c r="B36" s="67" t="s">
        <v>139</v>
      </c>
      <c r="C36" s="14">
        <f>300000*9.6%*3/12</f>
        <v>7200</v>
      </c>
      <c r="D36" s="14">
        <f>2500000*9.8%</f>
        <v>245000</v>
      </c>
      <c r="E36" s="14">
        <f t="shared" ref="E36:J36" si="28">2500000*9.8%</f>
        <v>245000</v>
      </c>
      <c r="F36" s="14">
        <f t="shared" si="28"/>
        <v>245000</v>
      </c>
      <c r="G36" s="14">
        <f t="shared" si="28"/>
        <v>245000</v>
      </c>
      <c r="H36" s="14">
        <f t="shared" si="28"/>
        <v>245000</v>
      </c>
      <c r="I36" s="14">
        <f t="shared" si="28"/>
        <v>245000</v>
      </c>
      <c r="J36" s="79">
        <f t="shared" si="28"/>
        <v>245000</v>
      </c>
      <c r="K36" s="9"/>
      <c r="L36" s="9"/>
    </row>
    <row r="37" spans="1:12" s="2" customFormat="1" ht="16.5" customHeight="1" x14ac:dyDescent="0.25">
      <c r="A37" s="66"/>
      <c r="B37" s="67" t="s">
        <v>140</v>
      </c>
      <c r="C37" s="14">
        <f>FA!$I$7</f>
        <v>438400</v>
      </c>
      <c r="D37" s="14">
        <f>FA!$I$13</f>
        <v>523140</v>
      </c>
      <c r="E37" s="14">
        <f>FA!$I$19</f>
        <v>646869</v>
      </c>
      <c r="F37" s="14">
        <f>FA!$I$25</f>
        <v>580018.65</v>
      </c>
      <c r="G37" s="14">
        <f>FA!$I$31</f>
        <v>555757.85250000004</v>
      </c>
      <c r="H37" s="14">
        <f>FA!$I$37</f>
        <v>847593.97462500003</v>
      </c>
      <c r="I37" s="14">
        <f>FA!$I$43</f>
        <v>590127.49843124999</v>
      </c>
      <c r="J37" s="79">
        <f>FA!$I$49</f>
        <v>453610.85166656249</v>
      </c>
      <c r="K37" s="9"/>
      <c r="L37" s="9"/>
    </row>
    <row r="38" spans="1:12" s="2" customFormat="1" ht="16.5" customHeight="1" x14ac:dyDescent="0.25">
      <c r="A38" s="86"/>
      <c r="B38" s="15"/>
      <c r="C38" s="12"/>
      <c r="D38" s="12"/>
      <c r="E38" s="12"/>
      <c r="F38" s="12"/>
      <c r="G38" s="12"/>
      <c r="H38" s="12"/>
      <c r="I38" s="12"/>
      <c r="J38" s="80"/>
      <c r="K38" s="9"/>
      <c r="L38" s="9"/>
    </row>
    <row r="39" spans="1:12" s="2" customFormat="1" ht="16.5" customHeight="1" x14ac:dyDescent="0.25">
      <c r="A39" s="66"/>
      <c r="B39" s="16" t="s">
        <v>7</v>
      </c>
      <c r="C39" s="13">
        <f t="shared" ref="C39:G39" si="29">C33-C36-C37</f>
        <v>341696</v>
      </c>
      <c r="D39" s="13">
        <f t="shared" si="29"/>
        <v>2309240</v>
      </c>
      <c r="E39" s="13">
        <f t="shared" si="29"/>
        <v>2763247</v>
      </c>
      <c r="F39" s="13">
        <f t="shared" si="29"/>
        <v>4026150.5500000003</v>
      </c>
      <c r="G39" s="13">
        <f t="shared" si="29"/>
        <v>4499833.1875</v>
      </c>
      <c r="H39" s="13">
        <f t="shared" ref="H39:I39" si="30">H33-H36-H37</f>
        <v>4695222.0733750006</v>
      </c>
      <c r="I39" s="13">
        <f t="shared" si="30"/>
        <v>5480069.2391687483</v>
      </c>
      <c r="J39" s="81">
        <f t="shared" ref="J39" si="31">J33-J36-J37</f>
        <v>6186424.4614534415</v>
      </c>
      <c r="K39" s="9"/>
      <c r="L39" s="9"/>
    </row>
    <row r="40" spans="1:12" s="2" customFormat="1" ht="16.5" customHeight="1" x14ac:dyDescent="0.25">
      <c r="A40" s="66"/>
      <c r="B40" s="67"/>
      <c r="C40" s="14"/>
      <c r="D40" s="14"/>
      <c r="E40" s="14"/>
      <c r="F40" s="14"/>
      <c r="G40" s="14"/>
      <c r="H40" s="14"/>
      <c r="I40" s="14"/>
      <c r="J40" s="79"/>
      <c r="K40" s="9"/>
      <c r="L40" s="9"/>
    </row>
    <row r="41" spans="1:12" x14ac:dyDescent="0.25">
      <c r="A41" s="105"/>
      <c r="B41" s="70" t="s">
        <v>14</v>
      </c>
      <c r="C41" s="20">
        <f t="shared" ref="C41:J41" si="32">C39/C9</f>
        <v>7.9896967480594883E-2</v>
      </c>
      <c r="D41" s="20">
        <f t="shared" si="32"/>
        <v>0.18213467415951887</v>
      </c>
      <c r="E41" s="20">
        <f t="shared" si="32"/>
        <v>0.18161931052614283</v>
      </c>
      <c r="F41" s="20">
        <f t="shared" si="32"/>
        <v>0.22052157207488471</v>
      </c>
      <c r="G41" s="20">
        <f t="shared" si="32"/>
        <v>0.22406024095335689</v>
      </c>
      <c r="H41" s="20">
        <f t="shared" si="32"/>
        <v>0.21253567435511492</v>
      </c>
      <c r="I41" s="20">
        <f t="shared" si="32"/>
        <v>0.22551169001900212</v>
      </c>
      <c r="J41" s="83">
        <f t="shared" si="32"/>
        <v>0.23143553560596311</v>
      </c>
    </row>
    <row r="42" spans="1:12" s="136" customFormat="1" x14ac:dyDescent="0.25">
      <c r="A42" s="131"/>
      <c r="B42" s="132"/>
      <c r="C42" s="133"/>
      <c r="D42" s="133"/>
      <c r="E42" s="133"/>
      <c r="F42" s="133"/>
      <c r="G42" s="133"/>
      <c r="H42" s="133"/>
      <c r="I42" s="133"/>
      <c r="J42" s="134"/>
      <c r="K42" s="135"/>
      <c r="L42" s="135"/>
    </row>
    <row r="43" spans="1:12" s="136" customFormat="1" x14ac:dyDescent="0.25">
      <c r="A43" s="131"/>
      <c r="B43" s="132" t="s">
        <v>129</v>
      </c>
      <c r="C43" s="14">
        <f>C39*25%</f>
        <v>85424</v>
      </c>
      <c r="D43" s="14">
        <f t="shared" ref="D43:J43" si="33">D39*25%</f>
        <v>577310</v>
      </c>
      <c r="E43" s="14">
        <f t="shared" si="33"/>
        <v>690811.75</v>
      </c>
      <c r="F43" s="14">
        <f t="shared" si="33"/>
        <v>1006537.6375000001</v>
      </c>
      <c r="G43" s="14">
        <f t="shared" si="33"/>
        <v>1124958.296875</v>
      </c>
      <c r="H43" s="14">
        <f t="shared" si="33"/>
        <v>1173805.5183437502</v>
      </c>
      <c r="I43" s="14">
        <f t="shared" si="33"/>
        <v>1370017.3097921871</v>
      </c>
      <c r="J43" s="79">
        <f t="shared" si="33"/>
        <v>1546606.1153633604</v>
      </c>
      <c r="K43" s="135"/>
      <c r="L43" s="135"/>
    </row>
    <row r="44" spans="1:12" s="136" customFormat="1" x14ac:dyDescent="0.25">
      <c r="A44" s="131"/>
      <c r="B44" s="132"/>
      <c r="C44" s="133"/>
      <c r="D44" s="133"/>
      <c r="E44" s="133"/>
      <c r="F44" s="133"/>
      <c r="G44" s="133"/>
      <c r="H44" s="133"/>
      <c r="I44" s="133"/>
      <c r="J44" s="134"/>
      <c r="K44" s="135"/>
      <c r="L44" s="135"/>
    </row>
    <row r="45" spans="1:12" s="136" customFormat="1" x14ac:dyDescent="0.25">
      <c r="A45" s="66"/>
      <c r="B45" s="16" t="s">
        <v>141</v>
      </c>
      <c r="C45" s="13">
        <f>C39-C43</f>
        <v>256272</v>
      </c>
      <c r="D45" s="13">
        <f t="shared" ref="D45:J45" si="34">D39-D43</f>
        <v>1731930</v>
      </c>
      <c r="E45" s="13">
        <f t="shared" si="34"/>
        <v>2072435.25</v>
      </c>
      <c r="F45" s="13">
        <f t="shared" si="34"/>
        <v>3019612.9125000001</v>
      </c>
      <c r="G45" s="13">
        <f t="shared" si="34"/>
        <v>3374874.890625</v>
      </c>
      <c r="H45" s="13">
        <f t="shared" si="34"/>
        <v>3521416.5550312502</v>
      </c>
      <c r="I45" s="13">
        <f t="shared" si="34"/>
        <v>4110051.9293765612</v>
      </c>
      <c r="J45" s="81">
        <f t="shared" si="34"/>
        <v>4639818.3460900811</v>
      </c>
      <c r="K45" s="135"/>
      <c r="L45" s="135"/>
    </row>
    <row r="46" spans="1:12" s="136" customFormat="1" x14ac:dyDescent="0.25">
      <c r="A46" s="131"/>
      <c r="B46" s="132"/>
      <c r="C46" s="133"/>
      <c r="D46" s="133"/>
      <c r="E46" s="133"/>
      <c r="F46" s="133"/>
      <c r="G46" s="133"/>
      <c r="H46" s="133"/>
      <c r="I46" s="133"/>
      <c r="J46" s="134"/>
      <c r="K46" s="135"/>
      <c r="L46" s="135"/>
    </row>
    <row r="47" spans="1:12" x14ac:dyDescent="0.25">
      <c r="A47" s="137"/>
      <c r="B47" s="138" t="s">
        <v>142</v>
      </c>
      <c r="C47" s="139">
        <f>C45/C9</f>
        <v>5.9922725610446169E-2</v>
      </c>
      <c r="D47" s="139">
        <f t="shared" ref="D47:J47" si="35">D45/D9</f>
        <v>0.13660100561963917</v>
      </c>
      <c r="E47" s="139">
        <f t="shared" si="35"/>
        <v>0.13621448289460711</v>
      </c>
      <c r="F47" s="139">
        <f t="shared" si="35"/>
        <v>0.16539117905616355</v>
      </c>
      <c r="G47" s="139">
        <f t="shared" si="35"/>
        <v>0.16804518071501767</v>
      </c>
      <c r="H47" s="139">
        <f t="shared" si="35"/>
        <v>0.15940175576633617</v>
      </c>
      <c r="I47" s="139">
        <f t="shared" si="35"/>
        <v>0.16913376751425158</v>
      </c>
      <c r="J47" s="140">
        <f t="shared" si="35"/>
        <v>0.17357665170447234</v>
      </c>
    </row>
    <row r="48" spans="1:12" x14ac:dyDescent="0.25">
      <c r="C48" s="10"/>
      <c r="D48" s="10"/>
      <c r="E48" s="10"/>
      <c r="F48" s="10"/>
      <c r="G48" s="10"/>
      <c r="H48" s="10"/>
    </row>
    <row r="49" spans="3:8" x14ac:dyDescent="0.25">
      <c r="C49" s="10"/>
      <c r="D49" s="10"/>
      <c r="E49" s="10"/>
      <c r="F49" s="10"/>
      <c r="G49" s="10"/>
      <c r="H49" s="10"/>
    </row>
    <row r="50" spans="3:8" x14ac:dyDescent="0.25">
      <c r="C50" s="10"/>
      <c r="D50" s="10"/>
      <c r="E50" s="10"/>
      <c r="F50" s="10"/>
      <c r="G50" s="10"/>
      <c r="H50" s="10"/>
    </row>
    <row r="51" spans="3:8" x14ac:dyDescent="0.25">
      <c r="C51" s="10"/>
      <c r="D51" s="10"/>
      <c r="E51" s="10"/>
      <c r="F51" s="10"/>
      <c r="G51" s="10"/>
      <c r="H51" s="10"/>
    </row>
    <row r="52" spans="3:8" x14ac:dyDescent="0.25">
      <c r="C52" s="10"/>
      <c r="D52" s="10"/>
      <c r="E52" s="10"/>
      <c r="F52" s="10"/>
      <c r="G52" s="10"/>
      <c r="H52" s="10"/>
    </row>
    <row r="53" spans="3:8" x14ac:dyDescent="0.25">
      <c r="C53" s="10"/>
      <c r="D53" s="10"/>
      <c r="E53" s="10"/>
      <c r="F53" s="10"/>
      <c r="G53" s="10"/>
      <c r="H53" s="10"/>
    </row>
    <row r="54" spans="3:8" x14ac:dyDescent="0.25">
      <c r="C54" s="10"/>
      <c r="D54" s="10"/>
      <c r="E54" s="10"/>
      <c r="F54" s="10"/>
      <c r="G54" s="10"/>
      <c r="H54" s="10"/>
    </row>
    <row r="55" spans="3:8" x14ac:dyDescent="0.25">
      <c r="C55" s="10"/>
      <c r="D55" s="10"/>
      <c r="E55" s="10"/>
      <c r="F55" s="10"/>
      <c r="G55" s="10"/>
      <c r="H55" s="10"/>
    </row>
  </sheetData>
  <mergeCells count="2">
    <mergeCell ref="A1:J1"/>
    <mergeCell ref="A2:J2"/>
  </mergeCells>
  <pageMargins left="1.1023622047244095" right="0.31496062992125984" top="0.35433070866141736" bottom="0.35433070866141736" header="0.31496062992125984" footer="0.31496062992125984"/>
  <pageSetup paperSize="9" scale="7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28"/>
  <sheetViews>
    <sheetView topLeftCell="A13" workbookViewId="0">
      <selection activeCell="K1" sqref="K1"/>
    </sheetView>
  </sheetViews>
  <sheetFormatPr defaultRowHeight="15" x14ac:dyDescent="0.25"/>
  <cols>
    <col min="1" max="1" width="4.7109375" style="23" customWidth="1"/>
    <col min="2" max="2" width="27" style="17" customWidth="1"/>
    <col min="3" max="6" width="13.140625" customWidth="1"/>
    <col min="7" max="9" width="13.7109375" customWidth="1"/>
    <col min="10" max="10" width="12.7109375" customWidth="1"/>
    <col min="11" max="11" width="12.5703125" style="10" bestFit="1" customWidth="1"/>
    <col min="12" max="12" width="9.28515625" style="10" bestFit="1" customWidth="1"/>
  </cols>
  <sheetData>
    <row r="1" spans="1:12" s="2" customFormat="1" ht="16.5" customHeight="1" x14ac:dyDescent="0.25">
      <c r="A1" s="187" t="s">
        <v>162</v>
      </c>
      <c r="B1" s="188"/>
      <c r="C1" s="188"/>
      <c r="D1" s="188"/>
      <c r="E1" s="188"/>
      <c r="F1" s="188"/>
      <c r="G1" s="188"/>
      <c r="H1" s="188"/>
      <c r="I1" s="188"/>
      <c r="J1" s="189"/>
      <c r="K1" s="9"/>
      <c r="L1" s="9"/>
    </row>
    <row r="2" spans="1:12" s="2" customFormat="1" ht="16.5" customHeight="1" x14ac:dyDescent="0.25">
      <c r="A2" s="184" t="s">
        <v>98</v>
      </c>
      <c r="B2" s="185"/>
      <c r="C2" s="185"/>
      <c r="D2" s="185"/>
      <c r="E2" s="185"/>
      <c r="F2" s="185"/>
      <c r="G2" s="185"/>
      <c r="H2" s="185"/>
      <c r="I2" s="185"/>
      <c r="J2" s="186"/>
      <c r="K2" s="9"/>
      <c r="L2" s="9"/>
    </row>
    <row r="3" spans="1:12" s="2" customFormat="1" ht="21.75" customHeight="1" x14ac:dyDescent="0.25">
      <c r="A3" s="66"/>
      <c r="B3" s="67"/>
      <c r="C3" s="7"/>
      <c r="D3" s="7"/>
      <c r="E3" s="7"/>
      <c r="F3" s="7"/>
      <c r="G3" s="7"/>
      <c r="H3" s="7"/>
      <c r="I3" s="7"/>
      <c r="J3" s="68"/>
      <c r="K3" s="9"/>
      <c r="L3" s="9"/>
    </row>
    <row r="4" spans="1:12" s="2" customFormat="1" ht="22.5" customHeight="1" x14ac:dyDescent="0.25">
      <c r="A4" s="69"/>
      <c r="B4" s="70" t="s">
        <v>16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18</v>
      </c>
      <c r="I4" s="18" t="s">
        <v>19</v>
      </c>
      <c r="J4" s="71" t="s">
        <v>107</v>
      </c>
      <c r="K4" s="9"/>
      <c r="L4" s="9"/>
    </row>
    <row r="5" spans="1:12" s="2" customFormat="1" ht="22.5" customHeight="1" x14ac:dyDescent="0.25">
      <c r="A5" s="66"/>
      <c r="B5" s="67"/>
      <c r="C5" s="7"/>
      <c r="D5" s="7"/>
      <c r="E5" s="7"/>
      <c r="F5" s="7"/>
      <c r="G5" s="7"/>
      <c r="H5" s="7"/>
      <c r="I5" s="7"/>
      <c r="J5" s="68"/>
      <c r="K5" s="9"/>
      <c r="L5" s="9"/>
    </row>
    <row r="6" spans="1:12" s="40" customFormat="1" ht="22.5" customHeight="1" x14ac:dyDescent="0.25">
      <c r="A6" s="90" t="s">
        <v>21</v>
      </c>
      <c r="B6" s="91" t="s">
        <v>161</v>
      </c>
      <c r="C6" s="42">
        <f>PL!C45</f>
        <v>256272</v>
      </c>
      <c r="D6" s="42">
        <f>PL!D45</f>
        <v>1731930</v>
      </c>
      <c r="E6" s="42">
        <f>PL!E45</f>
        <v>2072435.25</v>
      </c>
      <c r="F6" s="42">
        <f>PL!F45</f>
        <v>3019612.9125000001</v>
      </c>
      <c r="G6" s="42">
        <f>PL!G45</f>
        <v>3374874.890625</v>
      </c>
      <c r="H6" s="42">
        <f>PL!H45</f>
        <v>3521416.5550312502</v>
      </c>
      <c r="I6" s="42">
        <f>PL!I45</f>
        <v>4110051.9293765612</v>
      </c>
      <c r="J6" s="95">
        <f>PL!J45</f>
        <v>4639818.3460900811</v>
      </c>
      <c r="K6" s="43"/>
      <c r="L6" s="43"/>
    </row>
    <row r="7" spans="1:12" ht="22.5" customHeight="1" x14ac:dyDescent="0.25">
      <c r="A7" s="82"/>
      <c r="B7" s="85" t="s">
        <v>36</v>
      </c>
      <c r="C7" s="44">
        <f>PL!C37</f>
        <v>438400</v>
      </c>
      <c r="D7" s="44">
        <f>PL!D37</f>
        <v>523140</v>
      </c>
      <c r="E7" s="44">
        <f>PL!E37</f>
        <v>646869</v>
      </c>
      <c r="F7" s="44">
        <f>PL!F37</f>
        <v>580018.65</v>
      </c>
      <c r="G7" s="44">
        <f>PL!G37</f>
        <v>555757.85250000004</v>
      </c>
      <c r="H7" s="44">
        <f>PL!H37</f>
        <v>847593.97462500003</v>
      </c>
      <c r="I7" s="44">
        <f>PL!I37</f>
        <v>590127.49843124999</v>
      </c>
      <c r="J7" s="96">
        <f>PL!J37</f>
        <v>453610.85166656249</v>
      </c>
    </row>
    <row r="8" spans="1:12" s="40" customFormat="1" ht="22.5" customHeight="1" x14ac:dyDescent="0.25">
      <c r="A8" s="90" t="s">
        <v>22</v>
      </c>
      <c r="B8" s="91" t="s">
        <v>37</v>
      </c>
      <c r="C8" s="42">
        <f t="shared" ref="C8:I8" si="0">C6+C7</f>
        <v>694672</v>
      </c>
      <c r="D8" s="42">
        <f t="shared" si="0"/>
        <v>2255070</v>
      </c>
      <c r="E8" s="42">
        <f t="shared" si="0"/>
        <v>2719304.25</v>
      </c>
      <c r="F8" s="42">
        <f t="shared" si="0"/>
        <v>3599631.5625</v>
      </c>
      <c r="G8" s="42">
        <f t="shared" si="0"/>
        <v>3930632.743125</v>
      </c>
      <c r="H8" s="42">
        <f t="shared" si="0"/>
        <v>4369010.52965625</v>
      </c>
      <c r="I8" s="42">
        <f t="shared" si="0"/>
        <v>4700179.4278078116</v>
      </c>
      <c r="J8" s="95">
        <f t="shared" ref="J8" si="1">J6+J7</f>
        <v>5093429.1977566434</v>
      </c>
      <c r="K8" s="43"/>
      <c r="L8" s="43"/>
    </row>
    <row r="9" spans="1:12" ht="22.5" customHeight="1" x14ac:dyDescent="0.25">
      <c r="A9" s="82"/>
      <c r="B9" s="85" t="s">
        <v>38</v>
      </c>
      <c r="C9" s="44">
        <f>PL!C36</f>
        <v>7200</v>
      </c>
      <c r="D9" s="44">
        <f>PL!D36</f>
        <v>245000</v>
      </c>
      <c r="E9" s="44">
        <f>PL!E36</f>
        <v>245000</v>
      </c>
      <c r="F9" s="44">
        <f>PL!F36</f>
        <v>245000</v>
      </c>
      <c r="G9" s="44">
        <f>PL!G36</f>
        <v>245000</v>
      </c>
      <c r="H9" s="44">
        <f>PL!H36</f>
        <v>245000</v>
      </c>
      <c r="I9" s="44">
        <f>PL!I36</f>
        <v>245000</v>
      </c>
      <c r="J9" s="96">
        <f>PL!J36</f>
        <v>245000</v>
      </c>
    </row>
    <row r="10" spans="1:12" s="40" customFormat="1" ht="22.5" customHeight="1" x14ac:dyDescent="0.25">
      <c r="A10" s="90" t="s">
        <v>25</v>
      </c>
      <c r="B10" s="91" t="s">
        <v>39</v>
      </c>
      <c r="C10" s="42">
        <f t="shared" ref="C10:I10" si="2">C8+C9</f>
        <v>701872</v>
      </c>
      <c r="D10" s="42">
        <f t="shared" si="2"/>
        <v>2500070</v>
      </c>
      <c r="E10" s="42">
        <f t="shared" si="2"/>
        <v>2964304.25</v>
      </c>
      <c r="F10" s="42">
        <f t="shared" si="2"/>
        <v>3844631.5625</v>
      </c>
      <c r="G10" s="42">
        <f t="shared" si="2"/>
        <v>4175632.743125</v>
      </c>
      <c r="H10" s="42">
        <f t="shared" si="2"/>
        <v>4614010.52965625</v>
      </c>
      <c r="I10" s="42">
        <f t="shared" si="2"/>
        <v>4945179.4278078116</v>
      </c>
      <c r="J10" s="95">
        <f t="shared" ref="J10" si="3">J8+J9</f>
        <v>5338429.1977566434</v>
      </c>
      <c r="K10" s="43"/>
      <c r="L10" s="43"/>
    </row>
    <row r="11" spans="1:12" s="62" customFormat="1" ht="22.5" customHeight="1" x14ac:dyDescent="0.25">
      <c r="A11" s="92"/>
      <c r="B11" s="111" t="s">
        <v>53</v>
      </c>
      <c r="C11" s="119">
        <f>BS!C11</f>
        <v>-213863</v>
      </c>
      <c r="D11" s="119">
        <f>BS!D11</f>
        <v>-865965</v>
      </c>
      <c r="E11" s="119">
        <f>BS!E11</f>
        <v>-1450704.6749999998</v>
      </c>
      <c r="F11" s="119">
        <f>BS!F11</f>
        <v>-2113729.0387499998</v>
      </c>
      <c r="G11" s="119">
        <f>BS!G11</f>
        <v>-2362412.4234374999</v>
      </c>
      <c r="H11" s="119">
        <f>BS!H11</f>
        <v>-2464991.588521875</v>
      </c>
      <c r="I11" s="119">
        <f>BS!I11</f>
        <v>-2877036.3505635927</v>
      </c>
      <c r="J11" s="120">
        <f>BS!J11</f>
        <v>-3247872.8422630564</v>
      </c>
      <c r="K11" s="63"/>
      <c r="L11" s="63"/>
    </row>
    <row r="12" spans="1:12" ht="22.5" customHeight="1" x14ac:dyDescent="0.25">
      <c r="A12" s="92"/>
      <c r="B12" s="93" t="s">
        <v>102</v>
      </c>
      <c r="C12" s="113">
        <f t="shared" ref="C12:I12" si="4">SUM(C10:C11)</f>
        <v>488009</v>
      </c>
      <c r="D12" s="113">
        <f t="shared" si="4"/>
        <v>1634105</v>
      </c>
      <c r="E12" s="113">
        <f t="shared" si="4"/>
        <v>1513599.5750000002</v>
      </c>
      <c r="F12" s="113">
        <f t="shared" si="4"/>
        <v>1730902.5237500002</v>
      </c>
      <c r="G12" s="113">
        <f t="shared" si="4"/>
        <v>1813220.3196875001</v>
      </c>
      <c r="H12" s="113">
        <f t="shared" si="4"/>
        <v>2149018.9411343751</v>
      </c>
      <c r="I12" s="113">
        <f t="shared" si="4"/>
        <v>2068143.0772442189</v>
      </c>
      <c r="J12" s="114">
        <f t="shared" ref="J12" si="5">SUM(J10:J11)</f>
        <v>2090556.355493587</v>
      </c>
    </row>
    <row r="13" spans="1:12" ht="22.5" customHeight="1" x14ac:dyDescent="0.25">
      <c r="A13" s="92"/>
      <c r="B13" s="93" t="s">
        <v>100</v>
      </c>
      <c r="C13" s="65">
        <f>-FA!$I$5</f>
        <v>0</v>
      </c>
      <c r="D13" s="113">
        <f>-FA!$I$11</f>
        <v>-1000000</v>
      </c>
      <c r="E13" s="113">
        <f>-FA!$I$17</f>
        <v>-700000</v>
      </c>
      <c r="F13" s="113">
        <f>-FA!$I$23</f>
        <v>-500000</v>
      </c>
      <c r="G13" s="113">
        <f>-FA!$I$29</f>
        <v>-500000</v>
      </c>
      <c r="H13" s="113">
        <f>-FA!$I$35</f>
        <v>-1000000</v>
      </c>
      <c r="I13" s="113">
        <f>FA!$I$41</f>
        <v>0</v>
      </c>
      <c r="J13" s="114">
        <f>FA!$I$47</f>
        <v>0</v>
      </c>
    </row>
    <row r="14" spans="1:12" ht="22.5" customHeight="1" x14ac:dyDescent="0.25">
      <c r="A14" s="92"/>
      <c r="B14" s="111" t="s">
        <v>99</v>
      </c>
      <c r="C14" s="112">
        <v>0</v>
      </c>
      <c r="D14" s="115">
        <v>0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6">
        <v>0</v>
      </c>
    </row>
    <row r="15" spans="1:12" ht="22.5" customHeight="1" x14ac:dyDescent="0.25">
      <c r="A15" s="117" t="s">
        <v>42</v>
      </c>
      <c r="B15" s="118" t="s">
        <v>102</v>
      </c>
      <c r="C15" s="113">
        <f t="shared" ref="C15:H15" si="6">SUM(C12:C14)</f>
        <v>488009</v>
      </c>
      <c r="D15" s="113">
        <f t="shared" si="6"/>
        <v>634105</v>
      </c>
      <c r="E15" s="113">
        <f t="shared" si="6"/>
        <v>813599.57500000019</v>
      </c>
      <c r="F15" s="113">
        <f t="shared" si="6"/>
        <v>1230902.5237500002</v>
      </c>
      <c r="G15" s="113">
        <f t="shared" si="6"/>
        <v>1313220.3196875001</v>
      </c>
      <c r="H15" s="113">
        <f t="shared" si="6"/>
        <v>1149018.9411343751</v>
      </c>
      <c r="I15" s="113">
        <f>SUM(I12:I14)</f>
        <v>2068143.0772442189</v>
      </c>
      <c r="J15" s="114">
        <f t="shared" ref="J15" si="7">SUM(J12:J14)</f>
        <v>2090556.355493587</v>
      </c>
    </row>
    <row r="16" spans="1:12" ht="22.5" customHeight="1" x14ac:dyDescent="0.25">
      <c r="A16" s="82"/>
      <c r="B16" s="89"/>
      <c r="C16" s="42"/>
      <c r="D16" s="42"/>
      <c r="E16" s="42"/>
      <c r="F16" s="42"/>
      <c r="G16" s="42"/>
      <c r="H16" s="42"/>
      <c r="I16" s="42"/>
      <c r="J16" s="95"/>
    </row>
    <row r="17" spans="1:12" ht="22.5" customHeight="1" x14ac:dyDescent="0.25">
      <c r="A17" s="82"/>
      <c r="B17" s="91" t="s">
        <v>40</v>
      </c>
      <c r="C17" s="48"/>
      <c r="D17" s="48"/>
      <c r="E17" s="48"/>
      <c r="F17" s="48"/>
      <c r="G17" s="48"/>
      <c r="H17" s="48"/>
      <c r="I17" s="48"/>
      <c r="J17" s="97"/>
    </row>
    <row r="18" spans="1:12" ht="22.5" customHeight="1" x14ac:dyDescent="0.25">
      <c r="A18" s="82"/>
      <c r="B18" s="89" t="s">
        <v>31</v>
      </c>
      <c r="C18" s="1">
        <f t="shared" ref="C18:I18" si="8">C9</f>
        <v>7200</v>
      </c>
      <c r="D18" s="1">
        <f t="shared" si="8"/>
        <v>245000</v>
      </c>
      <c r="E18" s="1">
        <f t="shared" si="8"/>
        <v>245000</v>
      </c>
      <c r="F18" s="1">
        <f t="shared" si="8"/>
        <v>245000</v>
      </c>
      <c r="G18" s="1">
        <f t="shared" si="8"/>
        <v>245000</v>
      </c>
      <c r="H18" s="1">
        <f t="shared" si="8"/>
        <v>245000</v>
      </c>
      <c r="I18" s="1">
        <f t="shared" si="8"/>
        <v>245000</v>
      </c>
      <c r="J18" s="88">
        <f t="shared" ref="J18" si="9">J9</f>
        <v>245000</v>
      </c>
    </row>
    <row r="19" spans="1:12" ht="22.5" customHeight="1" x14ac:dyDescent="0.25">
      <c r="A19" s="82"/>
      <c r="B19" s="85" t="s">
        <v>32</v>
      </c>
      <c r="C19" s="44"/>
      <c r="D19" s="44"/>
      <c r="E19" s="44"/>
      <c r="F19" s="44"/>
      <c r="G19" s="44"/>
      <c r="H19" s="44"/>
      <c r="I19" s="44"/>
      <c r="J19" s="96"/>
    </row>
    <row r="20" spans="1:12" ht="22.5" customHeight="1" x14ac:dyDescent="0.25">
      <c r="A20" s="90" t="s">
        <v>101</v>
      </c>
      <c r="B20" s="91" t="s">
        <v>43</v>
      </c>
      <c r="C20" s="42">
        <f t="shared" ref="C20:I20" si="10">SUM(C18:C19)</f>
        <v>7200</v>
      </c>
      <c r="D20" s="42">
        <f t="shared" si="10"/>
        <v>245000</v>
      </c>
      <c r="E20" s="42">
        <f t="shared" si="10"/>
        <v>245000</v>
      </c>
      <c r="F20" s="42">
        <f t="shared" si="10"/>
        <v>245000</v>
      </c>
      <c r="G20" s="42">
        <f t="shared" si="10"/>
        <v>245000</v>
      </c>
      <c r="H20" s="42">
        <f t="shared" si="10"/>
        <v>245000</v>
      </c>
      <c r="I20" s="42">
        <f t="shared" si="10"/>
        <v>245000</v>
      </c>
      <c r="J20" s="95">
        <f t="shared" ref="J20" si="11">SUM(J18:J19)</f>
        <v>245000</v>
      </c>
    </row>
    <row r="21" spans="1:12" ht="22.5" customHeight="1" x14ac:dyDescent="0.25">
      <c r="A21" s="82"/>
      <c r="B21" s="89"/>
      <c r="C21" s="7"/>
      <c r="D21" s="7"/>
      <c r="E21" s="7"/>
      <c r="F21" s="7"/>
      <c r="G21" s="7"/>
      <c r="H21" s="7"/>
      <c r="I21" s="7"/>
      <c r="J21" s="68"/>
    </row>
    <row r="22" spans="1:12" s="40" customFormat="1" ht="22.5" customHeight="1" x14ac:dyDescent="0.25">
      <c r="A22" s="90" t="s">
        <v>103</v>
      </c>
      <c r="B22" s="91" t="s">
        <v>41</v>
      </c>
      <c r="C22" s="45">
        <f t="shared" ref="C22:J22" si="12">C15/C20</f>
        <v>67.779027777777785</v>
      </c>
      <c r="D22" s="45">
        <f t="shared" si="12"/>
        <v>2.5881836734693877</v>
      </c>
      <c r="E22" s="45">
        <f t="shared" si="12"/>
        <v>3.3208145918367356</v>
      </c>
      <c r="F22" s="45">
        <f t="shared" si="12"/>
        <v>5.0240919336734704</v>
      </c>
      <c r="G22" s="45">
        <f t="shared" si="12"/>
        <v>5.3600829375000005</v>
      </c>
      <c r="H22" s="45">
        <f t="shared" si="12"/>
        <v>4.6898732291198986</v>
      </c>
      <c r="I22" s="45">
        <f t="shared" si="12"/>
        <v>8.441400315282527</v>
      </c>
      <c r="J22" s="98">
        <f t="shared" si="12"/>
        <v>8.5328830836472935</v>
      </c>
      <c r="K22" s="43"/>
      <c r="L22" s="43"/>
    </row>
    <row r="23" spans="1:12" ht="22.5" customHeight="1" x14ac:dyDescent="0.25">
      <c r="A23" s="82"/>
      <c r="B23" s="91" t="s">
        <v>104</v>
      </c>
      <c r="C23" s="7"/>
      <c r="D23" s="7"/>
      <c r="E23" s="7"/>
      <c r="F23" s="7"/>
      <c r="G23" s="7"/>
      <c r="H23" s="7"/>
      <c r="I23" s="7"/>
      <c r="J23" s="68"/>
    </row>
    <row r="24" spans="1:12" ht="22.5" customHeight="1" x14ac:dyDescent="0.25">
      <c r="A24" s="84"/>
      <c r="B24" s="85"/>
      <c r="C24" s="99"/>
      <c r="D24" s="99"/>
      <c r="E24" s="99"/>
      <c r="F24" s="99"/>
      <c r="G24" s="99"/>
      <c r="H24" s="99"/>
      <c r="I24" s="99"/>
      <c r="J24" s="100"/>
    </row>
    <row r="25" spans="1:12" ht="22.5" customHeight="1" x14ac:dyDescent="0.25"/>
    <row r="26" spans="1:12" ht="22.5" customHeight="1" x14ac:dyDescent="0.25"/>
    <row r="27" spans="1:12" ht="22.5" customHeight="1" x14ac:dyDescent="0.25"/>
    <row r="28" spans="1:12" ht="22.5" customHeight="1" x14ac:dyDescent="0.25"/>
  </sheetData>
  <mergeCells count="2">
    <mergeCell ref="A2:J2"/>
    <mergeCell ref="A1:J1"/>
  </mergeCells>
  <pageMargins left="0.9055118110236221" right="0.70866141732283472" top="0.55118110236220474" bottom="0.35433070866141736" header="0.31496062992125984" footer="0.31496062992125984"/>
  <pageSetup paperSize="9" scale="93" orientation="landscape" verticalDpi="0" r:id="rId1"/>
  <ignoredErrors>
    <ignoredError sqref="C9:J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4"/>
  <sheetViews>
    <sheetView workbookViewId="0">
      <selection activeCell="B14" sqref="B14"/>
    </sheetView>
  </sheetViews>
  <sheetFormatPr defaultRowHeight="15" x14ac:dyDescent="0.25"/>
  <cols>
    <col min="1" max="1" width="4.7109375" style="23" customWidth="1"/>
    <col min="2" max="2" width="27" style="17" customWidth="1"/>
    <col min="3" max="6" width="13.140625" customWidth="1"/>
    <col min="7" max="9" width="13.7109375" customWidth="1"/>
    <col min="10" max="10" width="12.7109375" customWidth="1"/>
    <col min="11" max="11" width="12.5703125" style="10" bestFit="1" customWidth="1"/>
    <col min="12" max="12" width="9.28515625" style="10" bestFit="1" customWidth="1"/>
  </cols>
  <sheetData>
    <row r="1" spans="1:12" s="2" customFormat="1" ht="16.5" customHeight="1" x14ac:dyDescent="0.25">
      <c r="A1" s="187" t="s">
        <v>162</v>
      </c>
      <c r="B1" s="188"/>
      <c r="C1" s="188"/>
      <c r="D1" s="188"/>
      <c r="E1" s="188"/>
      <c r="F1" s="188"/>
      <c r="G1" s="188"/>
      <c r="H1" s="188"/>
      <c r="I1" s="188"/>
      <c r="J1" s="189"/>
      <c r="K1" s="9"/>
      <c r="L1" s="9"/>
    </row>
    <row r="2" spans="1:12" s="2" customFormat="1" ht="16.5" customHeight="1" x14ac:dyDescent="0.25">
      <c r="A2" s="184" t="s">
        <v>98</v>
      </c>
      <c r="B2" s="185"/>
      <c r="C2" s="185"/>
      <c r="D2" s="185"/>
      <c r="E2" s="185"/>
      <c r="F2" s="185"/>
      <c r="G2" s="185"/>
      <c r="H2" s="185"/>
      <c r="I2" s="185"/>
      <c r="J2" s="186"/>
      <c r="K2" s="9"/>
      <c r="L2" s="9"/>
    </row>
    <row r="3" spans="1:12" s="2" customFormat="1" ht="21.75" customHeight="1" x14ac:dyDescent="0.25">
      <c r="A3" s="66"/>
      <c r="B3" s="67"/>
      <c r="C3" s="7"/>
      <c r="D3" s="7"/>
      <c r="E3" s="7"/>
      <c r="F3" s="7"/>
      <c r="G3" s="7"/>
      <c r="H3" s="7"/>
      <c r="I3" s="7"/>
      <c r="J3" s="68"/>
      <c r="K3" s="9"/>
      <c r="L3" s="9"/>
    </row>
    <row r="4" spans="1:12" s="2" customFormat="1" ht="22.5" customHeight="1" x14ac:dyDescent="0.25">
      <c r="A4" s="69"/>
      <c r="B4" s="70" t="s">
        <v>16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18</v>
      </c>
      <c r="I4" s="18" t="s">
        <v>19</v>
      </c>
      <c r="J4" s="71" t="s">
        <v>107</v>
      </c>
      <c r="K4" s="9"/>
      <c r="L4" s="9"/>
    </row>
    <row r="5" spans="1:12" s="2" customFormat="1" ht="16.5" customHeight="1" x14ac:dyDescent="0.25">
      <c r="A5" s="66"/>
      <c r="B5" s="67"/>
      <c r="C5" s="7"/>
      <c r="D5" s="7"/>
      <c r="E5" s="7"/>
      <c r="F5" s="7"/>
      <c r="G5" s="7"/>
      <c r="H5" s="7"/>
      <c r="I5" s="7"/>
      <c r="J5" s="68"/>
      <c r="K5" s="9"/>
      <c r="L5" s="9"/>
    </row>
    <row r="6" spans="1:12" s="40" customFormat="1" ht="16.5" customHeight="1" x14ac:dyDescent="0.25">
      <c r="A6" s="90" t="s">
        <v>21</v>
      </c>
      <c r="B6" s="91" t="s">
        <v>143</v>
      </c>
      <c r="C6" s="42"/>
      <c r="D6" s="42"/>
      <c r="E6" s="42"/>
      <c r="F6" s="42"/>
      <c r="G6" s="42"/>
      <c r="H6" s="42"/>
      <c r="I6" s="42"/>
      <c r="J6" s="95"/>
      <c r="K6" s="43"/>
      <c r="L6" s="43"/>
    </row>
    <row r="7" spans="1:12" ht="8.25" customHeight="1" x14ac:dyDescent="0.25">
      <c r="A7" s="82"/>
      <c r="B7" s="89"/>
      <c r="C7" s="1"/>
      <c r="D7" s="1"/>
      <c r="E7" s="1"/>
      <c r="F7" s="1"/>
      <c r="G7" s="1"/>
      <c r="H7" s="1"/>
      <c r="I7" s="1"/>
      <c r="J7" s="88"/>
    </row>
    <row r="8" spans="1:12" s="40" customFormat="1" ht="16.5" customHeight="1" x14ac:dyDescent="0.25">
      <c r="A8" s="90"/>
      <c r="B8" s="91" t="s">
        <v>144</v>
      </c>
      <c r="C8" s="152"/>
      <c r="D8" s="152"/>
      <c r="E8" s="152"/>
      <c r="F8" s="152"/>
      <c r="G8" s="152"/>
      <c r="H8" s="152"/>
      <c r="I8" s="152"/>
      <c r="J8" s="153"/>
      <c r="K8" s="43"/>
      <c r="L8" s="43"/>
    </row>
    <row r="9" spans="1:12" ht="16.5" customHeight="1" x14ac:dyDescent="0.25">
      <c r="A9" s="82"/>
      <c r="B9" s="89" t="s">
        <v>145</v>
      </c>
      <c r="C9" s="146">
        <f>BS!C14</f>
        <v>1500000</v>
      </c>
      <c r="D9" s="146">
        <f>BS!D14</f>
        <v>1300000</v>
      </c>
      <c r="E9" s="146">
        <f>BS!E14</f>
        <v>1100000</v>
      </c>
      <c r="F9" s="146">
        <f>BS!F14</f>
        <v>900000</v>
      </c>
      <c r="G9" s="146">
        <f>BS!G14</f>
        <v>700000</v>
      </c>
      <c r="H9" s="146">
        <f>BS!H14</f>
        <v>500000</v>
      </c>
      <c r="I9" s="146">
        <f>BS!I14</f>
        <v>300000</v>
      </c>
      <c r="J9" s="154">
        <f>BS!J14</f>
        <v>100000</v>
      </c>
    </row>
    <row r="10" spans="1:12" s="40" customFormat="1" ht="9.75" customHeight="1" x14ac:dyDescent="0.25">
      <c r="A10" s="90"/>
      <c r="B10" s="91"/>
      <c r="C10" s="42"/>
      <c r="D10" s="42"/>
      <c r="E10" s="42"/>
      <c r="F10" s="42"/>
      <c r="G10" s="42"/>
      <c r="H10" s="42"/>
      <c r="I10" s="42"/>
      <c r="J10" s="95"/>
      <c r="K10" s="43"/>
      <c r="L10" s="43"/>
    </row>
    <row r="11" spans="1:12" s="62" customFormat="1" ht="16.5" customHeight="1" x14ac:dyDescent="0.25">
      <c r="A11" s="92"/>
      <c r="B11" s="118" t="s">
        <v>146</v>
      </c>
      <c r="C11" s="145"/>
      <c r="D11" s="145"/>
      <c r="E11" s="145"/>
      <c r="F11" s="145"/>
      <c r="G11" s="145"/>
      <c r="H11" s="145"/>
      <c r="I11" s="145"/>
      <c r="J11" s="155"/>
      <c r="K11" s="63"/>
      <c r="L11" s="63"/>
    </row>
    <row r="12" spans="1:12" ht="16.5" customHeight="1" x14ac:dyDescent="0.25">
      <c r="A12" s="92"/>
      <c r="B12" s="93" t="s">
        <v>147</v>
      </c>
      <c r="C12" s="65">
        <f>BS!C12</f>
        <v>2042409</v>
      </c>
      <c r="D12" s="65">
        <f>BS!D12</f>
        <v>2908374</v>
      </c>
      <c r="E12" s="65">
        <f>BS!E12</f>
        <v>3530104.5750000002</v>
      </c>
      <c r="F12" s="65">
        <f>BS!F12</f>
        <v>4435988.4487500004</v>
      </c>
      <c r="G12" s="65">
        <f>BS!G12</f>
        <v>5448450.9159375001</v>
      </c>
      <c r="H12" s="65">
        <f>BS!H12</f>
        <v>6504875.8824468739</v>
      </c>
      <c r="I12" s="65">
        <f>BS!I12</f>
        <v>7737891.4612598419</v>
      </c>
      <c r="J12" s="156">
        <f>BS!J12</f>
        <v>9129836.965086868</v>
      </c>
    </row>
    <row r="13" spans="1:12" ht="9" customHeight="1" x14ac:dyDescent="0.25">
      <c r="A13" s="92"/>
      <c r="B13" s="93"/>
      <c r="C13" s="65"/>
      <c r="D13" s="113"/>
      <c r="E13" s="113"/>
      <c r="F13" s="113"/>
      <c r="G13" s="113"/>
      <c r="H13" s="113"/>
      <c r="I13" s="113"/>
      <c r="J13" s="114"/>
    </row>
    <row r="14" spans="1:12" ht="16.5" customHeight="1" x14ac:dyDescent="0.25">
      <c r="A14" s="92"/>
      <c r="B14" s="118" t="s">
        <v>151</v>
      </c>
      <c r="C14" s="161">
        <f>C9/C12</f>
        <v>0.73442684594515595</v>
      </c>
      <c r="D14" s="161">
        <f t="shared" ref="D14:J14" si="0">D9/D12</f>
        <v>0.44698515390386517</v>
      </c>
      <c r="E14" s="161">
        <f t="shared" si="0"/>
        <v>0.31160549967560097</v>
      </c>
      <c r="F14" s="161">
        <f t="shared" si="0"/>
        <v>0.20288601072746423</v>
      </c>
      <c r="G14" s="161">
        <f t="shared" si="0"/>
        <v>0.12847688467788149</v>
      </c>
      <c r="H14" s="161">
        <f t="shared" si="0"/>
        <v>7.6865417424678062E-2</v>
      </c>
      <c r="I14" s="161">
        <f t="shared" si="0"/>
        <v>3.8770251754236366E-2</v>
      </c>
      <c r="J14" s="162">
        <f t="shared" si="0"/>
        <v>1.0953098109244115E-2</v>
      </c>
    </row>
    <row r="15" spans="1:12" ht="16.5" customHeight="1" x14ac:dyDescent="0.25">
      <c r="A15" s="117"/>
      <c r="B15" s="118"/>
      <c r="C15" s="113"/>
      <c r="D15" s="113"/>
      <c r="E15" s="113"/>
      <c r="F15" s="113"/>
      <c r="G15" s="113"/>
      <c r="H15" s="113"/>
      <c r="I15" s="113"/>
      <c r="J15" s="114"/>
    </row>
    <row r="16" spans="1:12" ht="16.5" customHeight="1" x14ac:dyDescent="0.25">
      <c r="A16" s="82" t="s">
        <v>22</v>
      </c>
      <c r="B16" s="91" t="s">
        <v>152</v>
      </c>
      <c r="C16" s="42"/>
      <c r="D16" s="42"/>
      <c r="E16" s="42"/>
      <c r="F16" s="42"/>
      <c r="G16" s="42"/>
      <c r="H16" s="42"/>
      <c r="I16" s="42"/>
      <c r="J16" s="95"/>
    </row>
    <row r="17" spans="1:12" ht="7.5" customHeight="1" x14ac:dyDescent="0.25">
      <c r="A17" s="82"/>
      <c r="B17" s="89"/>
      <c r="C17" s="48"/>
      <c r="D17" s="48"/>
      <c r="E17" s="48"/>
      <c r="F17" s="48"/>
      <c r="G17" s="48"/>
      <c r="H17" s="48"/>
      <c r="I17" s="48"/>
      <c r="J17" s="97"/>
    </row>
    <row r="18" spans="1:12" ht="16.5" customHeight="1" x14ac:dyDescent="0.25">
      <c r="A18" s="82"/>
      <c r="B18" s="91" t="s">
        <v>153</v>
      </c>
      <c r="C18" s="48"/>
      <c r="D18" s="48"/>
      <c r="E18" s="48"/>
      <c r="F18" s="48"/>
      <c r="G18" s="48"/>
      <c r="H18" s="48"/>
      <c r="I18" s="48"/>
      <c r="J18" s="97"/>
    </row>
    <row r="19" spans="1:12" ht="16.5" customHeight="1" x14ac:dyDescent="0.25">
      <c r="A19" s="82"/>
      <c r="B19" s="89" t="s">
        <v>62</v>
      </c>
      <c r="C19" s="1">
        <f>BS!C27</f>
        <v>305400</v>
      </c>
      <c r="D19" s="1">
        <f>BS!D27</f>
        <v>669000</v>
      </c>
      <c r="E19" s="1">
        <f>BS!E27</f>
        <v>802800</v>
      </c>
      <c r="F19" s="1">
        <f>BS!F27</f>
        <v>963360</v>
      </c>
      <c r="G19" s="1">
        <f>BS!G27</f>
        <v>1156032</v>
      </c>
      <c r="H19" s="1">
        <f>BS!H27</f>
        <v>1387238.3999999999</v>
      </c>
      <c r="I19" s="1">
        <f>BS!I27</f>
        <v>1664686.0799999998</v>
      </c>
      <c r="J19" s="88">
        <f>BS!J27</f>
        <v>1997623.2959999996</v>
      </c>
    </row>
    <row r="20" spans="1:12" ht="16.5" customHeight="1" x14ac:dyDescent="0.25">
      <c r="A20" s="82"/>
      <c r="B20" s="89" t="s">
        <v>111</v>
      </c>
      <c r="C20" s="1">
        <f>BS!C29</f>
        <v>356392.33333333331</v>
      </c>
      <c r="D20" s="1">
        <f>BS!D29</f>
        <v>1056562.5</v>
      </c>
      <c r="E20" s="1">
        <f>BS!E29</f>
        <v>1467875</v>
      </c>
      <c r="F20" s="1">
        <f>BS!F29</f>
        <v>1721450</v>
      </c>
      <c r="G20" s="1">
        <f>BS!G29</f>
        <v>1873595</v>
      </c>
      <c r="H20" s="1">
        <f>BS!H29</f>
        <v>1840954.5</v>
      </c>
      <c r="I20" s="1">
        <f>BS!I29</f>
        <v>2025049.95</v>
      </c>
      <c r="J20" s="88">
        <f>BS!J29</f>
        <v>2227554.9450000003</v>
      </c>
    </row>
    <row r="21" spans="1:12" ht="16.5" customHeight="1" x14ac:dyDescent="0.25">
      <c r="A21" s="90"/>
      <c r="B21" s="147" t="s">
        <v>154</v>
      </c>
      <c r="C21" s="148">
        <f>BS!C32+BS!C33</f>
        <v>52000</v>
      </c>
      <c r="D21" s="148">
        <f>BS!D32+BS!D33</f>
        <v>1128820.25</v>
      </c>
      <c r="E21" s="148">
        <f>BS!E32+BS!E33</f>
        <v>1019376.0750000002</v>
      </c>
      <c r="F21" s="148">
        <f>BS!F32+BS!F33</f>
        <v>962806.09875000035</v>
      </c>
      <c r="G21" s="148">
        <f>BS!G32+BS!G33</f>
        <v>1539129.4184375005</v>
      </c>
      <c r="H21" s="148">
        <f>BS!H32+BS!H33</f>
        <v>1602794.4595718733</v>
      </c>
      <c r="I21" s="148">
        <f>BS!I32+BS!I33</f>
        <v>2828427.6068160906</v>
      </c>
      <c r="J21" s="157">
        <f>BS!J32+BS!J33</f>
        <v>4008978.2713096812</v>
      </c>
    </row>
    <row r="22" spans="1:12" ht="16.5" customHeight="1" x14ac:dyDescent="0.25">
      <c r="A22" s="90"/>
      <c r="B22" s="91" t="s">
        <v>156</v>
      </c>
      <c r="C22" s="42">
        <f>SUM(C19:C21)</f>
        <v>713792.33333333326</v>
      </c>
      <c r="D22" s="42">
        <f t="shared" ref="D22:J22" si="1">SUM(D19:D21)</f>
        <v>2854382.75</v>
      </c>
      <c r="E22" s="42">
        <f t="shared" si="1"/>
        <v>3290051.0750000002</v>
      </c>
      <c r="F22" s="42">
        <f t="shared" si="1"/>
        <v>3647616.0987500004</v>
      </c>
      <c r="G22" s="42">
        <f t="shared" si="1"/>
        <v>4568756.4184375005</v>
      </c>
      <c r="H22" s="42">
        <f t="shared" si="1"/>
        <v>4830987.3595718732</v>
      </c>
      <c r="I22" s="42">
        <f t="shared" si="1"/>
        <v>6518163.63681609</v>
      </c>
      <c r="J22" s="95">
        <f t="shared" si="1"/>
        <v>8234156.5123096816</v>
      </c>
    </row>
    <row r="23" spans="1:12" ht="16.5" customHeight="1" x14ac:dyDescent="0.25">
      <c r="A23" s="90"/>
      <c r="B23" s="147"/>
      <c r="C23" s="42"/>
      <c r="D23" s="42"/>
      <c r="E23" s="42"/>
      <c r="F23" s="42"/>
      <c r="G23" s="42"/>
      <c r="H23" s="42"/>
      <c r="I23" s="42"/>
      <c r="J23" s="95"/>
    </row>
    <row r="24" spans="1:12" ht="16.5" customHeight="1" x14ac:dyDescent="0.25">
      <c r="A24" s="90"/>
      <c r="B24" s="91" t="s">
        <v>148</v>
      </c>
      <c r="C24" s="42"/>
      <c r="D24" s="42"/>
      <c r="E24" s="42"/>
      <c r="F24" s="42"/>
      <c r="G24" s="42"/>
      <c r="H24" s="42"/>
      <c r="I24" s="42"/>
      <c r="J24" s="95"/>
    </row>
    <row r="25" spans="1:12" ht="16.5" customHeight="1" x14ac:dyDescent="0.25">
      <c r="A25" s="82"/>
      <c r="B25" s="89" t="s">
        <v>126</v>
      </c>
      <c r="C25" s="149">
        <f>BS!C17</f>
        <v>300000</v>
      </c>
      <c r="D25" s="149">
        <f>BS!D17</f>
        <v>2000000</v>
      </c>
      <c r="E25" s="149">
        <f>BS!E17</f>
        <v>2000000</v>
      </c>
      <c r="F25" s="149">
        <f>BS!F17</f>
        <v>1500000</v>
      </c>
      <c r="G25" s="149">
        <f>BS!G17</f>
        <v>1500000</v>
      </c>
      <c r="H25" s="149">
        <f>BS!H17</f>
        <v>1000000</v>
      </c>
      <c r="I25" s="149">
        <f>BS!I17</f>
        <v>1000000</v>
      </c>
      <c r="J25" s="158">
        <f>BS!J17</f>
        <v>1000000</v>
      </c>
    </row>
    <row r="26" spans="1:12" s="40" customFormat="1" ht="16.5" customHeight="1" x14ac:dyDescent="0.25">
      <c r="A26" s="90"/>
      <c r="B26" s="147" t="s">
        <v>155</v>
      </c>
      <c r="C26" s="150">
        <f>BS!C18</f>
        <v>138983.33333333334</v>
      </c>
      <c r="D26" s="150">
        <f>BS!D18</f>
        <v>390468.75</v>
      </c>
      <c r="E26" s="150">
        <f>BS!E18</f>
        <v>457537.5</v>
      </c>
      <c r="F26" s="150">
        <f>BS!F18</f>
        <v>529200</v>
      </c>
      <c r="G26" s="150">
        <f>BS!G18</f>
        <v>582120</v>
      </c>
      <c r="H26" s="150">
        <f>BS!H18</f>
        <v>640332</v>
      </c>
      <c r="I26" s="150">
        <f>BS!I18</f>
        <v>704365.20000000007</v>
      </c>
      <c r="J26" s="159">
        <f>BS!J18</f>
        <v>774801.72000000009</v>
      </c>
      <c r="K26" s="43"/>
      <c r="L26" s="43"/>
    </row>
    <row r="27" spans="1:12" ht="16.5" customHeight="1" x14ac:dyDescent="0.25">
      <c r="A27" s="82"/>
      <c r="B27" s="91" t="s">
        <v>156</v>
      </c>
      <c r="C27" s="164">
        <f>SUM(C25:C26)</f>
        <v>438983.33333333337</v>
      </c>
      <c r="D27" s="164">
        <f t="shared" ref="D27:J27" si="2">SUM(D25:D26)</f>
        <v>2390468.75</v>
      </c>
      <c r="E27" s="164">
        <f t="shared" si="2"/>
        <v>2457537.5</v>
      </c>
      <c r="F27" s="164">
        <f t="shared" si="2"/>
        <v>2029200</v>
      </c>
      <c r="G27" s="164">
        <f t="shared" si="2"/>
        <v>2082120</v>
      </c>
      <c r="H27" s="164">
        <f t="shared" si="2"/>
        <v>1640332</v>
      </c>
      <c r="I27" s="164">
        <f t="shared" si="2"/>
        <v>1704365.2000000002</v>
      </c>
      <c r="J27" s="165">
        <f t="shared" si="2"/>
        <v>1774801.7200000002</v>
      </c>
    </row>
    <row r="28" spans="1:12" ht="16.5" customHeight="1" x14ac:dyDescent="0.25">
      <c r="A28" s="82"/>
      <c r="B28" s="91"/>
      <c r="C28" s="151"/>
      <c r="D28" s="151"/>
      <c r="E28" s="151"/>
      <c r="F28" s="151"/>
      <c r="G28" s="151"/>
      <c r="H28" s="151"/>
      <c r="I28" s="151"/>
      <c r="J28" s="160"/>
    </row>
    <row r="29" spans="1:12" ht="16.5" customHeight="1" x14ac:dyDescent="0.25">
      <c r="A29" s="82"/>
      <c r="B29" s="91" t="s">
        <v>157</v>
      </c>
      <c r="C29" s="163">
        <f>C22/C27</f>
        <v>1.6260123770834121</v>
      </c>
      <c r="D29" s="163">
        <f t="shared" ref="D29:J29" si="3">D22/D27</f>
        <v>1.1940682136087326</v>
      </c>
      <c r="E29" s="163">
        <f t="shared" si="3"/>
        <v>1.3387592559625234</v>
      </c>
      <c r="F29" s="163">
        <f t="shared" si="3"/>
        <v>1.7975636205154744</v>
      </c>
      <c r="G29" s="163">
        <f t="shared" si="3"/>
        <v>2.1942810301219433</v>
      </c>
      <c r="H29" s="163">
        <f t="shared" si="3"/>
        <v>2.945127790942244</v>
      </c>
      <c r="I29" s="163">
        <f t="shared" si="3"/>
        <v>3.8243937606893694</v>
      </c>
      <c r="J29" s="166">
        <f t="shared" si="3"/>
        <v>4.6394796779381533</v>
      </c>
    </row>
    <row r="30" spans="1:12" ht="16.5" customHeight="1" x14ac:dyDescent="0.25">
      <c r="A30" s="82"/>
      <c r="B30" s="91"/>
      <c r="C30" s="151"/>
      <c r="D30" s="151"/>
      <c r="E30" s="151"/>
      <c r="F30" s="151"/>
      <c r="G30" s="151"/>
      <c r="H30" s="151"/>
      <c r="I30" s="151"/>
      <c r="J30" s="160"/>
    </row>
    <row r="31" spans="1:12" ht="16.5" customHeight="1" x14ac:dyDescent="0.25">
      <c r="A31" s="82" t="s">
        <v>25</v>
      </c>
      <c r="B31" s="91" t="s">
        <v>158</v>
      </c>
      <c r="C31" s="151"/>
      <c r="D31" s="151"/>
      <c r="E31" s="151"/>
      <c r="F31" s="151"/>
      <c r="G31" s="151"/>
      <c r="H31" s="151"/>
      <c r="I31" s="151"/>
      <c r="J31" s="160"/>
    </row>
    <row r="32" spans="1:12" ht="16.5" customHeight="1" x14ac:dyDescent="0.25">
      <c r="A32" s="82"/>
      <c r="B32" s="91"/>
      <c r="C32" s="151"/>
      <c r="D32" s="151"/>
      <c r="E32" s="151"/>
      <c r="F32" s="151"/>
      <c r="G32" s="151"/>
      <c r="H32" s="151"/>
      <c r="I32" s="151"/>
      <c r="J32" s="160"/>
    </row>
    <row r="33" spans="1:10" ht="16.5" customHeight="1" x14ac:dyDescent="0.25">
      <c r="A33" s="82"/>
      <c r="B33" s="91" t="s">
        <v>159</v>
      </c>
      <c r="C33" s="151">
        <f>C22-C19</f>
        <v>408392.33333333326</v>
      </c>
      <c r="D33" s="151">
        <f t="shared" ref="D33:J33" si="4">D22-D19</f>
        <v>2185382.75</v>
      </c>
      <c r="E33" s="151">
        <f t="shared" si="4"/>
        <v>2487251.0750000002</v>
      </c>
      <c r="F33" s="151">
        <f t="shared" si="4"/>
        <v>2684256.0987500004</v>
      </c>
      <c r="G33" s="151">
        <f t="shared" si="4"/>
        <v>3412724.4184375005</v>
      </c>
      <c r="H33" s="151">
        <f t="shared" si="4"/>
        <v>3443748.9595718733</v>
      </c>
      <c r="I33" s="151">
        <f t="shared" si="4"/>
        <v>4853477.5568160899</v>
      </c>
      <c r="J33" s="160">
        <f t="shared" si="4"/>
        <v>6236533.2163096815</v>
      </c>
    </row>
    <row r="34" spans="1:10" ht="16.5" customHeight="1" x14ac:dyDescent="0.25">
      <c r="A34" s="82"/>
      <c r="B34" s="91"/>
      <c r="C34" s="151"/>
      <c r="D34" s="151"/>
      <c r="E34" s="151"/>
      <c r="F34" s="151"/>
      <c r="G34" s="151"/>
      <c r="H34" s="151"/>
      <c r="I34" s="151"/>
      <c r="J34" s="160"/>
    </row>
    <row r="35" spans="1:10" ht="16.5" customHeight="1" x14ac:dyDescent="0.25">
      <c r="A35" s="82"/>
      <c r="B35" s="91" t="s">
        <v>148</v>
      </c>
      <c r="C35" s="151">
        <f>C27</f>
        <v>438983.33333333337</v>
      </c>
      <c r="D35" s="151">
        <f t="shared" ref="D35:J35" si="5">D27</f>
        <v>2390468.75</v>
      </c>
      <c r="E35" s="151">
        <f t="shared" si="5"/>
        <v>2457537.5</v>
      </c>
      <c r="F35" s="151">
        <f t="shared" si="5"/>
        <v>2029200</v>
      </c>
      <c r="G35" s="151">
        <f t="shared" si="5"/>
        <v>2082120</v>
      </c>
      <c r="H35" s="151">
        <f t="shared" si="5"/>
        <v>1640332</v>
      </c>
      <c r="I35" s="151">
        <f t="shared" si="5"/>
        <v>1704365.2000000002</v>
      </c>
      <c r="J35" s="160">
        <f t="shared" si="5"/>
        <v>1774801.7200000002</v>
      </c>
    </row>
    <row r="36" spans="1:10" ht="16.5" customHeight="1" x14ac:dyDescent="0.25">
      <c r="A36" s="82"/>
      <c r="B36" s="91"/>
      <c r="C36" s="151"/>
      <c r="D36" s="151"/>
      <c r="E36" s="151"/>
      <c r="F36" s="151"/>
      <c r="G36" s="151"/>
      <c r="H36" s="151"/>
      <c r="I36" s="151"/>
      <c r="J36" s="160"/>
    </row>
    <row r="37" spans="1:10" ht="16.5" customHeight="1" x14ac:dyDescent="0.25">
      <c r="A37" s="82"/>
      <c r="B37" s="91" t="s">
        <v>160</v>
      </c>
      <c r="C37" s="163">
        <f>C33/C35</f>
        <v>0.93031398306693469</v>
      </c>
      <c r="D37" s="163">
        <f t="shared" ref="D37:J37" si="6">D33/D35</f>
        <v>0.91420678475717365</v>
      </c>
      <c r="E37" s="163">
        <f t="shared" si="6"/>
        <v>1.0120907921038846</v>
      </c>
      <c r="F37" s="163">
        <f t="shared" si="6"/>
        <v>1.3228149510890994</v>
      </c>
      <c r="G37" s="163">
        <f t="shared" si="6"/>
        <v>1.639062310739775</v>
      </c>
      <c r="H37" s="163">
        <f t="shared" si="6"/>
        <v>2.0994219216426147</v>
      </c>
      <c r="I37" s="163">
        <f t="shared" si="6"/>
        <v>2.8476746396934702</v>
      </c>
      <c r="J37" s="166">
        <f t="shared" si="6"/>
        <v>3.5139323711663302</v>
      </c>
    </row>
    <row r="38" spans="1:10" ht="16.5" customHeight="1" x14ac:dyDescent="0.25">
      <c r="A38" s="82"/>
      <c r="B38" s="91"/>
      <c r="C38" s="151"/>
      <c r="D38" s="151"/>
      <c r="E38" s="151"/>
      <c r="F38" s="151"/>
      <c r="G38" s="151"/>
      <c r="H38" s="151"/>
      <c r="I38" s="151"/>
      <c r="J38" s="160"/>
    </row>
    <row r="39" spans="1:10" ht="16.5" customHeight="1" x14ac:dyDescent="0.25">
      <c r="A39" s="82"/>
      <c r="B39" s="91"/>
      <c r="C39" s="151"/>
      <c r="D39" s="151"/>
      <c r="E39" s="151"/>
      <c r="F39" s="151"/>
      <c r="G39" s="151"/>
      <c r="H39" s="151"/>
      <c r="I39" s="151"/>
      <c r="J39" s="160"/>
    </row>
    <row r="40" spans="1:10" ht="16.5" customHeight="1" x14ac:dyDescent="0.25">
      <c r="A40" s="84"/>
      <c r="B40" s="85"/>
      <c r="C40" s="99"/>
      <c r="D40" s="99"/>
      <c r="E40" s="99"/>
      <c r="F40" s="99"/>
      <c r="G40" s="99"/>
      <c r="H40" s="99"/>
      <c r="I40" s="99"/>
      <c r="J40" s="100"/>
    </row>
    <row r="41" spans="1:10" ht="16.5" customHeight="1" x14ac:dyDescent="0.25"/>
    <row r="42" spans="1:10" ht="16.5" customHeight="1" x14ac:dyDescent="0.25"/>
    <row r="43" spans="1:10" ht="16.5" customHeight="1" x14ac:dyDescent="0.25"/>
    <row r="44" spans="1:10" ht="16.5" customHeight="1" x14ac:dyDescent="0.25"/>
  </sheetData>
  <mergeCells count="2">
    <mergeCell ref="A1:J1"/>
    <mergeCell ref="A2:J2"/>
  </mergeCells>
  <pageMargins left="0.9055118110236221" right="0.70866141732283472" top="0.55118110236220474" bottom="0.35433070866141736" header="0.31496062992125984" footer="0.31496062992125984"/>
  <pageSetup paperSize="9" scale="8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B1:K51"/>
  <sheetViews>
    <sheetView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2.28515625" customWidth="1"/>
    <col min="2" max="2" width="10.5703125" style="48" customWidth="1"/>
    <col min="3" max="3" width="18.7109375" style="49" customWidth="1"/>
    <col min="4" max="8" width="14.28515625" style="48" customWidth="1"/>
    <col min="9" max="9" width="19.5703125" style="48" customWidth="1"/>
    <col min="10" max="11" width="9.140625" style="48"/>
  </cols>
  <sheetData>
    <row r="1" spans="2:11" s="54" customFormat="1" ht="27" customHeight="1" x14ac:dyDescent="0.25">
      <c r="B1" s="58"/>
      <c r="C1" s="59"/>
      <c r="D1" s="60" t="s">
        <v>45</v>
      </c>
      <c r="E1" s="60" t="s">
        <v>46</v>
      </c>
      <c r="F1" s="60" t="s">
        <v>118</v>
      </c>
      <c r="G1" s="60" t="s">
        <v>119</v>
      </c>
      <c r="H1" s="60" t="s">
        <v>47</v>
      </c>
      <c r="I1" s="58" t="s">
        <v>43</v>
      </c>
      <c r="J1" s="53"/>
      <c r="K1" s="53"/>
    </row>
    <row r="2" spans="2:11" x14ac:dyDescent="0.25">
      <c r="B2" s="55"/>
      <c r="C2" s="56"/>
      <c r="D2" s="61">
        <v>0.1</v>
      </c>
      <c r="E2" s="61">
        <v>0.15</v>
      </c>
      <c r="F2" s="61">
        <v>0.15</v>
      </c>
      <c r="G2" s="61">
        <v>0.15</v>
      </c>
      <c r="H2" s="61">
        <v>0.6</v>
      </c>
      <c r="I2" s="55"/>
    </row>
    <row r="4" spans="2:11" x14ac:dyDescent="0.25">
      <c r="B4" s="190" t="s">
        <v>49</v>
      </c>
      <c r="C4" s="50">
        <v>42461</v>
      </c>
      <c r="D4" s="1">
        <v>2800000</v>
      </c>
      <c r="E4" s="1">
        <f>100000+96000</f>
        <v>196000</v>
      </c>
      <c r="F4" s="1">
        <v>60000</v>
      </c>
      <c r="G4" s="1">
        <v>600000</v>
      </c>
      <c r="H4" s="1">
        <v>50000</v>
      </c>
      <c r="I4" s="51">
        <f>SUM(D4:H4)</f>
        <v>3706000</v>
      </c>
    </row>
    <row r="5" spans="2:11" x14ac:dyDescent="0.25">
      <c r="B5" s="190"/>
      <c r="C5" s="49" t="s">
        <v>48</v>
      </c>
      <c r="D5" s="124">
        <v>0</v>
      </c>
      <c r="E5" s="123"/>
      <c r="F5" s="123"/>
      <c r="G5" s="123"/>
      <c r="H5" s="123"/>
      <c r="I5" s="123">
        <f>SUM(D5:H5)</f>
        <v>0</v>
      </c>
    </row>
    <row r="6" spans="2:11" x14ac:dyDescent="0.25">
      <c r="B6" s="190"/>
      <c r="D6" s="1">
        <f t="shared" ref="D6:I6" si="0">SUM(D4:D5)</f>
        <v>2800000</v>
      </c>
      <c r="E6" s="1">
        <f t="shared" si="0"/>
        <v>196000</v>
      </c>
      <c r="F6" s="1">
        <f t="shared" si="0"/>
        <v>60000</v>
      </c>
      <c r="G6" s="1">
        <f t="shared" si="0"/>
        <v>600000</v>
      </c>
      <c r="H6" s="1">
        <f t="shared" si="0"/>
        <v>50000</v>
      </c>
      <c r="I6" s="1">
        <f t="shared" si="0"/>
        <v>3706000</v>
      </c>
    </row>
    <row r="7" spans="2:11" x14ac:dyDescent="0.25">
      <c r="B7" s="190"/>
      <c r="C7" s="49" t="s">
        <v>50</v>
      </c>
      <c r="D7" s="44">
        <f>D6*$D$2</f>
        <v>280000</v>
      </c>
      <c r="E7" s="44">
        <f>E6*$E$2</f>
        <v>29400</v>
      </c>
      <c r="F7" s="44">
        <f>F6*$F$2</f>
        <v>9000</v>
      </c>
      <c r="G7" s="44">
        <f>G6*$G$2</f>
        <v>90000</v>
      </c>
      <c r="H7" s="44">
        <f>H6*$H$2</f>
        <v>30000</v>
      </c>
      <c r="I7" s="44">
        <f>SUM(D7:H7)</f>
        <v>438400</v>
      </c>
    </row>
    <row r="8" spans="2:11" x14ac:dyDescent="0.25">
      <c r="B8" s="190"/>
      <c r="C8" s="50">
        <v>42825</v>
      </c>
      <c r="D8" s="42">
        <f t="shared" ref="D8:I8" si="1">D6-D7</f>
        <v>2520000</v>
      </c>
      <c r="E8" s="42">
        <f t="shared" si="1"/>
        <v>166600</v>
      </c>
      <c r="F8" s="42">
        <f t="shared" si="1"/>
        <v>51000</v>
      </c>
      <c r="G8" s="42">
        <f t="shared" si="1"/>
        <v>510000</v>
      </c>
      <c r="H8" s="42">
        <f t="shared" si="1"/>
        <v>20000</v>
      </c>
      <c r="I8" s="42">
        <f t="shared" si="1"/>
        <v>3267600</v>
      </c>
    </row>
    <row r="9" spans="2:11" x14ac:dyDescent="0.25">
      <c r="B9" s="55"/>
      <c r="C9" s="56"/>
      <c r="D9" s="57"/>
      <c r="E9" s="57"/>
      <c r="F9" s="57"/>
      <c r="G9" s="57"/>
      <c r="H9" s="57"/>
      <c r="I9" s="55"/>
    </row>
    <row r="10" spans="2:11" x14ac:dyDescent="0.25">
      <c r="B10" s="190" t="s">
        <v>69</v>
      </c>
      <c r="C10" s="50">
        <v>42826</v>
      </c>
      <c r="D10" s="1">
        <f t="shared" ref="D10:H10" si="2">D8</f>
        <v>2520000</v>
      </c>
      <c r="E10" s="1">
        <f t="shared" si="2"/>
        <v>166600</v>
      </c>
      <c r="F10" s="1">
        <f t="shared" si="2"/>
        <v>51000</v>
      </c>
      <c r="G10" s="1">
        <f t="shared" si="2"/>
        <v>510000</v>
      </c>
      <c r="H10" s="1">
        <f t="shared" si="2"/>
        <v>20000</v>
      </c>
      <c r="I10" s="51">
        <f>SUM(D10:H10)</f>
        <v>3267600</v>
      </c>
    </row>
    <row r="11" spans="2:11" x14ac:dyDescent="0.25">
      <c r="B11" s="190"/>
      <c r="C11" s="49" t="s">
        <v>48</v>
      </c>
      <c r="D11" s="123"/>
      <c r="E11" s="123"/>
      <c r="F11" s="123">
        <v>1000000</v>
      </c>
      <c r="G11" s="123"/>
      <c r="H11" s="123"/>
      <c r="I11" s="123">
        <f>SUM(D11:H11)</f>
        <v>1000000</v>
      </c>
    </row>
    <row r="12" spans="2:11" x14ac:dyDescent="0.25">
      <c r="B12" s="190"/>
      <c r="D12" s="1">
        <f t="shared" ref="D12:I12" si="3">SUM(D10:D11)</f>
        <v>2520000</v>
      </c>
      <c r="E12" s="1">
        <f t="shared" si="3"/>
        <v>166600</v>
      </c>
      <c r="F12" s="1">
        <f t="shared" si="3"/>
        <v>1051000</v>
      </c>
      <c r="G12" s="1">
        <f t="shared" si="3"/>
        <v>510000</v>
      </c>
      <c r="H12" s="1">
        <f t="shared" si="3"/>
        <v>20000</v>
      </c>
      <c r="I12" s="1">
        <f t="shared" si="3"/>
        <v>4267600</v>
      </c>
    </row>
    <row r="13" spans="2:11" x14ac:dyDescent="0.25">
      <c r="B13" s="190"/>
      <c r="C13" s="49" t="s">
        <v>75</v>
      </c>
      <c r="D13" s="44">
        <f>D12*$D$2</f>
        <v>252000</v>
      </c>
      <c r="E13" s="44">
        <f>E12*$E$2</f>
        <v>24990</v>
      </c>
      <c r="F13" s="44">
        <f>F12*$F$2</f>
        <v>157650</v>
      </c>
      <c r="G13" s="44">
        <f>G12*$G$2</f>
        <v>76500</v>
      </c>
      <c r="H13" s="44">
        <f>H12*$H$2</f>
        <v>12000</v>
      </c>
      <c r="I13" s="44">
        <f>SUM(D13:H13)</f>
        <v>523140</v>
      </c>
    </row>
    <row r="14" spans="2:11" x14ac:dyDescent="0.25">
      <c r="B14" s="190"/>
      <c r="C14" s="50">
        <v>43190</v>
      </c>
      <c r="D14" s="42">
        <f t="shared" ref="D14:I14" si="4">D12-D13</f>
        <v>2268000</v>
      </c>
      <c r="E14" s="42">
        <f t="shared" si="4"/>
        <v>141610</v>
      </c>
      <c r="F14" s="42">
        <f t="shared" si="4"/>
        <v>893350</v>
      </c>
      <c r="G14" s="42">
        <f t="shared" si="4"/>
        <v>433500</v>
      </c>
      <c r="H14" s="42">
        <f t="shared" si="4"/>
        <v>8000</v>
      </c>
      <c r="I14" s="42">
        <f t="shared" si="4"/>
        <v>3744460</v>
      </c>
    </row>
    <row r="15" spans="2:11" x14ac:dyDescent="0.25">
      <c r="B15" s="55"/>
      <c r="C15" s="56"/>
      <c r="D15" s="57"/>
      <c r="E15" s="57"/>
      <c r="F15" s="57"/>
      <c r="G15" s="57"/>
      <c r="H15" s="57"/>
      <c r="I15" s="55"/>
    </row>
    <row r="16" spans="2:11" x14ac:dyDescent="0.25">
      <c r="B16" s="190" t="s">
        <v>70</v>
      </c>
      <c r="C16" s="50">
        <v>43191</v>
      </c>
      <c r="D16" s="1">
        <f t="shared" ref="D16:H16" si="5">D14</f>
        <v>2268000</v>
      </c>
      <c r="E16" s="1">
        <f t="shared" si="5"/>
        <v>141610</v>
      </c>
      <c r="F16" s="1">
        <f t="shared" si="5"/>
        <v>893350</v>
      </c>
      <c r="G16" s="1">
        <f t="shared" si="5"/>
        <v>433500</v>
      </c>
      <c r="H16" s="1">
        <f t="shared" si="5"/>
        <v>8000</v>
      </c>
      <c r="I16" s="51">
        <f>SUM(D16:H16)</f>
        <v>3744460</v>
      </c>
    </row>
    <row r="17" spans="2:9" x14ac:dyDescent="0.25">
      <c r="B17" s="190"/>
      <c r="C17" s="49" t="s">
        <v>48</v>
      </c>
      <c r="D17" s="123"/>
      <c r="E17" s="123">
        <v>500000</v>
      </c>
      <c r="F17" s="123"/>
      <c r="G17" s="123"/>
      <c r="H17" s="123">
        <v>200000</v>
      </c>
      <c r="I17" s="123">
        <f>SUM(D17:H17)</f>
        <v>700000</v>
      </c>
    </row>
    <row r="18" spans="2:9" x14ac:dyDescent="0.25">
      <c r="B18" s="190"/>
      <c r="D18" s="1">
        <f t="shared" ref="D18:I18" si="6">SUM(D16:D17)</f>
        <v>2268000</v>
      </c>
      <c r="E18" s="1">
        <f t="shared" si="6"/>
        <v>641610</v>
      </c>
      <c r="F18" s="1">
        <f t="shared" si="6"/>
        <v>893350</v>
      </c>
      <c r="G18" s="1">
        <f t="shared" si="6"/>
        <v>433500</v>
      </c>
      <c r="H18" s="1">
        <f t="shared" si="6"/>
        <v>208000</v>
      </c>
      <c r="I18" s="1">
        <f t="shared" si="6"/>
        <v>4444460</v>
      </c>
    </row>
    <row r="19" spans="2:9" x14ac:dyDescent="0.25">
      <c r="B19" s="190"/>
      <c r="C19" s="49" t="s">
        <v>76</v>
      </c>
      <c r="D19" s="44">
        <f>D18*$D$2</f>
        <v>226800</v>
      </c>
      <c r="E19" s="44">
        <f>E18*$E$2</f>
        <v>96241.5</v>
      </c>
      <c r="F19" s="44">
        <f>F18*$F$2</f>
        <v>134002.5</v>
      </c>
      <c r="G19" s="44">
        <f>G18*$G$2</f>
        <v>65025</v>
      </c>
      <c r="H19" s="44">
        <f>H18*$H$2</f>
        <v>124800</v>
      </c>
      <c r="I19" s="44">
        <f>SUM(D19:H19)</f>
        <v>646869</v>
      </c>
    </row>
    <row r="20" spans="2:9" x14ac:dyDescent="0.25">
      <c r="B20" s="190"/>
      <c r="C20" s="50">
        <v>43555</v>
      </c>
      <c r="D20" s="42">
        <f t="shared" ref="D20:I20" si="7">D18-D19</f>
        <v>2041200</v>
      </c>
      <c r="E20" s="42">
        <f t="shared" si="7"/>
        <v>545368.5</v>
      </c>
      <c r="F20" s="42">
        <f t="shared" si="7"/>
        <v>759347.5</v>
      </c>
      <c r="G20" s="42">
        <f t="shared" si="7"/>
        <v>368475</v>
      </c>
      <c r="H20" s="42">
        <f t="shared" si="7"/>
        <v>83200</v>
      </c>
      <c r="I20" s="42">
        <f t="shared" si="7"/>
        <v>3797591</v>
      </c>
    </row>
    <row r="21" spans="2:9" x14ac:dyDescent="0.25">
      <c r="B21" s="55"/>
      <c r="C21" s="56"/>
      <c r="D21" s="57"/>
      <c r="E21" s="57"/>
      <c r="F21" s="57"/>
      <c r="G21" s="57"/>
      <c r="H21" s="57"/>
      <c r="I21" s="55"/>
    </row>
    <row r="22" spans="2:9" x14ac:dyDescent="0.25">
      <c r="B22" s="190" t="s">
        <v>71</v>
      </c>
      <c r="C22" s="50">
        <v>43556</v>
      </c>
      <c r="D22" s="1">
        <f t="shared" ref="D22:H22" si="8">D20</f>
        <v>2041200</v>
      </c>
      <c r="E22" s="1">
        <f t="shared" si="8"/>
        <v>545368.5</v>
      </c>
      <c r="F22" s="1">
        <f t="shared" si="8"/>
        <v>759347.5</v>
      </c>
      <c r="G22" s="1">
        <f t="shared" si="8"/>
        <v>368475</v>
      </c>
      <c r="H22" s="1">
        <f t="shared" si="8"/>
        <v>83200</v>
      </c>
      <c r="I22" s="51">
        <f>SUM(D22:H22)</f>
        <v>3797591</v>
      </c>
    </row>
    <row r="23" spans="2:9" x14ac:dyDescent="0.25">
      <c r="B23" s="190"/>
      <c r="C23" s="49" t="s">
        <v>48</v>
      </c>
      <c r="D23" s="123"/>
      <c r="E23" s="123">
        <v>500000</v>
      </c>
      <c r="F23" s="123"/>
      <c r="G23" s="123"/>
      <c r="H23" s="123"/>
      <c r="I23" s="123">
        <f>SUM(D23:H23)</f>
        <v>500000</v>
      </c>
    </row>
    <row r="24" spans="2:9" x14ac:dyDescent="0.25">
      <c r="B24" s="190"/>
      <c r="D24" s="1">
        <f t="shared" ref="D24:I24" si="9">SUM(D22:D23)</f>
        <v>2041200</v>
      </c>
      <c r="E24" s="1">
        <f t="shared" si="9"/>
        <v>1045368.5</v>
      </c>
      <c r="F24" s="1">
        <f t="shared" si="9"/>
        <v>759347.5</v>
      </c>
      <c r="G24" s="1">
        <f t="shared" si="9"/>
        <v>368475</v>
      </c>
      <c r="H24" s="1">
        <f t="shared" si="9"/>
        <v>83200</v>
      </c>
      <c r="I24" s="1">
        <f t="shared" si="9"/>
        <v>4297591</v>
      </c>
    </row>
    <row r="25" spans="2:9" x14ac:dyDescent="0.25">
      <c r="B25" s="190"/>
      <c r="C25" s="49" t="s">
        <v>77</v>
      </c>
      <c r="D25" s="44">
        <f>D24*$D$2</f>
        <v>204120</v>
      </c>
      <c r="E25" s="44">
        <f>E24*$E$2</f>
        <v>156805.27499999999</v>
      </c>
      <c r="F25" s="44">
        <f>F24*$F$2</f>
        <v>113902.125</v>
      </c>
      <c r="G25" s="44">
        <f>G24*$G$2</f>
        <v>55271.25</v>
      </c>
      <c r="H25" s="44">
        <f>H24*$H$2</f>
        <v>49920</v>
      </c>
      <c r="I25" s="44">
        <f>SUM(D25:H25)</f>
        <v>580018.65</v>
      </c>
    </row>
    <row r="26" spans="2:9" x14ac:dyDescent="0.25">
      <c r="B26" s="190"/>
      <c r="C26" s="50">
        <v>43921</v>
      </c>
      <c r="D26" s="42">
        <f t="shared" ref="D26:I26" si="10">D24-D25</f>
        <v>1837080</v>
      </c>
      <c r="E26" s="42">
        <f t="shared" si="10"/>
        <v>888563.22499999998</v>
      </c>
      <c r="F26" s="42">
        <f t="shared" si="10"/>
        <v>645445.375</v>
      </c>
      <c r="G26" s="42">
        <f t="shared" si="10"/>
        <v>313203.75</v>
      </c>
      <c r="H26" s="42">
        <f t="shared" si="10"/>
        <v>33280</v>
      </c>
      <c r="I26" s="42">
        <f t="shared" si="10"/>
        <v>3717572.35</v>
      </c>
    </row>
    <row r="27" spans="2:9" x14ac:dyDescent="0.25">
      <c r="B27" s="55"/>
      <c r="C27" s="56"/>
      <c r="D27" s="57"/>
      <c r="E27" s="57"/>
      <c r="F27" s="57"/>
      <c r="G27" s="57"/>
      <c r="H27" s="57"/>
      <c r="I27" s="55"/>
    </row>
    <row r="28" spans="2:9" x14ac:dyDescent="0.25">
      <c r="B28" s="190" t="s">
        <v>72</v>
      </c>
      <c r="C28" s="50">
        <v>43922</v>
      </c>
      <c r="D28" s="1">
        <f t="shared" ref="D28:H28" si="11">D26</f>
        <v>1837080</v>
      </c>
      <c r="E28" s="1">
        <f t="shared" si="11"/>
        <v>888563.22499999998</v>
      </c>
      <c r="F28" s="1">
        <f t="shared" si="11"/>
        <v>645445.375</v>
      </c>
      <c r="G28" s="1">
        <f t="shared" si="11"/>
        <v>313203.75</v>
      </c>
      <c r="H28" s="1">
        <f t="shared" si="11"/>
        <v>33280</v>
      </c>
      <c r="I28" s="51">
        <f>SUM(D28:H28)</f>
        <v>3717572.35</v>
      </c>
    </row>
    <row r="29" spans="2:9" x14ac:dyDescent="0.25">
      <c r="B29" s="190"/>
      <c r="C29" s="49" t="s">
        <v>48</v>
      </c>
      <c r="D29" s="123"/>
      <c r="E29" s="123"/>
      <c r="F29" s="123"/>
      <c r="G29" s="123">
        <v>500000</v>
      </c>
      <c r="H29" s="123"/>
      <c r="I29" s="123">
        <f>SUM(D29:H29)</f>
        <v>500000</v>
      </c>
    </row>
    <row r="30" spans="2:9" x14ac:dyDescent="0.25">
      <c r="B30" s="190"/>
      <c r="D30" s="1">
        <f t="shared" ref="D30:I30" si="12">SUM(D28:D29)</f>
        <v>1837080</v>
      </c>
      <c r="E30" s="1">
        <f t="shared" si="12"/>
        <v>888563.22499999998</v>
      </c>
      <c r="F30" s="1">
        <f t="shared" si="12"/>
        <v>645445.375</v>
      </c>
      <c r="G30" s="1">
        <f t="shared" si="12"/>
        <v>813203.75</v>
      </c>
      <c r="H30" s="1">
        <f t="shared" si="12"/>
        <v>33280</v>
      </c>
      <c r="I30" s="1">
        <f t="shared" si="12"/>
        <v>4217572.3499999996</v>
      </c>
    </row>
    <row r="31" spans="2:9" x14ac:dyDescent="0.25">
      <c r="B31" s="190"/>
      <c r="C31" s="49" t="s">
        <v>78</v>
      </c>
      <c r="D31" s="44">
        <f>D30*$D$2</f>
        <v>183708</v>
      </c>
      <c r="E31" s="44">
        <f>E30*$E$2</f>
        <v>133284.48374999998</v>
      </c>
      <c r="F31" s="44">
        <f>F30*$F$2</f>
        <v>96816.806249999994</v>
      </c>
      <c r="G31" s="44">
        <f>G30*$G$2</f>
        <v>121980.5625</v>
      </c>
      <c r="H31" s="44">
        <f>H30*$H$2</f>
        <v>19968</v>
      </c>
      <c r="I31" s="44">
        <f>SUM(D31:H31)</f>
        <v>555757.85250000004</v>
      </c>
    </row>
    <row r="32" spans="2:9" x14ac:dyDescent="0.25">
      <c r="B32" s="190"/>
      <c r="C32" s="50">
        <v>44286</v>
      </c>
      <c r="D32" s="42">
        <f t="shared" ref="D32:I32" si="13">D30-D31</f>
        <v>1653372</v>
      </c>
      <c r="E32" s="42">
        <f t="shared" si="13"/>
        <v>755278.74124999996</v>
      </c>
      <c r="F32" s="42">
        <f t="shared" si="13"/>
        <v>548628.56874999998</v>
      </c>
      <c r="G32" s="42">
        <f t="shared" si="13"/>
        <v>691223.1875</v>
      </c>
      <c r="H32" s="42">
        <f t="shared" si="13"/>
        <v>13312</v>
      </c>
      <c r="I32" s="42">
        <f t="shared" si="13"/>
        <v>3661814.4974999996</v>
      </c>
    </row>
    <row r="33" spans="2:9" x14ac:dyDescent="0.25">
      <c r="B33" s="55"/>
      <c r="C33" s="56"/>
      <c r="D33" s="57"/>
      <c r="E33" s="57"/>
      <c r="F33" s="57"/>
      <c r="G33" s="57"/>
      <c r="H33" s="57"/>
      <c r="I33" s="55"/>
    </row>
    <row r="34" spans="2:9" x14ac:dyDescent="0.25">
      <c r="B34" s="190" t="s">
        <v>73</v>
      </c>
      <c r="C34" s="50">
        <v>44287</v>
      </c>
      <c r="D34" s="1">
        <f t="shared" ref="D34:H34" si="14">D32</f>
        <v>1653372</v>
      </c>
      <c r="E34" s="1">
        <f t="shared" si="14"/>
        <v>755278.74124999996</v>
      </c>
      <c r="F34" s="1">
        <f t="shared" si="14"/>
        <v>548628.56874999998</v>
      </c>
      <c r="G34" s="1">
        <f t="shared" si="14"/>
        <v>691223.1875</v>
      </c>
      <c r="H34" s="1">
        <f t="shared" si="14"/>
        <v>13312</v>
      </c>
      <c r="I34" s="51">
        <f>SUM(D34:H34)</f>
        <v>3661814.4975000001</v>
      </c>
    </row>
    <row r="35" spans="2:9" x14ac:dyDescent="0.25">
      <c r="B35" s="190"/>
      <c r="C35" s="49" t="s">
        <v>48</v>
      </c>
      <c r="D35" s="123"/>
      <c r="E35" s="123">
        <v>500000</v>
      </c>
      <c r="F35" s="123"/>
      <c r="G35" s="123"/>
      <c r="H35" s="123">
        <v>500000</v>
      </c>
      <c r="I35" s="123">
        <f>SUM(D35:H35)</f>
        <v>1000000</v>
      </c>
    </row>
    <row r="36" spans="2:9" x14ac:dyDescent="0.25">
      <c r="B36" s="190"/>
      <c r="D36" s="1">
        <f t="shared" ref="D36:I36" si="15">SUM(D34:D35)</f>
        <v>1653372</v>
      </c>
      <c r="E36" s="1">
        <f t="shared" si="15"/>
        <v>1255278.74125</v>
      </c>
      <c r="F36" s="1">
        <f t="shared" si="15"/>
        <v>548628.56874999998</v>
      </c>
      <c r="G36" s="1">
        <f t="shared" si="15"/>
        <v>691223.1875</v>
      </c>
      <c r="H36" s="1">
        <f t="shared" si="15"/>
        <v>513312</v>
      </c>
      <c r="I36" s="1">
        <f t="shared" si="15"/>
        <v>4661814.4975000005</v>
      </c>
    </row>
    <row r="37" spans="2:9" x14ac:dyDescent="0.25">
      <c r="B37" s="190"/>
      <c r="C37" s="49" t="s">
        <v>79</v>
      </c>
      <c r="D37" s="44">
        <f>D36*$D$2</f>
        <v>165337.20000000001</v>
      </c>
      <c r="E37" s="44">
        <f>E36*$E$2</f>
        <v>188291.81118749999</v>
      </c>
      <c r="F37" s="44">
        <f>F36*$F$2</f>
        <v>82294.285312499997</v>
      </c>
      <c r="G37" s="44">
        <f>G36*$G$2</f>
        <v>103683.47812499999</v>
      </c>
      <c r="H37" s="44">
        <f>H36*$H$2</f>
        <v>307987.20000000001</v>
      </c>
      <c r="I37" s="44">
        <f>SUM(D37:H37)</f>
        <v>847593.97462500003</v>
      </c>
    </row>
    <row r="38" spans="2:9" x14ac:dyDescent="0.25">
      <c r="B38" s="190"/>
      <c r="C38" s="50">
        <v>44651</v>
      </c>
      <c r="D38" s="42">
        <f t="shared" ref="D38:I38" si="16">D36-D37</f>
        <v>1488034.8</v>
      </c>
      <c r="E38" s="42">
        <f t="shared" si="16"/>
        <v>1066986.9300625001</v>
      </c>
      <c r="F38" s="42">
        <f t="shared" si="16"/>
        <v>466334.28343750001</v>
      </c>
      <c r="G38" s="42">
        <f t="shared" si="16"/>
        <v>587539.70937499998</v>
      </c>
      <c r="H38" s="42">
        <f t="shared" si="16"/>
        <v>205324.79999999999</v>
      </c>
      <c r="I38" s="42">
        <f t="shared" si="16"/>
        <v>3814220.5228750007</v>
      </c>
    </row>
    <row r="39" spans="2:9" x14ac:dyDescent="0.25">
      <c r="B39" s="55"/>
      <c r="C39" s="56"/>
      <c r="D39" s="57"/>
      <c r="E39" s="57"/>
      <c r="F39" s="57"/>
      <c r="G39" s="57"/>
      <c r="H39" s="57"/>
      <c r="I39" s="55"/>
    </row>
    <row r="40" spans="2:9" x14ac:dyDescent="0.25">
      <c r="B40" s="190" t="s">
        <v>74</v>
      </c>
      <c r="C40" s="50">
        <v>44652</v>
      </c>
      <c r="D40" s="1">
        <f t="shared" ref="D40:H40" si="17">D38</f>
        <v>1488034.8</v>
      </c>
      <c r="E40" s="1">
        <f t="shared" si="17"/>
        <v>1066986.9300625001</v>
      </c>
      <c r="F40" s="1">
        <f t="shared" si="17"/>
        <v>466334.28343750001</v>
      </c>
      <c r="G40" s="1">
        <f t="shared" si="17"/>
        <v>587539.70937499998</v>
      </c>
      <c r="H40" s="1">
        <f t="shared" si="17"/>
        <v>205324.79999999999</v>
      </c>
      <c r="I40" s="51">
        <f>SUM(D40:H40)</f>
        <v>3814220.5228750003</v>
      </c>
    </row>
    <row r="41" spans="2:9" x14ac:dyDescent="0.25">
      <c r="B41" s="190"/>
      <c r="C41" s="49" t="s">
        <v>48</v>
      </c>
      <c r="D41" s="123"/>
      <c r="E41" s="123"/>
      <c r="F41" s="123"/>
      <c r="G41" s="123"/>
      <c r="H41" s="123"/>
      <c r="I41" s="123">
        <f>SUM(D41:H41)</f>
        <v>0</v>
      </c>
    </row>
    <row r="42" spans="2:9" x14ac:dyDescent="0.25">
      <c r="B42" s="190"/>
      <c r="D42" s="1">
        <f t="shared" ref="D42:I42" si="18">SUM(D40:D41)</f>
        <v>1488034.8</v>
      </c>
      <c r="E42" s="1">
        <f t="shared" si="18"/>
        <v>1066986.9300625001</v>
      </c>
      <c r="F42" s="1">
        <f t="shared" si="18"/>
        <v>466334.28343750001</v>
      </c>
      <c r="G42" s="1">
        <f t="shared" si="18"/>
        <v>587539.70937499998</v>
      </c>
      <c r="H42" s="1">
        <f t="shared" si="18"/>
        <v>205324.79999999999</v>
      </c>
      <c r="I42" s="1">
        <f t="shared" si="18"/>
        <v>3814220.5228750003</v>
      </c>
    </row>
    <row r="43" spans="2:9" x14ac:dyDescent="0.25">
      <c r="B43" s="190"/>
      <c r="C43" s="49" t="s">
        <v>80</v>
      </c>
      <c r="D43" s="44">
        <f>D42*$D$2</f>
        <v>148803.48000000001</v>
      </c>
      <c r="E43" s="44">
        <f>E42*$E$2</f>
        <v>160048.039509375</v>
      </c>
      <c r="F43" s="44">
        <f>F42*$F$2</f>
        <v>69950.142515625004</v>
      </c>
      <c r="G43" s="44">
        <f>G42*$G$2</f>
        <v>88130.956406249999</v>
      </c>
      <c r="H43" s="44">
        <f>H42*$H$2</f>
        <v>123194.87999999999</v>
      </c>
      <c r="I43" s="44">
        <f>SUM(D43:H43)</f>
        <v>590127.49843124999</v>
      </c>
    </row>
    <row r="44" spans="2:9" x14ac:dyDescent="0.25">
      <c r="B44" s="190"/>
      <c r="C44" s="50">
        <v>45016</v>
      </c>
      <c r="D44" s="42">
        <f t="shared" ref="D44:I44" si="19">D42-D43</f>
        <v>1339231.32</v>
      </c>
      <c r="E44" s="42">
        <f t="shared" si="19"/>
        <v>906938.89055312506</v>
      </c>
      <c r="F44" s="42">
        <f t="shared" si="19"/>
        <v>396384.14092187502</v>
      </c>
      <c r="G44" s="42">
        <f t="shared" si="19"/>
        <v>499408.75296874996</v>
      </c>
      <c r="H44" s="42">
        <f t="shared" si="19"/>
        <v>82129.919999999998</v>
      </c>
      <c r="I44" s="42">
        <f t="shared" si="19"/>
        <v>3224093.0244437503</v>
      </c>
    </row>
    <row r="45" spans="2:9" x14ac:dyDescent="0.25">
      <c r="B45" s="55"/>
      <c r="C45" s="56"/>
      <c r="D45" s="57"/>
      <c r="E45" s="57"/>
      <c r="F45" s="57"/>
      <c r="G45" s="57"/>
      <c r="H45" s="57"/>
      <c r="I45" s="55"/>
    </row>
    <row r="46" spans="2:9" x14ac:dyDescent="0.25">
      <c r="B46" s="190" t="s">
        <v>109</v>
      </c>
      <c r="C46" s="50">
        <v>45017</v>
      </c>
      <c r="D46" s="1">
        <f t="shared" ref="D46:H46" si="20">D44</f>
        <v>1339231.32</v>
      </c>
      <c r="E46" s="1">
        <f t="shared" si="20"/>
        <v>906938.89055312506</v>
      </c>
      <c r="F46" s="1">
        <f t="shared" si="20"/>
        <v>396384.14092187502</v>
      </c>
      <c r="G46" s="1">
        <f t="shared" si="20"/>
        <v>499408.75296874996</v>
      </c>
      <c r="H46" s="1">
        <f t="shared" si="20"/>
        <v>82129.919999999998</v>
      </c>
      <c r="I46" s="51">
        <f>SUM(D46:H46)</f>
        <v>3224093.0244437498</v>
      </c>
    </row>
    <row r="47" spans="2:9" x14ac:dyDescent="0.25">
      <c r="B47" s="190"/>
      <c r="C47" s="49" t="s">
        <v>48</v>
      </c>
      <c r="D47" s="123"/>
      <c r="E47" s="123"/>
      <c r="F47" s="123"/>
      <c r="G47" s="123"/>
      <c r="H47" s="123"/>
      <c r="I47" s="123">
        <f>SUM(D47:H47)</f>
        <v>0</v>
      </c>
    </row>
    <row r="48" spans="2:9" x14ac:dyDescent="0.25">
      <c r="B48" s="190"/>
      <c r="D48" s="1">
        <f t="shared" ref="D48:I48" si="21">SUM(D46:D47)</f>
        <v>1339231.32</v>
      </c>
      <c r="E48" s="1">
        <f t="shared" si="21"/>
        <v>906938.89055312506</v>
      </c>
      <c r="F48" s="1">
        <f t="shared" si="21"/>
        <v>396384.14092187502</v>
      </c>
      <c r="G48" s="1">
        <f t="shared" si="21"/>
        <v>499408.75296874996</v>
      </c>
      <c r="H48" s="1">
        <f t="shared" si="21"/>
        <v>82129.919999999998</v>
      </c>
      <c r="I48" s="1">
        <f t="shared" si="21"/>
        <v>3224093.0244437498</v>
      </c>
    </row>
    <row r="49" spans="2:9" x14ac:dyDescent="0.25">
      <c r="B49" s="190"/>
      <c r="C49" s="49" t="s">
        <v>110</v>
      </c>
      <c r="D49" s="44">
        <f>D48*$D$2</f>
        <v>133923.13200000001</v>
      </c>
      <c r="E49" s="44">
        <f>E48*$E$2</f>
        <v>136040.83358296874</v>
      </c>
      <c r="F49" s="44">
        <f>F48*$F$2</f>
        <v>59457.621138281247</v>
      </c>
      <c r="G49" s="44">
        <f>G48*$G$2</f>
        <v>74911.312945312486</v>
      </c>
      <c r="H49" s="44">
        <f>H48*$H$2</f>
        <v>49277.951999999997</v>
      </c>
      <c r="I49" s="44">
        <f>SUM(D49:H49)</f>
        <v>453610.85166656249</v>
      </c>
    </row>
    <row r="50" spans="2:9" x14ac:dyDescent="0.25">
      <c r="B50" s="190"/>
      <c r="C50" s="50">
        <v>45382</v>
      </c>
      <c r="D50" s="42">
        <f t="shared" ref="D50:I50" si="22">D48-D49</f>
        <v>1205308.1880000001</v>
      </c>
      <c r="E50" s="42">
        <f t="shared" si="22"/>
        <v>770898.05697015626</v>
      </c>
      <c r="F50" s="42">
        <f t="shared" si="22"/>
        <v>336926.51978359377</v>
      </c>
      <c r="G50" s="42">
        <f t="shared" si="22"/>
        <v>424497.44002343749</v>
      </c>
      <c r="H50" s="42">
        <f t="shared" si="22"/>
        <v>32851.968000000001</v>
      </c>
      <c r="I50" s="42">
        <f t="shared" si="22"/>
        <v>2770482.1727771871</v>
      </c>
    </row>
    <row r="51" spans="2:9" x14ac:dyDescent="0.25">
      <c r="B51" s="55"/>
      <c r="C51" s="56"/>
      <c r="D51" s="57"/>
      <c r="E51" s="57"/>
      <c r="F51" s="57"/>
      <c r="G51" s="57"/>
      <c r="H51" s="57"/>
      <c r="I51" s="55"/>
    </row>
  </sheetData>
  <mergeCells count="8">
    <mergeCell ref="B46:B50"/>
    <mergeCell ref="B28:B32"/>
    <mergeCell ref="B34:B38"/>
    <mergeCell ref="B40:B44"/>
    <mergeCell ref="B4:B8"/>
    <mergeCell ref="B10:B14"/>
    <mergeCell ref="B16:B20"/>
    <mergeCell ref="B22:B26"/>
  </mergeCells>
  <pageMargins left="0.70866141732283472" right="0.70866141732283472" top="0.74803149606299213" bottom="0.74803149606299213" header="0.31496062992125984" footer="0.31496062992125984"/>
  <pageSetup paperSize="9" scale="71" fitToHeight="3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D4" sqref="D4"/>
    </sheetView>
  </sheetViews>
  <sheetFormatPr defaultRowHeight="15" x14ac:dyDescent="0.25"/>
  <cols>
    <col min="2" max="2" width="19.28515625" customWidth="1"/>
    <col min="3" max="3" width="15" customWidth="1"/>
  </cols>
  <sheetData>
    <row r="2" spans="2:5" x14ac:dyDescent="0.25">
      <c r="D2" t="s">
        <v>121</v>
      </c>
      <c r="E2" t="s">
        <v>122</v>
      </c>
    </row>
    <row r="3" spans="2:5" x14ac:dyDescent="0.25">
      <c r="B3" t="s">
        <v>112</v>
      </c>
      <c r="C3" s="125" t="s">
        <v>113</v>
      </c>
    </row>
    <row r="4" spans="2:5" x14ac:dyDescent="0.25">
      <c r="B4" t="s">
        <v>114</v>
      </c>
      <c r="C4" s="125"/>
      <c r="D4">
        <v>-311208</v>
      </c>
      <c r="E4">
        <v>3298.3</v>
      </c>
    </row>
    <row r="5" spans="2:5" x14ac:dyDescent="0.25">
      <c r="B5" t="s">
        <v>115</v>
      </c>
      <c r="C5" s="125"/>
      <c r="D5" s="126">
        <v>9.6000000000000002E-2</v>
      </c>
    </row>
    <row r="6" spans="2:5" x14ac:dyDescent="0.25">
      <c r="B6" t="s">
        <v>116</v>
      </c>
      <c r="C6" s="125"/>
      <c r="D6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B9"/>
  <sheetViews>
    <sheetView workbookViewId="0">
      <selection activeCell="B7" sqref="B7:B10"/>
    </sheetView>
  </sheetViews>
  <sheetFormatPr defaultRowHeight="15" x14ac:dyDescent="0.25"/>
  <cols>
    <col min="1" max="1" width="39.28515625" bestFit="1" customWidth="1"/>
    <col min="2" max="2" width="31.7109375" customWidth="1"/>
    <col min="3" max="3" width="16.7109375" customWidth="1"/>
  </cols>
  <sheetData>
    <row r="4" spans="1:2" x14ac:dyDescent="0.25">
      <c r="A4" t="s">
        <v>117</v>
      </c>
      <c r="B4">
        <v>2800000</v>
      </c>
    </row>
    <row r="6" spans="1:2" x14ac:dyDescent="0.25">
      <c r="A6" t="s">
        <v>124</v>
      </c>
      <c r="B6">
        <v>100000</v>
      </c>
    </row>
    <row r="7" spans="1:2" x14ac:dyDescent="0.25">
      <c r="A7" t="s">
        <v>125</v>
      </c>
      <c r="B7">
        <v>96000</v>
      </c>
    </row>
    <row r="8" spans="1:2" x14ac:dyDescent="0.25">
      <c r="A8" t="s">
        <v>118</v>
      </c>
      <c r="B8">
        <f>60000</f>
        <v>60000</v>
      </c>
    </row>
    <row r="9" spans="1:2" x14ac:dyDescent="0.25">
      <c r="A9" t="s">
        <v>119</v>
      </c>
      <c r="B9">
        <v>600000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B1:H105"/>
  <sheetViews>
    <sheetView topLeftCell="A62" workbookViewId="0">
      <selection activeCell="H89" sqref="H89"/>
    </sheetView>
  </sheetViews>
  <sheetFormatPr defaultRowHeight="15" x14ac:dyDescent="0.25"/>
  <cols>
    <col min="1" max="1" width="6.7109375" customWidth="1"/>
    <col min="3" max="3" width="9.140625" style="23"/>
    <col min="4" max="4" width="13.140625" customWidth="1"/>
    <col min="5" max="7" width="11.28515625" customWidth="1"/>
    <col min="8" max="8" width="13.42578125" customWidth="1"/>
  </cols>
  <sheetData>
    <row r="1" spans="2:8" x14ac:dyDescent="0.25">
      <c r="B1" s="47" t="s">
        <v>105</v>
      </c>
    </row>
    <row r="3" spans="2:8" x14ac:dyDescent="0.25">
      <c r="B3" s="40" t="s">
        <v>26</v>
      </c>
      <c r="C3" s="41"/>
      <c r="D3" s="43">
        <v>2800000</v>
      </c>
      <c r="E3" s="40"/>
      <c r="F3" s="40" t="s">
        <v>35</v>
      </c>
      <c r="G3" s="40"/>
    </row>
    <row r="4" spans="2:8" x14ac:dyDescent="0.25">
      <c r="B4" s="40" t="s">
        <v>27</v>
      </c>
      <c r="C4" s="41"/>
      <c r="D4" s="46">
        <v>0.11</v>
      </c>
      <c r="E4" s="40"/>
      <c r="F4" s="40"/>
      <c r="G4" s="40"/>
    </row>
    <row r="6" spans="2:8" s="26" customFormat="1" ht="30" x14ac:dyDescent="0.25">
      <c r="B6" s="36" t="s">
        <v>28</v>
      </c>
      <c r="C6" s="36" t="s">
        <v>29</v>
      </c>
      <c r="D6" s="36" t="s">
        <v>30</v>
      </c>
      <c r="E6" s="36" t="s">
        <v>31</v>
      </c>
      <c r="F6" s="36" t="s">
        <v>32</v>
      </c>
      <c r="G6" s="36" t="s">
        <v>33</v>
      </c>
      <c r="H6" s="36" t="s">
        <v>34</v>
      </c>
    </row>
    <row r="7" spans="2:8" x14ac:dyDescent="0.25">
      <c r="B7" s="27">
        <v>42736</v>
      </c>
      <c r="C7" s="28">
        <f>D4</f>
        <v>0.11</v>
      </c>
      <c r="D7" s="29">
        <f>D3</f>
        <v>2800000</v>
      </c>
      <c r="E7" s="29">
        <f>D7*C7*31/365</f>
        <v>26158.904109589042</v>
      </c>
      <c r="F7" s="29">
        <f>(D3/84)</f>
        <v>33333.333333333336</v>
      </c>
      <c r="G7" s="29">
        <f>E7+F7</f>
        <v>59492.237442922378</v>
      </c>
      <c r="H7" s="29">
        <f>D7-F7</f>
        <v>2766666.6666666665</v>
      </c>
    </row>
    <row r="8" spans="2:8" x14ac:dyDescent="0.25">
      <c r="B8" s="27">
        <v>42767</v>
      </c>
      <c r="C8" s="28">
        <f>C7</f>
        <v>0.11</v>
      </c>
      <c r="D8" s="29">
        <f>H7</f>
        <v>2766666.6666666665</v>
      </c>
      <c r="E8" s="29">
        <f>D8*C8*28/365</f>
        <v>23346.118721461185</v>
      </c>
      <c r="F8" s="29">
        <f>F7</f>
        <v>33333.333333333336</v>
      </c>
      <c r="G8" s="29">
        <f>E8+F8</f>
        <v>56679.452054794521</v>
      </c>
      <c r="H8" s="29">
        <f t="shared" ref="H8:H77" si="0">D8-F8</f>
        <v>2733333.333333333</v>
      </c>
    </row>
    <row r="9" spans="2:8" ht="15.75" thickBot="1" x14ac:dyDescent="0.3">
      <c r="B9" s="30">
        <v>42795</v>
      </c>
      <c r="C9" s="31">
        <f t="shared" ref="C9:C78" si="1">C8</f>
        <v>0.11</v>
      </c>
      <c r="D9" s="32">
        <f t="shared" ref="D9:D78" si="2">H8</f>
        <v>2733333.333333333</v>
      </c>
      <c r="E9" s="32">
        <f>D9*C9*31/365</f>
        <v>25536.07305936073</v>
      </c>
      <c r="F9" s="32">
        <f t="shared" ref="F9:F78" si="3">F8</f>
        <v>33333.333333333336</v>
      </c>
      <c r="G9" s="32">
        <f t="shared" ref="G9:G78" si="4">E9+F9</f>
        <v>58869.406392694065</v>
      </c>
      <c r="H9" s="32">
        <f t="shared" si="0"/>
        <v>2699999.9999999995</v>
      </c>
    </row>
    <row r="10" spans="2:8" s="40" customFormat="1" ht="15.75" thickBot="1" x14ac:dyDescent="0.3">
      <c r="B10" s="37"/>
      <c r="C10" s="38"/>
      <c r="D10" s="39"/>
      <c r="E10" s="39">
        <f>SUM(E7:E9)</f>
        <v>75041.095890410958</v>
      </c>
      <c r="F10" s="39">
        <f>SUM(F7:F9)</f>
        <v>100000</v>
      </c>
      <c r="G10" s="39">
        <f>SUM(G7:G9)</f>
        <v>175041.09589041097</v>
      </c>
      <c r="H10" s="39">
        <f>H9</f>
        <v>2699999.9999999995</v>
      </c>
    </row>
    <row r="11" spans="2:8" x14ac:dyDescent="0.25">
      <c r="B11" s="33">
        <v>42826</v>
      </c>
      <c r="C11" s="34">
        <f>C9</f>
        <v>0.11</v>
      </c>
      <c r="D11" s="35">
        <f>H9</f>
        <v>2699999.9999999995</v>
      </c>
      <c r="E11" s="35">
        <f>D11*C11*30/365</f>
        <v>24410.958904109582</v>
      </c>
      <c r="F11" s="35">
        <f>F9</f>
        <v>33333.333333333336</v>
      </c>
      <c r="G11" s="35">
        <f t="shared" si="4"/>
        <v>57744.292237442918</v>
      </c>
      <c r="H11" s="35">
        <f t="shared" si="0"/>
        <v>2666666.666666666</v>
      </c>
    </row>
    <row r="12" spans="2:8" x14ac:dyDescent="0.25">
      <c r="B12" s="27">
        <v>42856</v>
      </c>
      <c r="C12" s="28">
        <f t="shared" si="1"/>
        <v>0.11</v>
      </c>
      <c r="D12" s="29">
        <f t="shared" si="2"/>
        <v>2666666.666666666</v>
      </c>
      <c r="E12" s="29">
        <f>D12*C12*31/365</f>
        <v>24913.242009132413</v>
      </c>
      <c r="F12" s="29">
        <f t="shared" si="3"/>
        <v>33333.333333333336</v>
      </c>
      <c r="G12" s="29">
        <f t="shared" si="4"/>
        <v>58246.575342465745</v>
      </c>
      <c r="H12" s="29">
        <f t="shared" si="0"/>
        <v>2633333.3333333326</v>
      </c>
    </row>
    <row r="13" spans="2:8" x14ac:dyDescent="0.25">
      <c r="B13" s="27">
        <v>42887</v>
      </c>
      <c r="C13" s="28">
        <f t="shared" si="1"/>
        <v>0.11</v>
      </c>
      <c r="D13" s="29">
        <f t="shared" si="2"/>
        <v>2633333.3333333326</v>
      </c>
      <c r="E13" s="29">
        <f>D13*C13*30/365</f>
        <v>23808.219178082181</v>
      </c>
      <c r="F13" s="29">
        <f t="shared" si="3"/>
        <v>33333.333333333336</v>
      </c>
      <c r="G13" s="29">
        <f t="shared" si="4"/>
        <v>57141.552511415517</v>
      </c>
      <c r="H13" s="29">
        <f t="shared" si="0"/>
        <v>2599999.9999999991</v>
      </c>
    </row>
    <row r="14" spans="2:8" x14ac:dyDescent="0.25">
      <c r="B14" s="27">
        <v>42917</v>
      </c>
      <c r="C14" s="28">
        <f t="shared" si="1"/>
        <v>0.11</v>
      </c>
      <c r="D14" s="29">
        <f t="shared" si="2"/>
        <v>2599999.9999999991</v>
      </c>
      <c r="E14" s="29">
        <f>D14*C14*31/365</f>
        <v>24290.4109589041</v>
      </c>
      <c r="F14" s="29">
        <f t="shared" si="3"/>
        <v>33333.333333333336</v>
      </c>
      <c r="G14" s="29">
        <f t="shared" si="4"/>
        <v>57623.744292237432</v>
      </c>
      <c r="H14" s="29">
        <f t="shared" si="0"/>
        <v>2566666.6666666656</v>
      </c>
    </row>
    <row r="15" spans="2:8" x14ac:dyDescent="0.25">
      <c r="B15" s="27">
        <v>42948</v>
      </c>
      <c r="C15" s="28">
        <f t="shared" si="1"/>
        <v>0.11</v>
      </c>
      <c r="D15" s="29">
        <f t="shared" si="2"/>
        <v>2566666.6666666656</v>
      </c>
      <c r="E15" s="29">
        <f>D15*C15*31/365</f>
        <v>23978.99543378994</v>
      </c>
      <c r="F15" s="29">
        <f t="shared" si="3"/>
        <v>33333.333333333336</v>
      </c>
      <c r="G15" s="29">
        <f t="shared" si="4"/>
        <v>57312.328767123276</v>
      </c>
      <c r="H15" s="29">
        <f t="shared" si="0"/>
        <v>2533333.3333333321</v>
      </c>
    </row>
    <row r="16" spans="2:8" x14ac:dyDescent="0.25">
      <c r="B16" s="27">
        <v>42979</v>
      </c>
      <c r="C16" s="28">
        <f t="shared" si="1"/>
        <v>0.11</v>
      </c>
      <c r="D16" s="29">
        <f t="shared" si="2"/>
        <v>2533333.3333333321</v>
      </c>
      <c r="E16" s="29">
        <f>D16*C16*30/365</f>
        <v>22904.109589041083</v>
      </c>
      <c r="F16" s="29">
        <f t="shared" si="3"/>
        <v>33333.333333333336</v>
      </c>
      <c r="G16" s="29">
        <f t="shared" si="4"/>
        <v>56237.442922374423</v>
      </c>
      <c r="H16" s="29">
        <f t="shared" si="0"/>
        <v>2499999.9999999986</v>
      </c>
    </row>
    <row r="17" spans="2:8" x14ac:dyDescent="0.25">
      <c r="B17" s="27">
        <v>43009</v>
      </c>
      <c r="C17" s="28">
        <f t="shared" si="1"/>
        <v>0.11</v>
      </c>
      <c r="D17" s="29">
        <f t="shared" si="2"/>
        <v>2499999.9999999986</v>
      </c>
      <c r="E17" s="29">
        <f>D17*C17*31/365</f>
        <v>23356.164383561627</v>
      </c>
      <c r="F17" s="29">
        <f t="shared" si="3"/>
        <v>33333.333333333336</v>
      </c>
      <c r="G17" s="29">
        <f t="shared" si="4"/>
        <v>56689.497716894963</v>
      </c>
      <c r="H17" s="29">
        <f t="shared" si="0"/>
        <v>2466666.6666666651</v>
      </c>
    </row>
    <row r="18" spans="2:8" x14ac:dyDescent="0.25">
      <c r="B18" s="27">
        <v>43040</v>
      </c>
      <c r="C18" s="28">
        <f t="shared" si="1"/>
        <v>0.11</v>
      </c>
      <c r="D18" s="29">
        <f t="shared" si="2"/>
        <v>2466666.6666666651</v>
      </c>
      <c r="E18" s="29">
        <f>D18*C18*30/365</f>
        <v>22301.369863013682</v>
      </c>
      <c r="F18" s="29">
        <f t="shared" si="3"/>
        <v>33333.333333333336</v>
      </c>
      <c r="G18" s="29">
        <f t="shared" si="4"/>
        <v>55634.703196347022</v>
      </c>
      <c r="H18" s="29">
        <f t="shared" si="0"/>
        <v>2433333.3333333316</v>
      </c>
    </row>
    <row r="19" spans="2:8" x14ac:dyDescent="0.25">
      <c r="B19" s="27">
        <v>43070</v>
      </c>
      <c r="C19" s="28">
        <f t="shared" si="1"/>
        <v>0.11</v>
      </c>
      <c r="D19" s="29">
        <f t="shared" si="2"/>
        <v>2433333.3333333316</v>
      </c>
      <c r="E19" s="29">
        <f>D19*C19*31/365</f>
        <v>22733.333333333318</v>
      </c>
      <c r="F19" s="29">
        <f t="shared" si="3"/>
        <v>33333.333333333336</v>
      </c>
      <c r="G19" s="29">
        <f t="shared" si="4"/>
        <v>56066.666666666657</v>
      </c>
      <c r="H19" s="29">
        <f t="shared" si="0"/>
        <v>2399999.9999999981</v>
      </c>
    </row>
    <row r="20" spans="2:8" x14ac:dyDescent="0.25">
      <c r="B20" s="27">
        <v>43101</v>
      </c>
      <c r="C20" s="28">
        <f t="shared" si="1"/>
        <v>0.11</v>
      </c>
      <c r="D20" s="29">
        <f t="shared" si="2"/>
        <v>2399999.9999999981</v>
      </c>
      <c r="E20" s="29">
        <f>D20*C20*31/365</f>
        <v>22421.917808219161</v>
      </c>
      <c r="F20" s="29">
        <f t="shared" si="3"/>
        <v>33333.333333333336</v>
      </c>
      <c r="G20" s="29">
        <f t="shared" si="4"/>
        <v>55755.251141552493</v>
      </c>
      <c r="H20" s="29">
        <f t="shared" si="0"/>
        <v>2366666.6666666646</v>
      </c>
    </row>
    <row r="21" spans="2:8" x14ac:dyDescent="0.25">
      <c r="B21" s="27">
        <v>43132</v>
      </c>
      <c r="C21" s="28">
        <f t="shared" si="1"/>
        <v>0.11</v>
      </c>
      <c r="D21" s="29">
        <f t="shared" si="2"/>
        <v>2366666.6666666646</v>
      </c>
      <c r="E21" s="29">
        <f>D21*C21*28/365</f>
        <v>19970.776255707748</v>
      </c>
      <c r="F21" s="29">
        <f t="shared" si="3"/>
        <v>33333.333333333336</v>
      </c>
      <c r="G21" s="29">
        <f t="shared" si="4"/>
        <v>53304.10958904108</v>
      </c>
      <c r="H21" s="29">
        <f t="shared" si="0"/>
        <v>2333333.3333333312</v>
      </c>
    </row>
    <row r="22" spans="2:8" ht="15.75" thickBot="1" x14ac:dyDescent="0.3">
      <c r="B22" s="27">
        <v>43160</v>
      </c>
      <c r="C22" s="28">
        <f t="shared" si="1"/>
        <v>0.11</v>
      </c>
      <c r="D22" s="29">
        <f t="shared" si="2"/>
        <v>2333333.3333333312</v>
      </c>
      <c r="E22" s="29">
        <f>D22*C22*31/365</f>
        <v>21799.086757990848</v>
      </c>
      <c r="F22" s="29">
        <f t="shared" si="3"/>
        <v>33333.333333333336</v>
      </c>
      <c r="G22" s="29">
        <f t="shared" si="4"/>
        <v>55132.42009132418</v>
      </c>
      <c r="H22" s="29">
        <f t="shared" si="0"/>
        <v>2299999.9999999977</v>
      </c>
    </row>
    <row r="23" spans="2:8" s="40" customFormat="1" ht="15.75" thickBot="1" x14ac:dyDescent="0.3">
      <c r="B23" s="37"/>
      <c r="C23" s="38"/>
      <c r="D23" s="39"/>
      <c r="E23" s="39">
        <f t="shared" ref="E23:G23" si="5">SUM(E11:E22)</f>
        <v>276888.58447488566</v>
      </c>
      <c r="F23" s="39">
        <f t="shared" si="5"/>
        <v>399999.99999999994</v>
      </c>
      <c r="G23" s="39">
        <f t="shared" si="5"/>
        <v>676888.5844748856</v>
      </c>
      <c r="H23" s="39">
        <f>H22</f>
        <v>2299999.9999999977</v>
      </c>
    </row>
    <row r="24" spans="2:8" x14ac:dyDescent="0.25">
      <c r="B24" s="27">
        <v>43191</v>
      </c>
      <c r="C24" s="28">
        <f>C22</f>
        <v>0.11</v>
      </c>
      <c r="D24" s="29">
        <f>H22</f>
        <v>2299999.9999999977</v>
      </c>
      <c r="E24" s="29">
        <f>D24*C24*30/365</f>
        <v>20794.520547945183</v>
      </c>
      <c r="F24" s="29">
        <f>F22</f>
        <v>33333.333333333336</v>
      </c>
      <c r="G24" s="29">
        <f t="shared" si="4"/>
        <v>54127.853881278519</v>
      </c>
      <c r="H24" s="29">
        <f t="shared" si="0"/>
        <v>2266666.6666666642</v>
      </c>
    </row>
    <row r="25" spans="2:8" x14ac:dyDescent="0.25">
      <c r="B25" s="27">
        <v>43221</v>
      </c>
      <c r="C25" s="28">
        <f t="shared" si="1"/>
        <v>0.11</v>
      </c>
      <c r="D25" s="29">
        <f t="shared" si="2"/>
        <v>2266666.6666666642</v>
      </c>
      <c r="E25" s="29">
        <f>D25*C25*31/365</f>
        <v>21176.255707762532</v>
      </c>
      <c r="F25" s="29">
        <f t="shared" si="3"/>
        <v>33333.333333333336</v>
      </c>
      <c r="G25" s="29">
        <f t="shared" si="4"/>
        <v>54509.589041095867</v>
      </c>
      <c r="H25" s="29">
        <f t="shared" si="0"/>
        <v>2233333.3333333307</v>
      </c>
    </row>
    <row r="26" spans="2:8" x14ac:dyDescent="0.25">
      <c r="B26" s="27">
        <v>43252</v>
      </c>
      <c r="C26" s="28">
        <f t="shared" si="1"/>
        <v>0.11</v>
      </c>
      <c r="D26" s="29">
        <f t="shared" si="2"/>
        <v>2233333.3333333307</v>
      </c>
      <c r="E26" s="29">
        <f>D26*C26*30/365</f>
        <v>20191.780821917782</v>
      </c>
      <c r="F26" s="29">
        <f t="shared" si="3"/>
        <v>33333.333333333336</v>
      </c>
      <c r="G26" s="29">
        <f t="shared" si="4"/>
        <v>53525.114155251118</v>
      </c>
      <c r="H26" s="29">
        <f t="shared" si="0"/>
        <v>2199999.9999999972</v>
      </c>
    </row>
    <row r="27" spans="2:8" x14ac:dyDescent="0.25">
      <c r="B27" s="27">
        <v>43282</v>
      </c>
      <c r="C27" s="28">
        <f t="shared" si="1"/>
        <v>0.11</v>
      </c>
      <c r="D27" s="29">
        <f t="shared" si="2"/>
        <v>2199999.9999999972</v>
      </c>
      <c r="E27" s="29">
        <f>D27*C27*31/365</f>
        <v>20553.424657534219</v>
      </c>
      <c r="F27" s="29">
        <f t="shared" si="3"/>
        <v>33333.333333333336</v>
      </c>
      <c r="G27" s="29">
        <f t="shared" si="4"/>
        <v>53886.757990867554</v>
      </c>
      <c r="H27" s="29">
        <f t="shared" si="0"/>
        <v>2166666.6666666637</v>
      </c>
    </row>
    <row r="28" spans="2:8" x14ac:dyDescent="0.25">
      <c r="B28" s="27">
        <v>43313</v>
      </c>
      <c r="C28" s="28">
        <f t="shared" si="1"/>
        <v>0.11</v>
      </c>
      <c r="D28" s="29">
        <f t="shared" si="2"/>
        <v>2166666.6666666637</v>
      </c>
      <c r="E28" s="29">
        <f>D28*C28*31/365</f>
        <v>20242.009132420066</v>
      </c>
      <c r="F28" s="29">
        <f t="shared" si="3"/>
        <v>33333.333333333336</v>
      </c>
      <c r="G28" s="29">
        <f t="shared" si="4"/>
        <v>53575.342465753405</v>
      </c>
      <c r="H28" s="29">
        <f t="shared" si="0"/>
        <v>2133333.3333333302</v>
      </c>
    </row>
    <row r="29" spans="2:8" x14ac:dyDescent="0.25">
      <c r="B29" s="27">
        <v>43344</v>
      </c>
      <c r="C29" s="28">
        <f t="shared" si="1"/>
        <v>0.11</v>
      </c>
      <c r="D29" s="29">
        <f t="shared" si="2"/>
        <v>2133333.3333333302</v>
      </c>
      <c r="E29" s="29">
        <f>D29*C29*30/365</f>
        <v>19287.671232876684</v>
      </c>
      <c r="F29" s="29">
        <f t="shared" si="3"/>
        <v>33333.333333333336</v>
      </c>
      <c r="G29" s="29">
        <f t="shared" si="4"/>
        <v>52621.004566210016</v>
      </c>
      <c r="H29" s="29">
        <f t="shared" si="0"/>
        <v>2099999.9999999967</v>
      </c>
    </row>
    <row r="30" spans="2:8" x14ac:dyDescent="0.25">
      <c r="B30" s="27">
        <v>43374</v>
      </c>
      <c r="C30" s="28">
        <f t="shared" si="1"/>
        <v>0.11</v>
      </c>
      <c r="D30" s="29">
        <f t="shared" si="2"/>
        <v>2099999.9999999967</v>
      </c>
      <c r="E30" s="29">
        <f>D30*C30*31/365</f>
        <v>19619.178082191749</v>
      </c>
      <c r="F30" s="29">
        <f t="shared" si="3"/>
        <v>33333.333333333336</v>
      </c>
      <c r="G30" s="29">
        <f t="shared" si="4"/>
        <v>52952.511415525085</v>
      </c>
      <c r="H30" s="29">
        <f t="shared" si="0"/>
        <v>2066666.6666666635</v>
      </c>
    </row>
    <row r="31" spans="2:8" x14ac:dyDescent="0.25">
      <c r="B31" s="27">
        <v>43405</v>
      </c>
      <c r="C31" s="28">
        <f t="shared" si="1"/>
        <v>0.11</v>
      </c>
      <c r="D31" s="29">
        <f t="shared" si="2"/>
        <v>2066666.6666666635</v>
      </c>
      <c r="E31" s="29">
        <f>D31*C31*30/365</f>
        <v>18684.931506849287</v>
      </c>
      <c r="F31" s="29">
        <f t="shared" si="3"/>
        <v>33333.333333333336</v>
      </c>
      <c r="G31" s="29">
        <f t="shared" si="4"/>
        <v>52018.264840182623</v>
      </c>
      <c r="H31" s="29">
        <f t="shared" si="0"/>
        <v>2033333.3333333302</v>
      </c>
    </row>
    <row r="32" spans="2:8" x14ac:dyDescent="0.25">
      <c r="B32" s="27">
        <v>43435</v>
      </c>
      <c r="C32" s="28">
        <f t="shared" si="1"/>
        <v>0.11</v>
      </c>
      <c r="D32" s="29">
        <f t="shared" si="2"/>
        <v>2033333.3333333302</v>
      </c>
      <c r="E32" s="29">
        <f>D32*C32*31/365</f>
        <v>18996.347031963443</v>
      </c>
      <c r="F32" s="29">
        <f t="shared" si="3"/>
        <v>33333.333333333336</v>
      </c>
      <c r="G32" s="29">
        <f t="shared" si="4"/>
        <v>52329.680365296779</v>
      </c>
      <c r="H32" s="29">
        <f t="shared" si="0"/>
        <v>1999999.999999997</v>
      </c>
    </row>
    <row r="33" spans="2:8" x14ac:dyDescent="0.25">
      <c r="B33" s="27">
        <v>43466</v>
      </c>
      <c r="C33" s="28">
        <f t="shared" si="1"/>
        <v>0.11</v>
      </c>
      <c r="D33" s="29">
        <f t="shared" si="2"/>
        <v>1999999.999999997</v>
      </c>
      <c r="E33" s="29">
        <f>D33*C33*31/365</f>
        <v>18684.931506849287</v>
      </c>
      <c r="F33" s="29">
        <f t="shared" si="3"/>
        <v>33333.333333333336</v>
      </c>
      <c r="G33" s="29">
        <f t="shared" si="4"/>
        <v>52018.264840182623</v>
      </c>
      <c r="H33" s="29">
        <f t="shared" si="0"/>
        <v>1966666.6666666637</v>
      </c>
    </row>
    <row r="34" spans="2:8" x14ac:dyDescent="0.25">
      <c r="B34" s="27">
        <v>43497</v>
      </c>
      <c r="C34" s="28">
        <f t="shared" si="1"/>
        <v>0.11</v>
      </c>
      <c r="D34" s="29">
        <f t="shared" si="2"/>
        <v>1966666.6666666637</v>
      </c>
      <c r="E34" s="29">
        <f>D34*C34*28/365</f>
        <v>16595.433789954313</v>
      </c>
      <c r="F34" s="29">
        <f t="shared" si="3"/>
        <v>33333.333333333336</v>
      </c>
      <c r="G34" s="29">
        <f t="shared" si="4"/>
        <v>49928.767123287646</v>
      </c>
      <c r="H34" s="29">
        <f t="shared" si="0"/>
        <v>1933333.3333333305</v>
      </c>
    </row>
    <row r="35" spans="2:8" ht="15.75" thickBot="1" x14ac:dyDescent="0.3">
      <c r="B35" s="27">
        <v>43525</v>
      </c>
      <c r="C35" s="28">
        <f t="shared" si="1"/>
        <v>0.11</v>
      </c>
      <c r="D35" s="29">
        <f t="shared" si="2"/>
        <v>1933333.3333333305</v>
      </c>
      <c r="E35" s="29">
        <f>D35*C35*31/365</f>
        <v>18062.100456620981</v>
      </c>
      <c r="F35" s="29">
        <f t="shared" si="3"/>
        <v>33333.333333333336</v>
      </c>
      <c r="G35" s="29">
        <f t="shared" si="4"/>
        <v>51395.433789954317</v>
      </c>
      <c r="H35" s="29">
        <f t="shared" si="0"/>
        <v>1899999.9999999972</v>
      </c>
    </row>
    <row r="36" spans="2:8" ht="15.75" thickBot="1" x14ac:dyDescent="0.3">
      <c r="B36" s="37"/>
      <c r="C36" s="38"/>
      <c r="D36" s="39"/>
      <c r="E36" s="39">
        <f t="shared" ref="E36" si="6">SUM(E24:E35)</f>
        <v>232888.58447488552</v>
      </c>
      <c r="F36" s="39">
        <f t="shared" ref="F36" si="7">SUM(F24:F35)</f>
        <v>399999.99999999994</v>
      </c>
      <c r="G36" s="39">
        <f t="shared" ref="G36" si="8">SUM(G24:G35)</f>
        <v>632888.5844748856</v>
      </c>
      <c r="H36" s="39">
        <f>H35</f>
        <v>1899999.9999999972</v>
      </c>
    </row>
    <row r="37" spans="2:8" x14ac:dyDescent="0.25">
      <c r="B37" s="27">
        <v>43556</v>
      </c>
      <c r="C37" s="28">
        <f>C35</f>
        <v>0.11</v>
      </c>
      <c r="D37" s="29">
        <f>H35</f>
        <v>1899999.9999999972</v>
      </c>
      <c r="E37" s="29">
        <f>D37*C37*30/365</f>
        <v>17178.082191780795</v>
      </c>
      <c r="F37" s="29">
        <f>F35</f>
        <v>33333.333333333336</v>
      </c>
      <c r="G37" s="29">
        <f t="shared" si="4"/>
        <v>50511.415525114135</v>
      </c>
      <c r="H37" s="29">
        <f t="shared" si="0"/>
        <v>1866666.666666664</v>
      </c>
    </row>
    <row r="38" spans="2:8" x14ac:dyDescent="0.25">
      <c r="B38" s="27">
        <v>43586</v>
      </c>
      <c r="C38" s="28">
        <f t="shared" si="1"/>
        <v>0.11</v>
      </c>
      <c r="D38" s="29">
        <f t="shared" si="2"/>
        <v>1866666.666666664</v>
      </c>
      <c r="E38" s="29">
        <f>D38*C38*31/365</f>
        <v>17439.269406392668</v>
      </c>
      <c r="F38" s="29">
        <f t="shared" si="3"/>
        <v>33333.333333333336</v>
      </c>
      <c r="G38" s="29">
        <f t="shared" si="4"/>
        <v>50772.602739726004</v>
      </c>
      <c r="H38" s="29">
        <f t="shared" si="0"/>
        <v>1833333.3333333307</v>
      </c>
    </row>
    <row r="39" spans="2:8" x14ac:dyDescent="0.25">
      <c r="B39" s="27">
        <v>43617</v>
      </c>
      <c r="C39" s="28">
        <f t="shared" si="1"/>
        <v>0.11</v>
      </c>
      <c r="D39" s="29">
        <f t="shared" si="2"/>
        <v>1833333.3333333307</v>
      </c>
      <c r="E39" s="29">
        <f>D39*C39*30/365</f>
        <v>16575.342465753398</v>
      </c>
      <c r="F39" s="29">
        <f t="shared" si="3"/>
        <v>33333.333333333336</v>
      </c>
      <c r="G39" s="29">
        <f t="shared" si="4"/>
        <v>49908.675799086734</v>
      </c>
      <c r="H39" s="29">
        <f t="shared" si="0"/>
        <v>1799999.9999999974</v>
      </c>
    </row>
    <row r="40" spans="2:8" x14ac:dyDescent="0.25">
      <c r="B40" s="27">
        <v>43647</v>
      </c>
      <c r="C40" s="28">
        <f t="shared" si="1"/>
        <v>0.11</v>
      </c>
      <c r="D40" s="29">
        <f t="shared" si="2"/>
        <v>1799999.9999999974</v>
      </c>
      <c r="E40" s="29">
        <f>D40*C40*31/365</f>
        <v>16816.438356164359</v>
      </c>
      <c r="F40" s="29">
        <f t="shared" si="3"/>
        <v>33333.333333333336</v>
      </c>
      <c r="G40" s="29">
        <f t="shared" si="4"/>
        <v>50149.771689497691</v>
      </c>
      <c r="H40" s="29">
        <f t="shared" si="0"/>
        <v>1766666.6666666642</v>
      </c>
    </row>
    <row r="41" spans="2:8" x14ac:dyDescent="0.25">
      <c r="B41" s="27">
        <v>43678</v>
      </c>
      <c r="C41" s="28">
        <f t="shared" si="1"/>
        <v>0.11</v>
      </c>
      <c r="D41" s="29">
        <f t="shared" si="2"/>
        <v>1766666.6666666642</v>
      </c>
      <c r="E41" s="29">
        <f>D41*C41*31/365</f>
        <v>16505.022831050206</v>
      </c>
      <c r="F41" s="29">
        <f t="shared" si="3"/>
        <v>33333.333333333336</v>
      </c>
      <c r="G41" s="29">
        <f t="shared" si="4"/>
        <v>49838.356164383542</v>
      </c>
      <c r="H41" s="29">
        <f t="shared" si="0"/>
        <v>1733333.3333333309</v>
      </c>
    </row>
    <row r="42" spans="2:8" x14ac:dyDescent="0.25">
      <c r="B42" s="27">
        <v>43709</v>
      </c>
      <c r="C42" s="28">
        <f t="shared" si="1"/>
        <v>0.11</v>
      </c>
      <c r="D42" s="29">
        <f t="shared" si="2"/>
        <v>1733333.3333333309</v>
      </c>
      <c r="E42" s="29">
        <f>D42*C42*30/365</f>
        <v>15671.232876712305</v>
      </c>
      <c r="F42" s="29">
        <f t="shared" si="3"/>
        <v>33333.333333333336</v>
      </c>
      <c r="G42" s="29">
        <f t="shared" si="4"/>
        <v>49004.566210045639</v>
      </c>
      <c r="H42" s="29">
        <f t="shared" si="0"/>
        <v>1699999.9999999977</v>
      </c>
    </row>
    <row r="43" spans="2:8" x14ac:dyDescent="0.25">
      <c r="B43" s="27">
        <v>43739</v>
      </c>
      <c r="C43" s="28">
        <f t="shared" si="1"/>
        <v>0.11</v>
      </c>
      <c r="D43" s="29">
        <f t="shared" si="2"/>
        <v>1699999.9999999977</v>
      </c>
      <c r="E43" s="29">
        <f>D43*C43*31/365</f>
        <v>15882.191780821895</v>
      </c>
      <c r="F43" s="29">
        <f t="shared" si="3"/>
        <v>33333.333333333336</v>
      </c>
      <c r="G43" s="29">
        <f t="shared" si="4"/>
        <v>49215.525114155229</v>
      </c>
      <c r="H43" s="29">
        <f t="shared" si="0"/>
        <v>1666666.6666666644</v>
      </c>
    </row>
    <row r="44" spans="2:8" x14ac:dyDescent="0.25">
      <c r="B44" s="27">
        <v>43770</v>
      </c>
      <c r="C44" s="28">
        <f t="shared" si="1"/>
        <v>0.11</v>
      </c>
      <c r="D44" s="29">
        <f t="shared" si="2"/>
        <v>1666666.6666666644</v>
      </c>
      <c r="E44" s="29">
        <f>D44*C44*30/365</f>
        <v>15068.493150684912</v>
      </c>
      <c r="F44" s="29">
        <f t="shared" si="3"/>
        <v>33333.333333333336</v>
      </c>
      <c r="G44" s="29">
        <f t="shared" si="4"/>
        <v>48401.826484018246</v>
      </c>
      <c r="H44" s="29">
        <f t="shared" si="0"/>
        <v>1633333.3333333312</v>
      </c>
    </row>
    <row r="45" spans="2:8" x14ac:dyDescent="0.25">
      <c r="B45" s="27">
        <v>43800</v>
      </c>
      <c r="C45" s="28">
        <f t="shared" si="1"/>
        <v>0.11</v>
      </c>
      <c r="D45" s="29">
        <f t="shared" si="2"/>
        <v>1633333.3333333312</v>
      </c>
      <c r="E45" s="29">
        <f>D45*C45*31/365</f>
        <v>15259.360730593588</v>
      </c>
      <c r="F45" s="29">
        <f t="shared" si="3"/>
        <v>33333.333333333336</v>
      </c>
      <c r="G45" s="29">
        <f t="shared" si="4"/>
        <v>48592.694063926923</v>
      </c>
      <c r="H45" s="29">
        <f t="shared" si="0"/>
        <v>1599999.9999999979</v>
      </c>
    </row>
    <row r="46" spans="2:8" x14ac:dyDescent="0.25">
      <c r="B46" s="27">
        <v>43831</v>
      </c>
      <c r="C46" s="28">
        <f t="shared" si="1"/>
        <v>0.11</v>
      </c>
      <c r="D46" s="29">
        <f t="shared" si="2"/>
        <v>1599999.9999999979</v>
      </c>
      <c r="E46" s="29">
        <f>D46*C46*31/365</f>
        <v>14947.945205479431</v>
      </c>
      <c r="F46" s="29">
        <f t="shared" si="3"/>
        <v>33333.333333333336</v>
      </c>
      <c r="G46" s="29">
        <f t="shared" si="4"/>
        <v>48281.278538812767</v>
      </c>
      <c r="H46" s="29">
        <f t="shared" si="0"/>
        <v>1566666.6666666646</v>
      </c>
    </row>
    <row r="47" spans="2:8" x14ac:dyDescent="0.25">
      <c r="B47" s="27">
        <v>43862</v>
      </c>
      <c r="C47" s="28">
        <f t="shared" si="1"/>
        <v>0.11</v>
      </c>
      <c r="D47" s="29">
        <f t="shared" si="2"/>
        <v>1566666.6666666646</v>
      </c>
      <c r="E47" s="29">
        <f>D47*C47*28/365</f>
        <v>13220.091324200897</v>
      </c>
      <c r="F47" s="29">
        <f t="shared" si="3"/>
        <v>33333.333333333336</v>
      </c>
      <c r="G47" s="29">
        <f t="shared" si="4"/>
        <v>46553.424657534233</v>
      </c>
      <c r="H47" s="29">
        <f t="shared" si="0"/>
        <v>1533333.3333333314</v>
      </c>
    </row>
    <row r="48" spans="2:8" ht="15.75" thickBot="1" x14ac:dyDescent="0.3">
      <c r="B48" s="27">
        <v>43891</v>
      </c>
      <c r="C48" s="28">
        <f t="shared" si="1"/>
        <v>0.11</v>
      </c>
      <c r="D48" s="29">
        <f t="shared" si="2"/>
        <v>1533333.3333333314</v>
      </c>
      <c r="E48" s="29">
        <f>D48*C48*31/365</f>
        <v>14325.114155251125</v>
      </c>
      <c r="F48" s="29">
        <f t="shared" si="3"/>
        <v>33333.333333333336</v>
      </c>
      <c r="G48" s="29">
        <f t="shared" si="4"/>
        <v>47658.447488584461</v>
      </c>
      <c r="H48" s="29">
        <f t="shared" si="0"/>
        <v>1499999.9999999981</v>
      </c>
    </row>
    <row r="49" spans="2:8" ht="15.75" thickBot="1" x14ac:dyDescent="0.3">
      <c r="B49" s="37"/>
      <c r="C49" s="38"/>
      <c r="D49" s="39"/>
      <c r="E49" s="39">
        <f t="shared" ref="E49" si="9">SUM(E37:E48)</f>
        <v>188888.5844748856</v>
      </c>
      <c r="F49" s="39">
        <f t="shared" ref="F49" si="10">SUM(F37:F48)</f>
        <v>399999.99999999994</v>
      </c>
      <c r="G49" s="39">
        <f t="shared" ref="G49" si="11">SUM(G37:G48)</f>
        <v>588888.5844748856</v>
      </c>
      <c r="H49" s="39">
        <f>H48</f>
        <v>1499999.9999999981</v>
      </c>
    </row>
    <row r="50" spans="2:8" x14ac:dyDescent="0.25">
      <c r="B50" s="27">
        <v>43922</v>
      </c>
      <c r="C50" s="28">
        <f>C48</f>
        <v>0.11</v>
      </c>
      <c r="D50" s="29">
        <f>H48</f>
        <v>1499999.9999999981</v>
      </c>
      <c r="E50" s="29">
        <f>D50*C50*30/365</f>
        <v>13561.64383561642</v>
      </c>
      <c r="F50" s="29">
        <f>F48</f>
        <v>33333.333333333336</v>
      </c>
      <c r="G50" s="29">
        <f t="shared" si="4"/>
        <v>46894.977168949757</v>
      </c>
      <c r="H50" s="29">
        <f t="shared" si="0"/>
        <v>1466666.6666666649</v>
      </c>
    </row>
    <row r="51" spans="2:8" x14ac:dyDescent="0.25">
      <c r="B51" s="27">
        <v>43952</v>
      </c>
      <c r="C51" s="28">
        <f t="shared" si="1"/>
        <v>0.11</v>
      </c>
      <c r="D51" s="29">
        <f t="shared" si="2"/>
        <v>1466666.6666666649</v>
      </c>
      <c r="E51" s="29">
        <f>D51*C51*31/365</f>
        <v>13702.283105022814</v>
      </c>
      <c r="F51" s="29">
        <f t="shared" si="3"/>
        <v>33333.333333333336</v>
      </c>
      <c r="G51" s="29">
        <f t="shared" si="4"/>
        <v>47035.616438356148</v>
      </c>
      <c r="H51" s="29">
        <f t="shared" si="0"/>
        <v>1433333.3333333316</v>
      </c>
    </row>
    <row r="52" spans="2:8" x14ac:dyDescent="0.25">
      <c r="B52" s="27">
        <v>43983</v>
      </c>
      <c r="C52" s="28">
        <f t="shared" si="1"/>
        <v>0.11</v>
      </c>
      <c r="D52" s="29">
        <f t="shared" si="2"/>
        <v>1433333.3333333316</v>
      </c>
      <c r="E52" s="29">
        <f>D52*C52*30/365</f>
        <v>12958.904109589026</v>
      </c>
      <c r="F52" s="29">
        <f t="shared" si="3"/>
        <v>33333.333333333336</v>
      </c>
      <c r="G52" s="29">
        <f t="shared" si="4"/>
        <v>46292.237442922364</v>
      </c>
      <c r="H52" s="29">
        <f t="shared" si="0"/>
        <v>1399999.9999999984</v>
      </c>
    </row>
    <row r="53" spans="2:8" x14ac:dyDescent="0.25">
      <c r="B53" s="27">
        <v>44013</v>
      </c>
      <c r="C53" s="28">
        <f t="shared" si="1"/>
        <v>0.11</v>
      </c>
      <c r="D53" s="29">
        <f t="shared" si="2"/>
        <v>1399999.9999999984</v>
      </c>
      <c r="E53" s="29">
        <f>D53*C53*31/365</f>
        <v>13079.452054794505</v>
      </c>
      <c r="F53" s="29">
        <f t="shared" si="3"/>
        <v>33333.333333333336</v>
      </c>
      <c r="G53" s="29">
        <f t="shared" si="4"/>
        <v>46412.785388127842</v>
      </c>
      <c r="H53" s="29">
        <f t="shared" si="0"/>
        <v>1366666.6666666651</v>
      </c>
    </row>
    <row r="54" spans="2:8" x14ac:dyDescent="0.25">
      <c r="B54" s="27">
        <v>44044</v>
      </c>
      <c r="C54" s="28">
        <f t="shared" si="1"/>
        <v>0.11</v>
      </c>
      <c r="D54" s="29">
        <f t="shared" si="2"/>
        <v>1366666.6666666651</v>
      </c>
      <c r="E54" s="29">
        <f>D54*C54*31/365</f>
        <v>12768.036529680352</v>
      </c>
      <c r="F54" s="29">
        <f t="shared" si="3"/>
        <v>33333.333333333336</v>
      </c>
      <c r="G54" s="29">
        <f t="shared" si="4"/>
        <v>46101.369863013686</v>
      </c>
      <c r="H54" s="29">
        <f t="shared" si="0"/>
        <v>1333333.3333333319</v>
      </c>
    </row>
    <row r="55" spans="2:8" x14ac:dyDescent="0.25">
      <c r="B55" s="27">
        <v>44075</v>
      </c>
      <c r="C55" s="28">
        <f t="shared" si="1"/>
        <v>0.11</v>
      </c>
      <c r="D55" s="29">
        <f t="shared" si="2"/>
        <v>1333333.3333333319</v>
      </c>
      <c r="E55" s="29">
        <f>D55*C55*30/365</f>
        <v>12054.794520547932</v>
      </c>
      <c r="F55" s="29">
        <f t="shared" si="3"/>
        <v>33333.333333333336</v>
      </c>
      <c r="G55" s="29">
        <f t="shared" si="4"/>
        <v>45388.127853881269</v>
      </c>
      <c r="H55" s="29">
        <f t="shared" si="0"/>
        <v>1299999.9999999986</v>
      </c>
    </row>
    <row r="56" spans="2:8" x14ac:dyDescent="0.25">
      <c r="B56" s="27">
        <v>44105</v>
      </c>
      <c r="C56" s="28">
        <f t="shared" si="1"/>
        <v>0.11</v>
      </c>
      <c r="D56" s="29">
        <f t="shared" si="2"/>
        <v>1299999.9999999986</v>
      </c>
      <c r="E56" s="29">
        <f>D56*C56*31/365</f>
        <v>12145.205479452043</v>
      </c>
      <c r="F56" s="29">
        <f t="shared" si="3"/>
        <v>33333.333333333336</v>
      </c>
      <c r="G56" s="29">
        <f t="shared" si="4"/>
        <v>45478.53881278538</v>
      </c>
      <c r="H56" s="29">
        <f t="shared" si="0"/>
        <v>1266666.6666666653</v>
      </c>
    </row>
    <row r="57" spans="2:8" x14ac:dyDescent="0.25">
      <c r="B57" s="27">
        <v>44136</v>
      </c>
      <c r="C57" s="28">
        <f t="shared" si="1"/>
        <v>0.11</v>
      </c>
      <c r="D57" s="29">
        <f t="shared" si="2"/>
        <v>1266666.6666666653</v>
      </c>
      <c r="E57" s="29">
        <f>D57*C57*30/365</f>
        <v>11452.054794520536</v>
      </c>
      <c r="F57" s="29">
        <f t="shared" si="3"/>
        <v>33333.333333333336</v>
      </c>
      <c r="G57" s="29">
        <f t="shared" si="4"/>
        <v>44785.388127853876</v>
      </c>
      <c r="H57" s="29">
        <f t="shared" si="0"/>
        <v>1233333.3333333321</v>
      </c>
    </row>
    <row r="58" spans="2:8" x14ac:dyDescent="0.25">
      <c r="B58" s="27">
        <v>44166</v>
      </c>
      <c r="C58" s="28">
        <f t="shared" si="1"/>
        <v>0.11</v>
      </c>
      <c r="D58" s="29">
        <f t="shared" si="2"/>
        <v>1233333.3333333321</v>
      </c>
      <c r="E58" s="29">
        <f>D58*C58*31/365</f>
        <v>11522.374429223732</v>
      </c>
      <c r="F58" s="29">
        <f t="shared" si="3"/>
        <v>33333.333333333336</v>
      </c>
      <c r="G58" s="29">
        <f t="shared" si="4"/>
        <v>44855.707762557067</v>
      </c>
      <c r="H58" s="29">
        <f t="shared" si="0"/>
        <v>1199999.9999999988</v>
      </c>
    </row>
    <row r="59" spans="2:8" x14ac:dyDescent="0.25">
      <c r="B59" s="27">
        <v>44197</v>
      </c>
      <c r="C59" s="28">
        <f t="shared" si="1"/>
        <v>0.11</v>
      </c>
      <c r="D59" s="29">
        <f t="shared" si="2"/>
        <v>1199999.9999999988</v>
      </c>
      <c r="E59" s="29">
        <f>D59*C59*31/365</f>
        <v>11210.958904109579</v>
      </c>
      <c r="F59" s="29">
        <f t="shared" si="3"/>
        <v>33333.333333333336</v>
      </c>
      <c r="G59" s="29">
        <f t="shared" si="4"/>
        <v>44544.292237442918</v>
      </c>
      <c r="H59" s="29">
        <f t="shared" si="0"/>
        <v>1166666.6666666656</v>
      </c>
    </row>
    <row r="60" spans="2:8" x14ac:dyDescent="0.25">
      <c r="B60" s="27">
        <v>44228</v>
      </c>
      <c r="C60" s="28">
        <f t="shared" si="1"/>
        <v>0.11</v>
      </c>
      <c r="D60" s="29">
        <f t="shared" si="2"/>
        <v>1166666.6666666656</v>
      </c>
      <c r="E60" s="29">
        <f>D60*C60*28/365</f>
        <v>9844.7488584474795</v>
      </c>
      <c r="F60" s="29">
        <f t="shared" si="3"/>
        <v>33333.333333333336</v>
      </c>
      <c r="G60" s="29">
        <f t="shared" si="4"/>
        <v>43178.082191780813</v>
      </c>
      <c r="H60" s="29">
        <f t="shared" si="0"/>
        <v>1133333.3333333323</v>
      </c>
    </row>
    <row r="61" spans="2:8" ht="15.75" thickBot="1" x14ac:dyDescent="0.3">
      <c r="B61" s="27">
        <v>44256</v>
      </c>
      <c r="C61" s="28">
        <f t="shared" si="1"/>
        <v>0.11</v>
      </c>
      <c r="D61" s="29">
        <f t="shared" si="2"/>
        <v>1133333.3333333323</v>
      </c>
      <c r="E61" s="29">
        <f>D61*C61*31/365</f>
        <v>10588.127853881269</v>
      </c>
      <c r="F61" s="29">
        <f t="shared" si="3"/>
        <v>33333.333333333336</v>
      </c>
      <c r="G61" s="29">
        <f t="shared" si="4"/>
        <v>43921.461187214605</v>
      </c>
      <c r="H61" s="29">
        <f t="shared" si="0"/>
        <v>1099999.9999999991</v>
      </c>
    </row>
    <row r="62" spans="2:8" ht="15.75" thickBot="1" x14ac:dyDescent="0.3">
      <c r="B62" s="37"/>
      <c r="C62" s="38"/>
      <c r="D62" s="39"/>
      <c r="E62" s="39">
        <f t="shared" ref="E62" si="12">SUM(E50:E61)</f>
        <v>144888.58447488569</v>
      </c>
      <c r="F62" s="39">
        <f t="shared" ref="F62" si="13">SUM(F50:F61)</f>
        <v>399999.99999999994</v>
      </c>
      <c r="G62" s="39">
        <f t="shared" ref="G62" si="14">SUM(G50:G61)</f>
        <v>544888.58447488572</v>
      </c>
      <c r="H62" s="39">
        <f>H61</f>
        <v>1099999.9999999991</v>
      </c>
    </row>
    <row r="63" spans="2:8" x14ac:dyDescent="0.25">
      <c r="B63" s="27">
        <v>44287</v>
      </c>
      <c r="C63" s="28">
        <f>C61</f>
        <v>0.11</v>
      </c>
      <c r="D63" s="29">
        <f>H61</f>
        <v>1099999.9999999991</v>
      </c>
      <c r="E63" s="29">
        <f>D63*C63*30/365</f>
        <v>9945.2054794520463</v>
      </c>
      <c r="F63" s="29">
        <f>F61</f>
        <v>33333.333333333336</v>
      </c>
      <c r="G63" s="29">
        <f t="shared" si="4"/>
        <v>43278.53881278538</v>
      </c>
      <c r="H63" s="29">
        <f t="shared" si="0"/>
        <v>1066666.6666666658</v>
      </c>
    </row>
    <row r="64" spans="2:8" x14ac:dyDescent="0.25">
      <c r="B64" s="27">
        <v>44317</v>
      </c>
      <c r="C64" s="28">
        <f t="shared" si="1"/>
        <v>0.11</v>
      </c>
      <c r="D64" s="29">
        <f t="shared" si="2"/>
        <v>1066666.6666666658</v>
      </c>
      <c r="E64" s="29">
        <f>D64*C64*31/365</f>
        <v>9965.2968036529601</v>
      </c>
      <c r="F64" s="29">
        <f t="shared" si="3"/>
        <v>33333.333333333336</v>
      </c>
      <c r="G64" s="29">
        <f t="shared" si="4"/>
        <v>43298.630136986292</v>
      </c>
      <c r="H64" s="29">
        <f t="shared" si="0"/>
        <v>1033333.3333333324</v>
      </c>
    </row>
    <row r="65" spans="2:8" x14ac:dyDescent="0.25">
      <c r="B65" s="27">
        <v>44348</v>
      </c>
      <c r="C65" s="28">
        <f t="shared" si="1"/>
        <v>0.11</v>
      </c>
      <c r="D65" s="29">
        <f t="shared" si="2"/>
        <v>1033333.3333333324</v>
      </c>
      <c r="E65" s="29">
        <f>D65*C65*30/365</f>
        <v>9342.4657534246508</v>
      </c>
      <c r="F65" s="29">
        <f t="shared" si="3"/>
        <v>33333.333333333336</v>
      </c>
      <c r="G65" s="29">
        <f t="shared" si="4"/>
        <v>42675.799086757987</v>
      </c>
      <c r="H65" s="29">
        <f t="shared" si="0"/>
        <v>999999.99999999907</v>
      </c>
    </row>
    <row r="66" spans="2:8" x14ac:dyDescent="0.25">
      <c r="B66" s="27">
        <v>44378</v>
      </c>
      <c r="C66" s="28">
        <f t="shared" si="1"/>
        <v>0.11</v>
      </c>
      <c r="D66" s="29">
        <f t="shared" si="2"/>
        <v>999999.99999999907</v>
      </c>
      <c r="E66" s="29">
        <f>D66*C66*31/365</f>
        <v>9342.4657534246489</v>
      </c>
      <c r="F66" s="29">
        <f t="shared" si="3"/>
        <v>33333.333333333336</v>
      </c>
      <c r="G66" s="29">
        <f t="shared" si="4"/>
        <v>42675.799086757987</v>
      </c>
      <c r="H66" s="29">
        <f t="shared" si="0"/>
        <v>966666.6666666657</v>
      </c>
    </row>
    <row r="67" spans="2:8" x14ac:dyDescent="0.25">
      <c r="B67" s="27">
        <v>44409</v>
      </c>
      <c r="C67" s="28">
        <f t="shared" si="1"/>
        <v>0.11</v>
      </c>
      <c r="D67" s="29">
        <f t="shared" si="2"/>
        <v>966666.6666666657</v>
      </c>
      <c r="E67" s="29">
        <f>D67*C67*31/365</f>
        <v>9031.0502283104943</v>
      </c>
      <c r="F67" s="29">
        <f t="shared" si="3"/>
        <v>33333.333333333336</v>
      </c>
      <c r="G67" s="29">
        <f t="shared" si="4"/>
        <v>42364.38356164383</v>
      </c>
      <c r="H67" s="29">
        <f t="shared" si="0"/>
        <v>933333.33333333232</v>
      </c>
    </row>
    <row r="68" spans="2:8" x14ac:dyDescent="0.25">
      <c r="B68" s="27">
        <v>44440</v>
      </c>
      <c r="C68" s="28">
        <f t="shared" si="1"/>
        <v>0.11</v>
      </c>
      <c r="D68" s="29">
        <f t="shared" si="2"/>
        <v>933333.33333333232</v>
      </c>
      <c r="E68" s="29">
        <f>D68*C68*30/365</f>
        <v>8438.3561643835528</v>
      </c>
      <c r="F68" s="29">
        <f t="shared" si="3"/>
        <v>33333.333333333336</v>
      </c>
      <c r="G68" s="29">
        <f t="shared" si="4"/>
        <v>41771.689497716885</v>
      </c>
      <c r="H68" s="29">
        <f t="shared" si="0"/>
        <v>899999.99999999895</v>
      </c>
    </row>
    <row r="69" spans="2:8" x14ac:dyDescent="0.25">
      <c r="B69" s="27">
        <v>44470</v>
      </c>
      <c r="C69" s="28">
        <f t="shared" si="1"/>
        <v>0.11</v>
      </c>
      <c r="D69" s="29">
        <f t="shared" si="2"/>
        <v>899999.99999999895</v>
      </c>
      <c r="E69" s="29">
        <f>D69*C69*31/365</f>
        <v>8408.2191780821813</v>
      </c>
      <c r="F69" s="29">
        <f t="shared" si="3"/>
        <v>33333.333333333336</v>
      </c>
      <c r="G69" s="29">
        <f t="shared" si="4"/>
        <v>41741.552511415517</v>
      </c>
      <c r="H69" s="29">
        <f t="shared" si="0"/>
        <v>866666.66666666558</v>
      </c>
    </row>
    <row r="70" spans="2:8" x14ac:dyDescent="0.25">
      <c r="B70" s="27">
        <v>44501</v>
      </c>
      <c r="C70" s="28">
        <f t="shared" si="1"/>
        <v>0.11</v>
      </c>
      <c r="D70" s="29">
        <f t="shared" si="2"/>
        <v>866666.66666666558</v>
      </c>
      <c r="E70" s="29">
        <f>D70*C70*30/365</f>
        <v>7835.6164383561545</v>
      </c>
      <c r="F70" s="29">
        <f t="shared" si="3"/>
        <v>33333.333333333336</v>
      </c>
      <c r="G70" s="29">
        <f t="shared" si="4"/>
        <v>41168.949771689491</v>
      </c>
      <c r="H70" s="29">
        <f t="shared" si="0"/>
        <v>833333.33333333221</v>
      </c>
    </row>
    <row r="71" spans="2:8" x14ac:dyDescent="0.25">
      <c r="B71" s="27">
        <v>44531</v>
      </c>
      <c r="C71" s="28">
        <f t="shared" si="1"/>
        <v>0.11</v>
      </c>
      <c r="D71" s="29">
        <f t="shared" si="2"/>
        <v>833333.33333333221</v>
      </c>
      <c r="E71" s="29">
        <f>D71*C71*31/365</f>
        <v>7785.3881278538711</v>
      </c>
      <c r="F71" s="29">
        <f t="shared" si="3"/>
        <v>33333.333333333336</v>
      </c>
      <c r="G71" s="29">
        <f t="shared" si="4"/>
        <v>41118.721461187204</v>
      </c>
      <c r="H71" s="29">
        <f t="shared" si="0"/>
        <v>799999.99999999884</v>
      </c>
    </row>
    <row r="72" spans="2:8" x14ac:dyDescent="0.25">
      <c r="B72" s="27">
        <v>44562</v>
      </c>
      <c r="C72" s="28">
        <f t="shared" si="1"/>
        <v>0.11</v>
      </c>
      <c r="D72" s="29">
        <f t="shared" si="2"/>
        <v>799999.99999999884</v>
      </c>
      <c r="E72" s="29">
        <f>D72*C72*31/365</f>
        <v>7473.9726027397146</v>
      </c>
      <c r="F72" s="29">
        <f t="shared" si="3"/>
        <v>33333.333333333336</v>
      </c>
      <c r="G72" s="29">
        <f t="shared" si="4"/>
        <v>40807.305936073048</v>
      </c>
      <c r="H72" s="29">
        <f t="shared" si="0"/>
        <v>766666.66666666546</v>
      </c>
    </row>
    <row r="73" spans="2:8" x14ac:dyDescent="0.25">
      <c r="B73" s="27">
        <v>44593</v>
      </c>
      <c r="C73" s="28">
        <f t="shared" si="1"/>
        <v>0.11</v>
      </c>
      <c r="D73" s="29">
        <f t="shared" si="2"/>
        <v>766666.66666666546</v>
      </c>
      <c r="E73" s="29">
        <f>D73*C73*28/365</f>
        <v>6469.4063926940526</v>
      </c>
      <c r="F73" s="29">
        <f t="shared" si="3"/>
        <v>33333.333333333336</v>
      </c>
      <c r="G73" s="29">
        <f t="shared" si="4"/>
        <v>39802.739726027386</v>
      </c>
      <c r="H73" s="29">
        <f t="shared" si="0"/>
        <v>733333.33333333209</v>
      </c>
    </row>
    <row r="74" spans="2:8" ht="15.75" thickBot="1" x14ac:dyDescent="0.3">
      <c r="B74" s="27">
        <v>44621</v>
      </c>
      <c r="C74" s="28">
        <f t="shared" si="1"/>
        <v>0.11</v>
      </c>
      <c r="D74" s="29">
        <f t="shared" si="2"/>
        <v>733333.33333333209</v>
      </c>
      <c r="E74" s="29">
        <f>D74*C74*31/365</f>
        <v>6851.1415525114035</v>
      </c>
      <c r="F74" s="29">
        <f t="shared" si="3"/>
        <v>33333.333333333336</v>
      </c>
      <c r="G74" s="29">
        <f t="shared" si="4"/>
        <v>40184.474885844742</v>
      </c>
      <c r="H74" s="29">
        <f t="shared" si="0"/>
        <v>699999.99999999872</v>
      </c>
    </row>
    <row r="75" spans="2:8" ht="15.75" thickBot="1" x14ac:dyDescent="0.3">
      <c r="B75" s="37"/>
      <c r="C75" s="38"/>
      <c r="D75" s="39"/>
      <c r="E75" s="39">
        <f t="shared" ref="E75" si="15">SUM(E63:E74)</f>
        <v>100888.58447488573</v>
      </c>
      <c r="F75" s="39">
        <f t="shared" ref="F75" si="16">SUM(F63:F74)</f>
        <v>399999.99999999994</v>
      </c>
      <c r="G75" s="39">
        <f t="shared" ref="G75" si="17">SUM(G63:G74)</f>
        <v>500888.58447488572</v>
      </c>
      <c r="H75" s="39">
        <f>H74</f>
        <v>699999.99999999872</v>
      </c>
    </row>
    <row r="76" spans="2:8" x14ac:dyDescent="0.25">
      <c r="B76" s="27">
        <v>44652</v>
      </c>
      <c r="C76" s="28">
        <f>C74</f>
        <v>0.11</v>
      </c>
      <c r="D76" s="29">
        <f>H74</f>
        <v>699999.99999999872</v>
      </c>
      <c r="E76" s="29">
        <f>D76*C76*30/365</f>
        <v>6328.7671232876601</v>
      </c>
      <c r="F76" s="29">
        <f>F74</f>
        <v>33333.333333333336</v>
      </c>
      <c r="G76" s="29">
        <f t="shared" si="4"/>
        <v>39662.100456620996</v>
      </c>
      <c r="H76" s="29">
        <f t="shared" si="0"/>
        <v>666666.66666666535</v>
      </c>
    </row>
    <row r="77" spans="2:8" x14ac:dyDescent="0.25">
      <c r="B77" s="27">
        <v>44682</v>
      </c>
      <c r="C77" s="28">
        <f t="shared" si="1"/>
        <v>0.11</v>
      </c>
      <c r="D77" s="29">
        <f t="shared" si="2"/>
        <v>666666.66666666535</v>
      </c>
      <c r="E77" s="29">
        <f>D77*C77*31/365</f>
        <v>6228.3105022830923</v>
      </c>
      <c r="F77" s="29">
        <f t="shared" si="3"/>
        <v>33333.333333333336</v>
      </c>
      <c r="G77" s="29">
        <f t="shared" si="4"/>
        <v>39561.643835616429</v>
      </c>
      <c r="H77" s="29">
        <f t="shared" si="0"/>
        <v>633333.33333333198</v>
      </c>
    </row>
    <row r="78" spans="2:8" x14ac:dyDescent="0.25">
      <c r="B78" s="27">
        <v>44713</v>
      </c>
      <c r="C78" s="28">
        <f t="shared" si="1"/>
        <v>0.11</v>
      </c>
      <c r="D78" s="29">
        <f t="shared" si="2"/>
        <v>633333.33333333198</v>
      </c>
      <c r="E78" s="29">
        <f>D78*C78*30/365</f>
        <v>5726.0273972602608</v>
      </c>
      <c r="F78" s="29">
        <f t="shared" si="3"/>
        <v>33333.333333333336</v>
      </c>
      <c r="G78" s="29">
        <f t="shared" si="4"/>
        <v>39059.360730593595</v>
      </c>
      <c r="H78" s="29">
        <f t="shared" ref="H78:H97" si="18">D78-F78</f>
        <v>599999.9999999986</v>
      </c>
    </row>
    <row r="79" spans="2:8" x14ac:dyDescent="0.25">
      <c r="B79" s="27">
        <v>44743</v>
      </c>
      <c r="C79" s="28">
        <f t="shared" ref="C79:C97" si="19">C78</f>
        <v>0.11</v>
      </c>
      <c r="D79" s="29">
        <f t="shared" ref="D79:D97" si="20">H78</f>
        <v>599999.9999999986</v>
      </c>
      <c r="E79" s="29">
        <f>D79*C79*31/365</f>
        <v>5605.4794520547812</v>
      </c>
      <c r="F79" s="29">
        <f t="shared" ref="F79:F97" si="21">F78</f>
        <v>33333.333333333336</v>
      </c>
      <c r="G79" s="29">
        <f t="shared" ref="G79:G97" si="22">E79+F79</f>
        <v>38938.812785388116</v>
      </c>
      <c r="H79" s="29">
        <f t="shared" si="18"/>
        <v>566666.66666666523</v>
      </c>
    </row>
    <row r="80" spans="2:8" x14ac:dyDescent="0.25">
      <c r="B80" s="27">
        <v>44774</v>
      </c>
      <c r="C80" s="28">
        <f t="shared" si="19"/>
        <v>0.11</v>
      </c>
      <c r="D80" s="29">
        <f t="shared" si="20"/>
        <v>566666.66666666523</v>
      </c>
      <c r="E80" s="29">
        <f>D80*C80*31/365</f>
        <v>5294.0639269406256</v>
      </c>
      <c r="F80" s="29">
        <f t="shared" si="21"/>
        <v>33333.333333333336</v>
      </c>
      <c r="G80" s="29">
        <f t="shared" si="22"/>
        <v>38627.39726027396</v>
      </c>
      <c r="H80" s="29">
        <f t="shared" si="18"/>
        <v>533333.33333333186</v>
      </c>
    </row>
    <row r="81" spans="2:8" x14ac:dyDescent="0.25">
      <c r="B81" s="27">
        <v>44805</v>
      </c>
      <c r="C81" s="28">
        <f t="shared" si="19"/>
        <v>0.11</v>
      </c>
      <c r="D81" s="29">
        <f t="shared" si="20"/>
        <v>533333.33333333186</v>
      </c>
      <c r="E81" s="29">
        <f>D81*C81*30/365</f>
        <v>4821.9178082191647</v>
      </c>
      <c r="F81" s="29">
        <f t="shared" si="21"/>
        <v>33333.333333333336</v>
      </c>
      <c r="G81" s="29">
        <f t="shared" si="22"/>
        <v>38155.2511415525</v>
      </c>
      <c r="H81" s="29">
        <f t="shared" si="18"/>
        <v>499999.99999999854</v>
      </c>
    </row>
    <row r="82" spans="2:8" x14ac:dyDescent="0.25">
      <c r="B82" s="27">
        <v>44835</v>
      </c>
      <c r="C82" s="28">
        <f t="shared" si="19"/>
        <v>0.11</v>
      </c>
      <c r="D82" s="29">
        <f t="shared" si="20"/>
        <v>499999.99999999854</v>
      </c>
      <c r="E82" s="29">
        <f>D82*C82*31/365</f>
        <v>4671.2328767123154</v>
      </c>
      <c r="F82" s="29">
        <f t="shared" si="21"/>
        <v>33333.333333333336</v>
      </c>
      <c r="G82" s="29">
        <f t="shared" si="22"/>
        <v>38004.566210045654</v>
      </c>
      <c r="H82" s="29">
        <f t="shared" si="18"/>
        <v>466666.66666666523</v>
      </c>
    </row>
    <row r="83" spans="2:8" x14ac:dyDescent="0.25">
      <c r="B83" s="27">
        <v>44866</v>
      </c>
      <c r="C83" s="28">
        <f t="shared" si="19"/>
        <v>0.11</v>
      </c>
      <c r="D83" s="29">
        <f t="shared" si="20"/>
        <v>466666.66666666523</v>
      </c>
      <c r="E83" s="29">
        <f>D83*C83*30/365</f>
        <v>4219.1780821917682</v>
      </c>
      <c r="F83" s="29">
        <f t="shared" si="21"/>
        <v>33333.333333333336</v>
      </c>
      <c r="G83" s="29">
        <f t="shared" si="22"/>
        <v>37552.511415525107</v>
      </c>
      <c r="H83" s="29">
        <f t="shared" si="18"/>
        <v>433333.33333333192</v>
      </c>
    </row>
    <row r="84" spans="2:8" x14ac:dyDescent="0.25">
      <c r="B84" s="27">
        <v>44896</v>
      </c>
      <c r="C84" s="28">
        <f t="shared" si="19"/>
        <v>0.11</v>
      </c>
      <c r="D84" s="29">
        <f t="shared" si="20"/>
        <v>433333.33333333192</v>
      </c>
      <c r="E84" s="29">
        <f>D84*C84*31/365</f>
        <v>4048.4018264840051</v>
      </c>
      <c r="F84" s="29">
        <f t="shared" si="21"/>
        <v>33333.333333333336</v>
      </c>
      <c r="G84" s="29">
        <f t="shared" si="22"/>
        <v>37381.735159817341</v>
      </c>
      <c r="H84" s="29">
        <f t="shared" si="18"/>
        <v>399999.9999999986</v>
      </c>
    </row>
    <row r="85" spans="2:8" x14ac:dyDescent="0.25">
      <c r="B85" s="27">
        <v>44927</v>
      </c>
      <c r="C85" s="28">
        <f t="shared" si="19"/>
        <v>0.11</v>
      </c>
      <c r="D85" s="29">
        <f t="shared" si="20"/>
        <v>399999.9999999986</v>
      </c>
      <c r="E85" s="29">
        <f>D85*C85*31/365</f>
        <v>3736.9863013698505</v>
      </c>
      <c r="F85" s="29">
        <f t="shared" si="21"/>
        <v>33333.333333333336</v>
      </c>
      <c r="G85" s="29">
        <f t="shared" si="22"/>
        <v>37070.319634703184</v>
      </c>
      <c r="H85" s="29">
        <f t="shared" si="18"/>
        <v>366666.66666666529</v>
      </c>
    </row>
    <row r="86" spans="2:8" x14ac:dyDescent="0.25">
      <c r="B86" s="27">
        <v>44958</v>
      </c>
      <c r="C86" s="28">
        <f t="shared" si="19"/>
        <v>0.11</v>
      </c>
      <c r="D86" s="29">
        <f t="shared" si="20"/>
        <v>366666.66666666529</v>
      </c>
      <c r="E86" s="29">
        <f>D86*C86*28/365</f>
        <v>3094.0639269406274</v>
      </c>
      <c r="F86" s="29">
        <f t="shared" si="21"/>
        <v>33333.333333333336</v>
      </c>
      <c r="G86" s="29">
        <f t="shared" si="22"/>
        <v>36427.397260273967</v>
      </c>
      <c r="H86" s="29">
        <f t="shared" si="18"/>
        <v>333333.33333333198</v>
      </c>
    </row>
    <row r="87" spans="2:8" ht="15.75" thickBot="1" x14ac:dyDescent="0.3">
      <c r="B87" s="27">
        <v>44986</v>
      </c>
      <c r="C87" s="28">
        <f t="shared" si="19"/>
        <v>0.11</v>
      </c>
      <c r="D87" s="29">
        <f t="shared" si="20"/>
        <v>333333.33333333198</v>
      </c>
      <c r="E87" s="29">
        <f>D87*C87*31/365</f>
        <v>3114.1552511415398</v>
      </c>
      <c r="F87" s="29">
        <f t="shared" si="21"/>
        <v>33333.333333333336</v>
      </c>
      <c r="G87" s="29">
        <f t="shared" si="22"/>
        <v>36447.488584474879</v>
      </c>
      <c r="H87" s="29">
        <f t="shared" si="18"/>
        <v>299999.99999999866</v>
      </c>
    </row>
    <row r="88" spans="2:8" ht="15.75" thickBot="1" x14ac:dyDescent="0.3">
      <c r="B88" s="37"/>
      <c r="C88" s="38"/>
      <c r="D88" s="39"/>
      <c r="E88" s="39">
        <f t="shared" ref="E88" si="23">SUM(E76:E87)</f>
        <v>56888.584474885698</v>
      </c>
      <c r="F88" s="39">
        <f t="shared" ref="F88" si="24">SUM(F76:F87)</f>
        <v>399999.99999999994</v>
      </c>
      <c r="G88" s="39">
        <f t="shared" ref="G88" si="25">SUM(G76:G87)</f>
        <v>456888.58447488566</v>
      </c>
      <c r="H88" s="39">
        <f>H87</f>
        <v>299999.99999999866</v>
      </c>
    </row>
    <row r="89" spans="2:8" x14ac:dyDescent="0.25">
      <c r="B89" s="27">
        <v>45017</v>
      </c>
      <c r="C89" s="28">
        <f>C87</f>
        <v>0.11</v>
      </c>
      <c r="D89" s="29">
        <f>H87</f>
        <v>299999.99999999866</v>
      </c>
      <c r="E89" s="29">
        <f>D89*C89*30/365</f>
        <v>2712.3287671232756</v>
      </c>
      <c r="F89" s="29">
        <f>F87</f>
        <v>33333.333333333336</v>
      </c>
      <c r="G89" s="29">
        <f t="shared" si="22"/>
        <v>36045.662100456611</v>
      </c>
      <c r="H89" s="29">
        <f t="shared" si="18"/>
        <v>266666.66666666535</v>
      </c>
    </row>
    <row r="90" spans="2:8" x14ac:dyDescent="0.25">
      <c r="B90" s="27">
        <v>45047</v>
      </c>
      <c r="C90" s="28">
        <f t="shared" si="19"/>
        <v>0.11</v>
      </c>
      <c r="D90" s="29">
        <f t="shared" si="20"/>
        <v>266666.66666666535</v>
      </c>
      <c r="E90" s="29">
        <f>D90*C90*31/365</f>
        <v>2491.3242009132296</v>
      </c>
      <c r="F90" s="29">
        <f t="shared" si="21"/>
        <v>33333.333333333336</v>
      </c>
      <c r="G90" s="29">
        <f t="shared" si="22"/>
        <v>35824.657534246566</v>
      </c>
      <c r="H90" s="29">
        <f t="shared" si="18"/>
        <v>233333.333333332</v>
      </c>
    </row>
    <row r="91" spans="2:8" x14ac:dyDescent="0.25">
      <c r="B91" s="27">
        <v>45078</v>
      </c>
      <c r="C91" s="28">
        <f t="shared" si="19"/>
        <v>0.11</v>
      </c>
      <c r="D91" s="29">
        <f t="shared" si="20"/>
        <v>233333.333333332</v>
      </c>
      <c r="E91" s="29">
        <f>D91*C91*30/365</f>
        <v>2109.5890410958787</v>
      </c>
      <c r="F91" s="29">
        <f t="shared" si="21"/>
        <v>33333.333333333336</v>
      </c>
      <c r="G91" s="29">
        <f t="shared" si="22"/>
        <v>35442.922374429218</v>
      </c>
      <c r="H91" s="29">
        <f t="shared" si="18"/>
        <v>199999.99999999866</v>
      </c>
    </row>
    <row r="92" spans="2:8" x14ac:dyDescent="0.25">
      <c r="B92" s="27">
        <v>45108</v>
      </c>
      <c r="C92" s="28">
        <f t="shared" si="19"/>
        <v>0.11</v>
      </c>
      <c r="D92" s="29">
        <f t="shared" si="20"/>
        <v>199999.99999999866</v>
      </c>
      <c r="E92" s="29">
        <f>D92*C92*31/365</f>
        <v>1868.4931506849191</v>
      </c>
      <c r="F92" s="29">
        <f t="shared" si="21"/>
        <v>33333.333333333336</v>
      </c>
      <c r="G92" s="29">
        <f t="shared" si="22"/>
        <v>35201.826484018253</v>
      </c>
      <c r="H92" s="29">
        <f t="shared" si="18"/>
        <v>166666.66666666532</v>
      </c>
    </row>
    <row r="93" spans="2:8" x14ac:dyDescent="0.25">
      <c r="B93" s="27">
        <v>45139</v>
      </c>
      <c r="C93" s="28">
        <f t="shared" si="19"/>
        <v>0.11</v>
      </c>
      <c r="D93" s="29">
        <f t="shared" si="20"/>
        <v>166666.66666666532</v>
      </c>
      <c r="E93" s="29">
        <f>D93*C93*31/365</f>
        <v>1557.077625570764</v>
      </c>
      <c r="F93" s="29">
        <f t="shared" si="21"/>
        <v>33333.333333333336</v>
      </c>
      <c r="G93" s="29">
        <f t="shared" si="22"/>
        <v>34890.410958904096</v>
      </c>
      <c r="H93" s="29">
        <f t="shared" si="18"/>
        <v>133333.33333333198</v>
      </c>
    </row>
    <row r="94" spans="2:8" x14ac:dyDescent="0.25">
      <c r="B94" s="27">
        <v>45170</v>
      </c>
      <c r="C94" s="28">
        <f t="shared" si="19"/>
        <v>0.11</v>
      </c>
      <c r="D94" s="29">
        <f t="shared" si="20"/>
        <v>133333.33333333198</v>
      </c>
      <c r="E94" s="29">
        <f>D94*C94*30/365</f>
        <v>1205.4794520547823</v>
      </c>
      <c r="F94" s="29">
        <f t="shared" si="21"/>
        <v>33333.333333333336</v>
      </c>
      <c r="G94" s="29">
        <f t="shared" si="22"/>
        <v>34538.812785388116</v>
      </c>
      <c r="H94" s="29">
        <f t="shared" si="18"/>
        <v>99999.999999998632</v>
      </c>
    </row>
    <row r="95" spans="2:8" x14ac:dyDescent="0.25">
      <c r="B95" s="27">
        <v>45200</v>
      </c>
      <c r="C95" s="28">
        <f t="shared" si="19"/>
        <v>0.11</v>
      </c>
      <c r="D95" s="29">
        <f t="shared" si="20"/>
        <v>99999.999999998632</v>
      </c>
      <c r="E95" s="29">
        <f>D95*C95*31/365</f>
        <v>934.24657534245296</v>
      </c>
      <c r="F95" s="29">
        <f t="shared" si="21"/>
        <v>33333.333333333336</v>
      </c>
      <c r="G95" s="29">
        <f t="shared" si="22"/>
        <v>34267.579908675791</v>
      </c>
      <c r="H95" s="29">
        <f t="shared" si="18"/>
        <v>66666.666666665289</v>
      </c>
    </row>
    <row r="96" spans="2:8" x14ac:dyDescent="0.25">
      <c r="B96" s="27">
        <v>45231</v>
      </c>
      <c r="C96" s="28">
        <f t="shared" si="19"/>
        <v>0.11</v>
      </c>
      <c r="D96" s="29">
        <f t="shared" si="20"/>
        <v>66666.666666665289</v>
      </c>
      <c r="E96" s="29">
        <f>D96*C96*30/365</f>
        <v>602.73972602738479</v>
      </c>
      <c r="F96" s="29">
        <f t="shared" si="21"/>
        <v>33333.333333333336</v>
      </c>
      <c r="G96" s="29">
        <f t="shared" si="22"/>
        <v>33936.073059360722</v>
      </c>
      <c r="H96" s="29">
        <f t="shared" si="18"/>
        <v>33333.333333331953</v>
      </c>
    </row>
    <row r="97" spans="2:8" ht="15.75" thickBot="1" x14ac:dyDescent="0.3">
      <c r="B97" s="27">
        <v>45261</v>
      </c>
      <c r="C97" s="28">
        <f t="shared" si="19"/>
        <v>0.11</v>
      </c>
      <c r="D97" s="29">
        <f t="shared" si="20"/>
        <v>33333.333333331953</v>
      </c>
      <c r="E97" s="29">
        <f>D97*C97*31/365</f>
        <v>311.41552511414238</v>
      </c>
      <c r="F97" s="29">
        <f t="shared" si="21"/>
        <v>33333.333333333336</v>
      </c>
      <c r="G97" s="29">
        <f t="shared" si="22"/>
        <v>33644.748858447478</v>
      </c>
      <c r="H97" s="29">
        <f t="shared" si="18"/>
        <v>-1.3824319466948509E-9</v>
      </c>
    </row>
    <row r="98" spans="2:8" ht="15.75" thickBot="1" x14ac:dyDescent="0.3">
      <c r="B98" s="37"/>
      <c r="C98" s="38"/>
      <c r="D98" s="39"/>
      <c r="E98" s="39">
        <f>SUM(E89:E97)</f>
        <v>13792.694063926829</v>
      </c>
      <c r="F98" s="39">
        <f>SUM(F89:F97)</f>
        <v>300000</v>
      </c>
      <c r="G98" s="39">
        <f>SUM(G89:G97)</f>
        <v>313792.69406392687</v>
      </c>
      <c r="H98" s="39">
        <f>H97</f>
        <v>-1.3824319466948509E-9</v>
      </c>
    </row>
    <row r="99" spans="2:8" x14ac:dyDescent="0.25">
      <c r="D99" s="10"/>
      <c r="E99" s="10"/>
      <c r="F99" s="10"/>
      <c r="G99" s="10"/>
      <c r="H99" s="10"/>
    </row>
    <row r="100" spans="2:8" x14ac:dyDescent="0.25">
      <c r="D100" s="10"/>
      <c r="E100" s="10"/>
      <c r="F100" s="10"/>
      <c r="G100" s="10"/>
      <c r="H100" s="10"/>
    </row>
    <row r="101" spans="2:8" x14ac:dyDescent="0.25">
      <c r="D101" s="10"/>
      <c r="E101" s="10"/>
      <c r="F101" s="10"/>
      <c r="G101" s="10"/>
      <c r="H101" s="10"/>
    </row>
    <row r="102" spans="2:8" x14ac:dyDescent="0.25">
      <c r="D102" s="10"/>
      <c r="E102" s="10"/>
      <c r="F102" s="10"/>
      <c r="G102" s="10"/>
      <c r="H102" s="10"/>
    </row>
    <row r="103" spans="2:8" x14ac:dyDescent="0.25">
      <c r="D103" s="10"/>
      <c r="E103" s="10"/>
      <c r="F103" s="10"/>
      <c r="G103" s="10"/>
      <c r="H103" s="10"/>
    </row>
    <row r="104" spans="2:8" x14ac:dyDescent="0.25">
      <c r="D104" s="10"/>
      <c r="E104" s="10"/>
      <c r="F104" s="10"/>
      <c r="G104" s="10"/>
      <c r="H104" s="10"/>
    </row>
    <row r="105" spans="2:8" x14ac:dyDescent="0.25">
      <c r="D105" s="10"/>
      <c r="E105" s="10"/>
      <c r="F105" s="10"/>
      <c r="G105" s="10"/>
      <c r="H105" s="10"/>
    </row>
  </sheetData>
  <pageMargins left="0.70866141732283472" right="0.70866141732283472" top="0.74803149606299213" bottom="0.74803149606299213" header="0.31496062992125984" footer="0.31496062992125984"/>
  <pageSetup paperSize="9" scale="97" fitToHeight="2" orientation="portrait" horizontalDpi="0" verticalDpi="0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H65"/>
  <sheetViews>
    <sheetView workbookViewId="0">
      <selection activeCell="D22" sqref="D22:D23"/>
    </sheetView>
  </sheetViews>
  <sheetFormatPr defaultRowHeight="15" x14ac:dyDescent="0.25"/>
  <cols>
    <col min="1" max="1" width="6.7109375" customWidth="1"/>
    <col min="3" max="3" width="9.140625" style="23"/>
    <col min="4" max="4" width="13.140625" customWidth="1"/>
    <col min="5" max="7" width="11.28515625" customWidth="1"/>
    <col min="8" max="8" width="13.42578125" customWidth="1"/>
  </cols>
  <sheetData>
    <row r="1" spans="2:8" x14ac:dyDescent="0.25">
      <c r="B1" s="47" t="s">
        <v>84</v>
      </c>
    </row>
    <row r="2" spans="2:8" x14ac:dyDescent="0.25">
      <c r="B2" t="s">
        <v>83</v>
      </c>
    </row>
    <row r="3" spans="2:8" x14ac:dyDescent="0.25">
      <c r="B3" s="40" t="s">
        <v>85</v>
      </c>
      <c r="C3" s="41"/>
      <c r="E3" s="43">
        <v>372993</v>
      </c>
      <c r="F3" s="40"/>
      <c r="G3" s="40"/>
    </row>
    <row r="4" spans="2:8" x14ac:dyDescent="0.25">
      <c r="B4" s="40" t="s">
        <v>27</v>
      </c>
      <c r="C4" s="41"/>
      <c r="E4" s="46">
        <v>0.1</v>
      </c>
      <c r="F4" s="40"/>
      <c r="G4" s="40"/>
    </row>
    <row r="6" spans="2:8" s="26" customFormat="1" ht="30" x14ac:dyDescent="0.25">
      <c r="B6" s="36" t="s">
        <v>28</v>
      </c>
      <c r="C6" s="36" t="s">
        <v>29</v>
      </c>
      <c r="D6" s="36" t="s">
        <v>30</v>
      </c>
      <c r="E6" s="36" t="s">
        <v>31</v>
      </c>
      <c r="F6" s="36" t="s">
        <v>32</v>
      </c>
      <c r="G6" s="36" t="s">
        <v>33</v>
      </c>
      <c r="H6" s="36" t="s">
        <v>34</v>
      </c>
    </row>
    <row r="7" spans="2:8" x14ac:dyDescent="0.25">
      <c r="B7" s="33">
        <v>42461</v>
      </c>
      <c r="C7" s="34">
        <f>E4</f>
        <v>0.1</v>
      </c>
      <c r="D7" s="35">
        <f>E3</f>
        <v>372993</v>
      </c>
      <c r="E7" s="35">
        <f>D7*C7*30/365</f>
        <v>3065.6958904109588</v>
      </c>
      <c r="F7" s="29">
        <f t="shared" ref="F7:F49" si="0">G7-E7</f>
        <v>7934.3041095890412</v>
      </c>
      <c r="G7" s="29">
        <v>11000</v>
      </c>
      <c r="H7" s="35">
        <f t="shared" ref="H7:H57" si="1">D7-F7</f>
        <v>365058.69589041098</v>
      </c>
    </row>
    <row r="8" spans="2:8" x14ac:dyDescent="0.25">
      <c r="B8" s="27">
        <v>42491</v>
      </c>
      <c r="C8" s="28">
        <f t="shared" ref="C8:C57" si="2">C7</f>
        <v>0.1</v>
      </c>
      <c r="D8" s="29">
        <f t="shared" ref="D8:D49" si="3">H7</f>
        <v>365058.69589041098</v>
      </c>
      <c r="E8" s="29">
        <f>D8*C8*31/365</f>
        <v>3100.4985130418468</v>
      </c>
      <c r="F8" s="29">
        <f t="shared" si="0"/>
        <v>7899.5014869581537</v>
      </c>
      <c r="G8" s="29">
        <f t="shared" ref="G8:G18" si="4">G7</f>
        <v>11000</v>
      </c>
      <c r="H8" s="29">
        <f t="shared" si="1"/>
        <v>357159.1944034528</v>
      </c>
    </row>
    <row r="9" spans="2:8" x14ac:dyDescent="0.25">
      <c r="B9" s="33">
        <v>42522</v>
      </c>
      <c r="C9" s="28">
        <f t="shared" si="2"/>
        <v>0.1</v>
      </c>
      <c r="D9" s="29">
        <f t="shared" si="3"/>
        <v>357159.1944034528</v>
      </c>
      <c r="E9" s="29">
        <f>D9*C9*30/365</f>
        <v>2935.5550224941326</v>
      </c>
      <c r="F9" s="29">
        <f t="shared" si="0"/>
        <v>8064.4449775058674</v>
      </c>
      <c r="G9" s="29">
        <f t="shared" si="4"/>
        <v>11000</v>
      </c>
      <c r="H9" s="29">
        <f t="shared" si="1"/>
        <v>349094.74942594691</v>
      </c>
    </row>
    <row r="10" spans="2:8" x14ac:dyDescent="0.25">
      <c r="B10" s="27">
        <v>42552</v>
      </c>
      <c r="C10" s="28">
        <f t="shared" si="2"/>
        <v>0.1</v>
      </c>
      <c r="D10" s="29">
        <f t="shared" si="3"/>
        <v>349094.74942594691</v>
      </c>
      <c r="E10" s="29">
        <f>D10*C10*31/365</f>
        <v>2964.914310192974</v>
      </c>
      <c r="F10" s="29">
        <f t="shared" si="0"/>
        <v>8035.085689807026</v>
      </c>
      <c r="G10" s="29">
        <f t="shared" si="4"/>
        <v>11000</v>
      </c>
      <c r="H10" s="29">
        <f t="shared" si="1"/>
        <v>341059.66373613989</v>
      </c>
    </row>
    <row r="11" spans="2:8" x14ac:dyDescent="0.25">
      <c r="B11" s="33">
        <v>42583</v>
      </c>
      <c r="C11" s="28">
        <f t="shared" si="2"/>
        <v>0.1</v>
      </c>
      <c r="D11" s="29">
        <f t="shared" si="3"/>
        <v>341059.66373613989</v>
      </c>
      <c r="E11" s="29">
        <f>D11*C11*31/365</f>
        <v>2896.6711166631062</v>
      </c>
      <c r="F11" s="29">
        <f t="shared" si="0"/>
        <v>8103.3288833368933</v>
      </c>
      <c r="G11" s="29">
        <f t="shared" si="4"/>
        <v>11000</v>
      </c>
      <c r="H11" s="29">
        <f t="shared" si="1"/>
        <v>332956.33485280297</v>
      </c>
    </row>
    <row r="12" spans="2:8" x14ac:dyDescent="0.25">
      <c r="B12" s="27">
        <v>42614</v>
      </c>
      <c r="C12" s="28">
        <f t="shared" si="2"/>
        <v>0.1</v>
      </c>
      <c r="D12" s="29">
        <f t="shared" si="3"/>
        <v>332956.33485280297</v>
      </c>
      <c r="E12" s="29">
        <f>D12*C12*30/365</f>
        <v>2736.6274097490655</v>
      </c>
      <c r="F12" s="29">
        <f t="shared" si="0"/>
        <v>8263.3725902509341</v>
      </c>
      <c r="G12" s="29">
        <f t="shared" si="4"/>
        <v>11000</v>
      </c>
      <c r="H12" s="29">
        <f t="shared" si="1"/>
        <v>324692.96226255206</v>
      </c>
    </row>
    <row r="13" spans="2:8" x14ac:dyDescent="0.25">
      <c r="B13" s="33">
        <v>42644</v>
      </c>
      <c r="C13" s="28">
        <f t="shared" si="2"/>
        <v>0.1</v>
      </c>
      <c r="D13" s="29">
        <f t="shared" si="3"/>
        <v>324692.96226255206</v>
      </c>
      <c r="E13" s="29">
        <f>D13*C13*31/365</f>
        <v>2757.666254832634</v>
      </c>
      <c r="F13" s="29">
        <f t="shared" si="0"/>
        <v>8242.3337451673651</v>
      </c>
      <c r="G13" s="29">
        <f t="shared" si="4"/>
        <v>11000</v>
      </c>
      <c r="H13" s="29">
        <f t="shared" si="1"/>
        <v>316450.6285173847</v>
      </c>
    </row>
    <row r="14" spans="2:8" x14ac:dyDescent="0.25">
      <c r="B14" s="27">
        <v>42675</v>
      </c>
      <c r="C14" s="28">
        <f t="shared" si="2"/>
        <v>0.1</v>
      </c>
      <c r="D14" s="29">
        <f t="shared" si="3"/>
        <v>316450.6285173847</v>
      </c>
      <c r="E14" s="29">
        <f>D14*C14*30/365</f>
        <v>2600.9640700059017</v>
      </c>
      <c r="F14" s="29">
        <f t="shared" si="0"/>
        <v>8399.0359299940974</v>
      </c>
      <c r="G14" s="29">
        <f t="shared" si="4"/>
        <v>11000</v>
      </c>
      <c r="H14" s="29">
        <f t="shared" si="1"/>
        <v>308051.59258739062</v>
      </c>
    </row>
    <row r="15" spans="2:8" x14ac:dyDescent="0.25">
      <c r="B15" s="33">
        <v>42705</v>
      </c>
      <c r="C15" s="28">
        <f t="shared" si="2"/>
        <v>0.1</v>
      </c>
      <c r="D15" s="29">
        <f t="shared" si="3"/>
        <v>308051.59258739062</v>
      </c>
      <c r="E15" s="29">
        <f>D15*C15*31/365</f>
        <v>2616.328594577838</v>
      </c>
      <c r="F15" s="29">
        <f t="shared" si="0"/>
        <v>8383.6714054221629</v>
      </c>
      <c r="G15" s="29">
        <f t="shared" si="4"/>
        <v>11000</v>
      </c>
      <c r="H15" s="29">
        <f t="shared" si="1"/>
        <v>299667.92118196847</v>
      </c>
    </row>
    <row r="16" spans="2:8" x14ac:dyDescent="0.25">
      <c r="B16" s="27">
        <v>42736</v>
      </c>
      <c r="C16" s="28">
        <f t="shared" si="2"/>
        <v>0.1</v>
      </c>
      <c r="D16" s="29">
        <f t="shared" si="3"/>
        <v>299667.92118196847</v>
      </c>
      <c r="E16" s="29">
        <f>D16*C16*31/365</f>
        <v>2545.1248100386365</v>
      </c>
      <c r="F16" s="29">
        <f t="shared" si="0"/>
        <v>8454.8751899613635</v>
      </c>
      <c r="G16" s="29">
        <f t="shared" si="4"/>
        <v>11000</v>
      </c>
      <c r="H16" s="29">
        <f t="shared" si="1"/>
        <v>291213.04599200713</v>
      </c>
    </row>
    <row r="17" spans="2:8" x14ac:dyDescent="0.25">
      <c r="B17" s="33">
        <v>42767</v>
      </c>
      <c r="C17" s="28">
        <f t="shared" si="2"/>
        <v>0.1</v>
      </c>
      <c r="D17" s="29">
        <f t="shared" si="3"/>
        <v>291213.04599200713</v>
      </c>
      <c r="E17" s="29">
        <f>D17*C17*28/365</f>
        <v>2233.9630925414244</v>
      </c>
      <c r="F17" s="29">
        <f t="shared" si="0"/>
        <v>8766.036907458576</v>
      </c>
      <c r="G17" s="29">
        <f t="shared" si="4"/>
        <v>11000</v>
      </c>
      <c r="H17" s="29">
        <f t="shared" si="1"/>
        <v>282447.00908454857</v>
      </c>
    </row>
    <row r="18" spans="2:8" ht="15.75" thickBot="1" x14ac:dyDescent="0.3">
      <c r="B18" s="27">
        <v>42795</v>
      </c>
      <c r="C18" s="28">
        <f t="shared" si="2"/>
        <v>0.1</v>
      </c>
      <c r="D18" s="29">
        <f t="shared" si="3"/>
        <v>282447.00908454857</v>
      </c>
      <c r="E18" s="29">
        <f>D18*C18*31/365</f>
        <v>2398.8650086632892</v>
      </c>
      <c r="F18" s="29">
        <f t="shared" si="0"/>
        <v>8601.1349913367103</v>
      </c>
      <c r="G18" s="29">
        <f t="shared" si="4"/>
        <v>11000</v>
      </c>
      <c r="H18" s="29">
        <f t="shared" si="1"/>
        <v>273845.87409321184</v>
      </c>
    </row>
    <row r="19" spans="2:8" s="40" customFormat="1" ht="15.75" thickBot="1" x14ac:dyDescent="0.3">
      <c r="B19" s="37"/>
      <c r="C19" s="38"/>
      <c r="D19" s="39"/>
      <c r="E19" s="39">
        <f t="shared" ref="E19:G19" si="5">SUM(E7:E18)</f>
        <v>32852.874093211809</v>
      </c>
      <c r="F19" s="39">
        <f t="shared" si="5"/>
        <v>99147.125906788191</v>
      </c>
      <c r="G19" s="39">
        <f t="shared" si="5"/>
        <v>132000</v>
      </c>
      <c r="H19" s="39">
        <f>H18</f>
        <v>273845.87409321184</v>
      </c>
    </row>
    <row r="20" spans="2:8" x14ac:dyDescent="0.25">
      <c r="B20" s="33">
        <v>42826</v>
      </c>
      <c r="C20" s="28">
        <f>C18</f>
        <v>0.1</v>
      </c>
      <c r="D20" s="29">
        <f>H18</f>
        <v>273845.87409321184</v>
      </c>
      <c r="E20" s="29">
        <f>D20*C20*30/365</f>
        <v>2250.788006245577</v>
      </c>
      <c r="F20" s="29">
        <f t="shared" si="0"/>
        <v>8749.211993754423</v>
      </c>
      <c r="G20" s="29">
        <f>G18</f>
        <v>11000</v>
      </c>
      <c r="H20" s="29">
        <f t="shared" si="1"/>
        <v>265096.6620994574</v>
      </c>
    </row>
    <row r="21" spans="2:8" x14ac:dyDescent="0.25">
      <c r="B21" s="27">
        <v>42856</v>
      </c>
      <c r="C21" s="28">
        <f t="shared" si="2"/>
        <v>0.1</v>
      </c>
      <c r="D21" s="29">
        <f t="shared" si="3"/>
        <v>265096.6620994574</v>
      </c>
      <c r="E21" s="29">
        <f>D21*C21*31/365</f>
        <v>2251.5058972830634</v>
      </c>
      <c r="F21" s="29">
        <f t="shared" si="0"/>
        <v>8748.494102716937</v>
      </c>
      <c r="G21" s="29">
        <f t="shared" ref="G21:G31" si="6">G20</f>
        <v>11000</v>
      </c>
      <c r="H21" s="29">
        <f t="shared" si="1"/>
        <v>256348.16799674046</v>
      </c>
    </row>
    <row r="22" spans="2:8" x14ac:dyDescent="0.25">
      <c r="B22" s="27">
        <v>42887</v>
      </c>
      <c r="C22" s="28">
        <f t="shared" si="2"/>
        <v>0.1</v>
      </c>
      <c r="D22" s="29">
        <f t="shared" si="3"/>
        <v>256348.16799674046</v>
      </c>
      <c r="E22" s="29">
        <f>D22*C22*30/365</f>
        <v>2106.9712438088259</v>
      </c>
      <c r="F22" s="29">
        <f t="shared" si="0"/>
        <v>8893.0287561911737</v>
      </c>
      <c r="G22" s="29">
        <f t="shared" si="6"/>
        <v>11000</v>
      </c>
      <c r="H22" s="29">
        <f t="shared" si="1"/>
        <v>247455.1392405493</v>
      </c>
    </row>
    <row r="23" spans="2:8" x14ac:dyDescent="0.25">
      <c r="B23" s="27">
        <v>42917</v>
      </c>
      <c r="C23" s="28">
        <f t="shared" si="2"/>
        <v>0.1</v>
      </c>
      <c r="D23" s="29">
        <f t="shared" si="3"/>
        <v>247455.1392405493</v>
      </c>
      <c r="E23" s="29">
        <f>D23*C23*31/365</f>
        <v>2101.6737853306931</v>
      </c>
      <c r="F23" s="29">
        <f t="shared" si="0"/>
        <v>8898.3262146693069</v>
      </c>
      <c r="G23" s="29">
        <f t="shared" si="6"/>
        <v>11000</v>
      </c>
      <c r="H23" s="29">
        <f t="shared" si="1"/>
        <v>238556.81302587999</v>
      </c>
    </row>
    <row r="24" spans="2:8" x14ac:dyDescent="0.25">
      <c r="B24" s="27">
        <v>42948</v>
      </c>
      <c r="C24" s="28">
        <f t="shared" si="2"/>
        <v>0.1</v>
      </c>
      <c r="D24" s="29">
        <f t="shared" si="3"/>
        <v>238556.81302587999</v>
      </c>
      <c r="E24" s="29">
        <f>D24*C24*31/365</f>
        <v>2026.0989599458303</v>
      </c>
      <c r="F24" s="29">
        <f t="shared" si="0"/>
        <v>8973.9010400541702</v>
      </c>
      <c r="G24" s="29">
        <f t="shared" si="6"/>
        <v>11000</v>
      </c>
      <c r="H24" s="29">
        <f t="shared" si="1"/>
        <v>229582.91198582583</v>
      </c>
    </row>
    <row r="25" spans="2:8" x14ac:dyDescent="0.25">
      <c r="B25" s="27">
        <v>42979</v>
      </c>
      <c r="C25" s="28">
        <f t="shared" si="2"/>
        <v>0.1</v>
      </c>
      <c r="D25" s="29">
        <f t="shared" si="3"/>
        <v>229582.91198582583</v>
      </c>
      <c r="E25" s="29">
        <f>D25*C25*30/365</f>
        <v>1886.9828382396647</v>
      </c>
      <c r="F25" s="29">
        <f t="shared" si="0"/>
        <v>9113.0171617603355</v>
      </c>
      <c r="G25" s="29">
        <f t="shared" si="6"/>
        <v>11000</v>
      </c>
      <c r="H25" s="29">
        <f t="shared" si="1"/>
        <v>220469.8948240655</v>
      </c>
    </row>
    <row r="26" spans="2:8" x14ac:dyDescent="0.25">
      <c r="B26" s="27">
        <v>43009</v>
      </c>
      <c r="C26" s="28">
        <f t="shared" si="2"/>
        <v>0.1</v>
      </c>
      <c r="D26" s="29">
        <f t="shared" si="3"/>
        <v>220469.8948240655</v>
      </c>
      <c r="E26" s="29">
        <f>D26*C26*31/365</f>
        <v>1872.4840382317893</v>
      </c>
      <c r="F26" s="29">
        <f t="shared" si="0"/>
        <v>9127.5159617682111</v>
      </c>
      <c r="G26" s="29">
        <f t="shared" si="6"/>
        <v>11000</v>
      </c>
      <c r="H26" s="29">
        <f t="shared" si="1"/>
        <v>211342.37886229728</v>
      </c>
    </row>
    <row r="27" spans="2:8" x14ac:dyDescent="0.25">
      <c r="B27" s="27">
        <v>43040</v>
      </c>
      <c r="C27" s="28">
        <f t="shared" si="2"/>
        <v>0.1</v>
      </c>
      <c r="D27" s="29">
        <f t="shared" si="3"/>
        <v>211342.37886229728</v>
      </c>
      <c r="E27" s="29">
        <f>D27*C27*30/365</f>
        <v>1737.0606481832656</v>
      </c>
      <c r="F27" s="29">
        <f t="shared" si="0"/>
        <v>9262.9393518167344</v>
      </c>
      <c r="G27" s="29">
        <f t="shared" si="6"/>
        <v>11000</v>
      </c>
      <c r="H27" s="29">
        <f t="shared" si="1"/>
        <v>202079.43951048056</v>
      </c>
    </row>
    <row r="28" spans="2:8" x14ac:dyDescent="0.25">
      <c r="B28" s="27">
        <v>43070</v>
      </c>
      <c r="C28" s="28">
        <f t="shared" si="2"/>
        <v>0.1</v>
      </c>
      <c r="D28" s="29">
        <f t="shared" si="3"/>
        <v>202079.43951048056</v>
      </c>
      <c r="E28" s="29">
        <f>D28*C28*31/365</f>
        <v>1716.2911300890132</v>
      </c>
      <c r="F28" s="29">
        <f t="shared" si="0"/>
        <v>9283.7088699109863</v>
      </c>
      <c r="G28" s="29">
        <f t="shared" si="6"/>
        <v>11000</v>
      </c>
      <c r="H28" s="29">
        <f t="shared" si="1"/>
        <v>192795.73064056959</v>
      </c>
    </row>
    <row r="29" spans="2:8" x14ac:dyDescent="0.25">
      <c r="B29" s="27">
        <v>43101</v>
      </c>
      <c r="C29" s="28">
        <f t="shared" si="2"/>
        <v>0.1</v>
      </c>
      <c r="D29" s="29">
        <f t="shared" si="3"/>
        <v>192795.73064056959</v>
      </c>
      <c r="E29" s="29">
        <f>D29*C29*31/365</f>
        <v>1637.4431917418242</v>
      </c>
      <c r="F29" s="29">
        <f t="shared" si="0"/>
        <v>9362.5568082581758</v>
      </c>
      <c r="G29" s="29">
        <f t="shared" si="6"/>
        <v>11000</v>
      </c>
      <c r="H29" s="29">
        <f t="shared" si="1"/>
        <v>183433.17383231141</v>
      </c>
    </row>
    <row r="30" spans="2:8" x14ac:dyDescent="0.25">
      <c r="B30" s="27">
        <v>43132</v>
      </c>
      <c r="C30" s="28">
        <f t="shared" si="2"/>
        <v>0.1</v>
      </c>
      <c r="D30" s="29">
        <f t="shared" si="3"/>
        <v>183433.17383231141</v>
      </c>
      <c r="E30" s="29">
        <f>D30*C30*28/365</f>
        <v>1407.1585937821148</v>
      </c>
      <c r="F30" s="29">
        <f t="shared" si="0"/>
        <v>9592.8414062178854</v>
      </c>
      <c r="G30" s="29">
        <f t="shared" si="6"/>
        <v>11000</v>
      </c>
      <c r="H30" s="29">
        <f t="shared" si="1"/>
        <v>173840.33242609352</v>
      </c>
    </row>
    <row r="31" spans="2:8" ht="15.75" thickBot="1" x14ac:dyDescent="0.3">
      <c r="B31" s="27">
        <v>43160</v>
      </c>
      <c r="C31" s="28">
        <f t="shared" si="2"/>
        <v>0.1</v>
      </c>
      <c r="D31" s="29">
        <f t="shared" si="3"/>
        <v>173840.33242609352</v>
      </c>
      <c r="E31" s="29">
        <f>D31*C31*31/365</f>
        <v>1476.4521384133971</v>
      </c>
      <c r="F31" s="29">
        <f t="shared" si="0"/>
        <v>9523.5478615866032</v>
      </c>
      <c r="G31" s="29">
        <f t="shared" si="6"/>
        <v>11000</v>
      </c>
      <c r="H31" s="29">
        <f t="shared" si="1"/>
        <v>164316.7845645069</v>
      </c>
    </row>
    <row r="32" spans="2:8" ht="15.75" thickBot="1" x14ac:dyDescent="0.3">
      <c r="B32" s="37"/>
      <c r="C32" s="38"/>
      <c r="D32" s="39"/>
      <c r="E32" s="39">
        <f t="shared" ref="E32" si="7">SUM(E20:E31)</f>
        <v>22470.910471295058</v>
      </c>
      <c r="F32" s="39">
        <f t="shared" ref="F32:G32" si="8">SUM(F20:F31)</f>
        <v>109529.08952870495</v>
      </c>
      <c r="G32" s="39">
        <f t="shared" si="8"/>
        <v>132000</v>
      </c>
      <c r="H32" s="39">
        <f>H31</f>
        <v>164316.7845645069</v>
      </c>
    </row>
    <row r="33" spans="2:8" x14ac:dyDescent="0.25">
      <c r="B33" s="27">
        <v>43191</v>
      </c>
      <c r="C33" s="28">
        <f>C31</f>
        <v>0.1</v>
      </c>
      <c r="D33" s="29">
        <f>H31</f>
        <v>164316.7845645069</v>
      </c>
      <c r="E33" s="29">
        <f>D33*C33*30/365</f>
        <v>1350.5489142288241</v>
      </c>
      <c r="F33" s="29">
        <f t="shared" si="0"/>
        <v>9649.4510857711757</v>
      </c>
      <c r="G33" s="29">
        <f>G31</f>
        <v>11000</v>
      </c>
      <c r="H33" s="29">
        <f t="shared" si="1"/>
        <v>154667.33347873573</v>
      </c>
    </row>
    <row r="34" spans="2:8" x14ac:dyDescent="0.25">
      <c r="B34" s="27">
        <v>43221</v>
      </c>
      <c r="C34" s="28">
        <f t="shared" si="2"/>
        <v>0.1</v>
      </c>
      <c r="D34" s="29">
        <f t="shared" si="3"/>
        <v>154667.33347873573</v>
      </c>
      <c r="E34" s="29">
        <f>D34*C34*31/365</f>
        <v>1313.6129692714544</v>
      </c>
      <c r="F34" s="29">
        <f t="shared" si="0"/>
        <v>9686.3870307285451</v>
      </c>
      <c r="G34" s="29">
        <f t="shared" ref="G34:G44" si="9">G33</f>
        <v>11000</v>
      </c>
      <c r="H34" s="29">
        <f t="shared" si="1"/>
        <v>144980.94644800719</v>
      </c>
    </row>
    <row r="35" spans="2:8" x14ac:dyDescent="0.25">
      <c r="B35" s="27">
        <v>43252</v>
      </c>
      <c r="C35" s="28">
        <f t="shared" si="2"/>
        <v>0.1</v>
      </c>
      <c r="D35" s="29">
        <f t="shared" si="3"/>
        <v>144980.94644800719</v>
      </c>
      <c r="E35" s="29">
        <f>D35*C35*30/365</f>
        <v>1191.624217380881</v>
      </c>
      <c r="F35" s="29">
        <f t="shared" si="0"/>
        <v>9808.3757826191195</v>
      </c>
      <c r="G35" s="29">
        <f t="shared" si="9"/>
        <v>11000</v>
      </c>
      <c r="H35" s="29">
        <f t="shared" si="1"/>
        <v>135172.57066538808</v>
      </c>
    </row>
    <row r="36" spans="2:8" x14ac:dyDescent="0.25">
      <c r="B36" s="27">
        <v>43282</v>
      </c>
      <c r="C36" s="28">
        <f t="shared" si="2"/>
        <v>0.1</v>
      </c>
      <c r="D36" s="29">
        <f t="shared" si="3"/>
        <v>135172.57066538808</v>
      </c>
      <c r="E36" s="29">
        <f>D36*C36*31/365</f>
        <v>1148.0410111306933</v>
      </c>
      <c r="F36" s="29">
        <f t="shared" si="0"/>
        <v>9851.9589888693063</v>
      </c>
      <c r="G36" s="29">
        <f t="shared" si="9"/>
        <v>11000</v>
      </c>
      <c r="H36" s="29">
        <f t="shared" si="1"/>
        <v>125320.61167651878</v>
      </c>
    </row>
    <row r="37" spans="2:8" x14ac:dyDescent="0.25">
      <c r="B37" s="27">
        <v>43313</v>
      </c>
      <c r="C37" s="28">
        <f t="shared" si="2"/>
        <v>0.1</v>
      </c>
      <c r="D37" s="29">
        <f t="shared" si="3"/>
        <v>125320.61167651878</v>
      </c>
      <c r="E37" s="29">
        <f>D37*C37*31/365</f>
        <v>1064.3668388964609</v>
      </c>
      <c r="F37" s="29">
        <f t="shared" si="0"/>
        <v>9935.6331611035384</v>
      </c>
      <c r="G37" s="29">
        <f t="shared" si="9"/>
        <v>11000</v>
      </c>
      <c r="H37" s="29">
        <f t="shared" si="1"/>
        <v>115384.97851541523</v>
      </c>
    </row>
    <row r="38" spans="2:8" x14ac:dyDescent="0.25">
      <c r="B38" s="27">
        <v>43344</v>
      </c>
      <c r="C38" s="28">
        <f t="shared" si="2"/>
        <v>0.1</v>
      </c>
      <c r="D38" s="29">
        <f t="shared" si="3"/>
        <v>115384.97851541523</v>
      </c>
      <c r="E38" s="29">
        <f>D38*C38*30/365</f>
        <v>948.36968642807051</v>
      </c>
      <c r="F38" s="29">
        <f t="shared" si="0"/>
        <v>10051.63031357193</v>
      </c>
      <c r="G38" s="29">
        <f t="shared" si="9"/>
        <v>11000</v>
      </c>
      <c r="H38" s="29">
        <f t="shared" si="1"/>
        <v>105333.3482018433</v>
      </c>
    </row>
    <row r="39" spans="2:8" x14ac:dyDescent="0.25">
      <c r="B39" s="27">
        <v>43374</v>
      </c>
      <c r="C39" s="28">
        <f t="shared" si="2"/>
        <v>0.1</v>
      </c>
      <c r="D39" s="29">
        <f t="shared" si="3"/>
        <v>105333.3482018433</v>
      </c>
      <c r="E39" s="29">
        <f>D39*C39*31/365</f>
        <v>894.61199842661438</v>
      </c>
      <c r="F39" s="29">
        <f t="shared" si="0"/>
        <v>10105.388001573385</v>
      </c>
      <c r="G39" s="29">
        <f t="shared" si="9"/>
        <v>11000</v>
      </c>
      <c r="H39" s="29">
        <f t="shared" si="1"/>
        <v>95227.96020026991</v>
      </c>
    </row>
    <row r="40" spans="2:8" x14ac:dyDescent="0.25">
      <c r="B40" s="27">
        <v>43405</v>
      </c>
      <c r="C40" s="28">
        <f t="shared" si="2"/>
        <v>0.1</v>
      </c>
      <c r="D40" s="29">
        <f t="shared" si="3"/>
        <v>95227.96020026991</v>
      </c>
      <c r="E40" s="29">
        <f>D40*C40*30/365</f>
        <v>782.69556328988972</v>
      </c>
      <c r="F40" s="29">
        <f t="shared" si="0"/>
        <v>10217.30443671011</v>
      </c>
      <c r="G40" s="29">
        <f t="shared" si="9"/>
        <v>11000</v>
      </c>
      <c r="H40" s="29">
        <f t="shared" si="1"/>
        <v>85010.6557635598</v>
      </c>
    </row>
    <row r="41" spans="2:8" x14ac:dyDescent="0.25">
      <c r="B41" s="27">
        <v>43435</v>
      </c>
      <c r="C41" s="28">
        <f t="shared" si="2"/>
        <v>0.1</v>
      </c>
      <c r="D41" s="29">
        <f t="shared" si="3"/>
        <v>85010.6557635598</v>
      </c>
      <c r="E41" s="29">
        <f>D41*C41*31/365</f>
        <v>722.00830922475461</v>
      </c>
      <c r="F41" s="29">
        <f t="shared" si="0"/>
        <v>10277.991690775245</v>
      </c>
      <c r="G41" s="29">
        <f t="shared" si="9"/>
        <v>11000</v>
      </c>
      <c r="H41" s="29">
        <f t="shared" si="1"/>
        <v>74732.664072784552</v>
      </c>
    </row>
    <row r="42" spans="2:8" x14ac:dyDescent="0.25">
      <c r="B42" s="27">
        <v>43466</v>
      </c>
      <c r="C42" s="28">
        <f t="shared" si="2"/>
        <v>0.1</v>
      </c>
      <c r="D42" s="29">
        <f t="shared" si="3"/>
        <v>74732.664072784552</v>
      </c>
      <c r="E42" s="29">
        <f>D42*C42*31/365</f>
        <v>634.71577705652635</v>
      </c>
      <c r="F42" s="29">
        <f t="shared" si="0"/>
        <v>10365.284222943474</v>
      </c>
      <c r="G42" s="29">
        <f t="shared" si="9"/>
        <v>11000</v>
      </c>
      <c r="H42" s="29">
        <f t="shared" si="1"/>
        <v>64367.379849841076</v>
      </c>
    </row>
    <row r="43" spans="2:8" x14ac:dyDescent="0.25">
      <c r="B43" s="27">
        <v>43497</v>
      </c>
      <c r="C43" s="28">
        <f t="shared" si="2"/>
        <v>0.1</v>
      </c>
      <c r="D43" s="29">
        <f t="shared" si="3"/>
        <v>64367.379849841076</v>
      </c>
      <c r="E43" s="29">
        <f>D43*C43*28/365</f>
        <v>493.77716049193157</v>
      </c>
      <c r="F43" s="29">
        <f t="shared" si="0"/>
        <v>10506.222839508069</v>
      </c>
      <c r="G43" s="29">
        <f t="shared" si="9"/>
        <v>11000</v>
      </c>
      <c r="H43" s="29">
        <f t="shared" si="1"/>
        <v>53861.157010333009</v>
      </c>
    </row>
    <row r="44" spans="2:8" ht="15.75" thickBot="1" x14ac:dyDescent="0.3">
      <c r="B44" s="27">
        <v>43525</v>
      </c>
      <c r="C44" s="28">
        <f t="shared" si="2"/>
        <v>0.1</v>
      </c>
      <c r="D44" s="29">
        <f t="shared" si="3"/>
        <v>53861.157010333009</v>
      </c>
      <c r="E44" s="29">
        <f>D44*C44*31/365</f>
        <v>457.45092255351324</v>
      </c>
      <c r="F44" s="29">
        <f t="shared" si="0"/>
        <v>10542.549077446487</v>
      </c>
      <c r="G44" s="29">
        <f t="shared" si="9"/>
        <v>11000</v>
      </c>
      <c r="H44" s="29">
        <f t="shared" si="1"/>
        <v>43318.607932886523</v>
      </c>
    </row>
    <row r="45" spans="2:8" ht="15.75" thickBot="1" x14ac:dyDescent="0.3">
      <c r="B45" s="37"/>
      <c r="C45" s="38"/>
      <c r="D45" s="39"/>
      <c r="E45" s="39">
        <f t="shared" ref="E45" si="10">SUM(E33:E44)</f>
        <v>11001.823368379612</v>
      </c>
      <c r="F45" s="39">
        <f t="shared" ref="F45:G45" si="11">SUM(F33:F44)</f>
        <v>120998.17663162039</v>
      </c>
      <c r="G45" s="39">
        <f t="shared" si="11"/>
        <v>132000</v>
      </c>
      <c r="H45" s="39">
        <f>H44</f>
        <v>43318.607932886523</v>
      </c>
    </row>
    <row r="46" spans="2:8" x14ac:dyDescent="0.25">
      <c r="B46" s="27">
        <v>43556</v>
      </c>
      <c r="C46" s="28">
        <f>C44</f>
        <v>0.1</v>
      </c>
      <c r="D46" s="29">
        <f>H44</f>
        <v>43318.607932886523</v>
      </c>
      <c r="E46" s="29">
        <f>D46*C46*30/365</f>
        <v>356.04335287303996</v>
      </c>
      <c r="F46" s="29">
        <f t="shared" si="0"/>
        <v>10643.956647126961</v>
      </c>
      <c r="G46" s="29">
        <f>G44</f>
        <v>11000</v>
      </c>
      <c r="H46" s="29">
        <f t="shared" si="1"/>
        <v>32674.651285759563</v>
      </c>
    </row>
    <row r="47" spans="2:8" x14ac:dyDescent="0.25">
      <c r="B47" s="27">
        <v>43586</v>
      </c>
      <c r="C47" s="28">
        <f t="shared" si="2"/>
        <v>0.1</v>
      </c>
      <c r="D47" s="29">
        <f t="shared" si="3"/>
        <v>32674.651285759563</v>
      </c>
      <c r="E47" s="29">
        <f>D47*C47*31/365</f>
        <v>277.51073694754695</v>
      </c>
      <c r="F47" s="29">
        <f t="shared" si="0"/>
        <v>10722.489263052454</v>
      </c>
      <c r="G47" s="29">
        <f t="shared" ref="G47:G48" si="12">G46</f>
        <v>11000</v>
      </c>
      <c r="H47" s="29">
        <f t="shared" si="1"/>
        <v>21952.162022707111</v>
      </c>
    </row>
    <row r="48" spans="2:8" x14ac:dyDescent="0.25">
      <c r="B48" s="27">
        <v>43617</v>
      </c>
      <c r="C48" s="28">
        <f t="shared" si="2"/>
        <v>0.1</v>
      </c>
      <c r="D48" s="29">
        <f t="shared" si="3"/>
        <v>21952.162022707111</v>
      </c>
      <c r="E48" s="29">
        <f>D48*C48*30/365</f>
        <v>180.42872895375709</v>
      </c>
      <c r="F48" s="29">
        <f t="shared" si="0"/>
        <v>10819.571271046243</v>
      </c>
      <c r="G48" s="29">
        <f t="shared" si="12"/>
        <v>11000</v>
      </c>
      <c r="H48" s="29">
        <f t="shared" si="1"/>
        <v>11132.590751660868</v>
      </c>
    </row>
    <row r="49" spans="2:8" x14ac:dyDescent="0.25">
      <c r="B49" s="27">
        <v>43647</v>
      </c>
      <c r="C49" s="28">
        <f t="shared" si="2"/>
        <v>0.1</v>
      </c>
      <c r="D49" s="29">
        <f t="shared" si="3"/>
        <v>11132.590751660868</v>
      </c>
      <c r="E49" s="29">
        <f>D49*C49*31/365</f>
        <v>94.550770767530651</v>
      </c>
      <c r="F49" s="29">
        <f t="shared" si="0"/>
        <v>11132.449229232468</v>
      </c>
      <c r="G49" s="29">
        <f>G48+227</f>
        <v>11227</v>
      </c>
      <c r="H49" s="29">
        <f t="shared" si="1"/>
        <v>0.14152242839918472</v>
      </c>
    </row>
    <row r="50" spans="2:8" x14ac:dyDescent="0.25">
      <c r="B50" s="27">
        <v>43678</v>
      </c>
      <c r="C50" s="28">
        <f t="shared" si="2"/>
        <v>0.1</v>
      </c>
      <c r="D50" s="29"/>
      <c r="E50" s="29"/>
      <c r="F50" s="29"/>
      <c r="G50" s="29"/>
      <c r="H50" s="29">
        <f t="shared" si="1"/>
        <v>0</v>
      </c>
    </row>
    <row r="51" spans="2:8" x14ac:dyDescent="0.25">
      <c r="B51" s="27">
        <v>43709</v>
      </c>
      <c r="C51" s="28">
        <f t="shared" si="2"/>
        <v>0.1</v>
      </c>
      <c r="D51" s="29"/>
      <c r="E51" s="29"/>
      <c r="F51" s="29"/>
      <c r="G51" s="29"/>
      <c r="H51" s="29">
        <f t="shared" si="1"/>
        <v>0</v>
      </c>
    </row>
    <row r="52" spans="2:8" x14ac:dyDescent="0.25">
      <c r="B52" s="27">
        <v>43739</v>
      </c>
      <c r="C52" s="28">
        <f t="shared" si="2"/>
        <v>0.1</v>
      </c>
      <c r="D52" s="29"/>
      <c r="E52" s="29"/>
      <c r="F52" s="29"/>
      <c r="G52" s="29"/>
      <c r="H52" s="29">
        <f t="shared" si="1"/>
        <v>0</v>
      </c>
    </row>
    <row r="53" spans="2:8" x14ac:dyDescent="0.25">
      <c r="B53" s="27">
        <v>43770</v>
      </c>
      <c r="C53" s="28">
        <f t="shared" si="2"/>
        <v>0.1</v>
      </c>
      <c r="D53" s="29"/>
      <c r="E53" s="29"/>
      <c r="F53" s="29"/>
      <c r="G53" s="29"/>
      <c r="H53" s="29">
        <f t="shared" si="1"/>
        <v>0</v>
      </c>
    </row>
    <row r="54" spans="2:8" x14ac:dyDescent="0.25">
      <c r="B54" s="27">
        <v>43800</v>
      </c>
      <c r="C54" s="28">
        <f t="shared" si="2"/>
        <v>0.1</v>
      </c>
      <c r="D54" s="29"/>
      <c r="E54" s="29"/>
      <c r="F54" s="29"/>
      <c r="G54" s="29"/>
      <c r="H54" s="29">
        <f t="shared" si="1"/>
        <v>0</v>
      </c>
    </row>
    <row r="55" spans="2:8" x14ac:dyDescent="0.25">
      <c r="B55" s="27">
        <v>43831</v>
      </c>
      <c r="C55" s="28">
        <f t="shared" si="2"/>
        <v>0.1</v>
      </c>
      <c r="D55" s="29"/>
      <c r="E55" s="29"/>
      <c r="F55" s="29"/>
      <c r="G55" s="29"/>
      <c r="H55" s="29">
        <f t="shared" si="1"/>
        <v>0</v>
      </c>
    </row>
    <row r="56" spans="2:8" x14ac:dyDescent="0.25">
      <c r="B56" s="27">
        <v>43862</v>
      </c>
      <c r="C56" s="28">
        <f t="shared" si="2"/>
        <v>0.1</v>
      </c>
      <c r="D56" s="29"/>
      <c r="E56" s="29"/>
      <c r="F56" s="29"/>
      <c r="G56" s="29"/>
      <c r="H56" s="29">
        <f t="shared" si="1"/>
        <v>0</v>
      </c>
    </row>
    <row r="57" spans="2:8" ht="15.75" thickBot="1" x14ac:dyDescent="0.3">
      <c r="B57" s="27">
        <v>43891</v>
      </c>
      <c r="C57" s="28">
        <f t="shared" si="2"/>
        <v>0.1</v>
      </c>
      <c r="D57" s="29"/>
      <c r="E57" s="29"/>
      <c r="F57" s="29"/>
      <c r="G57" s="29"/>
      <c r="H57" s="29">
        <f t="shared" si="1"/>
        <v>0</v>
      </c>
    </row>
    <row r="58" spans="2:8" ht="15.75" thickBot="1" x14ac:dyDescent="0.3">
      <c r="B58" s="37"/>
      <c r="C58" s="38"/>
      <c r="D58" s="39"/>
      <c r="E58" s="39">
        <f t="shared" ref="E58" si="13">SUM(E46:E57)</f>
        <v>908.53358954187456</v>
      </c>
      <c r="F58" s="39">
        <f t="shared" ref="F58:G58" si="14">SUM(F46:F57)</f>
        <v>43318.466410458124</v>
      </c>
      <c r="G58" s="39">
        <f t="shared" si="14"/>
        <v>44227</v>
      </c>
      <c r="H58" s="39">
        <f>H57</f>
        <v>0</v>
      </c>
    </row>
    <row r="59" spans="2:8" x14ac:dyDescent="0.25">
      <c r="D59" s="10"/>
      <c r="E59" s="10"/>
      <c r="F59" s="10"/>
      <c r="G59" s="10"/>
      <c r="H59" s="10"/>
    </row>
    <row r="60" spans="2:8" x14ac:dyDescent="0.25">
      <c r="D60" s="10"/>
      <c r="E60" s="10"/>
      <c r="F60" s="10"/>
      <c r="G60" s="10"/>
      <c r="H60" s="10"/>
    </row>
    <row r="61" spans="2:8" x14ac:dyDescent="0.25">
      <c r="D61" s="10"/>
      <c r="E61" s="10"/>
      <c r="F61" s="10"/>
      <c r="G61" s="10"/>
      <c r="H61" s="10"/>
    </row>
    <row r="62" spans="2:8" x14ac:dyDescent="0.25">
      <c r="D62" s="10"/>
      <c r="E62" s="10"/>
      <c r="F62" s="10"/>
      <c r="G62" s="10"/>
      <c r="H62" s="10"/>
    </row>
    <row r="63" spans="2:8" x14ac:dyDescent="0.25">
      <c r="D63" s="10"/>
      <c r="E63" s="10"/>
      <c r="F63" s="10"/>
      <c r="G63" s="10"/>
      <c r="H63" s="10"/>
    </row>
    <row r="64" spans="2:8" x14ac:dyDescent="0.25">
      <c r="D64" s="10"/>
      <c r="E64" s="10"/>
      <c r="F64" s="10"/>
      <c r="G64" s="10"/>
      <c r="H64" s="10"/>
    </row>
    <row r="65" spans="4:8" x14ac:dyDescent="0.25">
      <c r="D65" s="10"/>
      <c r="E65" s="10"/>
      <c r="F65" s="10"/>
      <c r="G65" s="10"/>
      <c r="H65" s="10"/>
    </row>
  </sheetData>
  <pageMargins left="0.70866141732283472" right="0.70866141732283472" top="0.74803149606299213" bottom="0.74803149606299213" header="0.31496062992125984" footer="0.31496062992125984"/>
  <pageSetup paperSize="9" fitToHeight="2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BS</vt:lpstr>
      <vt:lpstr>PL</vt:lpstr>
      <vt:lpstr>DSCR</vt:lpstr>
      <vt:lpstr>Ratios</vt:lpstr>
      <vt:lpstr>FA</vt:lpstr>
      <vt:lpstr>Loans</vt:lpstr>
      <vt:lpstr>Fixed Assets</vt:lpstr>
      <vt:lpstr>Loan schedule</vt:lpstr>
      <vt:lpstr>Car Loan</vt:lpstr>
      <vt:lpstr>Loan Summary</vt:lpstr>
      <vt:lpstr>Sheet2</vt:lpstr>
      <vt:lpstr>BS!Print_Area</vt:lpstr>
      <vt:lpstr>'Car Loan'!Print_Area</vt:lpstr>
      <vt:lpstr>DSCR!Print_Area</vt:lpstr>
      <vt:lpstr>FA!Print_Area</vt:lpstr>
      <vt:lpstr>'Loan schedule'!Print_Area</vt:lpstr>
      <vt:lpstr>'Loan Summary'!Print_Area</vt:lpstr>
      <vt:lpstr>PL!Print_Area</vt:lpstr>
      <vt:lpstr>Ratios!Print_Area</vt:lpstr>
      <vt:lpstr>'Car Loan'!Print_Titles</vt:lpstr>
      <vt:lpstr>'Loan schedule'!Print_Titles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Main</dc:creator>
  <cp:lastModifiedBy>User</cp:lastModifiedBy>
  <cp:lastPrinted>2017-07-27T11:01:15Z</cp:lastPrinted>
  <dcterms:created xsi:type="dcterms:W3CDTF">2016-12-21T09:24:06Z</dcterms:created>
  <dcterms:modified xsi:type="dcterms:W3CDTF">2022-02-21T10:16:32Z</dcterms:modified>
</cp:coreProperties>
</file>