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55" activeTab="59"/>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 name="Gonsalves 204" sheetId="26" r:id="rId26"/>
    <sheet name="Pinge 205" sheetId="27" r:id="rId27"/>
    <sheet name="Joylin 206" sheetId="28" r:id="rId28"/>
    <sheet name="Putz 207" sheetId="29" r:id="rId29"/>
    <sheet name="Goa Chess Association 301" sheetId="30" r:id="rId30"/>
    <sheet name="Joylin 302" sheetId="31" r:id="rId31"/>
    <sheet name="Harsh 303" sheetId="32" r:id="rId32"/>
    <sheet name="Siddharth Enterprises 304" sheetId="33" r:id="rId33"/>
    <sheet name="Abhijeet 305" sheetId="34" r:id="rId34"/>
    <sheet name="El Shaddai 306" sheetId="35" r:id="rId35"/>
    <sheet name="Diana Aqua and Pools 307" sheetId="36" r:id="rId36"/>
    <sheet name="Golden Tulip 308" sheetId="37" r:id="rId37"/>
    <sheet name="CII 309" sheetId="38" r:id="rId38"/>
    <sheet name="Vatareshwar 310" sheetId="39" r:id="rId39"/>
    <sheet name="Dave Rodrigues 311" sheetId="40" r:id="rId40"/>
    <sheet name="Nazir Shaik 312" sheetId="41" r:id="rId41"/>
    <sheet name="Urvashi Gohil 313" sheetId="42" r:id="rId42"/>
    <sheet name="BSNL 314" sheetId="43" r:id="rId43"/>
    <sheet name="Nazir Shaik 315" sheetId="44" r:id="rId44"/>
    <sheet name="Nazir Shaik 316" sheetId="45" r:id="rId45"/>
    <sheet name="E'delicious 317" sheetId="46" r:id="rId46"/>
    <sheet name="Sujit 318" sheetId="47" r:id="rId47"/>
    <sheet name="Vatareshwar 319" sheetId="48" r:id="rId48"/>
    <sheet name="El Shaddai 401" sheetId="49" r:id="rId49"/>
    <sheet name="El Shaddai 402" sheetId="50" r:id="rId50"/>
    <sheet name="El Shaddai 403" sheetId="51" r:id="rId51"/>
    <sheet name="El Shaddai 404" sheetId="52" r:id="rId52"/>
    <sheet name="El Shaddai 405" sheetId="53" r:id="rId53"/>
    <sheet name="Anant Navelkar 406" sheetId="54" r:id="rId54"/>
    <sheet name="El Shaddai 407" sheetId="56" r:id="rId55"/>
    <sheet name="K98 Native Villas 408" sheetId="55" r:id="rId56"/>
    <sheet name="Putz 409" sheetId="57" r:id="rId57"/>
    <sheet name="K Amonkar and Assosciates 410" sheetId="58" r:id="rId58"/>
    <sheet name="Falcon Resorts 411" sheetId="59" r:id="rId59"/>
    <sheet name="Hibis Resort 412" sheetId="60" r:id="rId6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60" l="1"/>
  <c r="E30" i="60"/>
  <c r="G6" i="60"/>
  <c r="E29" i="60" l="1"/>
  <c r="E28" i="60"/>
  <c r="E27" i="60"/>
  <c r="E10" i="60"/>
  <c r="G18" i="60" l="1"/>
  <c r="G5" i="60" l="1"/>
  <c r="E9" i="60"/>
  <c r="E11" i="60"/>
  <c r="E12" i="60"/>
  <c r="G4" i="60"/>
  <c r="G3" i="60"/>
  <c r="E8" i="60"/>
  <c r="E7" i="60"/>
  <c r="E6" i="60"/>
  <c r="E5" i="60"/>
  <c r="E4" i="60"/>
  <c r="E3" i="60"/>
  <c r="J3" i="54" l="1"/>
  <c r="I3" i="54" l="1"/>
  <c r="H2" i="59" l="1"/>
  <c r="H3" i="59"/>
  <c r="E8" i="59"/>
  <c r="E7" i="59"/>
  <c r="E6" i="59"/>
  <c r="E5" i="59"/>
  <c r="E4" i="59"/>
  <c r="E9" i="59" s="1"/>
  <c r="E3" i="59"/>
  <c r="E2" i="59"/>
  <c r="E2" i="58"/>
  <c r="E3" i="58" s="1"/>
  <c r="E4" i="58" l="1"/>
  <c r="E5" i="58"/>
  <c r="E6" i="58" l="1"/>
  <c r="E24" i="56" l="1"/>
  <c r="E23" i="56"/>
  <c r="E22" i="56"/>
  <c r="E21" i="56"/>
  <c r="E20" i="56"/>
  <c r="G52" i="55"/>
  <c r="G53" i="55"/>
  <c r="G54" i="55"/>
  <c r="G55" i="55"/>
  <c r="G56" i="55"/>
  <c r="G57" i="55"/>
  <c r="G58" i="55"/>
  <c r="G59" i="55"/>
  <c r="G60" i="55"/>
  <c r="G61" i="55"/>
  <c r="G62" i="55"/>
  <c r="G51" i="55"/>
  <c r="E9" i="56"/>
  <c r="E8" i="56"/>
  <c r="E10" i="56"/>
  <c r="L47" i="55"/>
  <c r="K47" i="55"/>
  <c r="J47" i="55"/>
  <c r="I47" i="55"/>
  <c r="H47" i="55"/>
  <c r="G47" i="55"/>
  <c r="F47" i="55"/>
  <c r="D47" i="55"/>
  <c r="C47" i="55"/>
  <c r="B47" i="55"/>
  <c r="E6" i="56"/>
  <c r="E5" i="56"/>
  <c r="E4" i="56"/>
  <c r="E3" i="56"/>
  <c r="E11" i="56" s="1"/>
  <c r="E2" i="56"/>
  <c r="J9" i="56" l="1"/>
  <c r="G63" i="55"/>
  <c r="G65" i="55" s="1"/>
  <c r="E7" i="56"/>
  <c r="E12" i="56" s="1"/>
  <c r="E25" i="56" s="1"/>
  <c r="K14" i="54"/>
  <c r="G3" i="54"/>
  <c r="G2" i="54"/>
  <c r="E8" i="54" l="1"/>
  <c r="E9" i="54" s="1"/>
  <c r="E7" i="54"/>
  <c r="E6" i="54"/>
  <c r="E5" i="54"/>
  <c r="E4" i="54"/>
  <c r="E3" i="54"/>
  <c r="E2" i="54"/>
  <c r="E6" i="53" l="1"/>
  <c r="E5" i="53"/>
  <c r="E4" i="53"/>
  <c r="E3" i="53"/>
  <c r="E2" i="53"/>
  <c r="E7" i="53" s="1"/>
  <c r="E9" i="53" l="1"/>
  <c r="E8" i="53"/>
  <c r="E10" i="53" s="1"/>
  <c r="E12" i="52"/>
  <c r="E11" i="52"/>
  <c r="E10" i="52"/>
  <c r="G5" i="52"/>
  <c r="E7" i="52"/>
  <c r="H3" i="52"/>
  <c r="E9" i="52"/>
  <c r="E8" i="52"/>
  <c r="I2" i="52"/>
  <c r="E6" i="52"/>
  <c r="E5" i="52"/>
  <c r="E4" i="52"/>
  <c r="E3" i="52"/>
  <c r="D15" i="52" s="1"/>
  <c r="E2" i="52"/>
  <c r="C15" i="52" l="1"/>
  <c r="E29" i="51"/>
  <c r="E28" i="51"/>
  <c r="E27" i="51"/>
  <c r="E26" i="51"/>
  <c r="E25" i="51"/>
  <c r="E9" i="51"/>
  <c r="E8" i="51"/>
  <c r="H20" i="51"/>
  <c r="H3" i="51"/>
  <c r="E23" i="51"/>
  <c r="E22" i="51"/>
  <c r="E21" i="51"/>
  <c r="D32" i="51" s="1"/>
  <c r="E20" i="51"/>
  <c r="G23" i="51" s="1"/>
  <c r="E6" i="51"/>
  <c r="E5" i="51"/>
  <c r="G6" i="51" s="1"/>
  <c r="E4" i="51"/>
  <c r="E11" i="51" s="1"/>
  <c r="E3" i="51"/>
  <c r="E7" i="51" s="1"/>
  <c r="A15" i="52" l="1"/>
  <c r="B15" i="52"/>
  <c r="E24" i="51"/>
  <c r="E10" i="51"/>
  <c r="E12" i="51" s="1"/>
  <c r="C32" i="51"/>
  <c r="C15" i="51"/>
  <c r="B15" i="51"/>
  <c r="A15" i="51"/>
  <c r="D15" i="51"/>
  <c r="E8" i="50"/>
  <c r="E7" i="50"/>
  <c r="E5" i="50"/>
  <c r="E4" i="50"/>
  <c r="E3" i="50"/>
  <c r="D14" i="50" s="1"/>
  <c r="E2" i="50"/>
  <c r="E6" i="50" s="1"/>
  <c r="B32" i="51" l="1"/>
  <c r="A32" i="51"/>
  <c r="E9" i="50"/>
  <c r="G5" i="50"/>
  <c r="E10" i="50"/>
  <c r="E11" i="50" s="1"/>
  <c r="C14" i="50"/>
  <c r="E8" i="49"/>
  <c r="E7" i="49"/>
  <c r="E5" i="49"/>
  <c r="E4" i="49"/>
  <c r="E3" i="49"/>
  <c r="E10" i="49" s="1"/>
  <c r="E2" i="49"/>
  <c r="G5" i="49" s="1"/>
  <c r="B14" i="50" l="1"/>
  <c r="A14" i="50"/>
  <c r="A14" i="49"/>
  <c r="B14" i="49"/>
  <c r="D14" i="49"/>
  <c r="C14" i="49"/>
  <c r="E6" i="49"/>
  <c r="E9" i="49"/>
  <c r="E11" i="49" l="1"/>
  <c r="K6" i="48" l="1"/>
  <c r="H6" i="48"/>
  <c r="H5" i="48"/>
  <c r="H4" i="48"/>
  <c r="H3" i="48"/>
  <c r="H2" i="48"/>
  <c r="E3" i="48"/>
  <c r="E4" i="48"/>
  <c r="E5" i="48"/>
  <c r="E6" i="48"/>
  <c r="E12" i="48"/>
  <c r="E11" i="48"/>
  <c r="E10" i="48"/>
  <c r="E13" i="48" s="1"/>
  <c r="E9" i="48"/>
  <c r="E8" i="48"/>
  <c r="E7" i="48"/>
  <c r="E2" i="48"/>
  <c r="I8" i="39" l="1"/>
  <c r="E13" i="47" l="1"/>
  <c r="E34" i="47"/>
  <c r="G34" i="47" s="1"/>
  <c r="B37" i="47"/>
  <c r="A37" i="47"/>
  <c r="G13" i="47"/>
  <c r="A16" i="47"/>
  <c r="B16" i="47" l="1"/>
  <c r="C16" i="47" s="1"/>
  <c r="C37" i="47"/>
  <c r="E32" i="47" l="1"/>
  <c r="E11" i="47"/>
  <c r="H26" i="47"/>
  <c r="H105" i="47" l="1"/>
  <c r="E110" i="47" l="1"/>
  <c r="E111" i="47"/>
  <c r="E33" i="47"/>
  <c r="E31" i="47"/>
  <c r="G26" i="47"/>
  <c r="G81" i="47"/>
  <c r="E88" i="47"/>
  <c r="G4" i="47"/>
  <c r="E10" i="47"/>
  <c r="E109" i="47"/>
  <c r="E108" i="47"/>
  <c r="E107" i="47"/>
  <c r="E106" i="47"/>
  <c r="E105" i="47"/>
  <c r="E104" i="47"/>
  <c r="E30" i="47"/>
  <c r="E29" i="47"/>
  <c r="E28" i="47"/>
  <c r="E27" i="47"/>
  <c r="E26" i="47"/>
  <c r="E25" i="47"/>
  <c r="E89" i="47"/>
  <c r="E87" i="47"/>
  <c r="E86" i="47"/>
  <c r="E85" i="47"/>
  <c r="E84" i="47"/>
  <c r="E83" i="47"/>
  <c r="E82" i="47"/>
  <c r="E81" i="47"/>
  <c r="E12" i="47"/>
  <c r="E9" i="47"/>
  <c r="E8" i="47"/>
  <c r="E7" i="47"/>
  <c r="E6" i="47"/>
  <c r="E5" i="47"/>
  <c r="E4" i="47"/>
  <c r="E3" i="47"/>
  <c r="E90" i="47" l="1"/>
  <c r="E112" i="47"/>
  <c r="H52" i="46"/>
  <c r="I4" i="46"/>
  <c r="J15" i="46"/>
  <c r="I28" i="46"/>
  <c r="I38" i="46"/>
  <c r="H76" i="46"/>
  <c r="H85" i="46"/>
  <c r="H62" i="46"/>
  <c r="H53" i="46"/>
  <c r="H75" i="46"/>
  <c r="E81" i="46"/>
  <c r="E80" i="46"/>
  <c r="E79" i="46"/>
  <c r="E78" i="46"/>
  <c r="E77" i="46"/>
  <c r="E76" i="46"/>
  <c r="E75" i="46"/>
  <c r="E58" i="46"/>
  <c r="E57" i="46"/>
  <c r="E56" i="46"/>
  <c r="E55" i="46"/>
  <c r="E54" i="46"/>
  <c r="E53" i="46"/>
  <c r="E52" i="46"/>
  <c r="I14" i="46"/>
  <c r="E34" i="46"/>
  <c r="E33" i="46"/>
  <c r="E32" i="46"/>
  <c r="E31" i="46"/>
  <c r="E30" i="46"/>
  <c r="E29" i="46"/>
  <c r="E28" i="46"/>
  <c r="I27" i="46"/>
  <c r="E27" i="46"/>
  <c r="E10" i="46"/>
  <c r="E9" i="46"/>
  <c r="E8" i="46"/>
  <c r="E7" i="46"/>
  <c r="E6" i="46"/>
  <c r="E5" i="46"/>
  <c r="E4" i="46"/>
  <c r="I3" i="46"/>
  <c r="E3" i="46"/>
  <c r="E82" i="46" l="1"/>
  <c r="E59" i="46"/>
  <c r="E35" i="46"/>
  <c r="E11" i="46"/>
  <c r="E10" i="45"/>
  <c r="E9" i="45"/>
  <c r="H8" i="45"/>
  <c r="E8" i="45"/>
  <c r="E7" i="45"/>
  <c r="E6" i="45"/>
  <c r="E5" i="45"/>
  <c r="H4" i="45"/>
  <c r="E4" i="45"/>
  <c r="H3" i="45"/>
  <c r="E3" i="45"/>
  <c r="H2" i="45"/>
  <c r="E2" i="45"/>
  <c r="E11" i="45" l="1"/>
  <c r="H3" i="44"/>
  <c r="H2" i="44"/>
  <c r="F26" i="44"/>
  <c r="F23" i="44"/>
  <c r="E9" i="44"/>
  <c r="E8" i="44"/>
  <c r="E7" i="44"/>
  <c r="E6" i="44"/>
  <c r="E5" i="44"/>
  <c r="E4" i="44"/>
  <c r="E3" i="44"/>
  <c r="E2" i="44"/>
  <c r="E10" i="44" l="1"/>
  <c r="C91" i="43"/>
  <c r="D91" i="43" s="1"/>
  <c r="C87" i="43"/>
  <c r="D87" i="43" s="1"/>
  <c r="G75" i="43"/>
  <c r="G74" i="43"/>
  <c r="C63" i="43"/>
  <c r="D63" i="43" s="1"/>
  <c r="C59" i="43"/>
  <c r="D59" i="43" s="1"/>
  <c r="I48" i="43"/>
  <c r="I47" i="43"/>
  <c r="E82" i="43" l="1"/>
  <c r="E81" i="43"/>
  <c r="E80" i="43"/>
  <c r="E79" i="43"/>
  <c r="E78" i="43"/>
  <c r="E77" i="43"/>
  <c r="E76" i="43"/>
  <c r="E75" i="43"/>
  <c r="E74" i="43"/>
  <c r="E54" i="43"/>
  <c r="E53" i="43"/>
  <c r="E52" i="43"/>
  <c r="E51" i="43"/>
  <c r="E50" i="43"/>
  <c r="E49" i="43"/>
  <c r="E48" i="43"/>
  <c r="E47" i="43"/>
  <c r="E55" i="43" l="1"/>
  <c r="E83" i="43"/>
  <c r="H27" i="42"/>
  <c r="E24" i="42" l="1"/>
  <c r="H24" i="42"/>
  <c r="E25" i="42"/>
  <c r="H25" i="42"/>
  <c r="E26" i="42"/>
  <c r="H26" i="42"/>
  <c r="E27" i="42"/>
  <c r="E28" i="42"/>
  <c r="E29" i="42"/>
  <c r="E30" i="42"/>
  <c r="E31" i="42"/>
  <c r="E32" i="42" l="1"/>
  <c r="E34" i="43"/>
  <c r="E11" i="43"/>
  <c r="H6" i="42"/>
  <c r="H5" i="43"/>
  <c r="E9" i="43"/>
  <c r="E10" i="43"/>
  <c r="H4" i="43"/>
  <c r="H3" i="43"/>
  <c r="E33" i="43"/>
  <c r="E32" i="43"/>
  <c r="I26" i="43"/>
  <c r="I25" i="43"/>
  <c r="E35" i="43"/>
  <c r="E31" i="43"/>
  <c r="E30" i="43"/>
  <c r="E29" i="43"/>
  <c r="E28" i="43"/>
  <c r="E27" i="43"/>
  <c r="E26" i="43"/>
  <c r="E25" i="43"/>
  <c r="E12" i="43"/>
  <c r="E8" i="43"/>
  <c r="E7" i="43"/>
  <c r="E6" i="43"/>
  <c r="E5" i="43"/>
  <c r="E4" i="43"/>
  <c r="E3" i="43"/>
  <c r="E13" i="43" l="1"/>
  <c r="E36" i="43"/>
  <c r="H5" i="42"/>
  <c r="H4" i="42"/>
  <c r="H3" i="42"/>
  <c r="E4" i="42"/>
  <c r="E10" i="42"/>
  <c r="E9" i="42"/>
  <c r="E8" i="42"/>
  <c r="E7" i="42"/>
  <c r="E6" i="42"/>
  <c r="E5" i="42"/>
  <c r="E3" i="42"/>
  <c r="E11" i="42" l="1"/>
  <c r="I27" i="41" l="1"/>
  <c r="I25" i="41"/>
  <c r="I26" i="41"/>
  <c r="I5" i="41" l="1"/>
  <c r="I4" i="41"/>
  <c r="I3" i="41"/>
  <c r="E33" i="41"/>
  <c r="E32" i="41"/>
  <c r="E31" i="41"/>
  <c r="E30" i="41"/>
  <c r="E29" i="41"/>
  <c r="E28" i="41"/>
  <c r="E27" i="41"/>
  <c r="E26" i="41"/>
  <c r="E25" i="41"/>
  <c r="E4" i="41"/>
  <c r="E11" i="41"/>
  <c r="E10" i="41"/>
  <c r="E9" i="41"/>
  <c r="E8" i="41"/>
  <c r="E7" i="41"/>
  <c r="E6" i="41"/>
  <c r="E5" i="41"/>
  <c r="E3" i="41"/>
  <c r="E34" i="41" l="1"/>
  <c r="E12" i="41"/>
  <c r="I27" i="40"/>
  <c r="H4" i="40"/>
  <c r="E79" i="40"/>
  <c r="E78" i="40"/>
  <c r="E77" i="40"/>
  <c r="E76" i="40"/>
  <c r="E75" i="40"/>
  <c r="E74" i="40"/>
  <c r="H73" i="40"/>
  <c r="E73" i="40"/>
  <c r="H72" i="40"/>
  <c r="E72" i="40"/>
  <c r="E56" i="40"/>
  <c r="E55" i="40"/>
  <c r="E54" i="40"/>
  <c r="E53" i="40"/>
  <c r="E52" i="40"/>
  <c r="H51" i="40"/>
  <c r="E51" i="40"/>
  <c r="H50" i="40"/>
  <c r="E50" i="40"/>
  <c r="E33" i="40"/>
  <c r="E32" i="40"/>
  <c r="E31" i="40"/>
  <c r="E30" i="40"/>
  <c r="E29" i="40"/>
  <c r="E28" i="40"/>
  <c r="E27" i="40"/>
  <c r="I26" i="40"/>
  <c r="E26" i="40"/>
  <c r="E9" i="40"/>
  <c r="E8" i="40"/>
  <c r="E7" i="40"/>
  <c r="E6" i="40"/>
  <c r="E5" i="40"/>
  <c r="E4" i="40"/>
  <c r="E3" i="40"/>
  <c r="E34" i="40" l="1"/>
  <c r="E10" i="40"/>
  <c r="E57" i="40"/>
  <c r="E80" i="40"/>
  <c r="J3" i="39" l="1"/>
  <c r="H3" i="39"/>
  <c r="H2" i="39"/>
  <c r="E8" i="39"/>
  <c r="E7" i="39"/>
  <c r="E6" i="39"/>
  <c r="E5" i="39"/>
  <c r="E4" i="39"/>
  <c r="E3" i="39"/>
  <c r="E2" i="39"/>
  <c r="E9" i="39" l="1"/>
  <c r="F4" i="38"/>
  <c r="F5" i="38"/>
  <c r="F6" i="38"/>
  <c r="F12" i="38"/>
  <c r="F13" i="38"/>
  <c r="F11" i="38"/>
  <c r="F3" i="38"/>
  <c r="F14" i="38" l="1"/>
  <c r="F7" i="38"/>
  <c r="E11" i="37"/>
  <c r="E10" i="37"/>
  <c r="E4" i="37"/>
  <c r="E3" i="37"/>
  <c r="E12" i="37" l="1"/>
  <c r="E5" i="37"/>
  <c r="N23" i="35" l="1"/>
  <c r="K22" i="36" l="1"/>
  <c r="K21" i="36"/>
  <c r="E28" i="36"/>
  <c r="E27" i="36"/>
  <c r="E26" i="36"/>
  <c r="E25" i="36"/>
  <c r="E24" i="36"/>
  <c r="E23" i="36"/>
  <c r="E22" i="36"/>
  <c r="E21" i="36"/>
  <c r="H3" i="36"/>
  <c r="H2" i="36"/>
  <c r="E9" i="36"/>
  <c r="E8" i="36"/>
  <c r="E7" i="36"/>
  <c r="E6" i="36"/>
  <c r="E5" i="36"/>
  <c r="E4" i="36"/>
  <c r="E3" i="36"/>
  <c r="E2" i="36"/>
  <c r="E10" i="36" l="1"/>
  <c r="E29" i="36"/>
  <c r="J32" i="35"/>
  <c r="J16" i="35"/>
  <c r="E4" i="35" l="1"/>
  <c r="E5" i="35"/>
  <c r="E6" i="35"/>
  <c r="E7" i="35"/>
  <c r="E8" i="35"/>
  <c r="E17" i="35"/>
  <c r="E18" i="35"/>
  <c r="E19" i="35"/>
  <c r="E20" i="35"/>
  <c r="E21" i="35"/>
  <c r="E22" i="35"/>
  <c r="E33" i="35"/>
  <c r="E34" i="35"/>
  <c r="E35" i="35"/>
  <c r="E36" i="35"/>
  <c r="E37" i="35"/>
  <c r="E38" i="35"/>
  <c r="E32" i="35"/>
  <c r="H33" i="35"/>
  <c r="H34" i="35"/>
  <c r="G35" i="35"/>
  <c r="G36" i="35"/>
  <c r="G37" i="35"/>
  <c r="G38" i="35"/>
  <c r="H32" i="35"/>
  <c r="E16" i="35"/>
  <c r="H17" i="35"/>
  <c r="H18" i="35"/>
  <c r="H19" i="35"/>
  <c r="H20" i="35"/>
  <c r="H21" i="35"/>
  <c r="G22" i="35"/>
  <c r="H16" i="35"/>
  <c r="E23" i="35" l="1"/>
  <c r="E39" i="35"/>
  <c r="H7" i="35"/>
  <c r="H6" i="35"/>
  <c r="H5" i="35"/>
  <c r="H4" i="35"/>
  <c r="H3" i="35"/>
  <c r="E3" i="35"/>
  <c r="E9" i="35" s="1"/>
  <c r="J24" i="34" l="1"/>
  <c r="H24" i="34"/>
  <c r="H23" i="34"/>
  <c r="E29" i="34"/>
  <c r="E28" i="34"/>
  <c r="E27" i="34"/>
  <c r="E26" i="34"/>
  <c r="E25" i="34"/>
  <c r="E24" i="34"/>
  <c r="E23" i="34"/>
  <c r="I3" i="34"/>
  <c r="E30" i="34" l="1"/>
  <c r="I2" i="34"/>
  <c r="E9" i="34"/>
  <c r="E8" i="34"/>
  <c r="E7" i="34"/>
  <c r="E6" i="34"/>
  <c r="E5" i="34"/>
  <c r="E4" i="34"/>
  <c r="E3" i="34"/>
  <c r="E2" i="34"/>
  <c r="E10" i="34" l="1"/>
  <c r="E2" i="33"/>
  <c r="E3" i="33" s="1"/>
  <c r="E5" i="33" l="1"/>
  <c r="E4" i="33"/>
  <c r="I28" i="32"/>
  <c r="H75" i="32"/>
  <c r="H74" i="32"/>
  <c r="H52" i="32"/>
  <c r="H51" i="32"/>
  <c r="E81" i="32"/>
  <c r="E80" i="32"/>
  <c r="E79" i="32"/>
  <c r="E78" i="32"/>
  <c r="E77" i="32"/>
  <c r="E76" i="32"/>
  <c r="E75" i="32"/>
  <c r="E74" i="32"/>
  <c r="E58" i="32"/>
  <c r="E57" i="32"/>
  <c r="E56" i="32"/>
  <c r="E55" i="32"/>
  <c r="E54" i="32"/>
  <c r="E53" i="32"/>
  <c r="E52" i="32"/>
  <c r="E51" i="32"/>
  <c r="H6" i="32"/>
  <c r="E7" i="32"/>
  <c r="H4" i="32"/>
  <c r="I27" i="32"/>
  <c r="E34" i="32"/>
  <c r="E33" i="32"/>
  <c r="E32" i="32"/>
  <c r="E31" i="32"/>
  <c r="E30" i="32"/>
  <c r="E29" i="32"/>
  <c r="E28" i="32"/>
  <c r="E27" i="32"/>
  <c r="E10" i="32"/>
  <c r="E9" i="32"/>
  <c r="E8" i="32"/>
  <c r="E6" i="32"/>
  <c r="E5" i="32"/>
  <c r="E4" i="32"/>
  <c r="E3" i="32"/>
  <c r="E6" i="33" l="1"/>
  <c r="E11" i="32"/>
  <c r="E35" i="32"/>
  <c r="E82" i="32"/>
  <c r="E59" i="32"/>
  <c r="G30" i="31"/>
  <c r="G4" i="31"/>
  <c r="E30" i="31"/>
  <c r="E35" i="31"/>
  <c r="E34" i="31"/>
  <c r="E33" i="31"/>
  <c r="E32" i="31"/>
  <c r="E31" i="31"/>
  <c r="E29" i="31"/>
  <c r="E28" i="31"/>
  <c r="E4" i="31"/>
  <c r="E9" i="31"/>
  <c r="E8" i="31"/>
  <c r="E7" i="31"/>
  <c r="E6" i="31"/>
  <c r="E5" i="31"/>
  <c r="E3" i="31"/>
  <c r="E2" i="31"/>
  <c r="E36" i="31" l="1"/>
  <c r="E10" i="31"/>
  <c r="D3" i="30"/>
  <c r="F27" i="29" l="1"/>
  <c r="F68" i="29" s="1"/>
  <c r="E3" i="29"/>
  <c r="E19" i="29" s="1"/>
  <c r="G29" i="28" l="1"/>
  <c r="J13" i="28"/>
  <c r="G30" i="28"/>
  <c r="G4" i="28"/>
  <c r="I50" i="28"/>
  <c r="E35" i="28"/>
  <c r="E34" i="28"/>
  <c r="E33" i="28"/>
  <c r="E32" i="28"/>
  <c r="E31" i="28"/>
  <c r="H42" i="28"/>
  <c r="E30" i="28"/>
  <c r="E29" i="28"/>
  <c r="J20" i="28"/>
  <c r="E9" i="28"/>
  <c r="E8" i="28"/>
  <c r="E7" i="28"/>
  <c r="E6" i="28"/>
  <c r="G5" i="28"/>
  <c r="E5" i="28"/>
  <c r="E4" i="28"/>
  <c r="G3" i="28"/>
  <c r="E3" i="28"/>
  <c r="E10" i="28" l="1"/>
  <c r="E36" i="28"/>
  <c r="H60" i="27"/>
  <c r="E6" i="27" l="1"/>
  <c r="H59" i="27"/>
  <c r="E66" i="27"/>
  <c r="E67" i="27"/>
  <c r="E34" i="27"/>
  <c r="E53" i="27"/>
  <c r="E65" i="27"/>
  <c r="E64" i="27"/>
  <c r="E63" i="27"/>
  <c r="E62" i="27"/>
  <c r="E61" i="27"/>
  <c r="E60" i="27"/>
  <c r="E59" i="27"/>
  <c r="E35" i="27"/>
  <c r="E33" i="27"/>
  <c r="E32" i="27"/>
  <c r="E31" i="27"/>
  <c r="E30" i="27"/>
  <c r="E29" i="27"/>
  <c r="H28" i="27"/>
  <c r="E28" i="27"/>
  <c r="H27" i="27"/>
  <c r="E27" i="27"/>
  <c r="E54" i="27"/>
  <c r="E52" i="27"/>
  <c r="E51" i="27"/>
  <c r="E50" i="27"/>
  <c r="E49" i="27"/>
  <c r="E48" i="27"/>
  <c r="H47" i="27"/>
  <c r="E47" i="27"/>
  <c r="H46" i="27"/>
  <c r="E46" i="27"/>
  <c r="H15" i="27"/>
  <c r="E10" i="27"/>
  <c r="E9" i="27"/>
  <c r="E8" i="27"/>
  <c r="E7" i="27"/>
  <c r="E5" i="27"/>
  <c r="H4" i="27"/>
  <c r="E4" i="27"/>
  <c r="H3" i="27"/>
  <c r="E3" i="27"/>
  <c r="E36" i="27" l="1"/>
  <c r="E11" i="27"/>
  <c r="E68" i="27"/>
  <c r="E55" i="27"/>
  <c r="E35" i="26" l="1"/>
  <c r="I49" i="26"/>
  <c r="G30" i="26"/>
  <c r="G29" i="26"/>
  <c r="J20" i="26"/>
  <c r="G5" i="26"/>
  <c r="E9" i="26"/>
  <c r="E36" i="26"/>
  <c r="E34" i="26"/>
  <c r="E33" i="26"/>
  <c r="E32" i="26"/>
  <c r="E31" i="26"/>
  <c r="E30" i="26"/>
  <c r="E29" i="26"/>
  <c r="G4" i="26"/>
  <c r="G3" i="26"/>
  <c r="E10" i="26"/>
  <c r="E8" i="26"/>
  <c r="E7" i="26"/>
  <c r="E6" i="26"/>
  <c r="E5" i="26"/>
  <c r="E4" i="26"/>
  <c r="E3" i="26"/>
  <c r="E37" i="26" l="1"/>
  <c r="E11" i="26"/>
  <c r="G23" i="25"/>
  <c r="G24" i="25"/>
  <c r="G25" i="25"/>
  <c r="G26" i="25"/>
  <c r="G22" i="25"/>
  <c r="D16" i="25"/>
  <c r="D15" i="25"/>
  <c r="G2" i="25"/>
  <c r="D17" i="25" l="1"/>
  <c r="G27" i="25"/>
  <c r="G3" i="25"/>
  <c r="G4" i="25"/>
  <c r="G5" i="25"/>
  <c r="G6" i="25"/>
  <c r="G7" i="25" l="1"/>
  <c r="E2" i="24"/>
  <c r="E3" i="24"/>
  <c r="E4" i="24"/>
  <c r="G4" i="24"/>
  <c r="E5" i="24"/>
  <c r="E6" i="24"/>
  <c r="E7" i="24"/>
  <c r="E8" i="24"/>
  <c r="E9" i="24"/>
  <c r="E10" i="24" l="1"/>
  <c r="G5" i="23" l="1"/>
  <c r="G3" i="23"/>
  <c r="G4" i="23"/>
  <c r="E4" i="23"/>
  <c r="E10" i="23"/>
  <c r="E9" i="23"/>
  <c r="E8" i="23"/>
  <c r="E7" i="23"/>
  <c r="E6" i="23"/>
  <c r="E5" i="23"/>
  <c r="E3" i="23"/>
  <c r="E11" i="23"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10" i="20" l="1"/>
  <c r="E5" i="19" l="1"/>
  <c r="E4" i="19"/>
  <c r="E3" i="19"/>
  <c r="E2" i="19"/>
  <c r="E6" i="19" l="1"/>
  <c r="E17" i="15"/>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25" i="17"/>
  <c r="E10" i="17"/>
  <c r="E9" i="17"/>
  <c r="E8" i="17"/>
  <c r="E7" i="17"/>
  <c r="E6" i="17"/>
  <c r="E5" i="17"/>
  <c r="E4" i="17"/>
  <c r="E11" i="17" l="1"/>
  <c r="E33" i="17"/>
  <c r="E160" i="15"/>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23" i="15"/>
  <c r="G122" i="15"/>
  <c r="G121" i="15"/>
  <c r="G114" i="15"/>
  <c r="G115" i="15"/>
  <c r="G113" i="15"/>
  <c r="E20" i="15"/>
  <c r="E19" i="15"/>
  <c r="E18" i="15"/>
  <c r="E16" i="15"/>
  <c r="G135" i="15" l="1"/>
  <c r="G143" i="15"/>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25" i="14"/>
  <c r="E26" i="14"/>
  <c r="E5" i="14"/>
  <c r="E6" i="14"/>
  <c r="E15" i="14" l="1"/>
  <c r="E16" i="14"/>
  <c r="G14" i="14"/>
  <c r="H14" i="14" s="1"/>
  <c r="E14" i="14"/>
  <c r="E24" i="14"/>
  <c r="E27" i="14" s="1"/>
  <c r="E17" i="14" l="1"/>
  <c r="E19" i="14" s="1"/>
  <c r="E29" i="14"/>
  <c r="E28" i="14"/>
  <c r="E4" i="14"/>
  <c r="E3" i="14"/>
  <c r="E18" i="14" l="1"/>
  <c r="E20" i="14" s="1"/>
  <c r="E30" i="14"/>
  <c r="E7" i="14"/>
  <c r="E9" i="14" l="1"/>
  <c r="E8" i="14"/>
  <c r="G23" i="13"/>
  <c r="F22" i="13"/>
  <c r="G3" i="13"/>
  <c r="G4" i="13"/>
  <c r="E27" i="13"/>
  <c r="E26" i="13"/>
  <c r="E25" i="13"/>
  <c r="E24" i="13"/>
  <c r="E23" i="13"/>
  <c r="E22" i="13"/>
  <c r="E10" i="13"/>
  <c r="E9" i="13"/>
  <c r="E8" i="13"/>
  <c r="E7" i="13"/>
  <c r="E6" i="13"/>
  <c r="E5" i="13"/>
  <c r="E4" i="13"/>
  <c r="E3" i="13"/>
  <c r="E10" i="14" l="1"/>
  <c r="E11" i="13"/>
  <c r="E28" i="13"/>
  <c r="G23" i="12"/>
  <c r="G22" i="12"/>
  <c r="E29" i="12" l="1"/>
  <c r="E28" i="12"/>
  <c r="E27" i="12"/>
  <c r="E26" i="12"/>
  <c r="E25" i="12"/>
  <c r="E24" i="12"/>
  <c r="E23" i="12"/>
  <c r="E22" i="12"/>
  <c r="E10" i="12"/>
  <c r="E9" i="12"/>
  <c r="E8" i="12"/>
  <c r="E7" i="12"/>
  <c r="E6" i="12"/>
  <c r="E5" i="12"/>
  <c r="E4" i="12"/>
  <c r="E3" i="12"/>
  <c r="E11" i="12" l="1"/>
  <c r="E30" i="12"/>
  <c r="F3" i="11"/>
  <c r="F2" i="11"/>
  <c r="E7" i="11"/>
  <c r="E6" i="11"/>
  <c r="E5" i="11"/>
  <c r="E4" i="11"/>
  <c r="E3" i="11"/>
  <c r="E2" i="11"/>
  <c r="E8" i="11" l="1"/>
  <c r="F3" i="10"/>
  <c r="F3" i="9"/>
  <c r="G19" i="9"/>
  <c r="E7" i="10"/>
  <c r="E6" i="10"/>
  <c r="E5" i="10"/>
  <c r="E4" i="10"/>
  <c r="E3" i="10"/>
  <c r="E2" i="10"/>
  <c r="G2" i="9"/>
  <c r="E8" i="10" l="1"/>
  <c r="E7" i="9"/>
  <c r="E6" i="9"/>
  <c r="E5" i="9"/>
  <c r="E4" i="9"/>
  <c r="E3" i="9"/>
  <c r="E2" i="9"/>
  <c r="E8" i="9" l="1"/>
  <c r="E9" i="8"/>
  <c r="E10" i="8"/>
  <c r="E8" i="8"/>
  <c r="E7" i="8"/>
  <c r="E6" i="8"/>
  <c r="E5" i="8"/>
  <c r="E4" i="8"/>
  <c r="E3" i="8"/>
  <c r="E2" i="8"/>
  <c r="E11" i="8" l="1"/>
  <c r="E5" i="7"/>
  <c r="E4" i="7"/>
  <c r="E3" i="7"/>
  <c r="E2" i="7"/>
  <c r="E6" i="7" l="1"/>
  <c r="G19" i="6"/>
  <c r="F3" i="6"/>
  <c r="G2" i="6"/>
  <c r="E8" i="6" l="1"/>
  <c r="E7" i="6"/>
  <c r="E6" i="6"/>
  <c r="E5" i="6"/>
  <c r="E4" i="6"/>
  <c r="E3" i="6"/>
  <c r="E2" i="6"/>
  <c r="E9" i="6" l="1"/>
  <c r="H7" i="5"/>
  <c r="H4" i="5"/>
  <c r="H3" i="5"/>
  <c r="H5" i="5"/>
  <c r="E27" i="5" l="1"/>
  <c r="E30" i="5"/>
  <c r="E29" i="5"/>
  <c r="E28" i="5"/>
  <c r="E26" i="5"/>
  <c r="E25" i="5"/>
  <c r="E24" i="5"/>
  <c r="E23" i="5"/>
  <c r="E22" i="5"/>
  <c r="E21" i="5"/>
  <c r="E20" i="5"/>
  <c r="E19" i="5"/>
  <c r="E8" i="5"/>
  <c r="E9" i="5"/>
  <c r="E10" i="5"/>
  <c r="E11" i="5"/>
  <c r="E12" i="5"/>
  <c r="E14" i="5"/>
  <c r="E13" i="5"/>
  <c r="E7" i="5"/>
  <c r="E6" i="5"/>
  <c r="E5" i="5"/>
  <c r="E4" i="5"/>
  <c r="E3" i="5"/>
  <c r="E31" i="5" l="1"/>
  <c r="E15" i="5"/>
  <c r="F56" i="2"/>
  <c r="F55" i="2"/>
  <c r="F54" i="2"/>
  <c r="F53" i="2"/>
  <c r="F52" i="2"/>
  <c r="F51" i="2"/>
  <c r="F50" i="2"/>
  <c r="F49" i="2"/>
  <c r="F48" i="2"/>
  <c r="F47" i="2"/>
  <c r="E3" i="4" l="1"/>
  <c r="E2" i="4"/>
  <c r="E4" i="4" l="1"/>
  <c r="E3" i="3"/>
  <c r="E4" i="3"/>
  <c r="E2" i="3"/>
  <c r="E5" i="3" l="1"/>
  <c r="E7" i="3" s="1"/>
  <c r="F42" i="2"/>
  <c r="F41" i="2"/>
  <c r="F40" i="2"/>
  <c r="F39" i="2"/>
  <c r="F38" i="2"/>
  <c r="F27" i="2"/>
  <c r="F26" i="2"/>
  <c r="F25" i="2"/>
  <c r="F23" i="2"/>
  <c r="F22" i="2"/>
  <c r="F21" i="2"/>
  <c r="F16" i="2"/>
  <c r="F7" i="2"/>
  <c r="F6" i="2"/>
  <c r="F5" i="2"/>
  <c r="E6" i="3" l="1"/>
  <c r="E8" i="3" s="1"/>
  <c r="F57" i="2"/>
  <c r="E23" i="1"/>
  <c r="E24" i="1"/>
  <c r="E25" i="1"/>
  <c r="E26" i="1"/>
  <c r="E22" i="1"/>
  <c r="E27" i="1" l="1"/>
  <c r="E17" i="1"/>
  <c r="E16" i="1"/>
  <c r="E15" i="1"/>
  <c r="E14" i="1"/>
  <c r="E13" i="1"/>
  <c r="E12" i="1"/>
  <c r="E11" i="1"/>
  <c r="E10" i="1"/>
  <c r="E9" i="1"/>
  <c r="E8" i="1"/>
  <c r="E7" i="1"/>
  <c r="E6" i="1"/>
  <c r="E5" i="1"/>
  <c r="E4" i="1"/>
  <c r="E3" i="1"/>
  <c r="E2" i="1"/>
  <c r="E18" i="1" l="1"/>
</calcChain>
</file>

<file path=xl/sharedStrings.xml><?xml version="1.0" encoding="utf-8"?>
<sst xmlns="http://schemas.openxmlformats.org/spreadsheetml/2006/main" count="2723" uniqueCount="840">
  <si>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</si>
  <si>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</si>
  <si>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</si>
  <si>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</si>
  <si>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</si>
  <si>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</si>
  <si>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</si>
  <si>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</si>
  <si>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</si>
  <si>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</si>
  <si>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</si>
  <si>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</si>
  <si>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</si>
  <si>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</si>
  <si>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</si>
  <si>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</si>
  <si>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</si>
  <si>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</si>
  <si>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</si>
  <si>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</si>
  <si>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</si>
  <si>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</si>
  <si>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</si>
  <si>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</si>
  <si>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</si>
  <si>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</si>
  <si>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</si>
  <si>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</si>
  <si>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</si>
  <si>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</si>
  <si>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</si>
  <si>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</si>
  <si>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</si>
  <si>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</si>
  <si>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</si>
  <si>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</si>
  <si>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</si>
  <si>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</si>
  <si>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</si>
  <si>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</si>
  <si>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</si>
  <si>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</si>
  <si>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</si>
  <si>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</si>
  <si>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</si>
  <si>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</si>
  <si>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</si>
  <si>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</si>
  <si>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</si>
  <si>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</si>
  <si>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</si>
  <si>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</si>
  <si>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</si>
  <si>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</si>
  <si>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</si>
  <si>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</si>
  <si>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</si>
  <si>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</si>
  <si>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</si>
  <si>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</si>
  <si>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</si>
  <si>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</si>
  <si>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</si>
  <si>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</si>
  <si>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</si>
  <si>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</si>
  <si>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</si>
  <si>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</si>
  <si>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</si>
  <si>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</si>
  <si>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</si>
  <si>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</si>
  <si>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</si>
  <si>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</si>
  <si>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</si>
  <si>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</si>
  <si>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</si>
  <si>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</si>
  <si>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</si>
  <si>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</si>
  <si>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</si>
  <si>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</si>
  <si>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</si>
  <si>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</si>
  <si>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</si>
  <si>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</si>
  <si>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</si>
  <si>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</si>
  <si>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</si>
  <si>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</si>
  <si>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</si>
  <si>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</si>
  <si>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</si>
  <si>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</si>
  <si>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</si>
  <si>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</si>
  <si>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</si>
  <si>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</si>
  <si>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</si>
  <si>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</si>
  <si>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</si>
  <si>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</si>
  <si>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</si>
  <si>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</si>
  <si>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</si>
  <si>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</si>
  <si>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</si>
  <si>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</si>
  <si>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</si>
  <si>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</si>
  <si>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</si>
  <si>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</si>
  <si>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</si>
  <si>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</si>
  <si>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</si>
  <si>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</si>
  <si>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</si>
  <si>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</si>
  <si>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</si>
  <si>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</si>
  <si>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</si>
  <si>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</si>
  <si>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</si>
  <si>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</si>
  <si>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</si>
  <si>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</si>
  <si>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</si>
  <si>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</si>
  <si>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</si>
  <si>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</si>
  <si>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</si>
  <si>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</si>
  <si>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</si>
  <si>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</si>
  <si>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</si>
  <si>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</si>
  <si>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</si>
  <si>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</si>
  <si>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</si>
  <si>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</si>
  <si>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</si>
  <si>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</si>
  <si>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</si>
  <si>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</si>
  <si>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</si>
  <si>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</si>
  <si>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</si>
  <si>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</si>
  <si>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</si>
  <si>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</si>
  <si>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</si>
  <si>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</si>
  <si>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</si>
  <si>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</si>
  <si>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</si>
  <si>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</si>
  <si>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</si>
  <si>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</si>
  <si>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</si>
  <si>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</si>
  <si>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</si>
  <si>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</si>
  <si>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</si>
  <si>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</si>
  <si>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</si>
  <si>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</si>
  <si>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</si>
  <si>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</si>
  <si>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</si>
  <si>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</si>
  <si>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</si>
  <si>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</si>
  <si>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</si>
  <si>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</si>
  <si>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</si>
  <si>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</si>
  <si>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</si>
  <si>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</si>
  <si>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</si>
  <si>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</si>
  <si>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</si>
  <si>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</si>
  <si>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</si>
  <si>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</si>
  <si>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</si>
  <si>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</si>
  <si>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</si>
  <si>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</si>
  <si>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</si>
  <si>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</si>
  <si>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</si>
  <si>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</si>
  <si>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</si>
  <si>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</si>
  <si>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</si>
  <si>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</si>
  <si>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</si>
  <si>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</si>
  <si>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</si>
  <si>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</si>
  <si>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</si>
  <si>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</si>
  <si>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</si>
  <si>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</si>
  <si>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</si>
  <si>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</si>
  <si>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</si>
  <si>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</si>
  <si>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</si>
  <si>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</si>
  <si>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</si>
  <si>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</si>
  <si>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</si>
  <si>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</si>
  <si>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</si>
  <si>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</si>
  <si>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</si>
  <si>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</si>
  <si>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</si>
  <si>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</si>
  <si>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</si>
  <si>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</si>
  <si>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</si>
  <si>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</si>
  <si>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</si>
  <si>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</si>
  <si>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</si>
  <si>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</si>
  <si>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</si>
  <si>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</si>
  <si>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</si>
  <si>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</si>
  <si>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</si>
  <si>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</si>
  <si>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</si>
  <si>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</si>
  <si>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</si>
  <si>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</si>
  <si>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</si>
  <si>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</si>
  <si>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</si>
  <si>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</si>
  <si>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</si>
  <si>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</si>
  <si>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</si>
  <si>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</si>
  <si>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</si>
  <si>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</si>
  <si>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</si>
  <si>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</si>
  <si>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</si>
  <si>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</si>
  <si>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</si>
  <si>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</si>
  <si>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</si>
  <si>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</si>
  <si>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</si>
  <si>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</si>
  <si>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</si>
  <si>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</si>
  <si>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</si>
  <si>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</si>
  <si>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</si>
  <si>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</si>
  <si>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</si>
  <si>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</si>
  <si>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</si>
  <si>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</si>
  <si>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</si>
  <si>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</si>
  <si>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</si>
  <si>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</si>
  <si>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</si>
  <si>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</si>
  <si>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</si>
  <si>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</si>
  <si>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</si>
  <si>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</si>
  <si>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</si>
  <si>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</si>
  <si>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</si>
  <si>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</si>
  <si>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</si>
  <si>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</si>
  <si>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</si>
  <si>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</si>
  <si>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</si>
  <si>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</si>
  <si>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</si>
  <si>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</si>
  <si>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</si>
  <si>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</si>
  <si>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</si>
  <si>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</si>
  <si>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</si>
  <si>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</si>
  <si>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</si>
  <si>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</si>
  <si>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</si>
  <si>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</si>
  <si>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</si>
  <si>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</si>
  <si>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</si>
  <si>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</si>
  <si>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</si>
  <si>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</si>
  <si>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</si>
  <si>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</si>
  <si>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</si>
  <si>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</si>
  <si>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</si>
  <si>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</si>
  <si>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</si>
  <si>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</si>
  <si>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</si>
  <si>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</si>
  <si>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</si>
  <si>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</si>
  <si>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</si>
  <si>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</si>
  <si>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</si>
  <si>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</si>
  <si>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</si>
  <si>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</si>
  <si>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</si>
  <si>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</si>
  <si>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</si>
  <si>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</si>
  <si>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</si>
  <si>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</si>
  <si>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</si>
  <si>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</si>
  <si>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</si>
  <si>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</si>
  <si>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</si>
  <si>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</si>
  <si>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</si>
  <si>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</si>
  <si>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</si>
  <si>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</si>
  <si>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</si>
  <si>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</si>
  <si>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</si>
  <si>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</si>
  <si>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</si>
  <si>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</si>
  <si>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</si>
  <si>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</si>
  <si>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</si>
  <si>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</si>
  <si>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</si>
  <si>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</si>
  <si>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</si>
  <si>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</si>
  <si>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</si>
  <si>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</si>
  <si>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</si>
  <si>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</si>
  <si>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</si>
  <si>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</si>
  <si>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</si>
  <si>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</si>
  <si>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</si>
  <si>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</si>
  <si>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</si>
  <si>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</si>
  <si>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</si>
  <si>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</si>
  <si>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</si>
  <si>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</si>
  <si>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</si>
  <si>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</si>
  <si>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</si>
  <si>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</si>
  <si>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</si>
  <si>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</si>
  <si>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</si>
  <si>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</si>
  <si>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</si>
  <si>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</si>
  <si>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</si>
  <si>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</si>
  <si>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</si>
  <si>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</si>
  <si>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</si>
  <si>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</si>
  <si>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</si>
  <si>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</si>
  <si>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</si>
  <si>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</si>
  <si>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</si>
  <si>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</si>
  <si>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</si>
  <si>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</si>
  <si>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</si>
  <si>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</si>
  <si>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</si>
  <si>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</si>
  <si>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</si>
  <si>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</si>
  <si>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</si>
  <si>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</si>
  <si>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</si>
  <si>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</si>
  <si>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</si>
  <si>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</si>
  <si>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</si>
  <si>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</si>
  <si>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</si>
  <si>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</si>
  <si>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</si>
  <si>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</si>
  <si>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</si>
  <si>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</si>
  <si>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</si>
  <si>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</si>
  <si>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</si>
  <si>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</si>
  <si>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</si>
  <si>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</si>
  <si>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</si>
  <si>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</si>
  <si>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</si>
  <si>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</si>
  <si>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</si>
  <si>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</si>
  <si>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</si>
  <si>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</si>
  <si>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</si>
  <si>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</si>
  <si>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</si>
  <si>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</si>
  <si>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</si>
  <si>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</si>
  <si>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</si>
  <si>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</si>
  <si>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</si>
  <si>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</si>
  <si>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</si>
  <si>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</si>
  <si>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</si>
  <si>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</si>
  <si>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</si>
  <si>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</si>
  <si>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</si>
  <si>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</si>
  <si>
    <t>WD Purple Surveillance Hard Disk 4` TB</t>
  </si>
  <si>
    <t>Dahus 2MP IP Bullet with inbuilt Audio</t>
  </si>
  <si>
    <t>Dahua NVR Professional Series 16CH</t>
  </si>
  <si>
    <t>1) Dahua 4 MP Bullet camera @ 6500+- GST</t>
  </si>
  <si>
    <t>1) Honeywell 4 MP Bullet with inbuilt Audio 4 MM lens @ 6900+- GST</t>
  </si>
  <si>
    <t>If required extra Supply and laying of cat 6 cables through PVC pipe / casing caping to be chrarged as actualls @ 90/- per mtr + GST</t>
  </si>
  <si>
    <t>2) Honeywell NVR Professional Series 10CH 11880/- + GST</t>
  </si>
  <si>
    <t>I-HNVR-1220</t>
  </si>
  <si>
    <t>I-HABC-2005PI</t>
  </si>
  <si>
    <t>I-HA-DVR-2116-L</t>
  </si>
  <si>
    <t>4 + 2 Port POE Giga Switch D link or Secue Eye or Similar</t>
  </si>
  <si>
    <t>Supply and laying of cat 6 cables through provided PVC pipe / conduit to be chrarged as actualls</t>
  </si>
  <si>
    <t>Dahua 2MP IP Bullet with inbuilt Audio</t>
  </si>
  <si>
    <t>Cabling RJ 59 copper + 3 / Cat 6 with casing, cabling, laying</t>
  </si>
  <si>
    <t>Dahua2MP Bullet Camera</t>
  </si>
  <si>
    <t>Dahua 16 CH DVR, Professional series</t>
  </si>
  <si>
    <t>32ch dvr dahua 9510/-</t>
  </si>
  <si>
    <t>If required extra Supply and laying of cat 6 cables through provided  pipe / conduit to be chrarged as actualls @ 78/- per mtr + GST</t>
  </si>
  <si>
    <t>16 + 2 Port POE Giga Switch D link or Secue Eye or Similar</t>
  </si>
  <si>
    <t>Honeywell or Similar 2MP IP Bullet with inbuilt Audio</t>
  </si>
  <si>
    <t>Honeywell or Similar 2MP Bullet Camera</t>
  </si>
  <si>
    <t>Honeywell or Similar 16 CH DVR, Professional series</t>
  </si>
  <si>
    <t>Cabling RJ 59 copper + 3 / Cat 6 with casing, cabling, laying to be charged as actuals @ 78/- (per mtr) + GST</t>
  </si>
  <si>
    <t>Honeywell or Similar NVR Professional Series 20CH</t>
  </si>
  <si>
    <t>Supply and laying of cat 6 cables through PVC pipe / casing caping to be chrarged as actualls @ 90/- per mtr + GST</t>
  </si>
  <si>
    <t>2) Dahua NVR Professional Series 16CH @13100/-+ GST</t>
  </si>
  <si>
    <t>Dahua NVR Professional Series 8CH</t>
  </si>
  <si>
    <t>2) Honeywell NVR Professional Series 20CH @14120/-+GST</t>
  </si>
  <si>
    <t>Module Components</t>
  </si>
  <si>
    <t>Processor</t>
  </si>
  <si>
    <t>A i5-12500 (6 Cores/18MB/12T/3.0GHz to 4.6GHz/65W); supports Win11/Win11 DG/Linux)</t>
  </si>
  <si>
    <t>Memory</t>
  </si>
  <si>
    <t>8GB (1x8GB) DDR4 Non-ECC Memory</t>
  </si>
  <si>
    <t>Chassis Options</t>
  </si>
  <si>
    <t>180 W internal power supply unit (PSU), 85% Efficient, 80 Plus Bronze</t>
  </si>
  <si>
    <t>Video Card</t>
  </si>
  <si>
    <t>Intel Integrated Graphics</t>
  </si>
  <si>
    <t>Hard Drive</t>
  </si>
  <si>
    <t>M.2 2230 256GB PCIe NVMe Class 35 Solid State Drive (EM)</t>
  </si>
  <si>
    <t xml:space="preserve">M.2 22x30 Thermal Pad </t>
  </si>
  <si>
    <t>M2X3.5 Screw for SSD/DDPE</t>
  </si>
  <si>
    <t>Keyboard</t>
  </si>
  <si>
    <t>Dell Multimedia Keyboard-KB216 - US International (QWERTY) - Black</t>
  </si>
  <si>
    <t>Mouse</t>
  </si>
  <si>
    <t>Dell USB Optical Mouse-MS116 (EPEAT) - Black</t>
  </si>
  <si>
    <t>Reader</t>
  </si>
  <si>
    <t>OptiPlex 3000 OR 7000 SFF</t>
  </si>
  <si>
    <t>Additional Storage Devices - Media Reader</t>
  </si>
  <si>
    <t>Chassis Intrusion Switch</t>
  </si>
  <si>
    <t>Optical Drive</t>
  </si>
  <si>
    <t>No Optical Drive</t>
  </si>
  <si>
    <t>Optical Software</t>
  </si>
  <si>
    <t>Cyberlink Media Suite Essentials Not Included</t>
  </si>
  <si>
    <t>Power Cord</t>
  </si>
  <si>
    <t>System Power Cord India 6A</t>
  </si>
  <si>
    <t>Software Stack</t>
  </si>
  <si>
    <t>Dell Client System Update (Updates latest Dell Recommended BIOS, Drivers, Firmware and Apps)</t>
  </si>
  <si>
    <t>Windows PKID Label</t>
  </si>
  <si>
    <t>SW Driver, Intel Rapid Storage Technology, OptiPlex 3000</t>
  </si>
  <si>
    <t>Documentation</t>
  </si>
  <si>
    <t>Document for MUI (English, Khemer, Bahasa Indonesia, Arabic, Spanish)</t>
  </si>
  <si>
    <t>Placemat</t>
  </si>
  <si>
    <t>Quick Start Guide</t>
  </si>
  <si>
    <t>Shipping Material</t>
  </si>
  <si>
    <t>Shipping Label for APCC and ICC</t>
  </si>
  <si>
    <t>Shipping Material for SFF(ICC)</t>
  </si>
  <si>
    <t>Processor Label</t>
  </si>
  <si>
    <t>Intel Core i5 Processor Label</t>
  </si>
  <si>
    <t>Label</t>
  </si>
  <si>
    <t xml:space="preserve">Regulatory Label for OptiPlex 3000 SFF 180W, ICC </t>
  </si>
  <si>
    <t>System Monitoring Options</t>
  </si>
  <si>
    <t>System Monitoring not selected in this configuration</t>
  </si>
  <si>
    <t>Bios for TPM</t>
  </si>
  <si>
    <t>Trusted Platform Module (Discrete TPM Enabled)</t>
  </si>
  <si>
    <t>Speakers</t>
  </si>
  <si>
    <t>Internal Speaker</t>
  </si>
  <si>
    <t>Mod Specs Info (India)</t>
  </si>
  <si>
    <t>Regional Specific Info</t>
  </si>
  <si>
    <t>FGA Module</t>
  </si>
  <si>
    <t xml:space="preserve">Fixed Hardware Configuration </t>
  </si>
  <si>
    <t>Bundle</t>
  </si>
  <si>
    <t>OptiPlex 3000 or 7000 SFF</t>
  </si>
  <si>
    <t>Operating System</t>
  </si>
  <si>
    <t>Windows 11 Pro, English</t>
  </si>
  <si>
    <t>SupportAssist</t>
  </si>
  <si>
    <t xml:space="preserve">Dell(TM) Digital Delivery Cirrus Client </t>
  </si>
  <si>
    <t>Waves Maxx Audio</t>
  </si>
  <si>
    <t xml:space="preserve">Dell SupportAssist OS Recovery Tool </t>
  </si>
  <si>
    <t>Systems Management</t>
  </si>
  <si>
    <t xml:space="preserve">In-Band Systems Management </t>
  </si>
  <si>
    <t>Microsoft Application Software</t>
  </si>
  <si>
    <t xml:space="preserve">Microsoft Office Trial(30 Days) </t>
  </si>
  <si>
    <t>Service</t>
  </si>
  <si>
    <t>Basic Onsite Service 12 Months</t>
  </si>
  <si>
    <t>Dell Services: Hardware Support</t>
  </si>
  <si>
    <t>Dell Services: Extended Service</t>
  </si>
  <si>
    <t>Basic Onsite Service Extension, 24 Month(s)</t>
  </si>
  <si>
    <t>Windows 11, English</t>
  </si>
  <si>
    <t>Dell Monitor 19.5 / 20 inch</t>
  </si>
  <si>
    <t>*OptiPlex PC 3000 OR 7010 SFF/T</t>
  </si>
  <si>
    <t>Website Development with Home Page, Event Notice and Member Registration Form with Payment Gateway (Provided with transaction charges for every transaction levied by payment gateway provider)</t>
  </si>
  <si>
    <t>Honeywell 2 MP Motorized Bulet Camera</t>
  </si>
  <si>
    <t>Dahua 2 MP Motorized Bullet Camera</t>
  </si>
  <si>
    <t>Dahua NVR Professional Series 32 CH</t>
  </si>
  <si>
    <t>Dahua 2MP Bullet Camera</t>
  </si>
  <si>
    <t>Dahua 32 CH DVR, Professional series</t>
  </si>
  <si>
    <t>Dahua or Similar 32CH DVR, Professional series</t>
  </si>
  <si>
    <t>CGST 9%</t>
  </si>
  <si>
    <t>SGST 9%</t>
  </si>
  <si>
    <t>1750VA SWJ Microtek Heavy Duty Industrial UPS with backup using 180 ah Exide Invertor Tubular Battery with flat 3 years warranty</t>
  </si>
  <si>
    <t>* UPS Warranty is not fro 3 years only the battery warranty is for 3 years</t>
  </si>
  <si>
    <t>Honeywell 4 MP Bullet with inbuilt Audio 4 MM lens</t>
  </si>
  <si>
    <t>Honeywell  NVR Professional Series 5CH</t>
  </si>
  <si>
    <t>Dahua 4 MP IP Bullet with inbuilt Audio</t>
  </si>
  <si>
    <t>BB-Photo Cell(Safety IR Sensor)</t>
  </si>
  <si>
    <t xml:space="preserve"> </t>
  </si>
  <si>
    <t xml:space="preserve">LED on boom </t>
  </si>
  <si>
    <t xml:space="preserve">Remote Set ( Transmitter &amp; Receiver) </t>
  </si>
  <si>
    <t>Option 2(A) FAAC 620 STD hydraulic boom barrier, Maximum beam length up to 5 mtr.</t>
  </si>
  <si>
    <t>Option 2(B) FAAC B614 Electromechanical Boom barrier , Maximum beam length up to 5 mtr</t>
  </si>
  <si>
    <t>FAAC B680 H hydrualic boom barrier. Maximum beam length up to 5 Mtr. and foundation plate with J hooks</t>
  </si>
  <si>
    <t>Extra if required</t>
  </si>
  <si>
    <t xml:space="preserve">Installation Charges of boom barrier system without civil and electrical work </t>
  </si>
  <si>
    <t>FAAC B614 electromechanical boom barrier. Maximum beam length up to 5 Mtr. With foundation plate. Without LED on boom</t>
  </si>
  <si>
    <t>1) U10 (10Mtrs Longe range UHF Reader) @ 36024/- + GST</t>
  </si>
  <si>
    <t>Grey (AC Motor 6MTs Boom Barrier Right/Left)</t>
  </si>
  <si>
    <t>Manual Switch UP, Down, Stop</t>
  </si>
  <si>
    <t>Brushless DC motor Mts Boom Barrier Right/Left</t>
  </si>
  <si>
    <t>2 door Access Controller with box</t>
  </si>
  <si>
    <t>Honeywell or SImilar 8CH DVR, Professional series</t>
  </si>
  <si>
    <t>Eqvision</t>
  </si>
  <si>
    <t>Dahua</t>
  </si>
  <si>
    <t>8 ch 3000</t>
  </si>
  <si>
    <t>8ch 2900</t>
  </si>
  <si>
    <t>Hikvison 2MP Bullet Camera</t>
  </si>
  <si>
    <t>Hikvison or Similar 8CH DVR, Professional series</t>
  </si>
  <si>
    <t>Honeywell 2MP Bullet Camera</t>
  </si>
  <si>
    <t>1) Rosslare two door Access Controller @ 59000/- +GST</t>
  </si>
  <si>
    <t>2) RFID AE Reader @82000/- + GST</t>
  </si>
  <si>
    <t>3) Reader Mounting pole @ 8000/-+GST</t>
  </si>
  <si>
    <t>1) Access Control</t>
  </si>
  <si>
    <t>2) Face Attendence Devicce</t>
  </si>
  <si>
    <t>Irish Recognition System
-State of art optical design
- Advanced, proprietary stereoscopic eye localization
-Highest image quality
-Compact, lightweight design
-Stand-off distance of 35 to 45 cm in enrollment mode
-Optional Extended Depth of Capture for iris authentication in recognition mode 
-Real time image quality metrics
- Face image capture
-Very wide interpupillary distance
-Large on-board data bases for on-board identification and authentication
-Modular version for integration into kiosks or other enclosures 
-Cable connectors / 
-WiFi option
-Card reader option
-Local language support</t>
  </si>
  <si>
    <t>Multi-BiometricTimeAttendance&amp; AccessControl System,
-Fingerprint, face, RFID and password 4 type verification mode
-High-speed identification less than 1 second
-TCP/IP Port for Internet conenction
-Access Port available to control one lock and exit button
-Optional 5V 1900mAH UPS, standby upto 3 hours</t>
  </si>
  <si>
    <t>QUEST</t>
  </si>
  <si>
    <t>RPOTON</t>
  </si>
  <si>
    <t>Computer USB I/O * Direct USB Playback * 4 Ch. *2XLR Mic &amp; 1 St * Echo *2 band EQ *Phantom* With Bluetooth</t>
  </si>
  <si>
    <t>Bluetooth / USB Convertor Box</t>
  </si>
  <si>
    <t>POWER X</t>
  </si>
  <si>
    <t>6''-2 WAY 40W</t>
  </si>
  <si>
    <t>8'' AND 1'', ACTIVE SPEAKER SYSTEM, PE CABINTE, 200W with buildin amplifier</t>
  </si>
  <si>
    <t>1) Make - JBL 300W Mixer Amplifier @ 54000/- + GST</t>
  </si>
  <si>
    <t>2) Make - NX AUDIO Dual Handheld * Quartz Locked Frequency * 300 Ft Operating Range * SMT Circuit* Accessories included @ 15000/- + GST</t>
  </si>
  <si>
    <t>W Box / Dlink or Similar 8CH DVR, Professional series</t>
  </si>
  <si>
    <t>4 ch</t>
  </si>
  <si>
    <t>W Box / Dlink or Similar 2MP Bullet / Dome Camera</t>
  </si>
  <si>
    <t>1) Network Rack @ 2900/- + GST</t>
  </si>
  <si>
    <t>3) Terminations to be charged as actuals</t>
  </si>
  <si>
    <t>4) Cabling to be charged as actuals.</t>
  </si>
  <si>
    <t>Honeywell or Similar NVR Professional Series 5CH</t>
  </si>
  <si>
    <t>Honeywell or Similar 4CH DVR, Professional series</t>
  </si>
  <si>
    <t>Honeywell /Wbox / Dahua or Similar 2MP IP Bullet with inbuilt Audio</t>
  </si>
  <si>
    <t>Honeywell /Wbox / Dahua or Similar 2MP Bullet Camera</t>
  </si>
  <si>
    <t>Honeywell or Similar 2MP Dome Camera</t>
  </si>
  <si>
    <t>Dahua 2MP Dome Camera</t>
  </si>
  <si>
    <t>Dahua 16CH DVR, Professional series</t>
  </si>
  <si>
    <t>Honeywell or Similar 2MP IP Dome with inbuilt Audio</t>
  </si>
  <si>
    <t>Honeywell or Similar NVR Professional Series 10CH</t>
  </si>
  <si>
    <t>Honeywell or Similar 5MP Bullet Camera</t>
  </si>
  <si>
    <t>Honeywell or Similar 8 CH DVR, Professional series</t>
  </si>
  <si>
    <t>Network Rack 2 U</t>
  </si>
  <si>
    <t>Honeywell or Similar 4MP IP Bullet with inbuilt Audio</t>
  </si>
  <si>
    <t>PVC Conduit with laying etc complete 20/25 mm</t>
  </si>
  <si>
    <t>Supply and laying of cat 6 cables with laying pulling etc complete through PVC pipe / casing caping</t>
  </si>
  <si>
    <t>If required extra Supply and laying of cat 6 cables through PVC pipe / casing caping to be chrarged as actualls @ 75/- per mtr + GST</t>
  </si>
  <si>
    <t>if required extra Cabling RJ 59 copper + 3 / Cat 6 with casing, cabling, laying to be charged as actuals @ 75/- (per mtr) + GST</t>
  </si>
  <si>
    <t>CP Plusr 2MP IP Bullet with inbuilt Audio</t>
  </si>
  <si>
    <t>Cp Plus 2MP IP Dome with inbuilt Audio</t>
  </si>
  <si>
    <t>Cp Plus NVR Professional Series 8CH</t>
  </si>
  <si>
    <t>Cp Plus 5MP IP Bullet Camera</t>
  </si>
  <si>
    <t>CP Plus 5MP Bullet Camera</t>
  </si>
  <si>
    <t xml:space="preserve">Qty  </t>
  </si>
  <si>
    <t xml:space="preserve">Cost  </t>
  </si>
  <si>
    <t>Amount with GST</t>
  </si>
  <si>
    <t>PVC Conduit with laying etc complete 20/25 mm to be charged as actual estimated  as below</t>
  </si>
  <si>
    <t>Cp Plus 8 CH DVR, Professional series</t>
  </si>
  <si>
    <t>Supply and laying of cat 6 cables with laying pulling etc complete through PVC pipe / casing caping to be charged as actuals estimated as below</t>
  </si>
  <si>
    <t>Cabling RJ 59 copper + 3 / Cat 6 with casing, cabling, laying  to be charged as actuals estimated as below</t>
  </si>
  <si>
    <t>3) Network Rack 2 U</t>
  </si>
  <si>
    <t>CP pLus 16 CH DVR, Professional series</t>
  </si>
  <si>
    <t>Hikvision IDS-7116HQHI-M1/S 16 CH Acussense DVR</t>
  </si>
  <si>
    <t>Hikvision 5mp HD Bullet Camera 16HoT-IT-PFS</t>
  </si>
  <si>
    <t>Dahua DHI-LM19 B200 19'' Monitor</t>
  </si>
  <si>
    <t>Camera Installatiuon Charges</t>
  </si>
  <si>
    <t>MTC 10 Amps SMPS (8Ch)</t>
  </si>
  <si>
    <t>Secure Eye Hdmi Extender 50m with USB For fixing and viewing the cameras near the</t>
  </si>
  <si>
    <t>Dlink Cat 6 cable</t>
  </si>
  <si>
    <t>Hikvision 2mp HD Dome Camjera DS-2CE7-6D0T-ITPFS</t>
  </si>
  <si>
    <t>Hikvision 5mp HD Dome Camjera DS-2CE7-6H0T-ITPFS</t>
  </si>
  <si>
    <t>CP Plus 2MP Bullet Camera</t>
  </si>
  <si>
    <t>Cp Plus 2MP Dome Camera</t>
  </si>
  <si>
    <t>CP Plus 16 CH DVR, Professional series</t>
  </si>
  <si>
    <t>Option 1 A</t>
  </si>
  <si>
    <t>Option 1 B</t>
  </si>
  <si>
    <t>In Lieu of</t>
  </si>
  <si>
    <t>1) Honeywell 5MP Bullet Camera @ 3880/- + GST</t>
  </si>
  <si>
    <t>Dahua 4CH DVR, Professional series</t>
  </si>
  <si>
    <t>Option 2 A</t>
  </si>
  <si>
    <t>Option 2 B</t>
  </si>
  <si>
    <t>Dahua 2MP IP Bullet Camera</t>
  </si>
  <si>
    <t>1) Dahua 5MP IP Bullet Camera @ 7900/- + GST</t>
  </si>
  <si>
    <t>1) Dahua 5MP Bullet Camera @ 3920/- + GST</t>
  </si>
  <si>
    <t>Honeywell 4 CH DVR, Professional series supporting 2 MP</t>
  </si>
  <si>
    <t>2) Honeywell 4 CH DVR, Professional series supporting 5 MP@ 8200/- + GST</t>
  </si>
  <si>
    <t>1) Honeywell 4MP IP Bullet Camera @ 8080/- + GST</t>
  </si>
  <si>
    <t>Network Rack</t>
  </si>
  <si>
    <t xml:space="preserve">Option 2 </t>
  </si>
  <si>
    <t>Inlieu armound cat 6 per mtr</t>
  </si>
  <si>
    <t>cable supply only so laying of cabling work in clinet sscope</t>
  </si>
  <si>
    <t>8*</t>
  </si>
  <si>
    <t>8) Armourd cable @ 125 per mtr + GST</t>
  </si>
  <si>
    <t>Cabling RJ 59 copper + 3 cable (Supply only)</t>
  </si>
  <si>
    <t>TOTAL (1)</t>
  </si>
  <si>
    <t>CGST (2)</t>
  </si>
  <si>
    <t>SGST (3)</t>
  </si>
  <si>
    <t>GRAND TOTAL (1+2+3)</t>
  </si>
  <si>
    <t/>
  </si>
  <si>
    <t xml:space="preserve"> Cat 6 Cable (Supply only)</t>
  </si>
  <si>
    <t>2.4 mp</t>
  </si>
  <si>
    <t>power supply</t>
  </si>
  <si>
    <t>16 ch dvr</t>
  </si>
  <si>
    <t xml:space="preserve"> 2u rack</t>
  </si>
  <si>
    <t>bnc</t>
  </si>
  <si>
    <t>dc</t>
  </si>
  <si>
    <t>cable with laying</t>
  </si>
  <si>
    <t>cat 6 cable</t>
  </si>
  <si>
    <t>convertor</t>
  </si>
  <si>
    <t>2tb hdd</t>
  </si>
  <si>
    <t>Ups 600va</t>
  </si>
  <si>
    <t>30/- per mtr</t>
  </si>
  <si>
    <t>270 mtrs</t>
  </si>
  <si>
    <t>convertor hdmi</t>
  </si>
  <si>
    <t>Quoted Price by Vatareshwar person</t>
  </si>
  <si>
    <t>Red marked Joaquim price</t>
  </si>
  <si>
    <t>W Box 5 MP Bullet Camera</t>
  </si>
  <si>
    <t>W Box 5 MP Dome Camera</t>
  </si>
  <si>
    <t>W Box 2 MP Dome Camera</t>
  </si>
  <si>
    <t>g</t>
  </si>
  <si>
    <t>W Box 2 MP Bullet</t>
  </si>
  <si>
    <t>W Box</t>
  </si>
  <si>
    <t>CP supporting 5 mp</t>
  </si>
  <si>
    <t>CP Plus high definition 16 CH DVR, Professional series supporting up to 8MP</t>
  </si>
  <si>
    <t>s</t>
  </si>
  <si>
    <t>Finch 30 Kva UPS</t>
  </si>
  <si>
    <t>CGST 14%</t>
  </si>
  <si>
    <t>SGST 14%</t>
  </si>
  <si>
    <t>GRAND TOTAL</t>
  </si>
  <si>
    <t>CSGT @ 9%</t>
  </si>
  <si>
    <t>SGST @ 9%</t>
  </si>
  <si>
    <t>CGST @ 14%</t>
  </si>
  <si>
    <t>SGST @ 14%</t>
  </si>
  <si>
    <t>65 AH Battery</t>
  </si>
  <si>
    <t>APC 30 KVA UPS 3:1</t>
  </si>
  <si>
    <t>APC 30 KVA UPS 3:3</t>
  </si>
  <si>
    <t>Exide 42 AH Battery</t>
  </si>
  <si>
    <t>UPS Price ITA 30 kva (3x3) with IGBT based rectifier</t>
  </si>
  <si>
    <t>Rack and interlinks</t>
  </si>
  <si>
    <t>Transportation &amp; Commisioning Charges</t>
  </si>
  <si>
    <t>Optional</t>
  </si>
  <si>
    <t>1) Battery isolator for 6900/- + GST</t>
  </si>
  <si>
    <t>PHOTOCELL</t>
  </si>
  <si>
    <t>PUSH BUTTON</t>
  </si>
  <si>
    <t>AZ-BB114-4M BLDC 4MTR/ PRO KIT BLDC BOOM BARRIER /PRO KIT BARRIER - AZ- 114 BLDC TELESCOPIC BOOM 4 MTR - AZ- BT 01-4M TRANSMITTER - AZ-BBTX 22 - 2 NOS VHOLDER - AZ-BBVH</t>
  </si>
  <si>
    <t>LOOP DETECTOR</t>
  </si>
  <si>
    <t>MOTOR INSTALLATION (wiring and civil work in client scope)</t>
  </si>
  <si>
    <t>1) Honeywell 5MP Varifocal Bullet Camera @ 17360/- + GST</t>
  </si>
  <si>
    <t>Honeywell / Dahua or Similar 2MP IP Bullet Camera</t>
  </si>
  <si>
    <t>8+2 port 10/100/1000 POE switch D link or Secue Eye or Similar</t>
  </si>
  <si>
    <t>Home Automation Solution</t>
  </si>
  <si>
    <t>Icons</t>
  </si>
  <si>
    <t>Basement Floor</t>
  </si>
  <si>
    <t>Ground Floor</t>
  </si>
  <si>
    <t>First Floor</t>
  </si>
  <si>
    <t>Varandah 4</t>
  </si>
  <si>
    <t>Entertainment</t>
  </si>
  <si>
    <t>Convenience</t>
  </si>
  <si>
    <t>User Interface</t>
  </si>
  <si>
    <t>Ambience</t>
  </si>
  <si>
    <t>Comfort</t>
  </si>
  <si>
    <t>Room</t>
  </si>
  <si>
    <t>Lighting On/Off</t>
  </si>
  <si>
    <t>Lighting Dimming (DALI)</t>
  </si>
  <si>
    <t>Curtain Points (No of Motors)</t>
  </si>
  <si>
    <t>AC Control</t>
  </si>
  <si>
    <t>Occupancy Sensor</t>
  </si>
  <si>
    <t>8 Button</t>
  </si>
  <si>
    <t>4 Button</t>
  </si>
  <si>
    <t>Pico</t>
  </si>
  <si>
    <t>I pad</t>
  </si>
  <si>
    <t>No of Speakers of BGM</t>
  </si>
  <si>
    <t>Audio Zones for Background Music</t>
  </si>
  <si>
    <t>Lobby</t>
  </si>
  <si>
    <t>Outdoor Living Deck</t>
  </si>
  <si>
    <t>Electrical Room</t>
  </si>
  <si>
    <t>Bed Room 1</t>
  </si>
  <si>
    <t>Wardrobe</t>
  </si>
  <si>
    <t>Wash Room</t>
  </si>
  <si>
    <t>Bath Room</t>
  </si>
  <si>
    <t>Kitchen / Entertainment Room</t>
  </si>
  <si>
    <t>1) DC Breaker - 19500/- + GST</t>
  </si>
  <si>
    <t>2) Snmp Card - 18900/- + GST</t>
  </si>
  <si>
    <t xml:space="preserve">Easy UPS 3S 30 KVA 400 V 3:1 UPS 30 KVA </t>
  </si>
  <si>
    <t>42ah 32 nos Exide_15min backup</t>
  </si>
  <si>
    <t>Rack/Interlinks/DC Cables</t>
  </si>
  <si>
    <t>Freight, Unloading, Positioning at Site</t>
  </si>
  <si>
    <t>Comminisioning of UPS with Batteries</t>
  </si>
  <si>
    <t>Pantry</t>
  </si>
  <si>
    <t>Gym</t>
  </si>
  <si>
    <t>Massage</t>
  </si>
  <si>
    <t>Corridor</t>
  </si>
  <si>
    <t>Office</t>
  </si>
  <si>
    <t>Powder Room</t>
  </si>
  <si>
    <t>Elec Room</t>
  </si>
  <si>
    <t xml:space="preserve">Kitchen  </t>
  </si>
  <si>
    <t>Bed Room 2</t>
  </si>
  <si>
    <t>Wadrobe 2</t>
  </si>
  <si>
    <t>wash room 2</t>
  </si>
  <si>
    <t>Varandah 2</t>
  </si>
  <si>
    <t>Living / Dining</t>
  </si>
  <si>
    <t>Bed Room 3</t>
  </si>
  <si>
    <t>Varandah 3</t>
  </si>
  <si>
    <t>Wadrobe 3</t>
  </si>
  <si>
    <t>wash room 3</t>
  </si>
  <si>
    <t>Staicase</t>
  </si>
  <si>
    <t>Living Area</t>
  </si>
  <si>
    <t>Wadrobe</t>
  </si>
  <si>
    <t>Varandah</t>
  </si>
  <si>
    <t>Jacuzzi</t>
  </si>
  <si>
    <t>Bed Room 4</t>
  </si>
  <si>
    <t>Wadrobe 4</t>
  </si>
  <si>
    <t>Wash Room 4</t>
  </si>
  <si>
    <t>Total Qty</t>
  </si>
  <si>
    <t>Sr. No</t>
  </si>
  <si>
    <t>Model</t>
  </si>
  <si>
    <t>Rate</t>
  </si>
  <si>
    <t>Amount</t>
  </si>
  <si>
    <t>Lighting Control</t>
  </si>
  <si>
    <t>Lutron</t>
  </si>
  <si>
    <t>HomeWorks Processor QSX Processor 1 Configurable Links</t>
  </si>
  <si>
    <t>24 VDC DIN rail power supply with wire harnesses, for processor and links 2.5 Amp</t>
  </si>
  <si>
    <t>DALI Power Module, 2 loops with 64 ballasts each</t>
  </si>
  <si>
    <t>Switching Module - 5A, 230V</t>
  </si>
  <si>
    <t>4-button, Arctic White</t>
  </si>
  <si>
    <t>Pico Faceplate</t>
  </si>
  <si>
    <t>Palladiom Keypad (With Faceplate) HomeWorks, 1-Gang Architectural Matte, White</t>
  </si>
  <si>
    <t>Palladiom Keypad (With Faceplate) HomeWorks, 2-Gang Architectural Matte, White</t>
  </si>
  <si>
    <t>WIRELESS SENSOR MODULE, 865 MHZ</t>
  </si>
  <si>
    <t>Radio Power Savr Wireless Occupancy Ceiling Sensor</t>
  </si>
  <si>
    <t>Wire Landing Board</t>
  </si>
  <si>
    <t>Customized Automation DB, Cables and Accessories</t>
  </si>
  <si>
    <t>Design, Installation, Connectivity and Programming Charges</t>
  </si>
  <si>
    <t>GST %</t>
  </si>
  <si>
    <t>GRAND TOTAL with GST</t>
  </si>
  <si>
    <t>Standard</t>
  </si>
  <si>
    <t>QT-WJ6</t>
  </si>
  <si>
    <t>JLQSE8S5230D</t>
  </si>
  <si>
    <t>JHQP91</t>
  </si>
  <si>
    <t>JQSPSHH75H</t>
  </si>
  <si>
    <t>JLQSE2DJJVD</t>
  </si>
  <si>
    <t>JPM28BTJWP01</t>
  </si>
  <si>
    <t>HQJTSP4JWHE</t>
  </si>
  <si>
    <t>LFJPS1TAW</t>
  </si>
  <si>
    <t>QJM5XJC</t>
  </si>
  <si>
    <t>HJWTSP4RJWHJE</t>
  </si>
  <si>
    <t>LJ85OSR2JPWJ</t>
  </si>
  <si>
    <t>SNL520-617 – TS type with Locating ring (Masta) + 22220E/C3 (CNZ)</t>
  </si>
  <si>
    <t>27000/- + GST</t>
  </si>
  <si>
    <t>6KVA Fuji Electric Onlinbe UPS with build in iso;ation transformer with backup using Exide SMF 26 ah batteries 16 nos</t>
  </si>
  <si>
    <t>Honeywell or Similar 2MP IP Bullet Camera</t>
  </si>
  <si>
    <t>Honeywell or Similar NVR Professional Series 5 CH</t>
  </si>
  <si>
    <t>Honeywell / Dahua or Similar NVR Professional Series 10CH / 8CH</t>
  </si>
  <si>
    <t>Honeywell 2MP IP Bullet Camera</t>
  </si>
  <si>
    <t>Honeywell NVR Professional Series 40 CH</t>
  </si>
  <si>
    <t>1) Honeywell 4MP IP Varifocal Bullet Camera @ 17350/- + GST</t>
  </si>
  <si>
    <t>Network Rack 2U</t>
  </si>
  <si>
    <t>9*</t>
  </si>
  <si>
    <t>CCTV</t>
  </si>
  <si>
    <t>EPABX SYSTEM</t>
  </si>
  <si>
    <t>Matrix Ethernity 2 incoming/2/36 Extensions</t>
  </si>
  <si>
    <t>50 Pair Crone with module</t>
  </si>
  <si>
    <t>*Exisiting Handset to be used. If extra required to be charged ar 1200/- + GST</t>
  </si>
  <si>
    <t>* EPABX Cabling to be charged @ 90/-+ GST per mtr</t>
  </si>
  <si>
    <t>Network Rack 6U with fan, PDU Unit</t>
  </si>
  <si>
    <t>8+2 port  POE Giga switch TP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</si>
</sst>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
      <sz val="11"/>
      <color theme="1"/>
      <name val="Calibri  "/>
    </font>
    <font>
      <b/>
      <sz val="11"/>
      <color theme="1"/>
      <name val="Calibri  "/>
    </font>
    <font>
      <sz val="10"/>
      <color rgb="FF000000"/>
      <name val="Calibri"/>
      <family val="2"/>
      <scheme val="minor"/>
    </font>
    <font>
      <b/>
      <sz val="10"/>
      <color theme="1"/>
      <name val="Arial"/>
      <family val="2"/>
    </font>
    <font>
      <sz val="10"/>
      <color theme="1"/>
      <name val="Arial"/>
      <family val="2"/>
    </font>
    <font>
      <sz val="11"/>
      <color rgb="FFFF0000"/>
      <name val="Calibri"/>
      <family val="2"/>
      <scheme val="minor"/>
    </font>
    <font>
      <sz val="11"/>
      <color rgb="FF000000"/>
      <name val="Calibri  "/>
    </font>
    <font>
      <b/>
      <sz val="9"/>
      <color theme="1"/>
      <name val="Calibri  "/>
    </font>
    <font>
      <sz val="9"/>
      <color theme="1"/>
      <name val="Calibri  "/>
    </font>
    <font>
      <sz val="9"/>
      <color rgb="FF000000"/>
      <name val="Calibri  "/>
    </font>
    <font>
      <b/>
      <sz val="10"/>
      <color theme="1" tint="0.249977111117893"/>
      <name val="Calibri  "/>
    </font>
    <font>
      <sz val="11"/>
      <color theme="1" tint="0.249977111117893"/>
      <name val="Calibri  "/>
    </font>
    <font>
      <sz val="10"/>
      <color theme="1" tint="0.249977111117893"/>
      <name val="Calibri  "/>
    </font>
    <font>
      <sz val="12"/>
      <color theme="1" tint="0.249977111117893"/>
      <name val="Calibri  "/>
    </font>
  </fonts>
  <fills count="11">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
      <patternFill patternType="solid">
        <fgColor theme="4"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383">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0" xfId="0" applyFont="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14" xfId="0" applyFont="1" applyBorder="1" applyAlignment="1">
      <alignment horizontal="center" vertical="center" wrapText="1"/>
    </xf>
    <xf numFmtId="0" fontId="23"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7"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1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14" xfId="0" applyFont="1" applyBorder="1" applyAlignment="1">
      <alignment horizontal="center" vertical="center" wrapText="1"/>
    </xf>
    <xf numFmtId="0" fontId="25" fillId="0" borderId="0" xfId="0" applyFont="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Border="1" applyAlignment="1">
      <alignment horizontal="center" vertical="center"/>
    </xf>
    <xf numFmtId="0" fontId="0" fillId="4" borderId="0" xfId="0" applyFill="1"/>
    <xf numFmtId="0" fontId="10" fillId="0" borderId="14" xfId="0" applyFont="1" applyBorder="1" applyAlignment="1">
      <alignment horizontal="center" vertical="center" wrapText="1"/>
    </xf>
    <xf numFmtId="0" fontId="9"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3" xfId="0" applyFont="1" applyBorder="1" applyAlignment="1">
      <alignment horizontal="center" vertical="center" wrapText="1"/>
    </xf>
    <xf numFmtId="0" fontId="3" fillId="0" borderId="0" xfId="0" applyFont="1" applyAlignment="1">
      <alignment wrapText="1"/>
    </xf>
    <xf numFmtId="0"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1" fillId="0" borderId="0" xfId="0" applyFont="1" applyAlignment="1">
      <alignment horizontal="center" wrapText="1"/>
    </xf>
    <xf numFmtId="4" fontId="14" fillId="0" borderId="0" xfId="0" applyNumberFormat="1" applyFont="1" applyBorder="1" applyAlignment="1">
      <alignment horizontal="center" vertical="center" wrapText="1"/>
    </xf>
    <xf numFmtId="0" fontId="14" fillId="0" borderId="0"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0" xfId="0" applyFont="1"/>
    <xf numFmtId="0" fontId="29" fillId="0" borderId="0" xfId="0" applyFont="1" applyAlignment="1">
      <alignment horizontal="center" vertical="center" wrapText="1"/>
    </xf>
    <xf numFmtId="0" fontId="28" fillId="0" borderId="0" xfId="0" applyFont="1"/>
    <xf numFmtId="0" fontId="28" fillId="0" borderId="0"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Border="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left" vertical="top"/>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quotePrefix="1" applyFont="1" applyAlignment="1">
      <alignment horizontal="center"/>
    </xf>
    <xf numFmtId="1" fontId="1"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xf numFmtId="0" fontId="30" fillId="0" borderId="1" xfId="0" applyFont="1" applyBorder="1" applyAlignment="1">
      <alignment horizontal="center" vertical="center" wrapText="1"/>
    </xf>
    <xf numFmtId="0" fontId="0" fillId="0" borderId="13" xfId="0" applyBorder="1" applyAlignment="1">
      <alignment horizontal="center" vertical="center" wrapText="1"/>
    </xf>
    <xf numFmtId="0" fontId="0" fillId="0" borderId="1" xfId="0"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0" xfId="0" applyFont="1"/>
    <xf numFmtId="0" fontId="3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33" fillId="0" borderId="0" xfId="0" applyFont="1" applyAlignment="1">
      <alignment horizontal="center" vertical="center" wrapText="1"/>
    </xf>
    <xf numFmtId="0" fontId="33" fillId="0" borderId="0" xfId="0" applyFont="1" applyFill="1" applyAlignment="1">
      <alignment horizontal="center" vertical="center" wrapText="1"/>
    </xf>
    <xf numFmtId="0" fontId="32" fillId="4" borderId="1" xfId="0" applyFont="1" applyFill="1" applyBorder="1" applyAlignment="1">
      <alignment horizontal="center" vertical="center" wrapText="1"/>
    </xf>
    <xf numFmtId="0" fontId="32" fillId="4" borderId="0" xfId="0" applyFont="1" applyFill="1" applyAlignment="1">
      <alignment horizontal="center" vertical="center" wrapText="1"/>
    </xf>
    <xf numFmtId="0" fontId="33" fillId="10" borderId="1" xfId="0" applyFont="1" applyFill="1" applyBorder="1" applyAlignment="1">
      <alignment horizontal="center" vertical="center" wrapText="1"/>
    </xf>
    <xf numFmtId="0" fontId="33" fillId="10" borderId="14" xfId="0" applyFont="1" applyFill="1" applyBorder="1" applyAlignment="1">
      <alignment horizontal="center" vertical="center" wrapText="1"/>
    </xf>
    <xf numFmtId="0" fontId="34"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33" fillId="0" borderId="4" xfId="0" applyFont="1" applyBorder="1" applyAlignment="1">
      <alignment horizontal="center" vertical="center" wrapText="1"/>
    </xf>
    <xf numFmtId="0" fontId="33" fillId="4" borderId="1" xfId="0" applyFont="1" applyFill="1" applyBorder="1" applyAlignment="1">
      <alignment horizontal="center" vertical="center" wrapText="1"/>
    </xf>
    <xf numFmtId="0" fontId="33" fillId="10" borderId="4" xfId="0" applyFont="1" applyFill="1" applyBorder="1" applyAlignment="1">
      <alignment horizontal="center" vertical="center" wrapText="1"/>
    </xf>
    <xf numFmtId="9" fontId="33" fillId="0" borderId="1" xfId="0" applyNumberFormat="1" applyFont="1" applyBorder="1" applyAlignment="1">
      <alignment horizontal="center" vertical="center" wrapText="1"/>
    </xf>
    <xf numFmtId="0" fontId="33" fillId="0" borderId="14" xfId="0" applyFont="1" applyBorder="1" applyAlignment="1">
      <alignment horizontal="center" vertical="center" wrapText="1"/>
    </xf>
    <xf numFmtId="0" fontId="3" fillId="10"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5" fillId="0" borderId="1" xfId="0" applyFont="1" applyBorder="1" applyAlignment="1">
      <alignment horizontal="center" vertical="center" wrapText="1"/>
    </xf>
    <xf numFmtId="0" fontId="36" fillId="0" borderId="0" xfId="0" applyFont="1"/>
    <xf numFmtId="0" fontId="37" fillId="0" borderId="1" xfId="0" applyFont="1" applyBorder="1" applyAlignment="1">
      <alignment horizontal="center" vertical="center" wrapText="1"/>
    </xf>
    <xf numFmtId="0" fontId="3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0" fontId="1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5" fillId="0" borderId="14"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4" fontId="14" fillId="0" borderId="1" xfId="0" applyNumberFormat="1" applyFont="1" applyBorder="1" applyAlignment="1">
      <alignment horizontal="center" vertical="center" wrapText="1"/>
    </xf>
    <xf numFmtId="4" fontId="14" fillId="0" borderId="2" xfId="0" applyNumberFormat="1" applyFont="1" applyBorder="1" applyAlignment="1">
      <alignment horizontal="center" vertical="center" wrapText="1"/>
    </xf>
    <xf numFmtId="4" fontId="14" fillId="0" borderId="3" xfId="0" applyNumberFormat="1" applyFont="1" applyBorder="1" applyAlignment="1">
      <alignment horizontal="center" vertical="center" wrapText="1"/>
    </xf>
    <xf numFmtId="4" fontId="14" fillId="0" borderId="4" xfId="0" applyNumberFormat="1" applyFont="1" applyBorder="1" applyAlignment="1">
      <alignment horizontal="center" vertical="center" wrapText="1"/>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0" fontId="28" fillId="0" borderId="1"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4"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32" fillId="0" borderId="11" xfId="0" applyFont="1" applyBorder="1" applyAlignment="1">
      <alignment horizontal="center" vertical="center" wrapText="1"/>
    </xf>
    <xf numFmtId="0" fontId="3" fillId="10" borderId="7" xfId="0" applyFont="1" applyFill="1" applyBorder="1" applyAlignment="1">
      <alignment horizontal="center" vertical="center" wrapText="1"/>
    </xf>
    <xf numFmtId="0" fontId="3" fillId="10" borderId="9"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3" fillId="10" borderId="12" xfId="0" applyFont="1" applyFill="1" applyBorder="1" applyAlignment="1">
      <alignment horizontal="center" vertical="center" wrapText="1"/>
    </xf>
    <xf numFmtId="0" fontId="33" fillId="0" borderId="14" xfId="0" applyFont="1" applyBorder="1" applyAlignment="1">
      <alignment horizontal="center" vertical="center" wrapText="1"/>
    </xf>
    <xf numFmtId="0" fontId="33" fillId="0" borderId="13" xfId="0" applyFont="1" applyBorder="1" applyAlignment="1">
      <alignment horizontal="center" vertical="center" wrapText="1"/>
    </xf>
    <xf numFmtId="0" fontId="33" fillId="0" borderId="1" xfId="0" applyFont="1" applyBorder="1" applyAlignment="1">
      <alignment horizontal="center" vertical="center" wrapText="1"/>
    </xf>
    <xf numFmtId="0" fontId="3" fillId="10" borderId="2"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14"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4</xdr:row>
      <xdr:rowOff>251460</xdr:rowOff>
    </xdr:from>
    <xdr:to>
      <xdr:col>2</xdr:col>
      <xdr:colOff>51273</xdr:colOff>
      <xdr:row>4</xdr:row>
      <xdr:rowOff>763793</xdr:rowOff>
    </xdr:to>
    <xdr:pic>
      <xdr:nvPicPr>
        <xdr:cNvPr id="3" name="Picture 2"/>
        <xdr:cNvPicPr>
          <a:picLocks noChangeAspect="1"/>
        </xdr:cNvPicPr>
      </xdr:nvPicPr>
      <xdr:blipFill>
        <a:blip xmlns:r="http://schemas.openxmlformats.org/officeDocument/2006/relationships" r:embed="rId1"/>
        <a:stretch>
          <a:fillRect/>
        </a:stretch>
      </xdr:blipFill>
      <xdr:spPr>
        <a:xfrm>
          <a:off x="1074420" y="2042160"/>
          <a:ext cx="462753" cy="512333"/>
        </a:xfrm>
        <a:prstGeom prst="rect">
          <a:avLst/>
        </a:prstGeom>
      </xdr:spPr>
    </xdr:pic>
    <xdr:clientData/>
  </xdr:twoCellAnchor>
  <xdr:twoCellAnchor editAs="oneCell">
    <xdr:from>
      <xdr:col>2</xdr:col>
      <xdr:colOff>60961</xdr:colOff>
      <xdr:row>4</xdr:row>
      <xdr:rowOff>239182</xdr:rowOff>
    </xdr:from>
    <xdr:to>
      <xdr:col>2</xdr:col>
      <xdr:colOff>624841</xdr:colOff>
      <xdr:row>4</xdr:row>
      <xdr:rowOff>746674</xdr:rowOff>
    </xdr:to>
    <xdr:pic>
      <xdr:nvPicPr>
        <xdr:cNvPr id="4" name="Picture 3"/>
        <xdr:cNvPicPr>
          <a:picLocks noChangeAspect="1"/>
        </xdr:cNvPicPr>
      </xdr:nvPicPr>
      <xdr:blipFill>
        <a:blip xmlns:r="http://schemas.openxmlformats.org/officeDocument/2006/relationships" r:embed="rId2"/>
        <a:stretch>
          <a:fillRect/>
        </a:stretch>
      </xdr:blipFill>
      <xdr:spPr>
        <a:xfrm>
          <a:off x="1866901" y="2029882"/>
          <a:ext cx="563880" cy="507492"/>
        </a:xfrm>
        <a:prstGeom prst="rect">
          <a:avLst/>
        </a:prstGeom>
      </xdr:spPr>
    </xdr:pic>
    <xdr:clientData/>
  </xdr:twoCellAnchor>
  <xdr:twoCellAnchor editAs="oneCell">
    <xdr:from>
      <xdr:col>3</xdr:col>
      <xdr:colOff>91441</xdr:colOff>
      <xdr:row>4</xdr:row>
      <xdr:rowOff>190500</xdr:rowOff>
    </xdr:from>
    <xdr:to>
      <xdr:col>3</xdr:col>
      <xdr:colOff>643218</xdr:colOff>
      <xdr:row>4</xdr:row>
      <xdr:rowOff>729593</xdr:rowOff>
    </xdr:to>
    <xdr:pic>
      <xdr:nvPicPr>
        <xdr:cNvPr id="5" name="Picture 4"/>
        <xdr:cNvPicPr>
          <a:picLocks noChangeAspect="1"/>
        </xdr:cNvPicPr>
      </xdr:nvPicPr>
      <xdr:blipFill>
        <a:blip xmlns:r="http://schemas.openxmlformats.org/officeDocument/2006/relationships" r:embed="rId3"/>
        <a:stretch>
          <a:fillRect/>
        </a:stretch>
      </xdr:blipFill>
      <xdr:spPr>
        <a:xfrm>
          <a:off x="2659381" y="1981200"/>
          <a:ext cx="551777" cy="539093"/>
        </a:xfrm>
        <a:prstGeom prst="rect">
          <a:avLst/>
        </a:prstGeom>
      </xdr:spPr>
    </xdr:pic>
    <xdr:clientData/>
  </xdr:twoCellAnchor>
  <xdr:twoCellAnchor editAs="oneCell">
    <xdr:from>
      <xdr:col>4</xdr:col>
      <xdr:colOff>137160</xdr:colOff>
      <xdr:row>4</xdr:row>
      <xdr:rowOff>239499</xdr:rowOff>
    </xdr:from>
    <xdr:to>
      <xdr:col>5</xdr:col>
      <xdr:colOff>304800</xdr:colOff>
      <xdr:row>4</xdr:row>
      <xdr:rowOff>735247</xdr:rowOff>
    </xdr:to>
    <xdr:pic>
      <xdr:nvPicPr>
        <xdr:cNvPr id="6" name="Picture 5"/>
        <xdr:cNvPicPr>
          <a:picLocks noChangeAspect="1"/>
        </xdr:cNvPicPr>
      </xdr:nvPicPr>
      <xdr:blipFill>
        <a:blip xmlns:r="http://schemas.openxmlformats.org/officeDocument/2006/relationships" r:embed="rId4"/>
        <a:stretch>
          <a:fillRect/>
        </a:stretch>
      </xdr:blipFill>
      <xdr:spPr>
        <a:xfrm>
          <a:off x="3505200" y="2030199"/>
          <a:ext cx="601980" cy="495748"/>
        </a:xfrm>
        <a:prstGeom prst="rect">
          <a:avLst/>
        </a:prstGeom>
      </xdr:spPr>
    </xdr:pic>
    <xdr:clientData/>
  </xdr:twoCellAnchor>
  <xdr:twoCellAnchor editAs="oneCell">
    <xdr:from>
      <xdr:col>5</xdr:col>
      <xdr:colOff>228600</xdr:colOff>
      <xdr:row>4</xdr:row>
      <xdr:rowOff>135170</xdr:rowOff>
    </xdr:from>
    <xdr:to>
      <xdr:col>6</xdr:col>
      <xdr:colOff>198120</xdr:colOff>
      <xdr:row>4</xdr:row>
      <xdr:rowOff>599990</xdr:rowOff>
    </xdr:to>
    <xdr:pic>
      <xdr:nvPicPr>
        <xdr:cNvPr id="7" name="Picture 6"/>
        <xdr:cNvPicPr>
          <a:picLocks noChangeAspect="1"/>
        </xdr:cNvPicPr>
      </xdr:nvPicPr>
      <xdr:blipFill>
        <a:blip xmlns:r="http://schemas.openxmlformats.org/officeDocument/2006/relationships" r:embed="rId5"/>
        <a:stretch>
          <a:fillRect/>
        </a:stretch>
      </xdr:blipFill>
      <xdr:spPr>
        <a:xfrm>
          <a:off x="4526280" y="1925870"/>
          <a:ext cx="464820" cy="464820"/>
        </a:xfrm>
        <a:prstGeom prst="rect">
          <a:avLst/>
        </a:prstGeom>
      </xdr:spPr>
    </xdr:pic>
    <xdr:clientData/>
  </xdr:twoCellAnchor>
  <xdr:twoCellAnchor editAs="oneCell">
    <xdr:from>
      <xdr:col>6</xdr:col>
      <xdr:colOff>30481</xdr:colOff>
      <xdr:row>4</xdr:row>
      <xdr:rowOff>210714</xdr:rowOff>
    </xdr:from>
    <xdr:to>
      <xdr:col>7</xdr:col>
      <xdr:colOff>114301</xdr:colOff>
      <xdr:row>4</xdr:row>
      <xdr:rowOff>832379</xdr:rowOff>
    </xdr:to>
    <xdr:pic>
      <xdr:nvPicPr>
        <xdr:cNvPr id="9" name="Picture 8"/>
        <xdr:cNvPicPr>
          <a:picLocks noChangeAspect="1"/>
        </xdr:cNvPicPr>
      </xdr:nvPicPr>
      <xdr:blipFill>
        <a:blip xmlns:r="http://schemas.openxmlformats.org/officeDocument/2006/relationships" r:embed="rId6"/>
        <a:stretch>
          <a:fillRect/>
        </a:stretch>
      </xdr:blipFill>
      <xdr:spPr>
        <a:xfrm>
          <a:off x="5135881" y="2001414"/>
          <a:ext cx="670560" cy="621665"/>
        </a:xfrm>
        <a:prstGeom prst="rect">
          <a:avLst/>
        </a:prstGeom>
      </xdr:spPr>
    </xdr:pic>
    <xdr:clientData/>
  </xdr:twoCellAnchor>
  <xdr:twoCellAnchor editAs="oneCell">
    <xdr:from>
      <xdr:col>7</xdr:col>
      <xdr:colOff>99060</xdr:colOff>
      <xdr:row>4</xdr:row>
      <xdr:rowOff>235314</xdr:rowOff>
    </xdr:from>
    <xdr:to>
      <xdr:col>8</xdr:col>
      <xdr:colOff>205740</xdr:colOff>
      <xdr:row>4</xdr:row>
      <xdr:rowOff>752386</xdr:rowOff>
    </xdr:to>
    <xdr:pic>
      <xdr:nvPicPr>
        <xdr:cNvPr id="10" name="Picture 9"/>
        <xdr:cNvPicPr>
          <a:picLocks noChangeAspect="1"/>
        </xdr:cNvPicPr>
      </xdr:nvPicPr>
      <xdr:blipFill>
        <a:blip xmlns:r="http://schemas.openxmlformats.org/officeDocument/2006/relationships" r:embed="rId7"/>
        <a:stretch>
          <a:fillRect/>
        </a:stretch>
      </xdr:blipFill>
      <xdr:spPr>
        <a:xfrm>
          <a:off x="6141720" y="2026014"/>
          <a:ext cx="579120" cy="517072"/>
        </a:xfrm>
        <a:prstGeom prst="rect">
          <a:avLst/>
        </a:prstGeom>
      </xdr:spPr>
    </xdr:pic>
    <xdr:clientData/>
  </xdr:twoCellAnchor>
  <xdr:twoCellAnchor editAs="oneCell">
    <xdr:from>
      <xdr:col>8</xdr:col>
      <xdr:colOff>22860</xdr:colOff>
      <xdr:row>4</xdr:row>
      <xdr:rowOff>190500</xdr:rowOff>
    </xdr:from>
    <xdr:to>
      <xdr:col>8</xdr:col>
      <xdr:colOff>535982</xdr:colOff>
      <xdr:row>4</xdr:row>
      <xdr:rowOff>880008</xdr:rowOff>
    </xdr:to>
    <xdr:pic>
      <xdr:nvPicPr>
        <xdr:cNvPr id="12" name="Picture 11"/>
        <xdr:cNvPicPr>
          <a:picLocks noChangeAspect="1"/>
        </xdr:cNvPicPr>
      </xdr:nvPicPr>
      <xdr:blipFill>
        <a:blip xmlns:r="http://schemas.openxmlformats.org/officeDocument/2006/relationships" r:embed="rId8"/>
        <a:stretch>
          <a:fillRect/>
        </a:stretch>
      </xdr:blipFill>
      <xdr:spPr>
        <a:xfrm>
          <a:off x="7033260" y="1981200"/>
          <a:ext cx="513122" cy="689508"/>
        </a:xfrm>
        <a:prstGeom prst="rect">
          <a:avLst/>
        </a:prstGeom>
      </xdr:spPr>
    </xdr:pic>
    <xdr:clientData/>
  </xdr:twoCellAnchor>
  <xdr:twoCellAnchor editAs="oneCell">
    <xdr:from>
      <xdr:col>10</xdr:col>
      <xdr:colOff>144780</xdr:colOff>
      <xdr:row>4</xdr:row>
      <xdr:rowOff>244968</xdr:rowOff>
    </xdr:from>
    <xdr:to>
      <xdr:col>10</xdr:col>
      <xdr:colOff>777240</xdr:colOff>
      <xdr:row>4</xdr:row>
      <xdr:rowOff>742862</xdr:rowOff>
    </xdr:to>
    <xdr:pic>
      <xdr:nvPicPr>
        <xdr:cNvPr id="13" name="Picture 12"/>
        <xdr:cNvPicPr>
          <a:picLocks noChangeAspect="1"/>
        </xdr:cNvPicPr>
      </xdr:nvPicPr>
      <xdr:blipFill>
        <a:blip xmlns:r="http://schemas.openxmlformats.org/officeDocument/2006/relationships" r:embed="rId9"/>
        <a:stretch>
          <a:fillRect/>
        </a:stretch>
      </xdr:blipFill>
      <xdr:spPr>
        <a:xfrm>
          <a:off x="8397240" y="2035668"/>
          <a:ext cx="632460" cy="497894"/>
        </a:xfrm>
        <a:prstGeom prst="rect">
          <a:avLst/>
        </a:prstGeom>
      </xdr:spPr>
    </xdr:pic>
    <xdr:clientData/>
  </xdr:twoCellAnchor>
  <xdr:twoCellAnchor editAs="oneCell">
    <xdr:from>
      <xdr:col>11</xdr:col>
      <xdr:colOff>175261</xdr:colOff>
      <xdr:row>4</xdr:row>
      <xdr:rowOff>298838</xdr:rowOff>
    </xdr:from>
    <xdr:to>
      <xdr:col>11</xdr:col>
      <xdr:colOff>647701</xdr:colOff>
      <xdr:row>4</xdr:row>
      <xdr:rowOff>807620</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9502141" y="2089538"/>
          <a:ext cx="472440" cy="5087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H30" sqref="H30"/>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273" t="s">
        <v>2</v>
      </c>
      <c r="B18" s="274"/>
      <c r="C18" s="274"/>
      <c r="D18" s="275"/>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273" t="s">
        <v>2</v>
      </c>
      <c r="B27" s="274"/>
      <c r="C27" s="274"/>
      <c r="D27" s="275"/>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B23" sqref="B23"/>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288" t="s">
        <v>87</v>
      </c>
      <c r="B8" s="289"/>
      <c r="C8" s="289"/>
      <c r="D8" s="290"/>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97" t="s">
        <v>166</v>
      </c>
      <c r="B19" s="297"/>
      <c r="C19" s="297"/>
      <c r="D19" s="297"/>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288" t="s">
        <v>87</v>
      </c>
      <c r="B8" s="289"/>
      <c r="C8" s="289"/>
      <c r="D8" s="290"/>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91" t="s">
        <v>170</v>
      </c>
      <c r="B19" s="292"/>
      <c r="C19" s="292"/>
      <c r="D19" s="292"/>
      <c r="E19" s="293"/>
    </row>
    <row r="20" spans="1:5">
      <c r="A20" s="294"/>
      <c r="B20" s="295"/>
      <c r="C20" s="295"/>
      <c r="D20" s="295"/>
      <c r="E20" s="296"/>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288" t="s">
        <v>87</v>
      </c>
      <c r="B11" s="289"/>
      <c r="C11" s="289"/>
      <c r="D11" s="290"/>
      <c r="E11" s="25">
        <f>SUM(E3:E10)</f>
        <v>48140</v>
      </c>
    </row>
    <row r="13" spans="1:9">
      <c r="A13" s="300" t="s">
        <v>179</v>
      </c>
      <c r="B13" s="300"/>
      <c r="C13" s="300"/>
      <c r="D13" s="300"/>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288" t="s">
        <v>87</v>
      </c>
      <c r="B30" s="289"/>
      <c r="C30" s="289"/>
      <c r="D30" s="290"/>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298" t="s">
        <v>87</v>
      </c>
      <c r="B41" s="299"/>
      <c r="C41" s="299"/>
      <c r="D41" s="299"/>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288" t="s">
        <v>87</v>
      </c>
      <c r="B11" s="289"/>
      <c r="C11" s="289"/>
      <c r="D11" s="290"/>
      <c r="E11" s="25">
        <f>SUM(E3:E10)</f>
        <v>19630</v>
      </c>
    </row>
    <row r="13" spans="1:7">
      <c r="A13" s="301" t="s">
        <v>191</v>
      </c>
      <c r="B13" s="301"/>
      <c r="C13" s="301"/>
      <c r="D13" s="301"/>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288" t="s">
        <v>87</v>
      </c>
      <c r="B28" s="289"/>
      <c r="C28" s="289"/>
      <c r="D28" s="290"/>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288" t="s">
        <v>87</v>
      </c>
      <c r="B7" s="289"/>
      <c r="C7" s="289"/>
      <c r="D7" s="290"/>
      <c r="E7" s="25">
        <f>SUM(E3:E6)</f>
        <v>27490</v>
      </c>
    </row>
    <row r="8" spans="1:8">
      <c r="A8" s="288" t="s">
        <v>88</v>
      </c>
      <c r="B8" s="289"/>
      <c r="C8" s="289"/>
      <c r="D8" s="290"/>
      <c r="E8" s="25">
        <f>E7*9%</f>
        <v>2474.1</v>
      </c>
    </row>
    <row r="9" spans="1:8">
      <c r="A9" s="288" t="s">
        <v>88</v>
      </c>
      <c r="B9" s="289"/>
      <c r="C9" s="289"/>
      <c r="D9" s="290"/>
      <c r="E9" s="25">
        <f>E7*9%</f>
        <v>2474.1</v>
      </c>
    </row>
    <row r="10" spans="1:8">
      <c r="A10" s="288" t="s">
        <v>89</v>
      </c>
      <c r="B10" s="289"/>
      <c r="C10" s="289"/>
      <c r="D10" s="290"/>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288" t="s">
        <v>87</v>
      </c>
      <c r="B17" s="289"/>
      <c r="C17" s="289"/>
      <c r="D17" s="290"/>
      <c r="E17" s="25">
        <f>SUM(E14:E16)</f>
        <v>39000</v>
      </c>
    </row>
    <row r="18" spans="1:5">
      <c r="A18" s="288" t="s">
        <v>88</v>
      </c>
      <c r="B18" s="289"/>
      <c r="C18" s="289"/>
      <c r="D18" s="290"/>
      <c r="E18" s="25">
        <f>E17*9%</f>
        <v>3510</v>
      </c>
    </row>
    <row r="19" spans="1:5">
      <c r="A19" s="288" t="s">
        <v>88</v>
      </c>
      <c r="B19" s="289"/>
      <c r="C19" s="289"/>
      <c r="D19" s="290"/>
      <c r="E19" s="25">
        <f>E17*9%</f>
        <v>3510</v>
      </c>
    </row>
    <row r="20" spans="1:5">
      <c r="A20" s="288" t="s">
        <v>89</v>
      </c>
      <c r="B20" s="289"/>
      <c r="C20" s="289"/>
      <c r="D20" s="290"/>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288" t="s">
        <v>87</v>
      </c>
      <c r="B27" s="289"/>
      <c r="C27" s="289"/>
      <c r="D27" s="290"/>
      <c r="E27" s="25">
        <f>SUM(E24:E26)</f>
        <v>83600</v>
      </c>
    </row>
    <row r="28" spans="1:5">
      <c r="A28" s="288" t="s">
        <v>88</v>
      </c>
      <c r="B28" s="289"/>
      <c r="C28" s="289"/>
      <c r="D28" s="290"/>
      <c r="E28" s="25">
        <f>E27*9%</f>
        <v>7524</v>
      </c>
    </row>
    <row r="29" spans="1:5">
      <c r="A29" s="288" t="s">
        <v>88</v>
      </c>
      <c r="B29" s="289"/>
      <c r="C29" s="289"/>
      <c r="D29" s="290"/>
      <c r="E29" s="25">
        <f>E27*9%</f>
        <v>7524</v>
      </c>
    </row>
    <row r="30" spans="1:5">
      <c r="A30" s="288" t="s">
        <v>89</v>
      </c>
      <c r="B30" s="289"/>
      <c r="C30" s="289"/>
      <c r="D30" s="290"/>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289" workbookViewId="0">
      <selection activeCell="A101" sqref="A101"/>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273" t="s">
        <v>2</v>
      </c>
      <c r="B10" s="274"/>
      <c r="C10" s="274"/>
      <c r="D10" s="275"/>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273" t="s">
        <v>2</v>
      </c>
      <c r="B21" s="274"/>
      <c r="C21" s="274"/>
      <c r="D21" s="275"/>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273" t="s">
        <v>2</v>
      </c>
      <c r="B38" s="274"/>
      <c r="C38" s="274"/>
      <c r="D38" s="275"/>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305" t="s">
        <v>2</v>
      </c>
      <c r="B59" s="306"/>
      <c r="C59" s="306"/>
      <c r="D59" s="307"/>
      <c r="E59" s="56">
        <f>SUM(E50:E58)</f>
        <v>137500</v>
      </c>
    </row>
    <row r="61" spans="1:5">
      <c r="A61" s="106" t="s">
        <v>364</v>
      </c>
    </row>
    <row r="63" spans="1:5" ht="14.4" customHeight="1">
      <c r="A63" s="308" t="s">
        <v>240</v>
      </c>
      <c r="B63" s="308"/>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273" t="s">
        <v>87</v>
      </c>
      <c r="B79" s="274"/>
      <c r="C79" s="274"/>
      <c r="D79" s="275"/>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273" t="s">
        <v>87</v>
      </c>
      <c r="B99" s="274"/>
      <c r="C99" s="274"/>
      <c r="D99" s="274"/>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302" t="s">
        <v>359</v>
      </c>
      <c r="C116" s="302"/>
      <c r="D116" s="71">
        <v>1</v>
      </c>
      <c r="E116" s="303">
        <v>9000</v>
      </c>
      <c r="F116" s="304"/>
      <c r="G116" s="90">
        <f>D116*E116</f>
        <v>9000</v>
      </c>
    </row>
    <row r="117" spans="1:8">
      <c r="A117" s="273" t="s">
        <v>87</v>
      </c>
      <c r="B117" s="274"/>
      <c r="C117" s="274"/>
      <c r="D117" s="274"/>
      <c r="E117" s="274"/>
      <c r="F117" s="275"/>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302" t="s">
        <v>359</v>
      </c>
      <c r="C124" s="302"/>
      <c r="D124" s="71">
        <v>1</v>
      </c>
      <c r="E124" s="287">
        <v>9000</v>
      </c>
      <c r="F124" s="287"/>
      <c r="G124" s="94">
        <f>D124*E124</f>
        <v>9000</v>
      </c>
    </row>
    <row r="125" spans="1:8">
      <c r="A125" s="309" t="s">
        <v>87</v>
      </c>
      <c r="B125" s="310"/>
      <c r="C125" s="310"/>
      <c r="D125" s="310"/>
      <c r="E125" s="310"/>
      <c r="F125" s="311"/>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313" t="s">
        <v>358</v>
      </c>
      <c r="C134" s="314"/>
      <c r="D134" s="71">
        <v>1</v>
      </c>
      <c r="E134" s="303">
        <v>12000</v>
      </c>
      <c r="F134" s="304"/>
      <c r="G134" s="90">
        <f t="shared" si="8"/>
        <v>12000</v>
      </c>
    </row>
    <row r="135" spans="1:8">
      <c r="A135" s="309" t="s">
        <v>87</v>
      </c>
      <c r="B135" s="310"/>
      <c r="C135" s="310"/>
      <c r="D135" s="310"/>
      <c r="E135" s="310"/>
      <c r="F135" s="311"/>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313" t="s">
        <v>358</v>
      </c>
      <c r="C142" s="314"/>
      <c r="D142" s="71">
        <v>1</v>
      </c>
      <c r="E142" s="303">
        <v>12000</v>
      </c>
      <c r="F142" s="304"/>
      <c r="G142" s="94">
        <f>D142*E142</f>
        <v>12000</v>
      </c>
    </row>
    <row r="143" spans="1:8">
      <c r="A143" s="309" t="s">
        <v>87</v>
      </c>
      <c r="B143" s="310"/>
      <c r="C143" s="310"/>
      <c r="D143" s="310"/>
      <c r="E143" s="310"/>
      <c r="F143" s="311"/>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321" t="s">
        <v>358</v>
      </c>
      <c r="C150" s="322"/>
      <c r="D150" s="112">
        <v>1</v>
      </c>
      <c r="E150" s="323">
        <v>12000</v>
      </c>
      <c r="F150" s="324"/>
      <c r="G150" s="94">
        <f>D150*E150</f>
        <v>12000</v>
      </c>
    </row>
    <row r="151" spans="1:7">
      <c r="A151" s="312" t="s">
        <v>87</v>
      </c>
      <c r="B151" s="312"/>
      <c r="C151" s="312"/>
      <c r="D151" s="312"/>
      <c r="E151" s="312"/>
      <c r="F151" s="312"/>
      <c r="G151" s="91">
        <f>SUM(G147:G150)</f>
        <v>44560</v>
      </c>
    </row>
    <row r="154" spans="1:7" ht="15" customHeight="1">
      <c r="A154" s="325" t="s">
        <v>262</v>
      </c>
      <c r="B154" s="325"/>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326" t="s">
        <v>265</v>
      </c>
      <c r="B159" s="327"/>
      <c r="C159" s="327"/>
      <c r="D159" s="327"/>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312" t="s">
        <v>2</v>
      </c>
      <c r="B163" s="312"/>
      <c r="C163" s="312"/>
      <c r="D163" s="312"/>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273" t="s">
        <v>87</v>
      </c>
      <c r="B241" s="274"/>
      <c r="C241" s="274"/>
      <c r="D241" s="275"/>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273" t="s">
        <v>87</v>
      </c>
      <c r="B254" s="274"/>
      <c r="C254" s="274"/>
      <c r="D254" s="275"/>
      <c r="E254" s="91">
        <f>SUM(E249:E253)</f>
        <v>313600</v>
      </c>
    </row>
    <row r="255" spans="1:17" s="10" customFormat="1"/>
    <row r="256" spans="1:17" s="10" customFormat="1"/>
    <row r="257" spans="1:6" ht="13.2" customHeight="1">
      <c r="A257" s="315" t="s">
        <v>378</v>
      </c>
      <c r="B257" s="316"/>
      <c r="C257" s="316"/>
      <c r="D257" s="316"/>
      <c r="E257" s="316"/>
      <c r="F257" s="317"/>
    </row>
    <row r="258" spans="1:6" ht="409.2" customHeight="1">
      <c r="A258" s="318"/>
      <c r="B258" s="319"/>
      <c r="C258" s="319"/>
      <c r="D258" s="319"/>
      <c r="E258" s="319"/>
      <c r="F258" s="320"/>
    </row>
  </sheetData>
  <mergeCells count="28">
    <mergeCell ref="A257:F258"/>
    <mergeCell ref="E124:F124"/>
    <mergeCell ref="B142:C142"/>
    <mergeCell ref="E142:F142"/>
    <mergeCell ref="B150:C150"/>
    <mergeCell ref="E150:F150"/>
    <mergeCell ref="A154:B154"/>
    <mergeCell ref="A163:D163"/>
    <mergeCell ref="A159:D159"/>
    <mergeCell ref="A241:D241"/>
    <mergeCell ref="A254:D254"/>
    <mergeCell ref="A117:F117"/>
    <mergeCell ref="A125:F125"/>
    <mergeCell ref="A151:F151"/>
    <mergeCell ref="A143:F143"/>
    <mergeCell ref="A135:F135"/>
    <mergeCell ref="E134:F134"/>
    <mergeCell ref="B134:C134"/>
    <mergeCell ref="B124:C124"/>
    <mergeCell ref="B116:C116"/>
    <mergeCell ref="E116:F116"/>
    <mergeCell ref="A99:D99"/>
    <mergeCell ref="A10:D10"/>
    <mergeCell ref="A38:D38"/>
    <mergeCell ref="A59:D59"/>
    <mergeCell ref="A63:B63"/>
    <mergeCell ref="A21:D21"/>
    <mergeCell ref="A79:D79"/>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19"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273" t="s">
        <v>87</v>
      </c>
      <c r="B12" s="274"/>
      <c r="C12" s="274"/>
      <c r="D12" s="275"/>
      <c r="E12" s="58">
        <f>SUM(E4:E11)</f>
        <v>86400</v>
      </c>
    </row>
    <row r="13" spans="1:7">
      <c r="A13" s="75"/>
      <c r="B13" s="75"/>
      <c r="C13" s="75"/>
      <c r="D13" s="75"/>
      <c r="E13" s="75"/>
    </row>
    <row r="14" spans="1:7" ht="14.4" customHeight="1">
      <c r="A14" s="312" t="s">
        <v>260</v>
      </c>
      <c r="B14" s="312"/>
      <c r="C14" s="312"/>
      <c r="D14" s="312"/>
      <c r="E14" s="312"/>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273" t="s">
        <v>87</v>
      </c>
      <c r="B39" s="274"/>
      <c r="C39" s="274"/>
      <c r="D39" s="275"/>
      <c r="E39" s="58">
        <f>SUM(E30:E38)</f>
        <v>49015</v>
      </c>
    </row>
    <row r="41" spans="1:5">
      <c r="A41" s="312" t="s">
        <v>260</v>
      </c>
      <c r="B41" s="312"/>
      <c r="C41" s="312"/>
      <c r="D41" s="312"/>
      <c r="E41" s="312"/>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328" t="s">
        <v>87</v>
      </c>
      <c r="B70" s="329"/>
      <c r="C70" s="329"/>
      <c r="D70" s="330"/>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9" workbookViewId="0">
      <selection activeCell="G50" sqref="G5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273" t="s">
        <v>87</v>
      </c>
      <c r="B11" s="274"/>
      <c r="C11" s="274"/>
      <c r="D11" s="275"/>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273" t="s">
        <v>87</v>
      </c>
      <c r="B33" s="274"/>
      <c r="C33" s="274"/>
      <c r="D33" s="275"/>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6"/>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273" t="s">
        <v>87</v>
      </c>
      <c r="B6" s="274"/>
      <c r="C6" s="274"/>
      <c r="D6" s="275"/>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285" t="s">
        <v>27</v>
      </c>
      <c r="C1" s="285"/>
      <c r="D1" s="285"/>
      <c r="E1" s="285"/>
      <c r="F1" s="285"/>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284" t="s">
        <v>35</v>
      </c>
      <c r="B7" s="8" t="s">
        <v>75</v>
      </c>
      <c r="C7" s="286">
        <v>2</v>
      </c>
      <c r="D7" s="284" t="s">
        <v>34</v>
      </c>
      <c r="E7" s="287">
        <v>567000</v>
      </c>
      <c r="F7" s="287">
        <f>E7*C7</f>
        <v>1134000</v>
      </c>
    </row>
    <row r="8" spans="1:6">
      <c r="A8" s="284"/>
      <c r="B8" s="12" t="s">
        <v>36</v>
      </c>
      <c r="C8" s="286"/>
      <c r="D8" s="284"/>
      <c r="E8" s="287"/>
      <c r="F8" s="287"/>
    </row>
    <row r="9" spans="1:6" ht="15" customHeight="1">
      <c r="A9" s="284"/>
      <c r="B9" s="12" t="s">
        <v>37</v>
      </c>
      <c r="C9" s="286"/>
      <c r="D9" s="284"/>
      <c r="E9" s="287"/>
      <c r="F9" s="287"/>
    </row>
    <row r="10" spans="1:6" ht="15" customHeight="1">
      <c r="A10" s="284"/>
      <c r="B10" s="12" t="s">
        <v>38</v>
      </c>
      <c r="C10" s="286"/>
      <c r="D10" s="284"/>
      <c r="E10" s="287"/>
      <c r="F10" s="287"/>
    </row>
    <row r="11" spans="1:6">
      <c r="A11" s="284"/>
      <c r="B11" s="12" t="s">
        <v>39</v>
      </c>
      <c r="C11" s="286"/>
      <c r="D11" s="284"/>
      <c r="E11" s="287"/>
      <c r="F11" s="287"/>
    </row>
    <row r="12" spans="1:6" ht="15" customHeight="1">
      <c r="A12" s="284"/>
      <c r="B12" s="12" t="s">
        <v>40</v>
      </c>
      <c r="C12" s="286"/>
      <c r="D12" s="284"/>
      <c r="E12" s="287"/>
      <c r="F12" s="287"/>
    </row>
    <row r="13" spans="1:6">
      <c r="A13" s="284"/>
      <c r="B13" s="12" t="s">
        <v>41</v>
      </c>
      <c r="C13" s="286"/>
      <c r="D13" s="284"/>
      <c r="E13" s="287"/>
      <c r="F13" s="287"/>
    </row>
    <row r="14" spans="1:6" ht="15" customHeight="1">
      <c r="A14" s="284"/>
      <c r="B14" s="12" t="s">
        <v>42</v>
      </c>
      <c r="C14" s="286"/>
      <c r="D14" s="284"/>
      <c r="E14" s="287"/>
      <c r="F14" s="287"/>
    </row>
    <row r="15" spans="1:6" ht="15" customHeight="1">
      <c r="A15" s="284"/>
      <c r="B15" s="12" t="s">
        <v>43</v>
      </c>
      <c r="C15" s="286"/>
      <c r="D15" s="284"/>
      <c r="E15" s="287"/>
      <c r="F15" s="287"/>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281" t="s">
        <v>46</v>
      </c>
      <c r="C19" s="282"/>
      <c r="D19" s="282"/>
      <c r="E19" s="282"/>
      <c r="F19" s="283"/>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284" t="s">
        <v>35</v>
      </c>
      <c r="B24" s="8" t="s">
        <v>77</v>
      </c>
      <c r="C24" s="8"/>
      <c r="D24" s="8"/>
      <c r="E24" s="2"/>
      <c r="F24" s="2"/>
    </row>
    <row r="25" spans="1:6">
      <c r="A25" s="284"/>
      <c r="B25" s="12" t="s">
        <v>49</v>
      </c>
      <c r="C25" s="14">
        <v>100</v>
      </c>
      <c r="D25" s="12" t="s">
        <v>50</v>
      </c>
      <c r="E25" s="2">
        <v>130</v>
      </c>
      <c r="F25" s="2">
        <f t="shared" ref="F25:F27" si="0">E25*C25</f>
        <v>13000</v>
      </c>
    </row>
    <row r="26" spans="1:6">
      <c r="A26" s="284"/>
      <c r="B26" s="12" t="s">
        <v>51</v>
      </c>
      <c r="C26" s="14">
        <v>320</v>
      </c>
      <c r="D26" s="12" t="s">
        <v>50</v>
      </c>
      <c r="E26" s="2">
        <v>180</v>
      </c>
      <c r="F26" s="2">
        <f t="shared" si="0"/>
        <v>57600</v>
      </c>
    </row>
    <row r="27" spans="1:6">
      <c r="A27" s="284"/>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281" t="s">
        <v>53</v>
      </c>
      <c r="C30" s="282"/>
      <c r="D30" s="282"/>
      <c r="E30" s="282"/>
      <c r="F30" s="283"/>
    </row>
    <row r="31" spans="1:6" s="32" customFormat="1" ht="26.4">
      <c r="A31" s="3" t="s">
        <v>0</v>
      </c>
      <c r="B31" s="3" t="s">
        <v>1</v>
      </c>
      <c r="C31" s="3" t="s">
        <v>20</v>
      </c>
      <c r="D31" s="3" t="s">
        <v>94</v>
      </c>
      <c r="E31" s="3" t="s">
        <v>19</v>
      </c>
      <c r="F31" s="3" t="s">
        <v>2</v>
      </c>
    </row>
    <row r="32" spans="1:6" ht="66">
      <c r="A32" s="284" t="s">
        <v>28</v>
      </c>
      <c r="B32" s="8" t="s">
        <v>78</v>
      </c>
      <c r="C32" s="8"/>
      <c r="D32" s="8"/>
      <c r="E32" s="2"/>
      <c r="F32" s="2"/>
    </row>
    <row r="33" spans="1:9">
      <c r="A33" s="284"/>
      <c r="B33" s="12" t="s">
        <v>54</v>
      </c>
      <c r="C33" s="14">
        <v>1</v>
      </c>
      <c r="D33" s="12" t="s">
        <v>31</v>
      </c>
      <c r="E33" s="2"/>
      <c r="F33" s="2"/>
    </row>
    <row r="34" spans="1:9">
      <c r="A34" s="284"/>
      <c r="B34" s="12" t="s">
        <v>55</v>
      </c>
      <c r="C34" s="14">
        <v>1</v>
      </c>
      <c r="D34" s="12" t="s">
        <v>31</v>
      </c>
      <c r="E34" s="2"/>
      <c r="F34" s="2"/>
    </row>
    <row r="35" spans="1:9">
      <c r="A35" s="284"/>
      <c r="B35" s="12" t="s">
        <v>56</v>
      </c>
      <c r="C35" s="14">
        <v>2</v>
      </c>
      <c r="D35" s="12" t="s">
        <v>31</v>
      </c>
      <c r="E35" s="2"/>
      <c r="F35" s="2"/>
    </row>
    <row r="36" spans="1:9">
      <c r="A36" s="284"/>
      <c r="B36" s="12" t="s">
        <v>57</v>
      </c>
      <c r="C36" s="14">
        <v>6</v>
      </c>
      <c r="D36" s="12" t="s">
        <v>31</v>
      </c>
      <c r="E36" s="2"/>
      <c r="F36" s="2"/>
    </row>
    <row r="37" spans="1:9" ht="39.6">
      <c r="A37" s="284" t="s">
        <v>30</v>
      </c>
      <c r="B37" s="12" t="s">
        <v>58</v>
      </c>
      <c r="C37" s="8"/>
      <c r="D37" s="8"/>
      <c r="E37" s="2"/>
      <c r="F37" s="2"/>
    </row>
    <row r="38" spans="1:9">
      <c r="A38" s="284"/>
      <c r="B38" s="12" t="s">
        <v>59</v>
      </c>
      <c r="C38" s="14">
        <v>1</v>
      </c>
      <c r="D38" s="12" t="s">
        <v>31</v>
      </c>
      <c r="E38" s="2">
        <v>90000</v>
      </c>
      <c r="F38" s="2">
        <f t="shared" ref="F38:F42" si="1">E38*C38</f>
        <v>90000</v>
      </c>
    </row>
    <row r="39" spans="1:9">
      <c r="A39" s="284"/>
      <c r="B39" s="12" t="s">
        <v>60</v>
      </c>
      <c r="C39" s="14">
        <v>8</v>
      </c>
      <c r="D39" s="12" t="s">
        <v>31</v>
      </c>
      <c r="E39" s="2">
        <v>15000</v>
      </c>
      <c r="F39" s="2">
        <f t="shared" si="1"/>
        <v>120000</v>
      </c>
    </row>
    <row r="40" spans="1:9">
      <c r="A40" s="284"/>
      <c r="B40" s="12" t="s">
        <v>61</v>
      </c>
      <c r="C40" s="14">
        <v>3</v>
      </c>
      <c r="D40" s="12" t="s">
        <v>31</v>
      </c>
      <c r="E40" s="2">
        <v>50000</v>
      </c>
      <c r="F40" s="2">
        <f t="shared" si="1"/>
        <v>150000</v>
      </c>
    </row>
    <row r="41" spans="1:9">
      <c r="A41" s="284"/>
      <c r="B41" s="12" t="s">
        <v>62</v>
      </c>
      <c r="C41" s="14">
        <v>1</v>
      </c>
      <c r="D41" s="12" t="s">
        <v>31</v>
      </c>
      <c r="E41" s="2">
        <v>11000</v>
      </c>
      <c r="F41" s="2">
        <f t="shared" si="1"/>
        <v>11000</v>
      </c>
    </row>
    <row r="42" spans="1:9">
      <c r="A42" s="284"/>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281" t="s">
        <v>115</v>
      </c>
      <c r="C45" s="282"/>
      <c r="D45" s="282"/>
      <c r="E45" s="282"/>
      <c r="F45" s="283"/>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278" t="s">
        <v>2</v>
      </c>
      <c r="B57" s="279"/>
      <c r="C57" s="279"/>
      <c r="D57" s="279"/>
      <c r="E57" s="280"/>
      <c r="F57" s="26">
        <f>F3+F4+F5+F6+F7+F16+F21+F22+F23+F24+F25+F26+F27+F32+F33+F34+F35+F36+F37+F38+F39+F40+F41+F42+F47+F48+F49+F50+F51+F52+F53+F54+F55+F56</f>
        <v>4890900</v>
      </c>
    </row>
    <row r="58" spans="1:9">
      <c r="A58" s="4"/>
      <c r="B58" s="4"/>
      <c r="C58" s="4"/>
      <c r="D58" s="4"/>
      <c r="E58" s="4"/>
      <c r="F58" s="4"/>
    </row>
    <row r="59" spans="1:9" ht="39.6">
      <c r="A59" s="4" t="s">
        <v>64</v>
      </c>
      <c r="B59" s="276" t="s">
        <v>65</v>
      </c>
      <c r="C59" s="276"/>
      <c r="D59" s="276"/>
      <c r="E59" s="276"/>
      <c r="F59" s="276"/>
    </row>
    <row r="60" spans="1:9" ht="39.6">
      <c r="A60" s="4" t="s">
        <v>66</v>
      </c>
      <c r="B60" s="30" t="s">
        <v>67</v>
      </c>
      <c r="C60" s="4"/>
      <c r="D60" s="4"/>
      <c r="E60" s="4"/>
      <c r="F60" s="4"/>
    </row>
    <row r="61" spans="1:9" ht="33" customHeight="1">
      <c r="A61" s="18" t="s">
        <v>68</v>
      </c>
      <c r="B61" s="277" t="s">
        <v>69</v>
      </c>
      <c r="C61" s="277"/>
      <c r="D61" s="277"/>
      <c r="E61" s="277"/>
      <c r="F61" s="277"/>
      <c r="G61" s="11"/>
    </row>
    <row r="62" spans="1:9" ht="28.5" customHeight="1">
      <c r="A62" s="18" t="s">
        <v>68</v>
      </c>
      <c r="B62" s="18" t="s">
        <v>70</v>
      </c>
      <c r="C62" s="18"/>
      <c r="D62" s="18"/>
      <c r="E62" s="18"/>
      <c r="F62" s="18"/>
      <c r="G62" s="11"/>
    </row>
    <row r="63" spans="1:9" ht="196.2" customHeight="1">
      <c r="A63" s="4" t="s">
        <v>71</v>
      </c>
      <c r="B63" s="277" t="s">
        <v>107</v>
      </c>
      <c r="C63" s="277"/>
      <c r="D63" s="277"/>
      <c r="E63" s="277"/>
      <c r="F63" s="277"/>
      <c r="G63" s="11"/>
    </row>
    <row r="64" spans="1:9" ht="69" customHeight="1">
      <c r="A64" s="18" t="s">
        <v>72</v>
      </c>
      <c r="B64" s="277" t="s">
        <v>108</v>
      </c>
      <c r="C64" s="277"/>
      <c r="D64" s="277"/>
      <c r="E64" s="277"/>
      <c r="F64" s="277"/>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I26" sqref="I26"/>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273" t="s">
        <v>87</v>
      </c>
      <c r="B10" s="274"/>
      <c r="C10" s="274"/>
      <c r="D10" s="275"/>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A19" workbookViewId="0">
      <selection activeCell="I8" sqref="I8"/>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273" t="s">
        <v>87</v>
      </c>
      <c r="B15" s="274"/>
      <c r="C15" s="274"/>
      <c r="D15" s="275"/>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273" t="s">
        <v>87</v>
      </c>
      <c r="B37" s="274"/>
      <c r="C37" s="274"/>
      <c r="D37" s="275"/>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273" t="s">
        <v>87</v>
      </c>
      <c r="B63" s="274"/>
      <c r="C63" s="274"/>
      <c r="D63" s="275"/>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331">
        <v>1</v>
      </c>
      <c r="B2" s="122" t="s">
        <v>420</v>
      </c>
      <c r="C2" s="331">
        <v>1</v>
      </c>
      <c r="D2" s="331">
        <v>42000</v>
      </c>
      <c r="E2" s="331">
        <f>C2*D2</f>
        <v>42000</v>
      </c>
    </row>
    <row r="3" spans="1:5" ht="28.8">
      <c r="A3" s="332"/>
      <c r="B3" s="24" t="s">
        <v>404</v>
      </c>
      <c r="C3" s="332"/>
      <c r="D3" s="332"/>
      <c r="E3" s="332"/>
    </row>
    <row r="4" spans="1:5">
      <c r="A4" s="332"/>
      <c r="B4" s="24" t="s">
        <v>405</v>
      </c>
      <c r="C4" s="332"/>
      <c r="D4" s="332"/>
      <c r="E4" s="332"/>
    </row>
    <row r="5" spans="1:5">
      <c r="A5" s="332"/>
      <c r="B5" s="24" t="s">
        <v>406</v>
      </c>
      <c r="C5" s="332"/>
      <c r="D5" s="332"/>
      <c r="E5" s="332"/>
    </row>
    <row r="6" spans="1:5">
      <c r="A6" s="332"/>
      <c r="B6" s="24" t="s">
        <v>407</v>
      </c>
      <c r="C6" s="332"/>
      <c r="D6" s="332"/>
      <c r="E6" s="332"/>
    </row>
    <row r="7" spans="1:5">
      <c r="A7" s="332"/>
      <c r="B7" s="24" t="s">
        <v>408</v>
      </c>
      <c r="C7" s="332"/>
      <c r="D7" s="332"/>
      <c r="E7" s="332"/>
    </row>
    <row r="8" spans="1:5">
      <c r="A8" s="332"/>
      <c r="B8" s="24" t="s">
        <v>409</v>
      </c>
      <c r="C8" s="332"/>
      <c r="D8" s="332"/>
      <c r="E8" s="332"/>
    </row>
    <row r="9" spans="1:5">
      <c r="A9" s="332"/>
      <c r="B9" s="24" t="s">
        <v>410</v>
      </c>
      <c r="C9" s="332"/>
      <c r="D9" s="332"/>
      <c r="E9" s="332"/>
    </row>
    <row r="10" spans="1:5">
      <c r="A10" s="332"/>
      <c r="B10" s="24" t="s">
        <v>411</v>
      </c>
      <c r="C10" s="332"/>
      <c r="D10" s="332"/>
      <c r="E10" s="332"/>
    </row>
    <row r="11" spans="1:5">
      <c r="A11" s="332"/>
      <c r="B11" s="24" t="s">
        <v>412</v>
      </c>
      <c r="C11" s="332"/>
      <c r="D11" s="332"/>
      <c r="E11" s="332"/>
    </row>
    <row r="12" spans="1:5">
      <c r="A12" s="332"/>
      <c r="B12" s="24" t="s">
        <v>413</v>
      </c>
      <c r="C12" s="332"/>
      <c r="D12" s="332"/>
      <c r="E12" s="332"/>
    </row>
    <row r="13" spans="1:5">
      <c r="A13" s="332"/>
      <c r="B13" s="24" t="s">
        <v>414</v>
      </c>
      <c r="C13" s="332"/>
      <c r="D13" s="332"/>
      <c r="E13" s="332"/>
    </row>
    <row r="14" spans="1:5">
      <c r="A14" s="332"/>
      <c r="B14" s="24" t="s">
        <v>415</v>
      </c>
      <c r="C14" s="332"/>
      <c r="D14" s="332"/>
      <c r="E14" s="332"/>
    </row>
    <row r="15" spans="1:5">
      <c r="A15" s="332"/>
      <c r="B15" s="24" t="s">
        <v>416</v>
      </c>
      <c r="C15" s="332"/>
      <c r="D15" s="332"/>
      <c r="E15" s="332"/>
    </row>
    <row r="16" spans="1:5">
      <c r="A16" s="332"/>
      <c r="B16" s="24" t="s">
        <v>417</v>
      </c>
      <c r="C16" s="332"/>
      <c r="D16" s="332"/>
      <c r="E16" s="332"/>
    </row>
    <row r="17" spans="1:5">
      <c r="A17" s="332"/>
      <c r="B17" s="24" t="s">
        <v>418</v>
      </c>
      <c r="C17" s="332"/>
      <c r="D17" s="332"/>
      <c r="E17" s="332"/>
    </row>
    <row r="18" spans="1:5">
      <c r="A18" s="332"/>
      <c r="B18" s="24" t="s">
        <v>419</v>
      </c>
      <c r="C18" s="332"/>
      <c r="D18" s="332"/>
      <c r="E18" s="332"/>
    </row>
    <row r="19" spans="1:5">
      <c r="A19" s="333"/>
      <c r="B19" s="127" t="s">
        <v>421</v>
      </c>
      <c r="C19" s="333"/>
      <c r="D19" s="333"/>
      <c r="E19" s="333"/>
    </row>
    <row r="20" spans="1:5">
      <c r="A20" s="312" t="s">
        <v>2</v>
      </c>
      <c r="B20" s="312"/>
      <c r="C20" s="312"/>
      <c r="D20" s="312"/>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F22" sqref="F22"/>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273" t="s">
        <v>87</v>
      </c>
      <c r="B11" s="274"/>
      <c r="C11" s="274"/>
      <c r="D11" s="275"/>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9" sqref="D29"/>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273" t="s">
        <v>87</v>
      </c>
      <c r="B10" s="274"/>
      <c r="C10" s="274"/>
      <c r="D10" s="275"/>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G28" sqref="G28"/>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335" t="s">
        <v>443</v>
      </c>
      <c r="C6" s="335"/>
      <c r="D6" s="137">
        <v>1</v>
      </c>
      <c r="E6" s="137">
        <v>5000</v>
      </c>
      <c r="F6" s="137"/>
      <c r="G6" s="137">
        <f t="shared" si="0"/>
        <v>5000</v>
      </c>
    </row>
    <row r="7" spans="1:10">
      <c r="A7" s="334" t="s">
        <v>87</v>
      </c>
      <c r="B7" s="334"/>
      <c r="C7" s="334"/>
      <c r="D7" s="334"/>
      <c r="E7" s="334"/>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335" t="s">
        <v>444</v>
      </c>
      <c r="C26" s="335"/>
      <c r="D26" s="137">
        <v>1</v>
      </c>
      <c r="E26" s="137">
        <v>5000</v>
      </c>
      <c r="F26" s="137"/>
      <c r="G26" s="137">
        <f t="shared" si="1"/>
        <v>5000</v>
      </c>
    </row>
    <row r="27" spans="1:7">
      <c r="A27" s="334" t="s">
        <v>87</v>
      </c>
      <c r="B27" s="334"/>
      <c r="C27" s="334"/>
      <c r="D27" s="334"/>
      <c r="E27" s="334"/>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D23" sqref="D23"/>
    </sheetView>
  </sheetViews>
  <sheetFormatPr defaultRowHeight="14.4"/>
  <cols>
    <col min="2" max="2" width="40.109375" customWidth="1"/>
    <col min="3" max="3" width="13.109375" customWidth="1"/>
  </cols>
  <sheetData>
    <row r="1" spans="1:7">
      <c r="A1" t="s">
        <v>127</v>
      </c>
    </row>
    <row r="2" spans="1:7">
      <c r="A2" s="143" t="s">
        <v>79</v>
      </c>
      <c r="B2" s="143" t="s">
        <v>80</v>
      </c>
      <c r="C2" s="143" t="s">
        <v>81</v>
      </c>
      <c r="D2" s="143" t="s">
        <v>82</v>
      </c>
      <c r="E2" s="143" t="s">
        <v>83</v>
      </c>
    </row>
    <row r="3" spans="1:7" ht="22.2" customHeight="1">
      <c r="A3" s="142" t="s">
        <v>147</v>
      </c>
      <c r="B3" s="24" t="s">
        <v>434</v>
      </c>
      <c r="C3" s="142">
        <v>16</v>
      </c>
      <c r="D3" s="142">
        <v>4000</v>
      </c>
      <c r="E3" s="142">
        <f t="shared" ref="E3:E10" si="0">C3*D3</f>
        <v>64000</v>
      </c>
      <c r="G3">
        <f>2450*2</f>
        <v>4900</v>
      </c>
    </row>
    <row r="4" spans="1:7" ht="34.200000000000003" customHeight="1">
      <c r="A4" s="142">
        <v>2</v>
      </c>
      <c r="B4" s="142" t="s">
        <v>226</v>
      </c>
      <c r="C4" s="142">
        <v>1</v>
      </c>
      <c r="D4" s="142">
        <v>19900</v>
      </c>
      <c r="E4" s="142">
        <f t="shared" si="0"/>
        <v>19900</v>
      </c>
      <c r="G4">
        <f>12200*2</f>
        <v>24400</v>
      </c>
    </row>
    <row r="5" spans="1:7" ht="31.8" customHeight="1">
      <c r="A5" s="142">
        <v>3</v>
      </c>
      <c r="B5" s="142" t="s">
        <v>117</v>
      </c>
      <c r="C5" s="142">
        <v>1</v>
      </c>
      <c r="D5" s="142">
        <v>8600</v>
      </c>
      <c r="E5" s="142">
        <f t="shared" si="0"/>
        <v>8600</v>
      </c>
      <c r="G5">
        <f>6500*2</f>
        <v>13000</v>
      </c>
    </row>
    <row r="6" spans="1:7" ht="26.4" customHeight="1">
      <c r="A6" s="142">
        <v>4</v>
      </c>
      <c r="B6" s="142" t="s">
        <v>134</v>
      </c>
      <c r="C6" s="142">
        <v>4</v>
      </c>
      <c r="D6" s="142">
        <v>8490</v>
      </c>
      <c r="E6" s="142">
        <f t="shared" si="0"/>
        <v>33960</v>
      </c>
    </row>
    <row r="7" spans="1:7" ht="17.399999999999999" customHeight="1">
      <c r="A7" s="142">
        <v>5</v>
      </c>
      <c r="B7" s="142" t="s">
        <v>116</v>
      </c>
      <c r="C7" s="142">
        <v>35</v>
      </c>
      <c r="D7" s="142">
        <v>150</v>
      </c>
      <c r="E7" s="142">
        <f t="shared" si="0"/>
        <v>5250</v>
      </c>
    </row>
    <row r="8" spans="1:7">
      <c r="A8" s="142">
        <v>6</v>
      </c>
      <c r="B8" s="142" t="s">
        <v>175</v>
      </c>
      <c r="C8" s="142">
        <v>16</v>
      </c>
      <c r="D8" s="142">
        <v>100</v>
      </c>
      <c r="E8" s="142">
        <f t="shared" si="0"/>
        <v>1600</v>
      </c>
    </row>
    <row r="9" spans="1:7" ht="28.8">
      <c r="A9" s="142">
        <v>7</v>
      </c>
      <c r="B9" s="126" t="s">
        <v>222</v>
      </c>
      <c r="C9" s="142">
        <v>650</v>
      </c>
      <c r="D9" s="142">
        <v>90</v>
      </c>
      <c r="E9" s="142">
        <f t="shared" si="0"/>
        <v>58500</v>
      </c>
    </row>
    <row r="10" spans="1:7">
      <c r="A10" s="142">
        <v>8</v>
      </c>
      <c r="B10" s="142" t="s">
        <v>86</v>
      </c>
      <c r="C10" s="142">
        <v>1</v>
      </c>
      <c r="D10" s="142">
        <v>5000</v>
      </c>
      <c r="E10" s="142">
        <f t="shared" si="0"/>
        <v>5000</v>
      </c>
    </row>
    <row r="11" spans="1:7">
      <c r="A11" s="273" t="s">
        <v>87</v>
      </c>
      <c r="B11" s="274"/>
      <c r="C11" s="274"/>
      <c r="D11" s="275"/>
      <c r="E11" s="143">
        <f>SUM(E3:E10)</f>
        <v>196810</v>
      </c>
    </row>
    <row r="12" spans="1:7">
      <c r="A12" s="5"/>
      <c r="B12" s="5"/>
      <c r="C12" s="5"/>
      <c r="D12" s="5"/>
      <c r="E12" s="5"/>
    </row>
    <row r="13" spans="1:7">
      <c r="A13" s="6" t="s">
        <v>143</v>
      </c>
      <c r="B13" s="5"/>
      <c r="C13" s="5"/>
      <c r="D13" s="5"/>
      <c r="E13" s="5"/>
    </row>
    <row r="14" spans="1:7">
      <c r="A14" t="s">
        <v>450</v>
      </c>
      <c r="B14" s="5"/>
      <c r="C14" s="5"/>
      <c r="D14" s="5"/>
      <c r="E14" s="5"/>
    </row>
    <row r="15" spans="1:7">
      <c r="B15" s="5"/>
      <c r="C15" s="5"/>
      <c r="D15" s="5"/>
      <c r="E15" s="5"/>
    </row>
    <row r="16" spans="1:7">
      <c r="A16" s="6" t="s">
        <v>451</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3" t="s">
        <v>79</v>
      </c>
      <c r="B28" s="143" t="s">
        <v>80</v>
      </c>
      <c r="C28" s="143" t="s">
        <v>81</v>
      </c>
      <c r="D28" s="143" t="s">
        <v>82</v>
      </c>
      <c r="E28" s="143" t="s">
        <v>83</v>
      </c>
    </row>
    <row r="29" spans="1:10">
      <c r="A29" s="142">
        <v>1</v>
      </c>
      <c r="B29" s="24" t="s">
        <v>447</v>
      </c>
      <c r="C29" s="142">
        <v>16</v>
      </c>
      <c r="D29" s="142">
        <v>4500</v>
      </c>
      <c r="E29" s="142">
        <f t="shared" ref="E29:E36" si="1">C29*D29</f>
        <v>72000</v>
      </c>
      <c r="G29">
        <f>2280*2</f>
        <v>4560</v>
      </c>
    </row>
    <row r="30" spans="1:10">
      <c r="A30" s="142">
        <v>3</v>
      </c>
      <c r="B30" s="142" t="s">
        <v>448</v>
      </c>
      <c r="C30" s="142">
        <v>1</v>
      </c>
      <c r="D30" s="142">
        <v>13100</v>
      </c>
      <c r="E30" s="142">
        <f t="shared" si="1"/>
        <v>13100</v>
      </c>
      <c r="G30">
        <f>6550*2</f>
        <v>13100</v>
      </c>
    </row>
    <row r="31" spans="1:10">
      <c r="A31" s="142">
        <v>3</v>
      </c>
      <c r="B31" s="142" t="s">
        <v>446</v>
      </c>
      <c r="C31" s="142">
        <v>1</v>
      </c>
      <c r="D31" s="142">
        <v>8600</v>
      </c>
      <c r="E31" s="142">
        <f t="shared" si="1"/>
        <v>8600</v>
      </c>
    </row>
    <row r="32" spans="1:10" ht="26.4">
      <c r="A32" s="142">
        <v>4</v>
      </c>
      <c r="B32" s="142" t="s">
        <v>134</v>
      </c>
      <c r="C32" s="142">
        <v>4</v>
      </c>
      <c r="D32" s="142">
        <v>8600</v>
      </c>
      <c r="E32" s="142">
        <f t="shared" si="1"/>
        <v>34400</v>
      </c>
    </row>
    <row r="33" spans="1:5">
      <c r="A33" s="142">
        <v>5</v>
      </c>
      <c r="B33" s="142" t="s">
        <v>116</v>
      </c>
      <c r="C33" s="142">
        <v>35</v>
      </c>
      <c r="D33" s="142">
        <v>150</v>
      </c>
      <c r="E33" s="142">
        <f t="shared" si="1"/>
        <v>5250</v>
      </c>
    </row>
    <row r="34" spans="1:5">
      <c r="A34" s="142">
        <v>6</v>
      </c>
      <c r="B34" s="142" t="s">
        <v>175</v>
      </c>
      <c r="C34" s="142">
        <v>16</v>
      </c>
      <c r="D34" s="142">
        <v>100</v>
      </c>
      <c r="E34" s="142">
        <f t="shared" si="1"/>
        <v>1600</v>
      </c>
    </row>
    <row r="35" spans="1:5" ht="28.8">
      <c r="A35" s="142">
        <v>7</v>
      </c>
      <c r="B35" s="126" t="s">
        <v>222</v>
      </c>
      <c r="C35" s="142">
        <v>650</v>
      </c>
      <c r="D35" s="142">
        <v>90</v>
      </c>
      <c r="E35" s="142">
        <f t="shared" si="1"/>
        <v>58500</v>
      </c>
    </row>
    <row r="36" spans="1:5">
      <c r="A36" s="142">
        <v>8</v>
      </c>
      <c r="B36" s="142" t="s">
        <v>86</v>
      </c>
      <c r="C36" s="142">
        <v>1</v>
      </c>
      <c r="D36" s="142">
        <v>5000</v>
      </c>
      <c r="E36" s="142">
        <f t="shared" si="1"/>
        <v>5000</v>
      </c>
    </row>
    <row r="37" spans="1:5">
      <c r="A37" s="273" t="s">
        <v>87</v>
      </c>
      <c r="B37" s="274"/>
      <c r="C37" s="274"/>
      <c r="D37" s="275"/>
      <c r="E37" s="143">
        <f>SUM(E29:E36)</f>
        <v>198450</v>
      </c>
    </row>
    <row r="38" spans="1:5">
      <c r="A38" s="6" t="s">
        <v>143</v>
      </c>
    </row>
    <row r="39" spans="1:5">
      <c r="A39" t="s">
        <v>449</v>
      </c>
    </row>
    <row r="41" spans="1:5">
      <c r="A41" s="6" t="s">
        <v>223</v>
      </c>
    </row>
    <row r="42" spans="1:5">
      <c r="A42" s="6"/>
    </row>
    <row r="43" spans="1:5">
      <c r="A43" s="6" t="s">
        <v>129</v>
      </c>
    </row>
    <row r="44" spans="1:5">
      <c r="A44" s="6" t="s">
        <v>141</v>
      </c>
    </row>
    <row r="45" spans="1:5">
      <c r="A45" s="6" t="s">
        <v>142</v>
      </c>
    </row>
    <row r="46" spans="1:5">
      <c r="A46" s="6" t="s">
        <v>161</v>
      </c>
    </row>
    <row r="47" spans="1:5">
      <c r="A47" s="6" t="s">
        <v>162</v>
      </c>
    </row>
    <row r="48" spans="1:5">
      <c r="A48" s="6"/>
    </row>
    <row r="49" spans="1:9">
      <c r="A49" s="6"/>
      <c r="I49">
        <f>3260*2</f>
        <v>6520</v>
      </c>
    </row>
  </sheetData>
  <mergeCells count="2">
    <mergeCell ref="A11:D11"/>
    <mergeCell ref="A37:D37"/>
  </mergeCells>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7" workbookViewId="0">
      <selection activeCell="B49" sqref="B49"/>
    </sheetView>
  </sheetViews>
  <sheetFormatPr defaultRowHeight="14.4"/>
  <cols>
    <col min="2" max="2" width="48.77734375" customWidth="1"/>
    <col min="3" max="3" width="15.109375" customWidth="1"/>
    <col min="8" max="8" width="8.88671875" style="40"/>
    <col min="9" max="9" width="19.21875" style="40" customWidth="1"/>
    <col min="10" max="10" width="8.88671875" style="40"/>
  </cols>
  <sheetData>
    <row r="1" spans="1:9">
      <c r="A1" t="s">
        <v>127</v>
      </c>
    </row>
    <row r="2" spans="1:9" ht="23.4" customHeight="1">
      <c r="A2" s="145" t="s">
        <v>79</v>
      </c>
      <c r="B2" s="145" t="s">
        <v>80</v>
      </c>
      <c r="C2" s="145" t="s">
        <v>81</v>
      </c>
      <c r="D2" s="145" t="s">
        <v>82</v>
      </c>
      <c r="E2" s="145" t="s">
        <v>83</v>
      </c>
    </row>
    <row r="3" spans="1:9" ht="14.4" customHeight="1">
      <c r="A3" s="144" t="s">
        <v>147</v>
      </c>
      <c r="B3" s="24" t="s">
        <v>465</v>
      </c>
      <c r="C3" s="144">
        <v>9</v>
      </c>
      <c r="D3" s="144">
        <v>4000</v>
      </c>
      <c r="E3" s="144">
        <f t="shared" ref="E3:E10" si="0">C3*D3</f>
        <v>36000</v>
      </c>
      <c r="H3" s="40">
        <f>2450*2</f>
        <v>4900</v>
      </c>
      <c r="I3" s="40" t="s">
        <v>429</v>
      </c>
    </row>
    <row r="4" spans="1:9" ht="17.399999999999999" customHeight="1">
      <c r="A4" s="144">
        <v>2</v>
      </c>
      <c r="B4" s="144" t="s">
        <v>469</v>
      </c>
      <c r="C4" s="144">
        <v>1</v>
      </c>
      <c r="D4" s="144">
        <v>23600</v>
      </c>
      <c r="E4" s="144">
        <f t="shared" si="0"/>
        <v>23600</v>
      </c>
      <c r="H4" s="40">
        <f>12200*2</f>
        <v>24400</v>
      </c>
      <c r="I4" s="40" t="s">
        <v>453</v>
      </c>
    </row>
    <row r="5" spans="1:9" ht="13.2" customHeight="1">
      <c r="A5" s="144">
        <v>3</v>
      </c>
      <c r="B5" s="144" t="s">
        <v>117</v>
      </c>
      <c r="C5" s="144">
        <v>1</v>
      </c>
      <c r="D5" s="144">
        <v>8600</v>
      </c>
      <c r="E5" s="144">
        <f t="shared" si="0"/>
        <v>8600</v>
      </c>
    </row>
    <row r="6" spans="1:9" ht="31.2" customHeight="1">
      <c r="A6" s="144">
        <v>4</v>
      </c>
      <c r="B6" s="144" t="s">
        <v>464</v>
      </c>
      <c r="C6" s="144">
        <v>1</v>
      </c>
      <c r="D6" s="144">
        <v>15900</v>
      </c>
      <c r="E6" s="144">
        <f t="shared" si="0"/>
        <v>15900</v>
      </c>
    </row>
    <row r="7" spans="1:9" ht="13.8" customHeight="1">
      <c r="A7" s="144">
        <v>5</v>
      </c>
      <c r="B7" s="144" t="s">
        <v>116</v>
      </c>
      <c r="C7" s="144">
        <v>22</v>
      </c>
      <c r="D7" s="144">
        <v>150</v>
      </c>
      <c r="E7" s="144">
        <f t="shared" si="0"/>
        <v>3300</v>
      </c>
    </row>
    <row r="8" spans="1:9">
      <c r="A8" s="144">
        <v>6</v>
      </c>
      <c r="B8" s="144" t="s">
        <v>175</v>
      </c>
      <c r="C8" s="144">
        <v>9</v>
      </c>
      <c r="D8" s="144">
        <v>100</v>
      </c>
      <c r="E8" s="144">
        <f t="shared" si="0"/>
        <v>900</v>
      </c>
    </row>
    <row r="9" spans="1:9" ht="26.4">
      <c r="A9" s="144">
        <v>7</v>
      </c>
      <c r="B9" s="144" t="s">
        <v>457</v>
      </c>
      <c r="C9" s="144">
        <v>90</v>
      </c>
      <c r="D9" s="144">
        <v>78</v>
      </c>
      <c r="E9" s="144">
        <f t="shared" si="0"/>
        <v>7020</v>
      </c>
    </row>
    <row r="10" spans="1:9">
      <c r="A10" s="144">
        <v>8</v>
      </c>
      <c r="B10" s="144" t="s">
        <v>86</v>
      </c>
      <c r="C10" s="144">
        <v>1</v>
      </c>
      <c r="D10" s="144">
        <v>4500</v>
      </c>
      <c r="E10" s="144">
        <f t="shared" si="0"/>
        <v>4500</v>
      </c>
    </row>
    <row r="11" spans="1:9">
      <c r="A11" s="273" t="s">
        <v>87</v>
      </c>
      <c r="B11" s="274"/>
      <c r="C11" s="274"/>
      <c r="D11" s="275"/>
      <c r="E11" s="145">
        <f>SUM(E3:E10)</f>
        <v>99820</v>
      </c>
    </row>
    <row r="12" spans="1:9">
      <c r="A12" s="5"/>
      <c r="B12" s="5"/>
      <c r="C12" s="5"/>
      <c r="D12" s="5"/>
      <c r="E12" s="5"/>
    </row>
    <row r="13" spans="1:9">
      <c r="A13" s="6" t="s">
        <v>143</v>
      </c>
      <c r="B13" s="5"/>
      <c r="C13" s="5"/>
      <c r="D13" s="5"/>
      <c r="E13" s="5"/>
    </row>
    <row r="14" spans="1:9">
      <c r="A14" t="s">
        <v>450</v>
      </c>
      <c r="B14" s="5"/>
      <c r="C14" s="5"/>
      <c r="D14" s="5"/>
      <c r="E14" s="5"/>
    </row>
    <row r="15" spans="1:9">
      <c r="A15" t="s">
        <v>452</v>
      </c>
      <c r="B15" s="5"/>
      <c r="C15" s="5"/>
      <c r="D15" s="5"/>
      <c r="E15" s="5"/>
      <c r="H15" s="40">
        <f>5940*2</f>
        <v>11880</v>
      </c>
    </row>
    <row r="16" spans="1:9">
      <c r="B16" s="5"/>
      <c r="C16" s="5"/>
      <c r="D16" s="5"/>
      <c r="E16" s="5"/>
    </row>
    <row r="17" spans="1:9">
      <c r="A17" s="6" t="s">
        <v>463</v>
      </c>
      <c r="B17" s="75"/>
      <c r="C17" s="75"/>
      <c r="D17" s="75"/>
      <c r="E17" s="75"/>
    </row>
    <row r="18" spans="1:9">
      <c r="A18" s="6"/>
      <c r="B18" s="75"/>
      <c r="C18" s="75"/>
      <c r="D18" s="75"/>
      <c r="E18" s="75"/>
    </row>
    <row r="19" spans="1:9">
      <c r="A19" s="6" t="s">
        <v>129</v>
      </c>
      <c r="B19" s="75"/>
      <c r="C19" s="75"/>
      <c r="D19" s="75"/>
      <c r="E19" s="75"/>
    </row>
    <row r="20" spans="1:9">
      <c r="A20" s="6" t="s">
        <v>141</v>
      </c>
      <c r="B20" s="75"/>
      <c r="C20" s="75"/>
      <c r="D20" s="75"/>
      <c r="E20" s="75"/>
    </row>
    <row r="21" spans="1:9">
      <c r="A21" s="6" t="s">
        <v>142</v>
      </c>
      <c r="B21" s="75"/>
      <c r="C21" s="75"/>
      <c r="D21" s="75"/>
      <c r="E21" s="75"/>
    </row>
    <row r="22" spans="1:9">
      <c r="A22" s="6" t="s">
        <v>161</v>
      </c>
      <c r="B22" s="75"/>
      <c r="C22" s="75"/>
      <c r="D22" s="75"/>
      <c r="E22" s="75"/>
    </row>
    <row r="23" spans="1:9">
      <c r="A23" s="6" t="s">
        <v>162</v>
      </c>
      <c r="B23" s="75"/>
      <c r="C23" s="75"/>
      <c r="D23" s="75"/>
      <c r="E23" s="75"/>
    </row>
    <row r="24" spans="1:9">
      <c r="A24" s="6"/>
      <c r="B24" s="75"/>
      <c r="C24" s="75"/>
      <c r="D24" s="75"/>
      <c r="E24" s="75"/>
    </row>
    <row r="25" spans="1:9">
      <c r="A25" s="6" t="s">
        <v>128</v>
      </c>
    </row>
    <row r="26" spans="1:9">
      <c r="A26" s="145" t="s">
        <v>79</v>
      </c>
      <c r="B26" s="145" t="s">
        <v>80</v>
      </c>
      <c r="C26" s="145" t="s">
        <v>81</v>
      </c>
      <c r="D26" s="145" t="s">
        <v>82</v>
      </c>
      <c r="E26" s="145" t="s">
        <v>83</v>
      </c>
    </row>
    <row r="27" spans="1:9">
      <c r="A27" s="144">
        <v>1</v>
      </c>
      <c r="B27" s="144" t="s">
        <v>466</v>
      </c>
      <c r="C27" s="144">
        <v>9</v>
      </c>
      <c r="D27" s="144">
        <v>2400</v>
      </c>
      <c r="E27" s="144">
        <f t="shared" ref="E27:E35" si="1">C27*D27</f>
        <v>21600</v>
      </c>
      <c r="H27" s="40">
        <f>1230*2</f>
        <v>2460</v>
      </c>
      <c r="I27" s="40" t="s">
        <v>454</v>
      </c>
    </row>
    <row r="28" spans="1:9">
      <c r="A28" s="144">
        <v>2</v>
      </c>
      <c r="B28" s="144" t="s">
        <v>467</v>
      </c>
      <c r="C28" s="144">
        <v>1</v>
      </c>
      <c r="D28" s="144">
        <v>10640</v>
      </c>
      <c r="E28" s="144">
        <f t="shared" si="1"/>
        <v>10640</v>
      </c>
      <c r="H28" s="40">
        <f>5320*2</f>
        <v>10640</v>
      </c>
      <c r="I28" s="40" t="s">
        <v>455</v>
      </c>
    </row>
    <row r="29" spans="1:9">
      <c r="A29" s="144">
        <v>3</v>
      </c>
      <c r="B29" s="144" t="s">
        <v>172</v>
      </c>
      <c r="C29" s="144">
        <v>18</v>
      </c>
      <c r="D29" s="144">
        <v>60</v>
      </c>
      <c r="E29" s="144">
        <f t="shared" si="1"/>
        <v>1080</v>
      </c>
    </row>
    <row r="30" spans="1:9">
      <c r="A30" s="144">
        <v>4</v>
      </c>
      <c r="B30" s="144" t="s">
        <v>173</v>
      </c>
      <c r="C30" s="144">
        <v>9</v>
      </c>
      <c r="D30" s="144">
        <v>50</v>
      </c>
      <c r="E30" s="144">
        <f t="shared" si="1"/>
        <v>450</v>
      </c>
    </row>
    <row r="31" spans="1:9">
      <c r="A31" s="144">
        <v>5</v>
      </c>
      <c r="B31" s="144" t="s">
        <v>174</v>
      </c>
      <c r="C31" s="144">
        <v>1</v>
      </c>
      <c r="D31" s="144">
        <v>1990</v>
      </c>
      <c r="E31" s="144">
        <f t="shared" si="1"/>
        <v>1990</v>
      </c>
    </row>
    <row r="32" spans="1:9">
      <c r="A32" s="144">
        <v>6</v>
      </c>
      <c r="B32" s="144" t="s">
        <v>117</v>
      </c>
      <c r="C32" s="144">
        <v>1</v>
      </c>
      <c r="D32" s="144">
        <v>8600</v>
      </c>
      <c r="E32" s="144">
        <f t="shared" si="1"/>
        <v>8600</v>
      </c>
    </row>
    <row r="33" spans="1:10">
      <c r="A33" s="144">
        <v>7</v>
      </c>
      <c r="B33" s="144" t="s">
        <v>175</v>
      </c>
      <c r="C33" s="144">
        <v>9</v>
      </c>
      <c r="D33" s="144">
        <v>100</v>
      </c>
      <c r="E33" s="144">
        <f t="shared" si="1"/>
        <v>900</v>
      </c>
    </row>
    <row r="34" spans="1:10" ht="26.4">
      <c r="A34" s="144">
        <v>8</v>
      </c>
      <c r="B34" s="144" t="s">
        <v>459</v>
      </c>
      <c r="C34" s="144">
        <v>90</v>
      </c>
      <c r="D34" s="144">
        <v>78</v>
      </c>
      <c r="E34" s="144">
        <f t="shared" si="1"/>
        <v>7020</v>
      </c>
    </row>
    <row r="35" spans="1:10">
      <c r="A35" s="144">
        <v>9</v>
      </c>
      <c r="B35" s="144" t="s">
        <v>86</v>
      </c>
      <c r="C35" s="144">
        <v>1</v>
      </c>
      <c r="D35" s="144">
        <v>4500</v>
      </c>
      <c r="E35" s="144">
        <f t="shared" si="1"/>
        <v>4500</v>
      </c>
    </row>
    <row r="36" spans="1:10">
      <c r="A36" s="273" t="s">
        <v>87</v>
      </c>
      <c r="B36" s="274"/>
      <c r="C36" s="274"/>
      <c r="D36" s="275"/>
      <c r="E36" s="145">
        <f>SUM(E27:E35)</f>
        <v>56780</v>
      </c>
    </row>
    <row r="37" spans="1:10">
      <c r="A37" s="7"/>
      <c r="B37" s="9"/>
      <c r="C37" s="9"/>
      <c r="D37" s="7"/>
      <c r="E37" s="7"/>
    </row>
    <row r="38" spans="1:10">
      <c r="A38" s="76" t="s">
        <v>468</v>
      </c>
      <c r="B38" s="9"/>
      <c r="C38" s="9"/>
      <c r="D38" s="7"/>
      <c r="E38" s="7"/>
    </row>
    <row r="39" spans="1:10">
      <c r="A39" s="7"/>
      <c r="B39" s="9"/>
      <c r="C39" s="9"/>
      <c r="D39" s="7"/>
      <c r="E39" s="7"/>
    </row>
    <row r="40" spans="1:10">
      <c r="A40" s="77" t="s">
        <v>129</v>
      </c>
      <c r="B40" s="9"/>
      <c r="C40" s="9"/>
      <c r="D40" s="7"/>
      <c r="E40" s="7"/>
    </row>
    <row r="41" spans="1:10">
      <c r="A41" s="77" t="s">
        <v>141</v>
      </c>
      <c r="B41" s="9"/>
      <c r="C41" s="9"/>
      <c r="D41" s="7"/>
      <c r="E41" s="7"/>
    </row>
    <row r="42" spans="1:10">
      <c r="A42" s="78" t="s">
        <v>180</v>
      </c>
      <c r="B42" s="9"/>
      <c r="C42" s="9"/>
      <c r="D42" s="7"/>
      <c r="E42" s="7"/>
    </row>
    <row r="43" spans="1:10">
      <c r="A43" s="78" t="s">
        <v>181</v>
      </c>
      <c r="B43" s="9"/>
      <c r="C43" s="9"/>
      <c r="D43" s="7"/>
      <c r="E43" s="7"/>
    </row>
    <row r="45" spans="1:10">
      <c r="A45" s="145" t="s">
        <v>79</v>
      </c>
      <c r="B45" s="145" t="s">
        <v>80</v>
      </c>
      <c r="C45" s="145" t="s">
        <v>81</v>
      </c>
      <c r="D45" s="145" t="s">
        <v>82</v>
      </c>
      <c r="E45" s="145" t="s">
        <v>83</v>
      </c>
    </row>
    <row r="46" spans="1:10">
      <c r="A46" s="144">
        <v>1</v>
      </c>
      <c r="B46" s="24" t="s">
        <v>458</v>
      </c>
      <c r="C46" s="144">
        <v>9</v>
      </c>
      <c r="D46" s="144">
        <v>4300</v>
      </c>
      <c r="E46" s="144">
        <f t="shared" ref="E46:E54" si="2">C46*D46</f>
        <v>38700</v>
      </c>
      <c r="H46" s="40">
        <f>2150*2</f>
        <v>4300</v>
      </c>
    </row>
    <row r="47" spans="1:10">
      <c r="A47" s="144">
        <v>2</v>
      </c>
      <c r="B47" s="144" t="s">
        <v>448</v>
      </c>
      <c r="C47" s="144">
        <v>1</v>
      </c>
      <c r="D47" s="144">
        <v>9320</v>
      </c>
      <c r="E47" s="144">
        <f t="shared" si="2"/>
        <v>9320</v>
      </c>
      <c r="H47" s="40">
        <f>4660*2</f>
        <v>9320</v>
      </c>
      <c r="J47" s="40" t="s">
        <v>462</v>
      </c>
    </row>
    <row r="48" spans="1:10">
      <c r="A48" s="144">
        <v>3</v>
      </c>
      <c r="B48" s="144" t="s">
        <v>117</v>
      </c>
      <c r="C48" s="144">
        <v>1</v>
      </c>
      <c r="D48" s="144">
        <v>8600</v>
      </c>
      <c r="E48" s="144">
        <f t="shared" si="2"/>
        <v>8600</v>
      </c>
    </row>
    <row r="49" spans="1:8" ht="14.4" customHeight="1">
      <c r="A49" s="144">
        <v>4</v>
      </c>
      <c r="B49" s="144" t="s">
        <v>456</v>
      </c>
      <c r="C49" s="144">
        <v>1</v>
      </c>
      <c r="D49" s="144">
        <v>9000</v>
      </c>
      <c r="E49" s="144">
        <f t="shared" si="2"/>
        <v>9000</v>
      </c>
    </row>
    <row r="50" spans="1:8" ht="14.4" customHeight="1">
      <c r="A50" s="144">
        <v>5</v>
      </c>
      <c r="B50" s="144" t="s">
        <v>134</v>
      </c>
      <c r="C50" s="144">
        <v>1</v>
      </c>
      <c r="D50" s="144">
        <v>6600</v>
      </c>
      <c r="E50" s="144">
        <f t="shared" si="2"/>
        <v>6600</v>
      </c>
    </row>
    <row r="51" spans="1:8">
      <c r="A51" s="144">
        <v>6</v>
      </c>
      <c r="B51" s="144" t="s">
        <v>116</v>
      </c>
      <c r="C51" s="144">
        <v>22</v>
      </c>
      <c r="D51" s="144">
        <v>150</v>
      </c>
      <c r="E51" s="144">
        <f t="shared" si="2"/>
        <v>3300</v>
      </c>
    </row>
    <row r="52" spans="1:8">
      <c r="A52" s="144">
        <v>7</v>
      </c>
      <c r="B52" s="144" t="s">
        <v>175</v>
      </c>
      <c r="C52" s="144">
        <v>9</v>
      </c>
      <c r="D52" s="144">
        <v>100</v>
      </c>
      <c r="E52" s="144">
        <f t="shared" si="2"/>
        <v>900</v>
      </c>
    </row>
    <row r="53" spans="1:8" ht="26.4">
      <c r="A53" s="144">
        <v>8</v>
      </c>
      <c r="B53" s="144" t="s">
        <v>457</v>
      </c>
      <c r="C53" s="144">
        <v>90</v>
      </c>
      <c r="D53" s="144">
        <v>78</v>
      </c>
      <c r="E53" s="144">
        <f t="shared" si="2"/>
        <v>7020</v>
      </c>
    </row>
    <row r="54" spans="1:8">
      <c r="A54" s="144">
        <v>9</v>
      </c>
      <c r="B54" s="144" t="s">
        <v>86</v>
      </c>
      <c r="C54" s="144">
        <v>1</v>
      </c>
      <c r="D54" s="144">
        <v>3500</v>
      </c>
      <c r="E54" s="144">
        <f t="shared" si="2"/>
        <v>3500</v>
      </c>
    </row>
    <row r="55" spans="1:8">
      <c r="A55" s="273" t="s">
        <v>87</v>
      </c>
      <c r="B55" s="274"/>
      <c r="C55" s="274"/>
      <c r="D55" s="275"/>
      <c r="E55" s="145">
        <f>SUM(E46:E54)</f>
        <v>86940</v>
      </c>
    </row>
    <row r="58" spans="1:8">
      <c r="A58" s="145" t="s">
        <v>79</v>
      </c>
      <c r="B58" s="145" t="s">
        <v>80</v>
      </c>
      <c r="C58" s="145" t="s">
        <v>81</v>
      </c>
      <c r="D58" s="145" t="s">
        <v>82</v>
      </c>
      <c r="E58" s="145" t="s">
        <v>83</v>
      </c>
    </row>
    <row r="59" spans="1:8">
      <c r="A59" s="144">
        <v>1</v>
      </c>
      <c r="B59" s="144" t="s">
        <v>460</v>
      </c>
      <c r="C59" s="144">
        <v>9</v>
      </c>
      <c r="D59" s="144">
        <v>1760</v>
      </c>
      <c r="E59" s="144">
        <f t="shared" ref="E59:E67" si="3">C59*D59</f>
        <v>15840</v>
      </c>
      <c r="H59" s="40">
        <f>880*2</f>
        <v>1760</v>
      </c>
    </row>
    <row r="60" spans="1:8">
      <c r="A60" s="144">
        <v>2</v>
      </c>
      <c r="B60" s="144" t="s">
        <v>461</v>
      </c>
      <c r="C60" s="144">
        <v>1</v>
      </c>
      <c r="D60" s="144">
        <v>10100</v>
      </c>
      <c r="E60" s="144">
        <f t="shared" si="3"/>
        <v>10100</v>
      </c>
      <c r="H60" s="40">
        <f>5050*2</f>
        <v>10100</v>
      </c>
    </row>
    <row r="61" spans="1:8">
      <c r="A61" s="144">
        <v>3</v>
      </c>
      <c r="B61" s="144" t="s">
        <v>172</v>
      </c>
      <c r="C61" s="144">
        <v>18</v>
      </c>
      <c r="D61" s="144">
        <v>60</v>
      </c>
      <c r="E61" s="144">
        <f t="shared" si="3"/>
        <v>1080</v>
      </c>
    </row>
    <row r="62" spans="1:8">
      <c r="A62" s="144">
        <v>4</v>
      </c>
      <c r="B62" s="144" t="s">
        <v>173</v>
      </c>
      <c r="C62" s="144">
        <v>9</v>
      </c>
      <c r="D62" s="144">
        <v>50</v>
      </c>
      <c r="E62" s="144">
        <f t="shared" si="3"/>
        <v>450</v>
      </c>
    </row>
    <row r="63" spans="1:8">
      <c r="A63" s="144">
        <v>5</v>
      </c>
      <c r="B63" s="144" t="s">
        <v>174</v>
      </c>
      <c r="C63" s="144">
        <v>1</v>
      </c>
      <c r="D63" s="144">
        <v>1890</v>
      </c>
      <c r="E63" s="144">
        <f t="shared" si="3"/>
        <v>1890</v>
      </c>
    </row>
    <row r="64" spans="1:8">
      <c r="A64" s="144">
        <v>6</v>
      </c>
      <c r="B64" s="144" t="s">
        <v>117</v>
      </c>
      <c r="C64" s="144">
        <v>1</v>
      </c>
      <c r="D64" s="144">
        <v>8600</v>
      </c>
      <c r="E64" s="144">
        <f t="shared" si="3"/>
        <v>8600</v>
      </c>
    </row>
    <row r="65" spans="1:5">
      <c r="A65" s="144">
        <v>7</v>
      </c>
      <c r="B65" s="144" t="s">
        <v>175</v>
      </c>
      <c r="C65" s="144">
        <v>9</v>
      </c>
      <c r="D65" s="144">
        <v>100</v>
      </c>
      <c r="E65" s="144">
        <f t="shared" si="3"/>
        <v>900</v>
      </c>
    </row>
    <row r="66" spans="1:5" ht="26.4">
      <c r="A66" s="144">
        <v>8</v>
      </c>
      <c r="B66" s="144" t="s">
        <v>459</v>
      </c>
      <c r="C66" s="144">
        <v>90</v>
      </c>
      <c r="D66" s="144">
        <v>78</v>
      </c>
      <c r="E66" s="144">
        <f t="shared" si="3"/>
        <v>7020</v>
      </c>
    </row>
    <row r="67" spans="1:5">
      <c r="A67" s="144">
        <v>9</v>
      </c>
      <c r="B67" s="144" t="s">
        <v>86</v>
      </c>
      <c r="C67" s="144">
        <v>1</v>
      </c>
      <c r="D67" s="144">
        <v>3500</v>
      </c>
      <c r="E67" s="144">
        <f t="shared" si="3"/>
        <v>3500</v>
      </c>
    </row>
    <row r="68" spans="1:5">
      <c r="A68" s="273" t="s">
        <v>87</v>
      </c>
      <c r="B68" s="274"/>
      <c r="C68" s="274"/>
      <c r="D68" s="275"/>
      <c r="E68" s="145">
        <f>SUM(E59:E67)</f>
        <v>49380</v>
      </c>
    </row>
  </sheetData>
  <mergeCells count="4">
    <mergeCell ref="A68:D68"/>
    <mergeCell ref="A11:D11"/>
    <mergeCell ref="A55:D55"/>
    <mergeCell ref="A36:D3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B27" sqref="B27"/>
    </sheetView>
  </sheetViews>
  <sheetFormatPr defaultRowHeight="14.4"/>
  <cols>
    <col min="2" max="2" width="45.5546875" customWidth="1"/>
    <col min="3" max="3" width="13.109375" customWidth="1"/>
  </cols>
  <sheetData>
    <row r="1" spans="1:10">
      <c r="A1" s="40" t="s">
        <v>127</v>
      </c>
    </row>
    <row r="2" spans="1:10">
      <c r="A2" s="147" t="s">
        <v>79</v>
      </c>
      <c r="B2" s="147" t="s">
        <v>80</v>
      </c>
      <c r="C2" s="147" t="s">
        <v>81</v>
      </c>
      <c r="D2" s="147" t="s">
        <v>82</v>
      </c>
      <c r="E2" s="147" t="s">
        <v>83</v>
      </c>
    </row>
    <row r="3" spans="1:10" ht="22.2" customHeight="1">
      <c r="A3" s="146" t="s">
        <v>147</v>
      </c>
      <c r="B3" s="24" t="s">
        <v>434</v>
      </c>
      <c r="C3" s="146">
        <v>8</v>
      </c>
      <c r="D3" s="146">
        <v>4000</v>
      </c>
      <c r="E3" s="146">
        <f t="shared" ref="E3:E9" si="0">C3*D3</f>
        <v>32000</v>
      </c>
      <c r="G3">
        <f>2450*2</f>
        <v>4900</v>
      </c>
    </row>
    <row r="4" spans="1:10" ht="13.8" customHeight="1">
      <c r="A4" s="146" t="s">
        <v>214</v>
      </c>
      <c r="B4" s="146" t="s">
        <v>228</v>
      </c>
      <c r="C4" s="146">
        <v>1</v>
      </c>
      <c r="D4" s="146">
        <v>11880</v>
      </c>
      <c r="E4" s="146">
        <f t="shared" si="0"/>
        <v>11880</v>
      </c>
      <c r="G4">
        <f>5940*2</f>
        <v>11880</v>
      </c>
    </row>
    <row r="5" spans="1:10" ht="15" customHeight="1">
      <c r="A5" s="146">
        <v>3</v>
      </c>
      <c r="B5" s="146" t="s">
        <v>117</v>
      </c>
      <c r="C5" s="146">
        <v>1</v>
      </c>
      <c r="D5" s="146">
        <v>8600</v>
      </c>
      <c r="E5" s="146">
        <f t="shared" si="0"/>
        <v>8600</v>
      </c>
      <c r="G5">
        <f>6500*2</f>
        <v>13000</v>
      </c>
    </row>
    <row r="6" spans="1:10" ht="16.8" customHeight="1">
      <c r="A6" s="146">
        <v>4</v>
      </c>
      <c r="B6" s="146" t="s">
        <v>134</v>
      </c>
      <c r="C6" s="146">
        <v>1</v>
      </c>
      <c r="D6" s="146">
        <v>8490</v>
      </c>
      <c r="E6" s="146">
        <f t="shared" si="0"/>
        <v>8490</v>
      </c>
    </row>
    <row r="7" spans="1:10" ht="17.399999999999999" customHeight="1">
      <c r="A7" s="146">
        <v>5</v>
      </c>
      <c r="B7" s="146" t="s">
        <v>116</v>
      </c>
      <c r="C7" s="146">
        <v>20</v>
      </c>
      <c r="D7" s="146">
        <v>150</v>
      </c>
      <c r="E7" s="146">
        <f t="shared" si="0"/>
        <v>3000</v>
      </c>
    </row>
    <row r="8" spans="1:10">
      <c r="A8" s="146">
        <v>6</v>
      </c>
      <c r="B8" s="146" t="s">
        <v>175</v>
      </c>
      <c r="C8" s="146">
        <v>8</v>
      </c>
      <c r="D8" s="146">
        <v>100</v>
      </c>
      <c r="E8" s="146">
        <f t="shared" si="0"/>
        <v>800</v>
      </c>
    </row>
    <row r="9" spans="1:10">
      <c r="A9" s="146">
        <v>7</v>
      </c>
      <c r="B9" s="146" t="s">
        <v>86</v>
      </c>
      <c r="C9" s="146">
        <v>1</v>
      </c>
      <c r="D9" s="146">
        <v>5000</v>
      </c>
      <c r="E9" s="146">
        <f t="shared" si="0"/>
        <v>5000</v>
      </c>
    </row>
    <row r="10" spans="1:10">
      <c r="A10" s="273" t="s">
        <v>87</v>
      </c>
      <c r="B10" s="274"/>
      <c r="C10" s="274"/>
      <c r="D10" s="275"/>
      <c r="E10" s="147">
        <f>SUM(E3:E9)</f>
        <v>69770</v>
      </c>
    </row>
    <row r="11" spans="1:10">
      <c r="A11" s="5"/>
      <c r="B11" s="5"/>
      <c r="C11" s="5"/>
      <c r="D11" s="5"/>
      <c r="E11" s="5"/>
    </row>
    <row r="12" spans="1:10">
      <c r="A12" s="6" t="s">
        <v>143</v>
      </c>
      <c r="B12" s="5"/>
      <c r="C12" s="5"/>
      <c r="D12" s="5"/>
      <c r="E12" s="5"/>
    </row>
    <row r="13" spans="1:10">
      <c r="A13" t="s">
        <v>450</v>
      </c>
      <c r="B13" s="5"/>
      <c r="C13" s="5"/>
      <c r="D13" s="5"/>
      <c r="E13" s="5"/>
      <c r="J13">
        <f>7060*2</f>
        <v>14120</v>
      </c>
    </row>
    <row r="14" spans="1:10">
      <c r="A14" t="s">
        <v>473</v>
      </c>
      <c r="B14" s="5"/>
      <c r="C14" s="5"/>
      <c r="D14" s="5"/>
      <c r="E14" s="5"/>
    </row>
    <row r="15" spans="1:10">
      <c r="B15" s="5"/>
      <c r="C15" s="5"/>
      <c r="D15" s="5"/>
      <c r="E15" s="5"/>
    </row>
    <row r="16" spans="1:10">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7" t="s">
        <v>79</v>
      </c>
      <c r="B28" s="147" t="s">
        <v>80</v>
      </c>
      <c r="C28" s="147" t="s">
        <v>81</v>
      </c>
      <c r="D28" s="147" t="s">
        <v>82</v>
      </c>
      <c r="E28" s="147" t="s">
        <v>83</v>
      </c>
    </row>
    <row r="29" spans="1:10">
      <c r="A29" s="146" t="s">
        <v>147</v>
      </c>
      <c r="B29" s="24" t="s">
        <v>447</v>
      </c>
      <c r="C29" s="146">
        <v>8</v>
      </c>
      <c r="D29" s="146">
        <v>4300</v>
      </c>
      <c r="E29" s="146">
        <f t="shared" ref="E29:E35" si="1">C29*D29</f>
        <v>34400</v>
      </c>
      <c r="G29">
        <f>2150*2</f>
        <v>4300</v>
      </c>
    </row>
    <row r="30" spans="1:10">
      <c r="A30" s="146" t="s">
        <v>214</v>
      </c>
      <c r="B30" s="146" t="s">
        <v>472</v>
      </c>
      <c r="C30" s="146">
        <v>1</v>
      </c>
      <c r="D30" s="146">
        <v>6440</v>
      </c>
      <c r="E30" s="146">
        <f t="shared" si="1"/>
        <v>6440</v>
      </c>
      <c r="G30">
        <f>3220*2</f>
        <v>6440</v>
      </c>
    </row>
    <row r="31" spans="1:10">
      <c r="A31" s="146">
        <v>3</v>
      </c>
      <c r="B31" s="146" t="s">
        <v>446</v>
      </c>
      <c r="C31" s="146">
        <v>1</v>
      </c>
      <c r="D31" s="146">
        <v>8600</v>
      </c>
      <c r="E31" s="146">
        <f t="shared" si="1"/>
        <v>8600</v>
      </c>
    </row>
    <row r="32" spans="1:10" ht="12.6" customHeight="1">
      <c r="A32" s="146">
        <v>4</v>
      </c>
      <c r="B32" s="146" t="s">
        <v>134</v>
      </c>
      <c r="C32" s="146">
        <v>1</v>
      </c>
      <c r="D32" s="146">
        <v>8600</v>
      </c>
      <c r="E32" s="146">
        <f t="shared" si="1"/>
        <v>8600</v>
      </c>
    </row>
    <row r="33" spans="1:8">
      <c r="A33" s="146">
        <v>5</v>
      </c>
      <c r="B33" s="146" t="s">
        <v>116</v>
      </c>
      <c r="C33" s="146">
        <v>20</v>
      </c>
      <c r="D33" s="146">
        <v>150</v>
      </c>
      <c r="E33" s="146">
        <f t="shared" si="1"/>
        <v>3000</v>
      </c>
    </row>
    <row r="34" spans="1:8">
      <c r="A34" s="146">
        <v>6</v>
      </c>
      <c r="B34" s="146" t="s">
        <v>175</v>
      </c>
      <c r="C34" s="146">
        <v>8</v>
      </c>
      <c r="D34" s="146">
        <v>100</v>
      </c>
      <c r="E34" s="146">
        <f t="shared" si="1"/>
        <v>800</v>
      </c>
    </row>
    <row r="35" spans="1:8">
      <c r="A35" s="146">
        <v>7</v>
      </c>
      <c r="B35" s="146" t="s">
        <v>86</v>
      </c>
      <c r="C35" s="146">
        <v>1</v>
      </c>
      <c r="D35" s="146">
        <v>5000</v>
      </c>
      <c r="E35" s="146">
        <f t="shared" si="1"/>
        <v>5000</v>
      </c>
    </row>
    <row r="36" spans="1:8">
      <c r="A36" s="273" t="s">
        <v>87</v>
      </c>
      <c r="B36" s="274"/>
      <c r="C36" s="274"/>
      <c r="D36" s="275"/>
      <c r="E36" s="147">
        <f>SUM(E29:E35)</f>
        <v>66840</v>
      </c>
    </row>
    <row r="37" spans="1:8">
      <c r="A37" s="5"/>
      <c r="B37" s="5"/>
      <c r="C37" s="5"/>
      <c r="D37" s="5"/>
      <c r="E37" s="5"/>
    </row>
    <row r="38" spans="1:8">
      <c r="A38" s="6" t="s">
        <v>140</v>
      </c>
    </row>
    <row r="39" spans="1:8">
      <c r="A39" s="6"/>
    </row>
    <row r="40" spans="1:8">
      <c r="A40" s="6" t="s">
        <v>143</v>
      </c>
    </row>
    <row r="41" spans="1:8">
      <c r="A41" t="s">
        <v>449</v>
      </c>
    </row>
    <row r="42" spans="1:8">
      <c r="A42" t="s">
        <v>471</v>
      </c>
      <c r="H42">
        <f>6550*2</f>
        <v>13100</v>
      </c>
    </row>
    <row r="44" spans="1:8">
      <c r="A44" s="6" t="s">
        <v>129</v>
      </c>
    </row>
    <row r="45" spans="1:8">
      <c r="A45" s="6" t="s">
        <v>141</v>
      </c>
    </row>
    <row r="46" spans="1:8">
      <c r="A46" s="6" t="s">
        <v>142</v>
      </c>
    </row>
    <row r="47" spans="1:8">
      <c r="A47" s="6" t="s">
        <v>161</v>
      </c>
    </row>
    <row r="48" spans="1:8">
      <c r="A48" s="6" t="s">
        <v>162</v>
      </c>
    </row>
    <row r="49" spans="1:9">
      <c r="A49" s="6"/>
    </row>
    <row r="50" spans="1:9">
      <c r="A50" s="6"/>
      <c r="I50">
        <f>3260*2</f>
        <v>6520</v>
      </c>
    </row>
  </sheetData>
  <mergeCells count="2">
    <mergeCell ref="A10:D10"/>
    <mergeCell ref="A36:D3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workbookViewId="0">
      <selection activeCell="C1" sqref="C1"/>
    </sheetView>
  </sheetViews>
  <sheetFormatPr defaultRowHeight="13.8"/>
  <cols>
    <col min="1" max="1" width="8.88671875" style="148"/>
    <col min="2" max="2" width="74" style="148" customWidth="1"/>
    <col min="3" max="3" width="5.6640625" style="148" customWidth="1"/>
    <col min="4" max="16384" width="8.88671875" style="148"/>
  </cols>
  <sheetData>
    <row r="1" spans="1:5">
      <c r="A1" s="153" t="s">
        <v>0</v>
      </c>
      <c r="B1" s="153" t="s">
        <v>1</v>
      </c>
      <c r="C1" s="153" t="s">
        <v>20</v>
      </c>
      <c r="D1" s="153" t="s">
        <v>19</v>
      </c>
      <c r="E1" s="153" t="s">
        <v>2</v>
      </c>
    </row>
    <row r="2" spans="1:5">
      <c r="A2" s="155"/>
      <c r="B2" s="152" t="s">
        <v>544</v>
      </c>
      <c r="C2" s="156"/>
      <c r="D2" s="156"/>
      <c r="E2" s="156"/>
    </row>
    <row r="3" spans="1:5">
      <c r="A3" s="336">
        <v>1</v>
      </c>
      <c r="B3" s="152" t="s">
        <v>545</v>
      </c>
      <c r="C3" s="336">
        <v>1</v>
      </c>
      <c r="D3" s="336">
        <v>75900</v>
      </c>
      <c r="E3" s="336">
        <f>C3*D3</f>
        <v>75900</v>
      </c>
    </row>
    <row r="4" spans="1:5" ht="27.6">
      <c r="A4" s="337"/>
      <c r="B4" s="152" t="s">
        <v>476</v>
      </c>
      <c r="C4" s="337"/>
      <c r="D4" s="337"/>
      <c r="E4" s="337"/>
    </row>
    <row r="5" spans="1:5">
      <c r="A5" s="337"/>
      <c r="B5" s="152" t="s">
        <v>478</v>
      </c>
      <c r="C5" s="337"/>
      <c r="D5" s="337"/>
      <c r="E5" s="337"/>
    </row>
    <row r="6" spans="1:5">
      <c r="A6" s="337"/>
      <c r="B6" s="152" t="s">
        <v>480</v>
      </c>
      <c r="C6" s="337"/>
      <c r="D6" s="337"/>
      <c r="E6" s="337"/>
    </row>
    <row r="7" spans="1:5">
      <c r="A7" s="337"/>
      <c r="B7" s="152" t="s">
        <v>482</v>
      </c>
      <c r="C7" s="337"/>
      <c r="D7" s="337"/>
      <c r="E7" s="337"/>
    </row>
    <row r="8" spans="1:5">
      <c r="A8" s="337"/>
      <c r="B8" s="152" t="s">
        <v>484</v>
      </c>
      <c r="C8" s="337"/>
      <c r="D8" s="337"/>
      <c r="E8" s="337"/>
    </row>
    <row r="9" spans="1:5">
      <c r="A9" s="337"/>
      <c r="B9" s="152" t="s">
        <v>485</v>
      </c>
      <c r="C9" s="337"/>
      <c r="D9" s="337"/>
      <c r="E9" s="337"/>
    </row>
    <row r="10" spans="1:5">
      <c r="A10" s="337"/>
      <c r="B10" s="152" t="s">
        <v>486</v>
      </c>
      <c r="C10" s="337"/>
      <c r="D10" s="337"/>
      <c r="E10" s="337"/>
    </row>
    <row r="11" spans="1:5">
      <c r="A11" s="337"/>
      <c r="B11" s="152" t="s">
        <v>488</v>
      </c>
      <c r="C11" s="337"/>
      <c r="D11" s="337"/>
      <c r="E11" s="337"/>
    </row>
    <row r="12" spans="1:5">
      <c r="A12" s="337"/>
      <c r="B12" s="152" t="s">
        <v>490</v>
      </c>
      <c r="C12" s="337"/>
      <c r="D12" s="337"/>
      <c r="E12" s="337"/>
    </row>
    <row r="13" spans="1:5">
      <c r="A13" s="337"/>
      <c r="B13" s="152" t="s">
        <v>494</v>
      </c>
      <c r="C13" s="337"/>
      <c r="D13" s="337"/>
      <c r="E13" s="337"/>
    </row>
    <row r="14" spans="1:5">
      <c r="A14" s="337"/>
      <c r="B14" s="152" t="s">
        <v>500</v>
      </c>
      <c r="C14" s="337"/>
      <c r="D14" s="337"/>
      <c r="E14" s="337"/>
    </row>
    <row r="15" spans="1:5">
      <c r="A15" s="337"/>
      <c r="B15" s="152" t="s">
        <v>543</v>
      </c>
      <c r="C15" s="337"/>
      <c r="D15" s="337"/>
      <c r="E15" s="337"/>
    </row>
    <row r="16" spans="1:5">
      <c r="A16" s="337"/>
      <c r="B16" s="152" t="s">
        <v>532</v>
      </c>
      <c r="C16" s="337"/>
      <c r="D16" s="337"/>
      <c r="E16" s="337"/>
    </row>
    <row r="17" spans="1:6">
      <c r="A17" s="337"/>
      <c r="B17" s="152" t="s">
        <v>539</v>
      </c>
      <c r="C17" s="337"/>
      <c r="D17" s="337"/>
      <c r="E17" s="337"/>
    </row>
    <row r="18" spans="1:6">
      <c r="A18" s="338"/>
      <c r="B18" s="152" t="s">
        <v>542</v>
      </c>
      <c r="C18" s="338"/>
      <c r="D18" s="338"/>
      <c r="E18" s="338"/>
    </row>
    <row r="19" spans="1:6">
      <c r="A19" s="341" t="s">
        <v>2</v>
      </c>
      <c r="B19" s="342"/>
      <c r="C19" s="342"/>
      <c r="D19" s="343"/>
      <c r="E19" s="153">
        <f>SUM(E3)</f>
        <v>75900</v>
      </c>
    </row>
    <row r="26" spans="1:6" ht="13.8" customHeight="1">
      <c r="A26" s="150" t="s">
        <v>0</v>
      </c>
      <c r="B26" s="150" t="s">
        <v>474</v>
      </c>
      <c r="C26" s="150" t="s">
        <v>1</v>
      </c>
      <c r="D26" s="150" t="s">
        <v>20</v>
      </c>
      <c r="E26" s="150" t="s">
        <v>19</v>
      </c>
      <c r="F26" s="150" t="s">
        <v>2</v>
      </c>
    </row>
    <row r="27" spans="1:6" ht="82.8">
      <c r="A27" s="339">
        <v>1</v>
      </c>
      <c r="B27" s="152" t="s">
        <v>492</v>
      </c>
      <c r="C27" s="152" t="s">
        <v>492</v>
      </c>
      <c r="D27" s="149">
        <v>1</v>
      </c>
      <c r="E27" s="339">
        <v>69000</v>
      </c>
      <c r="F27" s="339">
        <f>D27*E27</f>
        <v>69000</v>
      </c>
    </row>
    <row r="28" spans="1:6" ht="262.2">
      <c r="A28" s="339"/>
      <c r="B28" s="152" t="s">
        <v>475</v>
      </c>
      <c r="C28" s="152" t="s">
        <v>476</v>
      </c>
      <c r="D28" s="149">
        <v>1</v>
      </c>
      <c r="E28" s="339"/>
      <c r="F28" s="339"/>
    </row>
    <row r="29" spans="1:6" ht="124.2">
      <c r="A29" s="339"/>
      <c r="B29" s="152" t="s">
        <v>477</v>
      </c>
      <c r="C29" s="152" t="s">
        <v>478</v>
      </c>
      <c r="D29" s="149">
        <v>1</v>
      </c>
      <c r="E29" s="339"/>
      <c r="F29" s="339"/>
    </row>
    <row r="30" spans="1:6" ht="248.4">
      <c r="A30" s="339"/>
      <c r="B30" s="152" t="s">
        <v>479</v>
      </c>
      <c r="C30" s="152" t="s">
        <v>480</v>
      </c>
      <c r="D30" s="149">
        <v>1</v>
      </c>
      <c r="E30" s="339"/>
      <c r="F30" s="339"/>
    </row>
    <row r="31" spans="1:6" ht="69">
      <c r="A31" s="339"/>
      <c r="B31" s="152" t="s">
        <v>481</v>
      </c>
      <c r="C31" s="152" t="s">
        <v>482</v>
      </c>
      <c r="D31" s="149">
        <v>1</v>
      </c>
      <c r="E31" s="339"/>
      <c r="F31" s="339"/>
    </row>
    <row r="32" spans="1:6" ht="179.4">
      <c r="A32" s="339"/>
      <c r="B32" s="152" t="s">
        <v>483</v>
      </c>
      <c r="C32" s="152" t="s">
        <v>484</v>
      </c>
      <c r="D32" s="149">
        <v>1</v>
      </c>
      <c r="E32" s="339"/>
      <c r="F32" s="339"/>
    </row>
    <row r="33" spans="1:6" ht="82.8">
      <c r="A33" s="339"/>
      <c r="B33" s="152" t="s">
        <v>483</v>
      </c>
      <c r="C33" s="152" t="s">
        <v>485</v>
      </c>
      <c r="D33" s="149">
        <v>1</v>
      </c>
      <c r="E33" s="339"/>
      <c r="F33" s="339"/>
    </row>
    <row r="34" spans="1:6" ht="96.6">
      <c r="A34" s="339"/>
      <c r="B34" s="152" t="s">
        <v>483</v>
      </c>
      <c r="C34" s="152" t="s">
        <v>486</v>
      </c>
      <c r="D34" s="149">
        <v>1</v>
      </c>
      <c r="E34" s="339"/>
      <c r="F34" s="339"/>
    </row>
    <row r="35" spans="1:6" ht="234.6">
      <c r="A35" s="339"/>
      <c r="B35" s="152" t="s">
        <v>487</v>
      </c>
      <c r="C35" s="152" t="s">
        <v>488</v>
      </c>
      <c r="D35" s="149">
        <v>1</v>
      </c>
      <c r="E35" s="339"/>
      <c r="F35" s="339"/>
    </row>
    <row r="36" spans="1:6" ht="165.6">
      <c r="A36" s="339"/>
      <c r="B36" s="152" t="s">
        <v>489</v>
      </c>
      <c r="C36" s="152" t="s">
        <v>490</v>
      </c>
      <c r="D36" s="149">
        <v>1</v>
      </c>
      <c r="E36" s="339"/>
      <c r="F36" s="339"/>
    </row>
    <row r="37" spans="1:6" ht="27.6">
      <c r="A37" s="339"/>
      <c r="B37" s="152" t="s">
        <v>493</v>
      </c>
      <c r="C37" s="149" t="s">
        <v>491</v>
      </c>
      <c r="D37" s="149">
        <v>1</v>
      </c>
      <c r="E37" s="339"/>
      <c r="F37" s="339"/>
    </row>
    <row r="38" spans="1:6" ht="82.8">
      <c r="A38" s="339"/>
      <c r="B38" s="152" t="s">
        <v>494</v>
      </c>
      <c r="C38" s="152" t="s">
        <v>494</v>
      </c>
      <c r="D38" s="149">
        <v>1</v>
      </c>
      <c r="E38" s="339"/>
      <c r="F38" s="339"/>
    </row>
    <row r="39" spans="1:6" ht="55.2">
      <c r="A39" s="339"/>
      <c r="B39" s="152" t="s">
        <v>495</v>
      </c>
      <c r="C39" s="152" t="s">
        <v>496</v>
      </c>
      <c r="D39" s="149">
        <v>1</v>
      </c>
      <c r="E39" s="339"/>
      <c r="F39" s="339"/>
    </row>
    <row r="40" spans="1:6" ht="138">
      <c r="A40" s="339"/>
      <c r="B40" s="152" t="s">
        <v>497</v>
      </c>
      <c r="C40" s="152" t="s">
        <v>498</v>
      </c>
      <c r="D40" s="149">
        <v>1</v>
      </c>
      <c r="E40" s="339"/>
      <c r="F40" s="339"/>
    </row>
    <row r="41" spans="1:6" ht="96.6">
      <c r="A41" s="339"/>
      <c r="B41" s="152" t="s">
        <v>499</v>
      </c>
      <c r="C41" s="152" t="s">
        <v>500</v>
      </c>
      <c r="D41" s="149">
        <v>1</v>
      </c>
      <c r="E41" s="339"/>
      <c r="F41" s="339"/>
    </row>
    <row r="42" spans="1:6" ht="317.39999999999998">
      <c r="A42" s="339"/>
      <c r="B42" s="152" t="s">
        <v>501</v>
      </c>
      <c r="C42" s="152" t="s">
        <v>502</v>
      </c>
      <c r="D42" s="149">
        <v>1</v>
      </c>
      <c r="E42" s="339"/>
      <c r="F42" s="339"/>
    </row>
    <row r="43" spans="1:6" ht="69">
      <c r="A43" s="339"/>
      <c r="B43" s="152" t="s">
        <v>501</v>
      </c>
      <c r="C43" s="152" t="s">
        <v>503</v>
      </c>
      <c r="D43" s="149">
        <v>1</v>
      </c>
      <c r="E43" s="339"/>
      <c r="F43" s="339"/>
    </row>
    <row r="44" spans="1:6" ht="193.2">
      <c r="A44" s="339"/>
      <c r="B44" s="152" t="s">
        <v>501</v>
      </c>
      <c r="C44" s="152" t="s">
        <v>504</v>
      </c>
      <c r="D44" s="149">
        <v>1</v>
      </c>
      <c r="E44" s="339"/>
      <c r="F44" s="339"/>
    </row>
    <row r="45" spans="1:6" ht="234.6">
      <c r="A45" s="339"/>
      <c r="B45" s="152" t="s">
        <v>505</v>
      </c>
      <c r="C45" s="152" t="s">
        <v>506</v>
      </c>
      <c r="D45" s="149">
        <v>1</v>
      </c>
      <c r="E45" s="339"/>
      <c r="F45" s="339"/>
    </row>
    <row r="46" spans="1:6" ht="69">
      <c r="A46" s="339"/>
      <c r="B46" s="152" t="s">
        <v>507</v>
      </c>
      <c r="C46" s="152" t="s">
        <v>508</v>
      </c>
      <c r="D46" s="149">
        <v>1</v>
      </c>
      <c r="E46" s="339"/>
      <c r="F46" s="339"/>
    </row>
    <row r="47" spans="1:6" ht="110.4">
      <c r="A47" s="339"/>
      <c r="B47" s="152" t="s">
        <v>509</v>
      </c>
      <c r="C47" s="152" t="s">
        <v>510</v>
      </c>
      <c r="D47" s="149">
        <v>1</v>
      </c>
      <c r="E47" s="339"/>
      <c r="F47" s="339"/>
    </row>
    <row r="48" spans="1:6" ht="96.6">
      <c r="A48" s="339"/>
      <c r="B48" s="152" t="s">
        <v>509</v>
      </c>
      <c r="C48" s="152" t="s">
        <v>511</v>
      </c>
      <c r="D48" s="149">
        <v>1</v>
      </c>
      <c r="E48" s="339"/>
      <c r="F48" s="339"/>
    </row>
    <row r="49" spans="1:6" ht="110.4">
      <c r="A49" s="339"/>
      <c r="B49" s="152" t="s">
        <v>512</v>
      </c>
      <c r="C49" s="152" t="s">
        <v>513</v>
      </c>
      <c r="D49" s="149">
        <v>1</v>
      </c>
      <c r="E49" s="339"/>
      <c r="F49" s="339"/>
    </row>
    <row r="50" spans="1:6" ht="165.6">
      <c r="A50" s="339"/>
      <c r="B50" s="152" t="s">
        <v>514</v>
      </c>
      <c r="C50" s="152" t="s">
        <v>515</v>
      </c>
      <c r="D50" s="149">
        <v>1</v>
      </c>
      <c r="E50" s="339"/>
      <c r="F50" s="339"/>
    </row>
    <row r="51" spans="1:6" ht="165.6">
      <c r="A51" s="339"/>
      <c r="B51" s="152" t="s">
        <v>516</v>
      </c>
      <c r="C51" s="152" t="s">
        <v>517</v>
      </c>
      <c r="D51" s="149">
        <v>1</v>
      </c>
      <c r="E51" s="339"/>
      <c r="F51" s="339"/>
    </row>
    <row r="52" spans="1:6" ht="151.80000000000001">
      <c r="A52" s="339"/>
      <c r="B52" s="152" t="s">
        <v>518</v>
      </c>
      <c r="C52" s="152" t="s">
        <v>519</v>
      </c>
      <c r="D52" s="149">
        <v>1</v>
      </c>
      <c r="E52" s="339"/>
      <c r="F52" s="339"/>
    </row>
    <row r="53" spans="1:6" ht="55.2">
      <c r="A53" s="339"/>
      <c r="B53" s="152" t="s">
        <v>520</v>
      </c>
      <c r="C53" s="152" t="s">
        <v>521</v>
      </c>
      <c r="D53" s="149">
        <v>1</v>
      </c>
      <c r="E53" s="339"/>
      <c r="F53" s="339"/>
    </row>
    <row r="54" spans="1:6" ht="82.8">
      <c r="A54" s="339"/>
      <c r="B54" s="152" t="s">
        <v>523</v>
      </c>
      <c r="C54" s="152" t="s">
        <v>522</v>
      </c>
      <c r="D54" s="149">
        <v>1</v>
      </c>
      <c r="E54" s="339"/>
      <c r="F54" s="339"/>
    </row>
    <row r="55" spans="1:6" ht="96.6">
      <c r="A55" s="339"/>
      <c r="B55" s="152" t="s">
        <v>524</v>
      </c>
      <c r="C55" s="152" t="s">
        <v>525</v>
      </c>
      <c r="D55" s="149">
        <v>1</v>
      </c>
      <c r="E55" s="339"/>
      <c r="F55" s="339"/>
    </row>
    <row r="56" spans="1:6" ht="82.8">
      <c r="A56" s="339"/>
      <c r="B56" s="152" t="s">
        <v>526</v>
      </c>
      <c r="C56" s="152" t="s">
        <v>527</v>
      </c>
      <c r="D56" s="149">
        <v>1</v>
      </c>
      <c r="E56" s="339"/>
      <c r="F56" s="339"/>
    </row>
    <row r="57" spans="1:6" ht="41.4">
      <c r="A57" s="339"/>
      <c r="B57" s="150" t="s">
        <v>418</v>
      </c>
      <c r="C57" s="150" t="s">
        <v>1</v>
      </c>
      <c r="D57" s="149"/>
      <c r="E57" s="339"/>
      <c r="F57" s="339"/>
    </row>
    <row r="58" spans="1:6" ht="82.8">
      <c r="A58" s="339"/>
      <c r="B58" s="152" t="s">
        <v>528</v>
      </c>
      <c r="C58" s="152" t="s">
        <v>529</v>
      </c>
      <c r="D58" s="149">
        <v>1</v>
      </c>
      <c r="E58" s="339"/>
      <c r="F58" s="339"/>
    </row>
    <row r="59" spans="1:6" ht="41.4">
      <c r="A59" s="339"/>
      <c r="B59" s="152" t="s">
        <v>501</v>
      </c>
      <c r="C59" s="152" t="s">
        <v>530</v>
      </c>
      <c r="D59" s="149">
        <v>1</v>
      </c>
      <c r="E59" s="339"/>
      <c r="F59" s="339"/>
    </row>
    <row r="60" spans="1:6" ht="138">
      <c r="A60" s="339"/>
      <c r="B60" s="152" t="s">
        <v>501</v>
      </c>
      <c r="C60" s="152" t="s">
        <v>531</v>
      </c>
      <c r="D60" s="149">
        <v>1</v>
      </c>
      <c r="E60" s="339"/>
      <c r="F60" s="339"/>
    </row>
    <row r="61" spans="1:6" ht="69">
      <c r="A61" s="339"/>
      <c r="B61" s="152" t="s">
        <v>501</v>
      </c>
      <c r="C61" s="152" t="s">
        <v>532</v>
      </c>
      <c r="D61" s="149">
        <v>1</v>
      </c>
      <c r="E61" s="339"/>
      <c r="F61" s="339"/>
    </row>
    <row r="62" spans="1:6" ht="110.4">
      <c r="A62" s="339"/>
      <c r="B62" s="152" t="s">
        <v>501</v>
      </c>
      <c r="C62" s="152" t="s">
        <v>533</v>
      </c>
      <c r="D62" s="149">
        <v>1</v>
      </c>
      <c r="E62" s="339"/>
      <c r="F62" s="339"/>
    </row>
    <row r="63" spans="1:6" ht="96.6">
      <c r="A63" s="339"/>
      <c r="B63" s="152" t="s">
        <v>534</v>
      </c>
      <c r="C63" s="152" t="s">
        <v>535</v>
      </c>
      <c r="D63" s="149">
        <v>1</v>
      </c>
      <c r="E63" s="339"/>
      <c r="F63" s="339"/>
    </row>
    <row r="64" spans="1:6" ht="110.4">
      <c r="A64" s="339"/>
      <c r="B64" s="152" t="s">
        <v>536</v>
      </c>
      <c r="C64" s="149" t="s">
        <v>537</v>
      </c>
      <c r="D64" s="149">
        <v>1</v>
      </c>
      <c r="E64" s="339"/>
      <c r="F64" s="339"/>
    </row>
    <row r="65" spans="1:6" ht="41.4">
      <c r="A65" s="339"/>
      <c r="B65" s="150" t="s">
        <v>538</v>
      </c>
      <c r="C65" s="150" t="s">
        <v>1</v>
      </c>
      <c r="D65" s="149"/>
      <c r="E65" s="339"/>
      <c r="F65" s="339"/>
    </row>
    <row r="66" spans="1:6" ht="124.2">
      <c r="A66" s="339"/>
      <c r="B66" s="152" t="s">
        <v>540</v>
      </c>
      <c r="C66" s="152" t="s">
        <v>539</v>
      </c>
      <c r="D66" s="149">
        <v>1</v>
      </c>
      <c r="E66" s="339"/>
      <c r="F66" s="339"/>
    </row>
    <row r="67" spans="1:6" ht="151.80000000000001">
      <c r="A67" s="339"/>
      <c r="B67" s="152" t="s">
        <v>541</v>
      </c>
      <c r="C67" s="152" t="s">
        <v>542</v>
      </c>
      <c r="D67" s="149">
        <v>1</v>
      </c>
      <c r="E67" s="339"/>
      <c r="F67" s="339"/>
    </row>
    <row r="68" spans="1:6">
      <c r="A68" s="340" t="s">
        <v>2</v>
      </c>
      <c r="B68" s="340"/>
      <c r="C68" s="340"/>
      <c r="D68" s="340"/>
      <c r="E68" s="340"/>
      <c r="F68" s="150">
        <f>SUM(F27:F27)</f>
        <v>69000</v>
      </c>
    </row>
  </sheetData>
  <mergeCells count="9">
    <mergeCell ref="E3:E18"/>
    <mergeCell ref="A27:A67"/>
    <mergeCell ref="E27:E67"/>
    <mergeCell ref="F27:F67"/>
    <mergeCell ref="A68:E68"/>
    <mergeCell ref="A19:D19"/>
    <mergeCell ref="A3:A18"/>
    <mergeCell ref="C3:C18"/>
    <mergeCell ref="D3:D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7" sqref="D27"/>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288" t="s">
        <v>87</v>
      </c>
      <c r="B5" s="289"/>
      <c r="C5" s="289"/>
      <c r="D5" s="290"/>
      <c r="E5" s="25">
        <f>SUM(E2:E4)</f>
        <v>22490</v>
      </c>
    </row>
    <row r="6" spans="1:5">
      <c r="A6" s="288" t="s">
        <v>88</v>
      </c>
      <c r="B6" s="289"/>
      <c r="C6" s="289"/>
      <c r="D6" s="290"/>
      <c r="E6" s="25">
        <f>E5*9%</f>
        <v>2024.1</v>
      </c>
    </row>
    <row r="7" spans="1:5">
      <c r="A7" s="288" t="s">
        <v>88</v>
      </c>
      <c r="B7" s="289"/>
      <c r="C7" s="289"/>
      <c r="D7" s="290"/>
      <c r="E7" s="25">
        <f>E5*9%</f>
        <v>2024.1</v>
      </c>
    </row>
    <row r="8" spans="1:5" ht="11.4" customHeight="1">
      <c r="A8" s="288" t="s">
        <v>89</v>
      </c>
      <c r="B8" s="289"/>
      <c r="C8" s="289"/>
      <c r="D8" s="290"/>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Q2" sqref="Q2"/>
    </sheetView>
  </sheetViews>
  <sheetFormatPr defaultRowHeight="13.8"/>
  <cols>
    <col min="1" max="1" width="7.5546875" style="160" customWidth="1"/>
    <col min="2" max="2" width="42.6640625" style="160" customWidth="1"/>
    <col min="3" max="3" width="5.77734375" style="160" customWidth="1"/>
    <col min="4" max="16384" width="8.88671875" style="160"/>
  </cols>
  <sheetData>
    <row r="1" spans="1:4">
      <c r="A1" s="153" t="s">
        <v>0</v>
      </c>
      <c r="B1" s="153" t="s">
        <v>1</v>
      </c>
      <c r="C1" s="153" t="s">
        <v>20</v>
      </c>
      <c r="D1" s="153" t="s">
        <v>19</v>
      </c>
    </row>
    <row r="2" spans="1:4" ht="97.8" customHeight="1">
      <c r="A2" s="154">
        <v>1</v>
      </c>
      <c r="B2" s="159" t="s">
        <v>546</v>
      </c>
      <c r="C2" s="159">
        <v>1</v>
      </c>
      <c r="D2" s="151">
        <v>45000</v>
      </c>
    </row>
    <row r="3" spans="1:4">
      <c r="A3" s="340" t="s">
        <v>2</v>
      </c>
      <c r="B3" s="340"/>
      <c r="C3" s="340"/>
      <c r="D3" s="153">
        <f>SUM(D2)</f>
        <v>45000</v>
      </c>
    </row>
  </sheetData>
  <mergeCells count="1">
    <mergeCell ref="A3:C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9" workbookViewId="0">
      <selection activeCell="B48" sqref="B48"/>
    </sheetView>
  </sheetViews>
  <sheetFormatPr defaultRowHeight="14.4"/>
  <cols>
    <col min="1" max="1" width="8.88671875" style="42"/>
    <col min="2" max="2" width="46.77734375" style="42" customWidth="1"/>
    <col min="3" max="16384" width="8.88671875" style="42"/>
  </cols>
  <sheetData>
    <row r="1" spans="1:7">
      <c r="A1" s="158" t="s">
        <v>79</v>
      </c>
      <c r="B1" s="158" t="s">
        <v>80</v>
      </c>
      <c r="C1" s="158" t="s">
        <v>81</v>
      </c>
      <c r="D1" s="158" t="s">
        <v>82</v>
      </c>
      <c r="E1" s="158" t="s">
        <v>83</v>
      </c>
    </row>
    <row r="2" spans="1:7">
      <c r="A2" s="157" t="s">
        <v>147</v>
      </c>
      <c r="B2" s="24" t="s">
        <v>434</v>
      </c>
      <c r="C2" s="157">
        <v>8</v>
      </c>
      <c r="D2" s="157">
        <v>4000</v>
      </c>
      <c r="E2" s="157">
        <f t="shared" ref="E2:E9" si="0">C2*D2</f>
        <v>32000</v>
      </c>
    </row>
    <row r="3" spans="1:7">
      <c r="A3" s="157" t="s">
        <v>214</v>
      </c>
      <c r="B3" s="157" t="s">
        <v>228</v>
      </c>
      <c r="C3" s="157">
        <v>1</v>
      </c>
      <c r="D3" s="157">
        <v>11880</v>
      </c>
      <c r="E3" s="157">
        <f t="shared" si="0"/>
        <v>11880</v>
      </c>
    </row>
    <row r="4" spans="1:7">
      <c r="A4" s="157">
        <v>3</v>
      </c>
      <c r="B4" s="157" t="s">
        <v>547</v>
      </c>
      <c r="C4" s="157">
        <v>1</v>
      </c>
      <c r="D4" s="157">
        <v>12800</v>
      </c>
      <c r="E4" s="157">
        <f t="shared" si="0"/>
        <v>12800</v>
      </c>
      <c r="G4" s="42">
        <f>6400*2</f>
        <v>12800</v>
      </c>
    </row>
    <row r="5" spans="1:7">
      <c r="A5" s="157">
        <v>4</v>
      </c>
      <c r="B5" s="157" t="s">
        <v>117</v>
      </c>
      <c r="C5" s="157">
        <v>1</v>
      </c>
      <c r="D5" s="157">
        <v>8600</v>
      </c>
      <c r="E5" s="157">
        <f t="shared" si="0"/>
        <v>8600</v>
      </c>
    </row>
    <row r="6" spans="1:7">
      <c r="A6" s="157">
        <v>5</v>
      </c>
      <c r="B6" s="157" t="s">
        <v>134</v>
      </c>
      <c r="C6" s="157">
        <v>1</v>
      </c>
      <c r="D6" s="157">
        <v>8490</v>
      </c>
      <c r="E6" s="157">
        <f t="shared" si="0"/>
        <v>8490</v>
      </c>
    </row>
    <row r="7" spans="1:7">
      <c r="A7" s="157">
        <v>6</v>
      </c>
      <c r="B7" s="157" t="s">
        <v>116</v>
      </c>
      <c r="C7" s="157">
        <v>22</v>
      </c>
      <c r="D7" s="157">
        <v>150</v>
      </c>
      <c r="E7" s="157">
        <f t="shared" si="0"/>
        <v>3300</v>
      </c>
    </row>
    <row r="8" spans="1:7">
      <c r="A8" s="157">
        <v>7</v>
      </c>
      <c r="B8" s="157" t="s">
        <v>175</v>
      </c>
      <c r="C8" s="157">
        <v>9</v>
      </c>
      <c r="D8" s="157">
        <v>100</v>
      </c>
      <c r="E8" s="157">
        <f t="shared" si="0"/>
        <v>900</v>
      </c>
    </row>
    <row r="9" spans="1:7">
      <c r="A9" s="157">
        <v>8</v>
      </c>
      <c r="B9" s="157" t="s">
        <v>86</v>
      </c>
      <c r="C9" s="157">
        <v>1</v>
      </c>
      <c r="D9" s="157">
        <v>5000</v>
      </c>
      <c r="E9" s="157">
        <f t="shared" si="0"/>
        <v>5000</v>
      </c>
    </row>
    <row r="10" spans="1:7">
      <c r="A10" s="273" t="s">
        <v>87</v>
      </c>
      <c r="B10" s="274"/>
      <c r="C10" s="274"/>
      <c r="D10" s="275"/>
      <c r="E10" s="158">
        <f>SUM(E2:E9)</f>
        <v>82970</v>
      </c>
    </row>
    <row r="11" spans="1:7">
      <c r="A11" s="163"/>
      <c r="B11" s="163"/>
      <c r="C11" s="163"/>
      <c r="D11" s="163"/>
      <c r="E11" s="163"/>
    </row>
    <row r="12" spans="1:7">
      <c r="A12" s="6" t="s">
        <v>143</v>
      </c>
      <c r="B12" s="163"/>
      <c r="C12" s="163"/>
      <c r="D12" s="163"/>
      <c r="E12" s="163"/>
    </row>
    <row r="13" spans="1:7">
      <c r="A13" s="42" t="s">
        <v>450</v>
      </c>
      <c r="B13" s="163"/>
      <c r="C13" s="163"/>
      <c r="D13" s="163"/>
      <c r="E13" s="163"/>
    </row>
    <row r="14" spans="1:7">
      <c r="A14" s="42" t="s">
        <v>473</v>
      </c>
      <c r="B14" s="163"/>
      <c r="C14" s="163"/>
      <c r="D14" s="163"/>
      <c r="E14" s="163"/>
    </row>
    <row r="15" spans="1:7">
      <c r="B15" s="163"/>
      <c r="C15" s="163"/>
      <c r="D15" s="163"/>
      <c r="E15" s="163"/>
    </row>
    <row r="16" spans="1:7">
      <c r="A16" s="6" t="s">
        <v>470</v>
      </c>
      <c r="B16" s="75"/>
      <c r="C16" s="75"/>
      <c r="D16" s="75"/>
      <c r="E16" s="75"/>
    </row>
    <row r="17" spans="1:7">
      <c r="A17" s="6"/>
      <c r="B17" s="75"/>
      <c r="C17" s="75"/>
      <c r="D17" s="75"/>
      <c r="E17" s="75"/>
    </row>
    <row r="18" spans="1:7">
      <c r="A18" s="6" t="s">
        <v>129</v>
      </c>
      <c r="B18" s="75"/>
      <c r="C18" s="75"/>
      <c r="D18" s="75"/>
      <c r="E18" s="75"/>
    </row>
    <row r="19" spans="1:7">
      <c r="A19" s="6" t="s">
        <v>141</v>
      </c>
      <c r="B19" s="75"/>
      <c r="C19" s="75"/>
      <c r="D19" s="75"/>
      <c r="E19" s="75"/>
    </row>
    <row r="20" spans="1:7">
      <c r="A20" s="6" t="s">
        <v>142</v>
      </c>
      <c r="B20" s="75"/>
      <c r="C20" s="75"/>
      <c r="D20" s="75"/>
      <c r="E20" s="75"/>
    </row>
    <row r="21" spans="1:7">
      <c r="A21" s="6" t="s">
        <v>161</v>
      </c>
      <c r="B21" s="75"/>
      <c r="C21" s="75"/>
      <c r="D21" s="75"/>
      <c r="E21" s="75"/>
    </row>
    <row r="22" spans="1:7">
      <c r="A22" s="6" t="s">
        <v>162</v>
      </c>
      <c r="B22" s="75"/>
      <c r="C22" s="75"/>
      <c r="D22" s="75"/>
      <c r="E22" s="75"/>
    </row>
    <row r="26" spans="1:7">
      <c r="A26" s="54" t="s">
        <v>128</v>
      </c>
      <c r="B26"/>
      <c r="C26"/>
      <c r="D26"/>
      <c r="E26"/>
    </row>
    <row r="27" spans="1:7">
      <c r="A27" s="158" t="s">
        <v>79</v>
      </c>
      <c r="B27" s="158" t="s">
        <v>80</v>
      </c>
      <c r="C27" s="158" t="s">
        <v>81</v>
      </c>
      <c r="D27" s="158" t="s">
        <v>82</v>
      </c>
      <c r="E27" s="158" t="s">
        <v>83</v>
      </c>
    </row>
    <row r="28" spans="1:7">
      <c r="A28" s="157" t="s">
        <v>147</v>
      </c>
      <c r="B28" s="24" t="s">
        <v>447</v>
      </c>
      <c r="C28" s="157">
        <v>8</v>
      </c>
      <c r="D28" s="157">
        <v>4300</v>
      </c>
      <c r="E28" s="157">
        <f t="shared" ref="E28:E35" si="1">C28*D28</f>
        <v>34400</v>
      </c>
    </row>
    <row r="29" spans="1:7">
      <c r="A29" s="157">
        <v>2</v>
      </c>
      <c r="B29" s="157" t="s">
        <v>448</v>
      </c>
      <c r="C29" s="157">
        <v>1</v>
      </c>
      <c r="D29" s="157">
        <v>13100</v>
      </c>
      <c r="E29" s="157">
        <f t="shared" si="1"/>
        <v>13100</v>
      </c>
    </row>
    <row r="30" spans="1:7">
      <c r="A30" s="157">
        <v>3</v>
      </c>
      <c r="B30" s="157" t="s">
        <v>548</v>
      </c>
      <c r="C30" s="157">
        <v>1</v>
      </c>
      <c r="D30" s="157">
        <v>8950</v>
      </c>
      <c r="E30" s="157">
        <f t="shared" si="1"/>
        <v>8950</v>
      </c>
      <c r="G30" s="42">
        <f>4475*2</f>
        <v>8950</v>
      </c>
    </row>
    <row r="31" spans="1:7">
      <c r="A31" s="157">
        <v>4</v>
      </c>
      <c r="B31" s="157" t="s">
        <v>446</v>
      </c>
      <c r="C31" s="157">
        <v>1</v>
      </c>
      <c r="D31" s="157">
        <v>8600</v>
      </c>
      <c r="E31" s="157">
        <f t="shared" si="1"/>
        <v>8600</v>
      </c>
    </row>
    <row r="32" spans="1:7">
      <c r="A32" s="157">
        <v>5</v>
      </c>
      <c r="B32" s="157" t="s">
        <v>134</v>
      </c>
      <c r="C32" s="157">
        <v>1</v>
      </c>
      <c r="D32" s="157">
        <v>8600</v>
      </c>
      <c r="E32" s="157">
        <f t="shared" si="1"/>
        <v>8600</v>
      </c>
    </row>
    <row r="33" spans="1:5">
      <c r="A33" s="157">
        <v>6</v>
      </c>
      <c r="B33" s="157" t="s">
        <v>116</v>
      </c>
      <c r="C33" s="157">
        <v>22</v>
      </c>
      <c r="D33" s="157">
        <v>150</v>
      </c>
      <c r="E33" s="157">
        <f t="shared" si="1"/>
        <v>3300</v>
      </c>
    </row>
    <row r="34" spans="1:5">
      <c r="A34" s="157">
        <v>7</v>
      </c>
      <c r="B34" s="157" t="s">
        <v>175</v>
      </c>
      <c r="C34" s="157">
        <v>9</v>
      </c>
      <c r="D34" s="157">
        <v>100</v>
      </c>
      <c r="E34" s="157">
        <f t="shared" si="1"/>
        <v>900</v>
      </c>
    </row>
    <row r="35" spans="1:5">
      <c r="A35" s="157">
        <v>8</v>
      </c>
      <c r="B35" s="157" t="s">
        <v>86</v>
      </c>
      <c r="C35" s="157">
        <v>1</v>
      </c>
      <c r="D35" s="157">
        <v>5000</v>
      </c>
      <c r="E35" s="157">
        <f t="shared" si="1"/>
        <v>5000</v>
      </c>
    </row>
    <row r="36" spans="1:5">
      <c r="A36" s="273" t="s">
        <v>87</v>
      </c>
      <c r="B36" s="274"/>
      <c r="C36" s="274"/>
      <c r="D36" s="275"/>
      <c r="E36" s="158">
        <f>SUM(E28:E35)</f>
        <v>82850</v>
      </c>
    </row>
    <row r="37" spans="1:5">
      <c r="A37" s="5"/>
      <c r="B37" s="5"/>
      <c r="C37" s="5"/>
      <c r="D37" s="5"/>
      <c r="E37" s="5"/>
    </row>
    <row r="38" spans="1:5">
      <c r="A38" s="6" t="s">
        <v>140</v>
      </c>
      <c r="B38"/>
      <c r="C38"/>
      <c r="D38"/>
      <c r="E38"/>
    </row>
    <row r="39" spans="1:5">
      <c r="A39" s="6"/>
      <c r="B39"/>
      <c r="C39"/>
      <c r="D39"/>
      <c r="E39"/>
    </row>
    <row r="40" spans="1:5">
      <c r="A40" s="6" t="s">
        <v>143</v>
      </c>
      <c r="B40"/>
      <c r="C40"/>
      <c r="D40"/>
      <c r="E40"/>
    </row>
    <row r="41" spans="1:5">
      <c r="A41" t="s">
        <v>449</v>
      </c>
      <c r="B41"/>
      <c r="C41"/>
      <c r="D41"/>
      <c r="E41"/>
    </row>
    <row r="42" spans="1:5">
      <c r="A42"/>
      <c r="B42"/>
      <c r="C42"/>
      <c r="D42"/>
      <c r="E42"/>
    </row>
    <row r="43" spans="1:5">
      <c r="A43" s="6" t="s">
        <v>129</v>
      </c>
      <c r="B43"/>
      <c r="C43"/>
      <c r="D43"/>
      <c r="E43"/>
    </row>
    <row r="44" spans="1:5">
      <c r="A44" s="6" t="s">
        <v>141</v>
      </c>
      <c r="B44"/>
      <c r="C44"/>
      <c r="D44"/>
      <c r="E44"/>
    </row>
    <row r="45" spans="1:5">
      <c r="A45" s="6" t="s">
        <v>142</v>
      </c>
      <c r="B45"/>
      <c r="C45"/>
      <c r="D45"/>
      <c r="E45"/>
    </row>
    <row r="46" spans="1:5">
      <c r="A46" s="6" t="s">
        <v>161</v>
      </c>
      <c r="B46"/>
      <c r="C46"/>
      <c r="D46"/>
      <c r="E46"/>
    </row>
    <row r="47" spans="1:5">
      <c r="A47" s="6" t="s">
        <v>162</v>
      </c>
      <c r="B47"/>
      <c r="C47"/>
      <c r="D47"/>
      <c r="E47"/>
    </row>
  </sheetData>
  <mergeCells count="2">
    <mergeCell ref="A10:D10"/>
    <mergeCell ref="A36:D3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selection activeCell="B6" sqref="B6"/>
    </sheetView>
  </sheetViews>
  <sheetFormatPr defaultRowHeight="14.4"/>
  <cols>
    <col min="2" max="2" width="48.88671875" customWidth="1"/>
  </cols>
  <sheetData>
    <row r="1" spans="1:9">
      <c r="A1" t="s">
        <v>127</v>
      </c>
    </row>
    <row r="2" spans="1:9">
      <c r="A2" s="162" t="s">
        <v>79</v>
      </c>
      <c r="B2" s="162" t="s">
        <v>80</v>
      </c>
      <c r="C2" s="162" t="s">
        <v>81</v>
      </c>
      <c r="D2" s="162" t="s">
        <v>82</v>
      </c>
      <c r="E2" s="162" t="s">
        <v>83</v>
      </c>
    </row>
    <row r="3" spans="1:9" ht="21.6" customHeight="1">
      <c r="A3" s="161" t="s">
        <v>147</v>
      </c>
      <c r="B3" s="24" t="s">
        <v>465</v>
      </c>
      <c r="C3" s="161">
        <v>18</v>
      </c>
      <c r="D3" s="161">
        <v>4000</v>
      </c>
      <c r="E3" s="161">
        <f t="shared" ref="E3:E10" si="0">C3*D3</f>
        <v>72000</v>
      </c>
    </row>
    <row r="4" spans="1:9">
      <c r="A4" s="161">
        <v>2</v>
      </c>
      <c r="B4" s="161" t="s">
        <v>469</v>
      </c>
      <c r="C4" s="161">
        <v>1</v>
      </c>
      <c r="D4" s="161">
        <v>24400</v>
      </c>
      <c r="E4" s="161">
        <f t="shared" si="0"/>
        <v>24400</v>
      </c>
      <c r="H4">
        <f>12200*2</f>
        <v>24400</v>
      </c>
      <c r="I4" t="s">
        <v>453</v>
      </c>
    </row>
    <row r="5" spans="1:9">
      <c r="A5" s="161">
        <v>3</v>
      </c>
      <c r="B5" s="161" t="s">
        <v>117</v>
      </c>
      <c r="C5" s="161">
        <v>1</v>
      </c>
      <c r="D5" s="161">
        <v>8600</v>
      </c>
      <c r="E5" s="161">
        <f t="shared" si="0"/>
        <v>8600</v>
      </c>
    </row>
    <row r="6" spans="1:9" ht="26.4">
      <c r="A6" s="161">
        <v>4</v>
      </c>
      <c r="B6" s="161" t="s">
        <v>389</v>
      </c>
      <c r="C6" s="161">
        <v>2</v>
      </c>
      <c r="D6" s="161">
        <v>11900</v>
      </c>
      <c r="E6" s="161">
        <f t="shared" si="0"/>
        <v>23800</v>
      </c>
      <c r="H6" s="4">
        <f>5950*2</f>
        <v>11900</v>
      </c>
    </row>
    <row r="7" spans="1:9" ht="26.4">
      <c r="A7" s="161">
        <v>5</v>
      </c>
      <c r="B7" s="161" t="s">
        <v>456</v>
      </c>
      <c r="C7" s="161">
        <v>1</v>
      </c>
      <c r="D7" s="161">
        <v>9000</v>
      </c>
      <c r="E7" s="161">
        <f t="shared" si="0"/>
        <v>9000</v>
      </c>
    </row>
    <row r="8" spans="1:9">
      <c r="A8" s="161">
        <v>6</v>
      </c>
      <c r="B8" s="161" t="s">
        <v>116</v>
      </c>
      <c r="C8" s="161">
        <v>42</v>
      </c>
      <c r="D8" s="161">
        <v>150</v>
      </c>
      <c r="E8" s="161">
        <f t="shared" si="0"/>
        <v>6300</v>
      </c>
    </row>
    <row r="9" spans="1:9">
      <c r="A9" s="161">
        <v>7</v>
      </c>
      <c r="B9" s="161" t="s">
        <v>175</v>
      </c>
      <c r="C9" s="161">
        <v>18</v>
      </c>
      <c r="D9" s="161">
        <v>100</v>
      </c>
      <c r="E9" s="161">
        <f t="shared" si="0"/>
        <v>1800</v>
      </c>
    </row>
    <row r="10" spans="1:9">
      <c r="A10" s="161">
        <v>8</v>
      </c>
      <c r="B10" s="161" t="s">
        <v>86</v>
      </c>
      <c r="C10" s="161">
        <v>1</v>
      </c>
      <c r="D10" s="161">
        <v>6900</v>
      </c>
      <c r="E10" s="161">
        <f t="shared" si="0"/>
        <v>6900</v>
      </c>
    </row>
    <row r="11" spans="1:9">
      <c r="A11" s="273" t="s">
        <v>87</v>
      </c>
      <c r="B11" s="274"/>
      <c r="C11" s="274"/>
      <c r="D11" s="275"/>
      <c r="E11" s="162">
        <f>SUM(E3:E10)</f>
        <v>152800</v>
      </c>
    </row>
    <row r="12" spans="1:9">
      <c r="A12" s="5"/>
      <c r="B12" s="5"/>
      <c r="C12" s="5"/>
      <c r="D12" s="5"/>
      <c r="E12" s="5"/>
    </row>
    <row r="13" spans="1:9">
      <c r="A13" s="6" t="s">
        <v>143</v>
      </c>
      <c r="B13" s="5"/>
      <c r="C13" s="5"/>
      <c r="D13" s="5"/>
      <c r="E13" s="5"/>
    </row>
    <row r="14" spans="1:9">
      <c r="A14" t="s">
        <v>450</v>
      </c>
      <c r="B14" s="5"/>
      <c r="C14" s="5"/>
      <c r="D14" s="5"/>
      <c r="E14" s="5"/>
    </row>
    <row r="15" spans="1:9">
      <c r="B15" s="5"/>
      <c r="C15" s="5"/>
      <c r="D15" s="5"/>
      <c r="E15" s="5"/>
    </row>
    <row r="16" spans="1:9">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row>
    <row r="21" spans="1:10">
      <c r="A21" s="6" t="s">
        <v>161</v>
      </c>
      <c r="B21" s="75"/>
      <c r="C21" s="75"/>
      <c r="D21" s="75"/>
      <c r="E21" s="75"/>
    </row>
    <row r="22" spans="1:10">
      <c r="A22" s="6" t="s">
        <v>162</v>
      </c>
      <c r="B22" s="75"/>
      <c r="C22" s="75"/>
      <c r="D22" s="75"/>
      <c r="E22" s="75"/>
    </row>
    <row r="25" spans="1:10">
      <c r="A25" t="s">
        <v>128</v>
      </c>
    </row>
    <row r="26" spans="1:10">
      <c r="A26" s="162" t="s">
        <v>79</v>
      </c>
      <c r="B26" s="162" t="s">
        <v>80</v>
      </c>
      <c r="C26" s="162" t="s">
        <v>81</v>
      </c>
      <c r="D26" s="162" t="s">
        <v>82</v>
      </c>
      <c r="E26" s="162" t="s">
        <v>83</v>
      </c>
    </row>
    <row r="27" spans="1:10">
      <c r="A27" s="161">
        <v>1</v>
      </c>
      <c r="B27" s="161" t="s">
        <v>466</v>
      </c>
      <c r="C27" s="161">
        <v>18</v>
      </c>
      <c r="D27" s="161">
        <v>2400</v>
      </c>
      <c r="E27" s="161">
        <f t="shared" ref="E27:E34" si="1">C27*D27</f>
        <v>43200</v>
      </c>
      <c r="I27" s="40">
        <f>1230*2</f>
        <v>2460</v>
      </c>
      <c r="J27" s="40" t="s">
        <v>454</v>
      </c>
    </row>
    <row r="28" spans="1:10">
      <c r="A28" s="161">
        <v>2</v>
      </c>
      <c r="B28" s="161" t="s">
        <v>552</v>
      </c>
      <c r="C28" s="161">
        <v>1</v>
      </c>
      <c r="D28" s="161">
        <v>29500</v>
      </c>
      <c r="E28" s="161">
        <f t="shared" si="1"/>
        <v>29500</v>
      </c>
      <c r="I28">
        <f>14750*2</f>
        <v>29500</v>
      </c>
    </row>
    <row r="29" spans="1:10">
      <c r="A29" s="161">
        <v>3</v>
      </c>
      <c r="B29" s="161" t="s">
        <v>172</v>
      </c>
      <c r="C29" s="161">
        <v>36</v>
      </c>
      <c r="D29" s="161">
        <v>60</v>
      </c>
      <c r="E29" s="161">
        <f t="shared" si="1"/>
        <v>2160</v>
      </c>
    </row>
    <row r="30" spans="1:10">
      <c r="A30" s="161">
        <v>4</v>
      </c>
      <c r="B30" s="161" t="s">
        <v>173</v>
      </c>
      <c r="C30" s="161">
        <v>18</v>
      </c>
      <c r="D30" s="161">
        <v>50</v>
      </c>
      <c r="E30" s="161">
        <f t="shared" si="1"/>
        <v>900</v>
      </c>
    </row>
    <row r="31" spans="1:10">
      <c r="A31" s="161">
        <v>5</v>
      </c>
      <c r="B31" s="161" t="s">
        <v>174</v>
      </c>
      <c r="C31" s="161">
        <v>1</v>
      </c>
      <c r="D31" s="161">
        <v>1990</v>
      </c>
      <c r="E31" s="161">
        <f t="shared" si="1"/>
        <v>1990</v>
      </c>
    </row>
    <row r="32" spans="1:10">
      <c r="A32" s="161">
        <v>6</v>
      </c>
      <c r="B32" s="161" t="s">
        <v>117</v>
      </c>
      <c r="C32" s="161">
        <v>1</v>
      </c>
      <c r="D32" s="161">
        <v>8600</v>
      </c>
      <c r="E32" s="161">
        <f t="shared" si="1"/>
        <v>8600</v>
      </c>
    </row>
    <row r="33" spans="1:5">
      <c r="A33" s="161">
        <v>7</v>
      </c>
      <c r="B33" s="161" t="s">
        <v>175</v>
      </c>
      <c r="C33" s="161">
        <v>18</v>
      </c>
      <c r="D33" s="161">
        <v>100</v>
      </c>
      <c r="E33" s="161">
        <f t="shared" si="1"/>
        <v>1800</v>
      </c>
    </row>
    <row r="34" spans="1:5">
      <c r="A34" s="161">
        <v>8</v>
      </c>
      <c r="B34" s="161" t="s">
        <v>86</v>
      </c>
      <c r="C34" s="161">
        <v>1</v>
      </c>
      <c r="D34" s="161">
        <v>6900</v>
      </c>
      <c r="E34" s="161">
        <f t="shared" si="1"/>
        <v>6900</v>
      </c>
    </row>
    <row r="35" spans="1:5">
      <c r="A35" s="273" t="s">
        <v>87</v>
      </c>
      <c r="B35" s="274"/>
      <c r="C35" s="274"/>
      <c r="D35" s="275"/>
      <c r="E35" s="162">
        <f>SUM(E27:E34)</f>
        <v>95050</v>
      </c>
    </row>
    <row r="36" spans="1:5">
      <c r="A36" s="7"/>
      <c r="B36" s="9"/>
      <c r="C36" s="9"/>
      <c r="D36" s="7"/>
      <c r="E36" s="7"/>
    </row>
    <row r="37" spans="1:5">
      <c r="A37" s="76" t="s">
        <v>468</v>
      </c>
      <c r="B37" s="9"/>
      <c r="C37" s="9"/>
      <c r="D37" s="7"/>
      <c r="E37" s="7"/>
    </row>
    <row r="38" spans="1:5">
      <c r="A38" s="7"/>
      <c r="B38" s="9"/>
      <c r="C38" s="9"/>
      <c r="D38" s="7"/>
      <c r="E38" s="7"/>
    </row>
    <row r="39" spans="1:5">
      <c r="A39" s="77" t="s">
        <v>129</v>
      </c>
      <c r="B39" s="9"/>
      <c r="C39" s="9"/>
      <c r="D39" s="7"/>
      <c r="E39" s="7"/>
    </row>
    <row r="40" spans="1:5">
      <c r="A40" s="77" t="s">
        <v>141</v>
      </c>
      <c r="B40" s="9"/>
      <c r="C40" s="9"/>
      <c r="D40" s="7"/>
      <c r="E40" s="7"/>
    </row>
    <row r="41" spans="1:5">
      <c r="A41" s="78" t="s">
        <v>180</v>
      </c>
      <c r="B41" s="9"/>
      <c r="C41" s="9"/>
      <c r="D41" s="7"/>
      <c r="E41" s="7"/>
    </row>
    <row r="42" spans="1:5">
      <c r="A42" s="78" t="s">
        <v>181</v>
      </c>
      <c r="B42" s="9"/>
      <c r="C42" s="9"/>
      <c r="D42" s="7"/>
      <c r="E42" s="7"/>
    </row>
    <row r="45" spans="1:5" s="164" customFormat="1"/>
    <row r="49" spans="1:8">
      <c r="A49" t="s">
        <v>127</v>
      </c>
    </row>
    <row r="50" spans="1:8">
      <c r="A50" s="162" t="s">
        <v>79</v>
      </c>
      <c r="B50" s="162" t="s">
        <v>80</v>
      </c>
      <c r="C50" s="162" t="s">
        <v>81</v>
      </c>
      <c r="D50" s="162" t="s">
        <v>82</v>
      </c>
      <c r="E50" s="162" t="s">
        <v>83</v>
      </c>
    </row>
    <row r="51" spans="1:8">
      <c r="A51" s="161">
        <v>1</v>
      </c>
      <c r="B51" s="24" t="s">
        <v>458</v>
      </c>
      <c r="C51" s="161">
        <v>18</v>
      </c>
      <c r="D51" s="161">
        <v>4300</v>
      </c>
      <c r="E51" s="161">
        <f t="shared" ref="E51:E58" si="2">C51*D51</f>
        <v>77400</v>
      </c>
      <c r="H51">
        <f>2150*2</f>
        <v>4300</v>
      </c>
    </row>
    <row r="52" spans="1:8">
      <c r="A52" s="161">
        <v>2</v>
      </c>
      <c r="B52" s="161" t="s">
        <v>549</v>
      </c>
      <c r="C52" s="161">
        <v>1</v>
      </c>
      <c r="D52" s="161">
        <v>19020</v>
      </c>
      <c r="E52" s="161">
        <f t="shared" si="2"/>
        <v>19020</v>
      </c>
      <c r="H52">
        <f>9510*2</f>
        <v>19020</v>
      </c>
    </row>
    <row r="53" spans="1:8">
      <c r="A53" s="161">
        <v>3</v>
      </c>
      <c r="B53" s="161" t="s">
        <v>117</v>
      </c>
      <c r="C53" s="161">
        <v>1</v>
      </c>
      <c r="D53" s="161">
        <v>8600</v>
      </c>
      <c r="E53" s="161">
        <f t="shared" si="2"/>
        <v>8600</v>
      </c>
    </row>
    <row r="54" spans="1:8" ht="26.4">
      <c r="A54" s="161">
        <v>4</v>
      </c>
      <c r="B54" s="161" t="s">
        <v>389</v>
      </c>
      <c r="C54" s="161">
        <v>1</v>
      </c>
      <c r="D54" s="161">
        <v>11900</v>
      </c>
      <c r="E54" s="161">
        <f t="shared" si="2"/>
        <v>11900</v>
      </c>
    </row>
    <row r="55" spans="1:8" ht="26.4">
      <c r="A55" s="161">
        <v>5</v>
      </c>
      <c r="B55" s="161" t="s">
        <v>456</v>
      </c>
      <c r="C55" s="161">
        <v>1</v>
      </c>
      <c r="D55" s="161">
        <v>9000</v>
      </c>
      <c r="E55" s="161">
        <f t="shared" si="2"/>
        <v>9000</v>
      </c>
    </row>
    <row r="56" spans="1:8">
      <c r="A56" s="161">
        <v>6</v>
      </c>
      <c r="B56" s="161" t="s">
        <v>116</v>
      </c>
      <c r="C56" s="161">
        <v>40</v>
      </c>
      <c r="D56" s="161">
        <v>150</v>
      </c>
      <c r="E56" s="161">
        <f t="shared" si="2"/>
        <v>6000</v>
      </c>
    </row>
    <row r="57" spans="1:8">
      <c r="A57" s="161">
        <v>7</v>
      </c>
      <c r="B57" s="161" t="s">
        <v>175</v>
      </c>
      <c r="C57" s="161">
        <v>18</v>
      </c>
      <c r="D57" s="161">
        <v>100</v>
      </c>
      <c r="E57" s="161">
        <f t="shared" si="2"/>
        <v>1800</v>
      </c>
    </row>
    <row r="58" spans="1:8">
      <c r="A58" s="161">
        <v>8</v>
      </c>
      <c r="B58" s="161" t="s">
        <v>86</v>
      </c>
      <c r="C58" s="161">
        <v>1</v>
      </c>
      <c r="D58" s="161">
        <v>5500</v>
      </c>
      <c r="E58" s="161">
        <f t="shared" si="2"/>
        <v>5500</v>
      </c>
    </row>
    <row r="59" spans="1:8">
      <c r="A59" s="273" t="s">
        <v>87</v>
      </c>
      <c r="B59" s="274"/>
      <c r="C59" s="274"/>
      <c r="D59" s="275"/>
      <c r="E59" s="162">
        <f>SUM(E51:E58)</f>
        <v>139220</v>
      </c>
    </row>
    <row r="60" spans="1:8">
      <c r="A60" s="5"/>
      <c r="B60" s="5"/>
      <c r="C60" s="5"/>
      <c r="D60" s="5"/>
      <c r="E60" s="5"/>
    </row>
    <row r="61" spans="1:8">
      <c r="B61" s="5"/>
      <c r="C61" s="5"/>
      <c r="D61" s="5"/>
      <c r="E61" s="5"/>
    </row>
    <row r="62" spans="1:8">
      <c r="A62" s="6" t="s">
        <v>470</v>
      </c>
      <c r="B62" s="75"/>
      <c r="C62" s="75"/>
      <c r="D62" s="75"/>
      <c r="E62" s="75"/>
    </row>
    <row r="63" spans="1:8">
      <c r="A63" s="6"/>
      <c r="B63" s="75"/>
      <c r="C63" s="75"/>
      <c r="D63" s="75"/>
      <c r="E63" s="75"/>
    </row>
    <row r="64" spans="1:8">
      <c r="A64" s="6" t="s">
        <v>129</v>
      </c>
      <c r="B64" s="75"/>
      <c r="C64" s="75"/>
      <c r="D64" s="75"/>
      <c r="E64" s="75"/>
    </row>
    <row r="65" spans="1:8">
      <c r="A65" s="6" t="s">
        <v>141</v>
      </c>
      <c r="B65" s="75"/>
      <c r="C65" s="75"/>
      <c r="D65" s="75"/>
      <c r="E65" s="75"/>
    </row>
    <row r="66" spans="1:8">
      <c r="A66" s="6" t="s">
        <v>142</v>
      </c>
      <c r="B66" s="75"/>
      <c r="C66" s="75"/>
      <c r="D66" s="75"/>
      <c r="E66" s="75"/>
    </row>
    <row r="67" spans="1:8">
      <c r="A67" s="6" t="s">
        <v>161</v>
      </c>
      <c r="B67" s="75"/>
      <c r="C67" s="75"/>
      <c r="D67" s="75"/>
      <c r="E67" s="75"/>
    </row>
    <row r="68" spans="1:8">
      <c r="A68" s="6" t="s">
        <v>162</v>
      </c>
      <c r="B68" s="75"/>
      <c r="C68" s="75"/>
      <c r="D68" s="75"/>
      <c r="E68" s="75"/>
    </row>
    <row r="72" spans="1:8">
      <c r="A72" t="s">
        <v>128</v>
      </c>
    </row>
    <row r="73" spans="1:8">
      <c r="A73" s="162" t="s">
        <v>79</v>
      </c>
      <c r="B73" s="162" t="s">
        <v>80</v>
      </c>
      <c r="C73" s="162" t="s">
        <v>81</v>
      </c>
      <c r="D73" s="162" t="s">
        <v>82</v>
      </c>
      <c r="E73" s="162" t="s">
        <v>83</v>
      </c>
    </row>
    <row r="74" spans="1:8">
      <c r="A74" s="161">
        <v>1</v>
      </c>
      <c r="B74" s="161" t="s">
        <v>550</v>
      </c>
      <c r="C74" s="161">
        <v>18</v>
      </c>
      <c r="D74" s="161">
        <v>1800</v>
      </c>
      <c r="E74" s="161">
        <f t="shared" ref="E74:E81" si="3">C74*D74</f>
        <v>32400</v>
      </c>
      <c r="H74">
        <f>900*2</f>
        <v>1800</v>
      </c>
    </row>
    <row r="75" spans="1:8">
      <c r="A75" s="161">
        <v>2</v>
      </c>
      <c r="B75" s="161" t="s">
        <v>551</v>
      </c>
      <c r="C75" s="161">
        <v>1</v>
      </c>
      <c r="D75" s="161">
        <v>29500</v>
      </c>
      <c r="E75" s="161">
        <f t="shared" si="3"/>
        <v>29500</v>
      </c>
      <c r="H75">
        <f>14750*2</f>
        <v>29500</v>
      </c>
    </row>
    <row r="76" spans="1:8">
      <c r="A76" s="161">
        <v>3</v>
      </c>
      <c r="B76" s="161" t="s">
        <v>172</v>
      </c>
      <c r="C76" s="161">
        <v>36</v>
      </c>
      <c r="D76" s="161">
        <v>60</v>
      </c>
      <c r="E76" s="161">
        <f t="shared" si="3"/>
        <v>2160</v>
      </c>
    </row>
    <row r="77" spans="1:8">
      <c r="A77" s="161">
        <v>4</v>
      </c>
      <c r="B77" s="161" t="s">
        <v>173</v>
      </c>
      <c r="C77" s="161">
        <v>18</v>
      </c>
      <c r="D77" s="161">
        <v>50</v>
      </c>
      <c r="E77" s="161">
        <f t="shared" si="3"/>
        <v>900</v>
      </c>
    </row>
    <row r="78" spans="1:8">
      <c r="A78" s="161">
        <v>5</v>
      </c>
      <c r="B78" s="161" t="s">
        <v>174</v>
      </c>
      <c r="C78" s="161">
        <v>1</v>
      </c>
      <c r="D78" s="161">
        <v>1990</v>
      </c>
      <c r="E78" s="161">
        <f t="shared" si="3"/>
        <v>1990</v>
      </c>
    </row>
    <row r="79" spans="1:8">
      <c r="A79" s="161">
        <v>6</v>
      </c>
      <c r="B79" s="161" t="s">
        <v>117</v>
      </c>
      <c r="C79" s="161">
        <v>1</v>
      </c>
      <c r="D79" s="161">
        <v>8600</v>
      </c>
      <c r="E79" s="161">
        <f t="shared" si="3"/>
        <v>8600</v>
      </c>
    </row>
    <row r="80" spans="1:8">
      <c r="A80" s="161">
        <v>7</v>
      </c>
      <c r="B80" s="161" t="s">
        <v>175</v>
      </c>
      <c r="C80" s="161">
        <v>18</v>
      </c>
      <c r="D80" s="161">
        <v>100</v>
      </c>
      <c r="E80" s="161">
        <f t="shared" si="3"/>
        <v>1800</v>
      </c>
    </row>
    <row r="81" spans="1:5">
      <c r="A81" s="161">
        <v>8</v>
      </c>
      <c r="B81" s="161" t="s">
        <v>86</v>
      </c>
      <c r="C81" s="161">
        <v>1</v>
      </c>
      <c r="D81" s="161">
        <v>5000</v>
      </c>
      <c r="E81" s="161">
        <f t="shared" si="3"/>
        <v>5000</v>
      </c>
    </row>
    <row r="82" spans="1:5">
      <c r="A82" s="273" t="s">
        <v>87</v>
      </c>
      <c r="B82" s="274"/>
      <c r="C82" s="274"/>
      <c r="D82" s="275"/>
      <c r="E82" s="162">
        <f>SUM(E74:E81)</f>
        <v>82350</v>
      </c>
    </row>
    <row r="83" spans="1:5">
      <c r="A83" s="7"/>
      <c r="B83" s="9"/>
      <c r="C83" s="9"/>
      <c r="D83" s="7"/>
      <c r="E83" s="7"/>
    </row>
    <row r="84" spans="1:5">
      <c r="A84" s="76" t="s">
        <v>468</v>
      </c>
      <c r="B84" s="9"/>
      <c r="C84" s="9"/>
      <c r="D84" s="7"/>
      <c r="E84" s="7"/>
    </row>
    <row r="85" spans="1:5">
      <c r="A85" s="7"/>
      <c r="B85" s="9"/>
      <c r="C85" s="9"/>
      <c r="D85" s="7"/>
      <c r="E85" s="7"/>
    </row>
    <row r="86" spans="1:5">
      <c r="A86" s="77" t="s">
        <v>129</v>
      </c>
      <c r="B86" s="9"/>
      <c r="C86" s="9"/>
      <c r="D86" s="7"/>
      <c r="E86" s="7"/>
    </row>
    <row r="87" spans="1:5">
      <c r="A87" s="77" t="s">
        <v>141</v>
      </c>
      <c r="B87" s="9"/>
      <c r="C87" s="9"/>
      <c r="D87" s="7"/>
      <c r="E87" s="7"/>
    </row>
    <row r="88" spans="1:5">
      <c r="A88" s="78" t="s">
        <v>180</v>
      </c>
      <c r="B88" s="9"/>
      <c r="C88" s="9"/>
      <c r="D88" s="7"/>
      <c r="E88" s="7"/>
    </row>
    <row r="89" spans="1:5">
      <c r="A89" s="78" t="s">
        <v>181</v>
      </c>
      <c r="B89" s="9"/>
      <c r="C89" s="9"/>
      <c r="D89" s="7"/>
      <c r="E89" s="7"/>
    </row>
  </sheetData>
  <mergeCells count="4">
    <mergeCell ref="A11:D11"/>
    <mergeCell ref="A35:D35"/>
    <mergeCell ref="A59:D59"/>
    <mergeCell ref="A82:D8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4" sqref="A4:D4"/>
    </sheetView>
  </sheetViews>
  <sheetFormatPr defaultRowHeight="14.4"/>
  <cols>
    <col min="2" max="2" width="31.109375" customWidth="1"/>
  </cols>
  <sheetData>
    <row r="1" spans="1:5">
      <c r="A1" s="31" t="s">
        <v>79</v>
      </c>
      <c r="B1" s="31" t="s">
        <v>80</v>
      </c>
      <c r="C1" s="31" t="s">
        <v>81</v>
      </c>
      <c r="D1" s="31" t="s">
        <v>82</v>
      </c>
      <c r="E1" s="31" t="s">
        <v>83</v>
      </c>
    </row>
    <row r="2" spans="1:5" ht="55.2">
      <c r="A2" s="29">
        <v>1</v>
      </c>
      <c r="B2" s="29" t="s">
        <v>555</v>
      </c>
      <c r="C2" s="165">
        <v>1</v>
      </c>
      <c r="D2" s="165">
        <v>27900</v>
      </c>
      <c r="E2" s="165">
        <f>C2*D2</f>
        <v>27900</v>
      </c>
    </row>
    <row r="3" spans="1:5">
      <c r="A3" s="344" t="s">
        <v>2</v>
      </c>
      <c r="B3" s="345"/>
      <c r="C3" s="345"/>
      <c r="D3" s="345"/>
      <c r="E3" s="166">
        <f>SUM(E2)</f>
        <v>27900</v>
      </c>
    </row>
    <row r="4" spans="1:5">
      <c r="A4" s="344" t="s">
        <v>553</v>
      </c>
      <c r="B4" s="345"/>
      <c r="C4" s="345"/>
      <c r="D4" s="345"/>
      <c r="E4" s="166">
        <f>E3*9%</f>
        <v>2511</v>
      </c>
    </row>
    <row r="5" spans="1:5">
      <c r="A5" s="344" t="s">
        <v>554</v>
      </c>
      <c r="B5" s="345"/>
      <c r="C5" s="345"/>
      <c r="D5" s="345"/>
      <c r="E5" s="166">
        <f>E3*9%</f>
        <v>2511</v>
      </c>
    </row>
    <row r="6" spans="1:5">
      <c r="A6" s="344" t="s">
        <v>89</v>
      </c>
      <c r="B6" s="345"/>
      <c r="C6" s="345"/>
      <c r="D6" s="345"/>
      <c r="E6" s="166">
        <f>SUM(E3:E5)</f>
        <v>32922</v>
      </c>
    </row>
    <row r="8" spans="1:5">
      <c r="A8" s="40" t="s">
        <v>556</v>
      </c>
    </row>
  </sheetData>
  <mergeCells count="4">
    <mergeCell ref="A5:D5"/>
    <mergeCell ref="A6:D6"/>
    <mergeCell ref="A3:D3"/>
    <mergeCell ref="A4:D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E18" sqref="E18"/>
    </sheetView>
  </sheetViews>
  <sheetFormatPr defaultRowHeight="14.4"/>
  <cols>
    <col min="2" max="2" width="48.21875" customWidth="1"/>
  </cols>
  <sheetData>
    <row r="1" spans="1:9">
      <c r="A1" s="168" t="s">
        <v>79</v>
      </c>
      <c r="B1" s="168" t="s">
        <v>80</v>
      </c>
      <c r="C1" s="168" t="s">
        <v>81</v>
      </c>
      <c r="D1" s="168" t="s">
        <v>82</v>
      </c>
      <c r="E1" s="168" t="s">
        <v>83</v>
      </c>
    </row>
    <row r="2" spans="1:9" ht="21" customHeight="1">
      <c r="A2" s="167">
        <v>1</v>
      </c>
      <c r="B2" s="24" t="s">
        <v>557</v>
      </c>
      <c r="C2" s="167">
        <v>4</v>
      </c>
      <c r="D2" s="167">
        <v>9300</v>
      </c>
      <c r="E2" s="167">
        <f t="shared" ref="E2:E9" si="0">C2*D2</f>
        <v>37200</v>
      </c>
      <c r="I2">
        <f>4660*2</f>
        <v>9320</v>
      </c>
    </row>
    <row r="3" spans="1:9" ht="21.6" customHeight="1">
      <c r="A3" s="167">
        <v>2</v>
      </c>
      <c r="B3" s="167" t="s">
        <v>558</v>
      </c>
      <c r="C3" s="167">
        <v>1</v>
      </c>
      <c r="D3" s="167">
        <v>8800</v>
      </c>
      <c r="E3" s="167">
        <f t="shared" si="0"/>
        <v>8800</v>
      </c>
      <c r="I3">
        <f>4410*2</f>
        <v>8820</v>
      </c>
    </row>
    <row r="4" spans="1:9" ht="17.399999999999999" customHeight="1">
      <c r="A4" s="167">
        <v>3</v>
      </c>
      <c r="B4" s="167" t="s">
        <v>136</v>
      </c>
      <c r="C4" s="167">
        <v>1</v>
      </c>
      <c r="D4" s="167">
        <v>5900</v>
      </c>
      <c r="E4" s="167">
        <f t="shared" si="0"/>
        <v>5900</v>
      </c>
    </row>
    <row r="5" spans="1:9" ht="26.4" customHeight="1">
      <c r="A5" s="167">
        <v>4</v>
      </c>
      <c r="B5" s="167" t="s">
        <v>389</v>
      </c>
      <c r="C5" s="167">
        <v>1</v>
      </c>
      <c r="D5" s="167">
        <v>11900</v>
      </c>
      <c r="E5" s="167">
        <f t="shared" si="0"/>
        <v>11900</v>
      </c>
    </row>
    <row r="6" spans="1:9" ht="45" customHeight="1">
      <c r="A6" s="167">
        <v>5</v>
      </c>
      <c r="B6" s="167" t="s">
        <v>456</v>
      </c>
      <c r="C6" s="167">
        <v>1</v>
      </c>
      <c r="D6" s="167">
        <v>9000</v>
      </c>
      <c r="E6" s="167">
        <f t="shared" si="0"/>
        <v>9000</v>
      </c>
    </row>
    <row r="7" spans="1:9" ht="30" customHeight="1">
      <c r="A7" s="167">
        <v>6</v>
      </c>
      <c r="B7" s="167" t="s">
        <v>116</v>
      </c>
      <c r="C7" s="167">
        <v>11</v>
      </c>
      <c r="D7" s="167">
        <v>150</v>
      </c>
      <c r="E7" s="167">
        <f t="shared" si="0"/>
        <v>1650</v>
      </c>
    </row>
    <row r="8" spans="1:9">
      <c r="A8" s="167">
        <v>7</v>
      </c>
      <c r="B8" s="167" t="s">
        <v>175</v>
      </c>
      <c r="C8" s="167">
        <v>4</v>
      </c>
      <c r="D8" s="167">
        <v>100</v>
      </c>
      <c r="E8" s="167">
        <f t="shared" si="0"/>
        <v>400</v>
      </c>
    </row>
    <row r="9" spans="1:9" ht="17.399999999999999" customHeight="1">
      <c r="A9" s="167">
        <v>8</v>
      </c>
      <c r="B9" s="167" t="s">
        <v>86</v>
      </c>
      <c r="C9" s="167">
        <v>1</v>
      </c>
      <c r="D9" s="167">
        <v>5000</v>
      </c>
      <c r="E9" s="167">
        <f t="shared" si="0"/>
        <v>5000</v>
      </c>
    </row>
    <row r="10" spans="1:9">
      <c r="A10" s="273" t="s">
        <v>87</v>
      </c>
      <c r="B10" s="274"/>
      <c r="C10" s="274"/>
      <c r="D10" s="275"/>
      <c r="E10" s="168">
        <f>SUM(E2:E9)</f>
        <v>79850</v>
      </c>
    </row>
    <row r="11" spans="1:9">
      <c r="A11" s="5"/>
      <c r="B11" s="5"/>
      <c r="C11" s="5"/>
      <c r="D11" s="5"/>
      <c r="E11" s="5"/>
    </row>
    <row r="12" spans="1:9">
      <c r="A12" s="6" t="s">
        <v>470</v>
      </c>
      <c r="B12" s="75"/>
      <c r="C12" s="75"/>
      <c r="D12" s="75"/>
      <c r="E12" s="75"/>
    </row>
    <row r="13" spans="1:9">
      <c r="A13" s="6"/>
      <c r="B13" s="75"/>
      <c r="C13" s="75"/>
      <c r="D13" s="75"/>
      <c r="E13" s="75"/>
    </row>
    <row r="14" spans="1:9">
      <c r="A14" s="6" t="s">
        <v>129</v>
      </c>
      <c r="B14" s="75"/>
      <c r="C14" s="75"/>
      <c r="D14" s="75"/>
      <c r="E14" s="75"/>
    </row>
    <row r="15" spans="1:9">
      <c r="A15" s="6" t="s">
        <v>141</v>
      </c>
      <c r="B15" s="75"/>
      <c r="C15" s="75"/>
      <c r="D15" s="75"/>
      <c r="E15" s="75"/>
    </row>
    <row r="16" spans="1:9">
      <c r="A16" s="6" t="s">
        <v>142</v>
      </c>
      <c r="B16" s="75"/>
      <c r="C16" s="75"/>
      <c r="D16" s="75"/>
      <c r="E16" s="75"/>
    </row>
    <row r="17" spans="1:10">
      <c r="A17" s="6" t="s">
        <v>161</v>
      </c>
      <c r="B17" s="75"/>
      <c r="C17" s="75"/>
      <c r="D17" s="75"/>
      <c r="E17" s="75"/>
    </row>
    <row r="18" spans="1:10">
      <c r="A18" s="6" t="s">
        <v>162</v>
      </c>
      <c r="B18" s="75"/>
      <c r="C18" s="75"/>
      <c r="D18" s="75"/>
      <c r="E18" s="75"/>
    </row>
    <row r="20" spans="1:10" s="164" customFormat="1"/>
    <row r="22" spans="1:10">
      <c r="A22" s="170" t="s">
        <v>79</v>
      </c>
      <c r="B22" s="170" t="s">
        <v>80</v>
      </c>
      <c r="C22" s="170" t="s">
        <v>81</v>
      </c>
      <c r="D22" s="170" t="s">
        <v>82</v>
      </c>
      <c r="E22" s="170" t="s">
        <v>83</v>
      </c>
    </row>
    <row r="23" spans="1:10">
      <c r="A23" s="169">
        <v>1</v>
      </c>
      <c r="B23" s="24" t="s">
        <v>559</v>
      </c>
      <c r="C23" s="169">
        <v>4</v>
      </c>
      <c r="D23" s="169">
        <v>5790</v>
      </c>
      <c r="E23" s="169">
        <f t="shared" ref="E23:E29" si="1">C23*D23</f>
        <v>23160</v>
      </c>
      <c r="H23">
        <f>3200*2</f>
        <v>6400</v>
      </c>
    </row>
    <row r="24" spans="1:10">
      <c r="A24" s="169">
        <v>2</v>
      </c>
      <c r="B24" s="169" t="s">
        <v>472</v>
      </c>
      <c r="C24" s="169">
        <v>1</v>
      </c>
      <c r="D24" s="169">
        <v>6900</v>
      </c>
      <c r="E24" s="169">
        <f t="shared" si="1"/>
        <v>6900</v>
      </c>
      <c r="H24">
        <f>3050*2</f>
        <v>6100</v>
      </c>
      <c r="J24">
        <f>2650*2</f>
        <v>5300</v>
      </c>
    </row>
    <row r="25" spans="1:10">
      <c r="A25" s="169">
        <v>3</v>
      </c>
      <c r="B25" s="169" t="s">
        <v>188</v>
      </c>
      <c r="C25" s="169">
        <v>1</v>
      </c>
      <c r="D25" s="169">
        <v>3800</v>
      </c>
      <c r="E25" s="169">
        <f t="shared" si="1"/>
        <v>3800</v>
      </c>
    </row>
    <row r="26" spans="1:10" ht="26.4">
      <c r="A26" s="169">
        <v>4</v>
      </c>
      <c r="B26" s="169" t="s">
        <v>456</v>
      </c>
      <c r="C26" s="169">
        <v>1</v>
      </c>
      <c r="D26" s="169">
        <v>6900</v>
      </c>
      <c r="E26" s="169">
        <f t="shared" si="1"/>
        <v>6900</v>
      </c>
    </row>
    <row r="27" spans="1:10">
      <c r="A27" s="169">
        <v>5</v>
      </c>
      <c r="B27" s="169" t="s">
        <v>116</v>
      </c>
      <c r="C27" s="169">
        <v>11</v>
      </c>
      <c r="D27" s="169">
        <v>150</v>
      </c>
      <c r="E27" s="169">
        <f t="shared" si="1"/>
        <v>1650</v>
      </c>
    </row>
    <row r="28" spans="1:10">
      <c r="A28" s="169">
        <v>6</v>
      </c>
      <c r="B28" s="169" t="s">
        <v>175</v>
      </c>
      <c r="C28" s="169">
        <v>4</v>
      </c>
      <c r="D28" s="169">
        <v>100</v>
      </c>
      <c r="E28" s="169">
        <f t="shared" si="1"/>
        <v>400</v>
      </c>
    </row>
    <row r="29" spans="1:10">
      <c r="A29" s="169">
        <v>7</v>
      </c>
      <c r="B29" s="169" t="s">
        <v>86</v>
      </c>
      <c r="C29" s="169">
        <v>1</v>
      </c>
      <c r="D29" s="169">
        <v>6900</v>
      </c>
      <c r="E29" s="169">
        <f t="shared" si="1"/>
        <v>6900</v>
      </c>
    </row>
    <row r="30" spans="1:10">
      <c r="A30" s="273" t="s">
        <v>87</v>
      </c>
      <c r="B30" s="274"/>
      <c r="C30" s="274"/>
      <c r="D30" s="275"/>
      <c r="E30" s="170">
        <f>SUM(E23:E29)</f>
        <v>49710</v>
      </c>
    </row>
    <row r="31" spans="1:10">
      <c r="A31" s="5"/>
      <c r="B31" s="5"/>
      <c r="C31" s="5"/>
      <c r="D31" s="5"/>
      <c r="E31" s="5"/>
    </row>
    <row r="32" spans="1:10">
      <c r="A32" s="6" t="s">
        <v>470</v>
      </c>
      <c r="B32" s="75"/>
      <c r="C32" s="75"/>
      <c r="D32" s="75"/>
      <c r="E32" s="75"/>
    </row>
    <row r="33" spans="1:5">
      <c r="A33" s="6"/>
      <c r="B33" s="75"/>
      <c r="C33" s="75"/>
      <c r="D33" s="75"/>
      <c r="E33" s="75"/>
    </row>
    <row r="34" spans="1:5">
      <c r="A34" s="6" t="s">
        <v>129</v>
      </c>
      <c r="B34" s="75"/>
      <c r="C34" s="75"/>
      <c r="D34" s="75"/>
      <c r="E34" s="75"/>
    </row>
    <row r="35" spans="1:5">
      <c r="A35" s="6" t="s">
        <v>141</v>
      </c>
      <c r="B35" s="75"/>
      <c r="C35" s="75"/>
      <c r="D35" s="75"/>
      <c r="E35" s="75"/>
    </row>
    <row r="36" spans="1:5">
      <c r="A36" s="6" t="s">
        <v>142</v>
      </c>
      <c r="B36" s="75"/>
      <c r="C36" s="75"/>
      <c r="D36" s="75"/>
      <c r="E36" s="75"/>
    </row>
    <row r="37" spans="1:5">
      <c r="A37" s="6" t="s">
        <v>161</v>
      </c>
      <c r="B37" s="75"/>
      <c r="C37" s="75"/>
      <c r="D37" s="75"/>
      <c r="E37" s="75"/>
    </row>
    <row r="38" spans="1:5">
      <c r="A38" s="6" t="s">
        <v>162</v>
      </c>
      <c r="B38" s="75"/>
      <c r="C38" s="75"/>
      <c r="D38" s="75"/>
      <c r="E38" s="75"/>
    </row>
  </sheetData>
  <mergeCells count="2">
    <mergeCell ref="A10:D10"/>
    <mergeCell ref="A30:D30"/>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opLeftCell="A19" workbookViewId="0">
      <selection activeCell="A2" sqref="A2:E9"/>
    </sheetView>
  </sheetViews>
  <sheetFormatPr defaultRowHeight="13.2"/>
  <cols>
    <col min="1" max="1" width="9" style="97" customWidth="1"/>
    <col min="2" max="2" width="50.6640625" style="97" customWidth="1"/>
    <col min="3" max="3" width="6.109375" style="97" customWidth="1"/>
    <col min="4" max="4" width="7.5546875" style="97" customWidth="1"/>
    <col min="5" max="5" width="10.21875" style="97" customWidth="1"/>
    <col min="6" max="6" width="25.6640625" style="97" customWidth="1"/>
    <col min="7" max="16384" width="8.88671875" style="97"/>
  </cols>
  <sheetData>
    <row r="1" spans="1:10">
      <c r="A1" s="174" t="s">
        <v>127</v>
      </c>
    </row>
    <row r="2" spans="1:10">
      <c r="A2" s="51" t="s">
        <v>200</v>
      </c>
      <c r="B2" s="51" t="s">
        <v>201</v>
      </c>
      <c r="C2" s="172" t="s">
        <v>81</v>
      </c>
      <c r="D2" s="172" t="s">
        <v>82</v>
      </c>
      <c r="E2" s="172" t="s">
        <v>83</v>
      </c>
    </row>
    <row r="3" spans="1:10" ht="12.6" customHeight="1">
      <c r="A3" s="171">
        <v>1</v>
      </c>
      <c r="B3" s="171" t="s">
        <v>571</v>
      </c>
      <c r="C3" s="171">
        <v>2</v>
      </c>
      <c r="D3" s="171">
        <v>58978</v>
      </c>
      <c r="E3" s="171">
        <f t="shared" ref="E3:E8" si="0">C3*D3</f>
        <v>117956</v>
      </c>
      <c r="H3" s="97">
        <f>29489*2</f>
        <v>58978</v>
      </c>
    </row>
    <row r="4" spans="1:10" ht="19.2" customHeight="1">
      <c r="A4" s="171">
        <v>2</v>
      </c>
      <c r="B4" s="171" t="s">
        <v>573</v>
      </c>
      <c r="C4" s="171">
        <v>2</v>
      </c>
      <c r="D4" s="171">
        <v>64200</v>
      </c>
      <c r="E4" s="171">
        <f t="shared" si="0"/>
        <v>128400</v>
      </c>
      <c r="H4" s="97">
        <f>32100*2</f>
        <v>64200</v>
      </c>
    </row>
    <row r="5" spans="1:10">
      <c r="A5" s="171">
        <v>3</v>
      </c>
      <c r="B5" s="171" t="s">
        <v>560</v>
      </c>
      <c r="C5" s="171">
        <v>4</v>
      </c>
      <c r="D5" s="171">
        <v>2140</v>
      </c>
      <c r="E5" s="171">
        <f t="shared" si="0"/>
        <v>8560</v>
      </c>
      <c r="H5" s="97">
        <f>1070*2</f>
        <v>2140</v>
      </c>
    </row>
    <row r="6" spans="1:10">
      <c r="A6" s="171">
        <v>4</v>
      </c>
      <c r="B6" s="171" t="s">
        <v>572</v>
      </c>
      <c r="C6" s="171">
        <v>2</v>
      </c>
      <c r="D6" s="171">
        <v>2354</v>
      </c>
      <c r="E6" s="171">
        <f t="shared" si="0"/>
        <v>4708</v>
      </c>
      <c r="H6" s="97">
        <f>1177*2</f>
        <v>2354</v>
      </c>
    </row>
    <row r="7" spans="1:10" ht="14.4" customHeight="1">
      <c r="A7" s="171">
        <v>5</v>
      </c>
      <c r="B7" s="171" t="s">
        <v>574</v>
      </c>
      <c r="C7" s="171">
        <v>1</v>
      </c>
      <c r="D7" s="171">
        <v>15412</v>
      </c>
      <c r="E7" s="171">
        <f t="shared" si="0"/>
        <v>15412</v>
      </c>
      <c r="H7" s="97">
        <f>7706*2</f>
        <v>15412</v>
      </c>
    </row>
    <row r="8" spans="1:10" ht="27.6">
      <c r="A8" s="171">
        <v>6</v>
      </c>
      <c r="B8" s="178" t="s">
        <v>568</v>
      </c>
      <c r="C8" s="173">
        <v>2</v>
      </c>
      <c r="D8" s="173">
        <v>36000</v>
      </c>
      <c r="E8" s="171">
        <f t="shared" si="0"/>
        <v>72000</v>
      </c>
    </row>
    <row r="9" spans="1:10">
      <c r="A9" s="273" t="s">
        <v>87</v>
      </c>
      <c r="B9" s="274"/>
      <c r="C9" s="274"/>
      <c r="D9" s="274"/>
      <c r="E9" s="172">
        <f>SUM(E3:E8)</f>
        <v>347036</v>
      </c>
    </row>
    <row r="11" spans="1:10">
      <c r="A11" s="75" t="s">
        <v>567</v>
      </c>
    </row>
    <row r="12" spans="1:10">
      <c r="A12" s="75" t="s">
        <v>570</v>
      </c>
    </row>
    <row r="13" spans="1:10">
      <c r="A13" s="75"/>
    </row>
    <row r="14" spans="1:10">
      <c r="A14" s="54" t="s">
        <v>564</v>
      </c>
      <c r="F14" s="97" t="s">
        <v>561</v>
      </c>
    </row>
    <row r="15" spans="1:10">
      <c r="A15" s="51" t="s">
        <v>200</v>
      </c>
      <c r="B15" s="51" t="s">
        <v>201</v>
      </c>
      <c r="C15" s="51" t="s">
        <v>93</v>
      </c>
      <c r="D15" s="51" t="s">
        <v>19</v>
      </c>
      <c r="E15" s="172" t="s">
        <v>83</v>
      </c>
    </row>
    <row r="16" spans="1:10" ht="30.6" customHeight="1">
      <c r="A16" s="8">
        <v>1</v>
      </c>
      <c r="B16" s="8" t="s">
        <v>566</v>
      </c>
      <c r="C16" s="8">
        <v>2</v>
      </c>
      <c r="D16" s="8">
        <v>271000</v>
      </c>
      <c r="E16" s="52">
        <f>C16*D16</f>
        <v>542000</v>
      </c>
      <c r="H16" s="97">
        <f>D16*1.8</f>
        <v>487800</v>
      </c>
      <c r="J16" s="97">
        <f>D16+10000</f>
        <v>281000</v>
      </c>
    </row>
    <row r="17" spans="1:14">
      <c r="A17" s="8">
        <v>2</v>
      </c>
      <c r="B17" s="8" t="s">
        <v>202</v>
      </c>
      <c r="C17" s="8">
        <v>2</v>
      </c>
      <c r="D17" s="8">
        <v>11250</v>
      </c>
      <c r="E17" s="52">
        <f t="shared" ref="E17:E22" si="1">C17*D17</f>
        <v>22500</v>
      </c>
      <c r="H17" s="97">
        <f t="shared" ref="H17:H21" si="2">D17*1.8</f>
        <v>20250</v>
      </c>
    </row>
    <row r="18" spans="1:14">
      <c r="A18" s="8">
        <v>3</v>
      </c>
      <c r="B18" s="8" t="s">
        <v>562</v>
      </c>
      <c r="C18" s="8">
        <v>2</v>
      </c>
      <c r="D18" s="8">
        <v>18000</v>
      </c>
      <c r="E18" s="52">
        <f t="shared" si="1"/>
        <v>36000</v>
      </c>
      <c r="H18" s="97">
        <f t="shared" si="2"/>
        <v>32400</v>
      </c>
    </row>
    <row r="19" spans="1:14">
      <c r="A19" s="8">
        <v>4</v>
      </c>
      <c r="B19" s="8" t="s">
        <v>203</v>
      </c>
      <c r="C19" s="8">
        <v>2</v>
      </c>
      <c r="D19" s="8">
        <v>9720</v>
      </c>
      <c r="E19" s="52">
        <f t="shared" si="1"/>
        <v>19440</v>
      </c>
      <c r="H19" s="97">
        <f t="shared" si="2"/>
        <v>17496</v>
      </c>
    </row>
    <row r="20" spans="1:14">
      <c r="A20" s="8">
        <v>5</v>
      </c>
      <c r="B20" s="8" t="s">
        <v>205</v>
      </c>
      <c r="C20" s="8">
        <v>2</v>
      </c>
      <c r="D20" s="8">
        <v>5220</v>
      </c>
      <c r="E20" s="52">
        <f t="shared" si="1"/>
        <v>10440</v>
      </c>
      <c r="H20" s="97">
        <f t="shared" si="2"/>
        <v>9396</v>
      </c>
      <c r="N20" s="97">
        <v>59000</v>
      </c>
    </row>
    <row r="21" spans="1:14">
      <c r="A21" s="8">
        <v>6</v>
      </c>
      <c r="B21" s="8" t="s">
        <v>563</v>
      </c>
      <c r="C21" s="8">
        <v>2</v>
      </c>
      <c r="D21" s="8">
        <v>12960</v>
      </c>
      <c r="E21" s="52">
        <f t="shared" si="1"/>
        <v>25920</v>
      </c>
      <c r="H21" s="97">
        <f t="shared" si="2"/>
        <v>23328</v>
      </c>
    </row>
    <row r="22" spans="1:14" ht="26.4">
      <c r="A22" s="8">
        <v>7</v>
      </c>
      <c r="B22" s="8" t="s">
        <v>206</v>
      </c>
      <c r="C22" s="8">
        <v>2</v>
      </c>
      <c r="D22" s="8">
        <v>36000</v>
      </c>
      <c r="E22" s="52">
        <f t="shared" si="1"/>
        <v>72000</v>
      </c>
      <c r="G22" s="97">
        <f>D22*1.8</f>
        <v>64800</v>
      </c>
    </row>
    <row r="23" spans="1:14">
      <c r="A23" s="346" t="s">
        <v>2</v>
      </c>
      <c r="B23" s="346"/>
      <c r="C23" s="346"/>
      <c r="D23" s="346"/>
      <c r="E23" s="175">
        <f>SUM(E16:E22)</f>
        <v>728300</v>
      </c>
      <c r="N23" s="97">
        <f>41000*2</f>
        <v>82000</v>
      </c>
    </row>
    <row r="24" spans="1:14">
      <c r="A24" s="180"/>
      <c r="B24" s="180"/>
      <c r="C24" s="180"/>
      <c r="D24" s="180"/>
      <c r="E24" s="181"/>
    </row>
    <row r="25" spans="1:14">
      <c r="A25" s="75" t="s">
        <v>567</v>
      </c>
      <c r="B25" s="180"/>
      <c r="C25" s="180"/>
      <c r="D25" s="180"/>
      <c r="E25" s="181"/>
    </row>
    <row r="26" spans="1:14">
      <c r="A26" s="75" t="s">
        <v>583</v>
      </c>
    </row>
    <row r="27" spans="1:14">
      <c r="A27" s="75" t="s">
        <v>584</v>
      </c>
    </row>
    <row r="28" spans="1:14">
      <c r="A28" s="75" t="s">
        <v>585</v>
      </c>
    </row>
    <row r="30" spans="1:14">
      <c r="A30" s="54" t="s">
        <v>565</v>
      </c>
    </row>
    <row r="31" spans="1:14" ht="24" customHeight="1">
      <c r="A31" s="51" t="s">
        <v>200</v>
      </c>
      <c r="B31" s="51" t="s">
        <v>201</v>
      </c>
      <c r="C31" s="51" t="s">
        <v>93</v>
      </c>
      <c r="D31" s="51" t="s">
        <v>19</v>
      </c>
      <c r="E31" s="172" t="s">
        <v>83</v>
      </c>
    </row>
    <row r="32" spans="1:14" ht="39.6">
      <c r="A32" s="8">
        <v>1</v>
      </c>
      <c r="B32" s="8" t="s">
        <v>569</v>
      </c>
      <c r="C32" s="8">
        <v>2</v>
      </c>
      <c r="D32" s="8">
        <v>244000</v>
      </c>
      <c r="E32" s="52">
        <f>C32*D32</f>
        <v>488000</v>
      </c>
      <c r="H32" s="97">
        <f>D32*1.8</f>
        <v>439200</v>
      </c>
      <c r="J32" s="97">
        <f>D32+10000</f>
        <v>254000</v>
      </c>
    </row>
    <row r="33" spans="1:8">
      <c r="A33" s="8">
        <v>2</v>
      </c>
      <c r="B33" s="8" t="s">
        <v>202</v>
      </c>
      <c r="C33" s="8">
        <v>2</v>
      </c>
      <c r="D33" s="8">
        <v>11250</v>
      </c>
      <c r="E33" s="52">
        <f t="shared" ref="E33:E38" si="3">C33*D33</f>
        <v>22500</v>
      </c>
      <c r="H33" s="97">
        <f t="shared" ref="H33:H34" si="4">D33*1.8</f>
        <v>20250</v>
      </c>
    </row>
    <row r="34" spans="1:8">
      <c r="A34" s="8">
        <v>3</v>
      </c>
      <c r="B34" s="8" t="s">
        <v>562</v>
      </c>
      <c r="C34" s="8">
        <v>2</v>
      </c>
      <c r="D34" s="8">
        <v>11358</v>
      </c>
      <c r="E34" s="52">
        <f t="shared" si="3"/>
        <v>22716</v>
      </c>
      <c r="H34" s="97">
        <f t="shared" si="4"/>
        <v>20444.400000000001</v>
      </c>
    </row>
    <row r="35" spans="1:8">
      <c r="A35" s="8">
        <v>4</v>
      </c>
      <c r="B35" s="8" t="s">
        <v>203</v>
      </c>
      <c r="C35" s="8">
        <v>2</v>
      </c>
      <c r="D35" s="8">
        <v>9720</v>
      </c>
      <c r="E35" s="52">
        <f t="shared" si="3"/>
        <v>19440</v>
      </c>
      <c r="G35" s="97">
        <f>D35*1.8</f>
        <v>17496</v>
      </c>
    </row>
    <row r="36" spans="1:8">
      <c r="A36" s="8">
        <v>5</v>
      </c>
      <c r="B36" s="8" t="s">
        <v>205</v>
      </c>
      <c r="C36" s="8">
        <v>2</v>
      </c>
      <c r="D36" s="8">
        <v>5520</v>
      </c>
      <c r="E36" s="52">
        <f t="shared" si="3"/>
        <v>11040</v>
      </c>
      <c r="G36" s="97">
        <f>D36*1.8</f>
        <v>9936</v>
      </c>
    </row>
    <row r="37" spans="1:8">
      <c r="A37" s="8">
        <v>6</v>
      </c>
      <c r="B37" s="8" t="s">
        <v>563</v>
      </c>
      <c r="C37" s="8">
        <v>2</v>
      </c>
      <c r="D37" s="8">
        <v>12960</v>
      </c>
      <c r="E37" s="52">
        <f t="shared" si="3"/>
        <v>25920</v>
      </c>
      <c r="G37" s="97">
        <f>D37*1.8</f>
        <v>23328</v>
      </c>
    </row>
    <row r="38" spans="1:8" ht="26.4">
      <c r="A38" s="8">
        <v>7</v>
      </c>
      <c r="B38" s="8" t="s">
        <v>206</v>
      </c>
      <c r="C38" s="8">
        <v>2</v>
      </c>
      <c r="D38" s="8">
        <v>36000</v>
      </c>
      <c r="E38" s="52">
        <f t="shared" si="3"/>
        <v>72000</v>
      </c>
      <c r="G38" s="97">
        <f>D38*1.8</f>
        <v>64800</v>
      </c>
    </row>
    <row r="39" spans="1:8">
      <c r="A39" s="347" t="s">
        <v>2</v>
      </c>
      <c r="B39" s="348"/>
      <c r="C39" s="348"/>
      <c r="D39" s="349"/>
      <c r="E39" s="175">
        <f>SUM(E32:E38)</f>
        <v>661616</v>
      </c>
    </row>
    <row r="41" spans="1:8">
      <c r="A41" s="75" t="s">
        <v>567</v>
      </c>
    </row>
    <row r="42" spans="1:8">
      <c r="A42" s="75" t="s">
        <v>583</v>
      </c>
    </row>
    <row r="43" spans="1:8">
      <c r="A43" s="75" t="s">
        <v>584</v>
      </c>
    </row>
    <row r="44" spans="1:8">
      <c r="A44" s="75" t="s">
        <v>585</v>
      </c>
    </row>
  </sheetData>
  <mergeCells count="3">
    <mergeCell ref="A9:D9"/>
    <mergeCell ref="A23:D23"/>
    <mergeCell ref="A39:D39"/>
  </mergeCells>
  <pageMargins left="0.7" right="0.7" top="0.75" bottom="0.75" header="0.3" footer="0.3"/>
  <pageSetup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B16" sqref="B16"/>
    </sheetView>
  </sheetViews>
  <sheetFormatPr defaultRowHeight="14.4"/>
  <cols>
    <col min="1" max="1" width="8.88671875" style="33"/>
    <col min="2" max="2" width="41" style="33" customWidth="1"/>
    <col min="3" max="16384" width="8.88671875" style="33"/>
  </cols>
  <sheetData>
    <row r="1" spans="1:8">
      <c r="A1" s="177" t="s">
        <v>79</v>
      </c>
      <c r="B1" s="177" t="s">
        <v>80</v>
      </c>
      <c r="C1" s="177" t="s">
        <v>81</v>
      </c>
      <c r="D1" s="177" t="s">
        <v>82</v>
      </c>
      <c r="E1" s="177" t="s">
        <v>83</v>
      </c>
    </row>
    <row r="2" spans="1:8">
      <c r="A2" s="176">
        <v>1</v>
      </c>
      <c r="B2" s="176" t="s">
        <v>582</v>
      </c>
      <c r="C2" s="176">
        <v>5</v>
      </c>
      <c r="D2" s="176">
        <v>2600</v>
      </c>
      <c r="E2" s="176">
        <f t="shared" ref="E2:E9" si="0">C2*D2</f>
        <v>13000</v>
      </c>
      <c r="H2" s="33">
        <f>1310*2</f>
        <v>2620</v>
      </c>
    </row>
    <row r="3" spans="1:8" ht="26.4">
      <c r="A3" s="176">
        <v>2</v>
      </c>
      <c r="B3" s="176" t="s">
        <v>575</v>
      </c>
      <c r="C3" s="176">
        <v>1</v>
      </c>
      <c r="D3" s="176">
        <v>5800</v>
      </c>
      <c r="E3" s="176">
        <f t="shared" si="0"/>
        <v>5800</v>
      </c>
      <c r="H3" s="33">
        <f>2900*2</f>
        <v>5800</v>
      </c>
    </row>
    <row r="4" spans="1:8">
      <c r="A4" s="176">
        <v>3</v>
      </c>
      <c r="B4" s="176" t="s">
        <v>172</v>
      </c>
      <c r="C4" s="176">
        <v>10</v>
      </c>
      <c r="D4" s="176">
        <v>60</v>
      </c>
      <c r="E4" s="176">
        <f t="shared" si="0"/>
        <v>600</v>
      </c>
    </row>
    <row r="5" spans="1:8">
      <c r="A5" s="176">
        <v>4</v>
      </c>
      <c r="B5" s="176" t="s">
        <v>173</v>
      </c>
      <c r="C5" s="176">
        <v>5</v>
      </c>
      <c r="D5" s="176">
        <v>50</v>
      </c>
      <c r="E5" s="176">
        <f t="shared" si="0"/>
        <v>250</v>
      </c>
    </row>
    <row r="6" spans="1:8">
      <c r="A6" s="176">
        <v>5</v>
      </c>
      <c r="B6" s="176" t="s">
        <v>174</v>
      </c>
      <c r="C6" s="176">
        <v>1</v>
      </c>
      <c r="D6" s="176">
        <v>1990</v>
      </c>
      <c r="E6" s="176">
        <f t="shared" si="0"/>
        <v>1990</v>
      </c>
    </row>
    <row r="7" spans="1:8">
      <c r="A7" s="176">
        <v>6</v>
      </c>
      <c r="B7" s="176" t="s">
        <v>188</v>
      </c>
      <c r="C7" s="176">
        <v>1</v>
      </c>
      <c r="D7" s="176">
        <v>3800</v>
      </c>
      <c r="E7" s="176">
        <f t="shared" si="0"/>
        <v>3800</v>
      </c>
    </row>
    <row r="8" spans="1:8">
      <c r="A8" s="176">
        <v>7</v>
      </c>
      <c r="B8" s="176" t="s">
        <v>175</v>
      </c>
      <c r="C8" s="176">
        <v>5</v>
      </c>
      <c r="D8" s="176">
        <v>100</v>
      </c>
      <c r="E8" s="176">
        <f t="shared" si="0"/>
        <v>500</v>
      </c>
    </row>
    <row r="9" spans="1:8">
      <c r="A9" s="176">
        <v>8</v>
      </c>
      <c r="B9" s="176" t="s">
        <v>86</v>
      </c>
      <c r="C9" s="176">
        <v>1</v>
      </c>
      <c r="D9" s="176">
        <v>6900</v>
      </c>
      <c r="E9" s="176">
        <f t="shared" si="0"/>
        <v>6900</v>
      </c>
    </row>
    <row r="10" spans="1:8">
      <c r="A10" s="273" t="s">
        <v>87</v>
      </c>
      <c r="B10" s="274"/>
      <c r="C10" s="274"/>
      <c r="D10" s="275"/>
      <c r="E10" s="177">
        <f>SUM(E2:E9)</f>
        <v>32840</v>
      </c>
    </row>
    <row r="11" spans="1:8">
      <c r="A11" s="97"/>
      <c r="B11" s="179"/>
      <c r="C11" s="179"/>
      <c r="D11" s="97"/>
      <c r="E11" s="97"/>
    </row>
    <row r="12" spans="1:8" s="42" customFormat="1">
      <c r="A12" s="76" t="s">
        <v>468</v>
      </c>
      <c r="B12" s="9"/>
      <c r="C12" s="9"/>
      <c r="D12" s="75"/>
      <c r="E12" s="75"/>
    </row>
    <row r="13" spans="1:8" s="42" customFormat="1">
      <c r="A13" s="75"/>
      <c r="B13" s="9"/>
      <c r="C13" s="9"/>
      <c r="D13" s="75"/>
      <c r="E13" s="75"/>
    </row>
    <row r="14" spans="1:8" s="42" customFormat="1">
      <c r="A14" s="77" t="s">
        <v>129</v>
      </c>
      <c r="B14" s="9"/>
      <c r="C14" s="9"/>
      <c r="D14" s="75"/>
      <c r="E14" s="75"/>
    </row>
    <row r="15" spans="1:8" s="42" customFormat="1">
      <c r="A15" s="77" t="s">
        <v>141</v>
      </c>
      <c r="B15" s="9"/>
      <c r="C15" s="9"/>
      <c r="D15" s="75"/>
      <c r="E15" s="75"/>
    </row>
    <row r="16" spans="1:8" s="42" customFormat="1">
      <c r="A16" s="78" t="s">
        <v>180</v>
      </c>
      <c r="B16" s="9"/>
      <c r="C16" s="9"/>
      <c r="D16" s="75"/>
      <c r="E16" s="75"/>
    </row>
    <row r="17" spans="1:11" s="42" customFormat="1">
      <c r="A17" s="78" t="s">
        <v>181</v>
      </c>
      <c r="B17" s="9"/>
      <c r="C17" s="9"/>
      <c r="D17" s="75"/>
      <c r="E17" s="75"/>
    </row>
    <row r="20" spans="1:11">
      <c r="A20" s="177" t="s">
        <v>79</v>
      </c>
      <c r="B20" s="177" t="s">
        <v>80</v>
      </c>
      <c r="C20" s="177" t="s">
        <v>81</v>
      </c>
      <c r="D20" s="177" t="s">
        <v>82</v>
      </c>
      <c r="E20" s="177" t="s">
        <v>83</v>
      </c>
      <c r="H20" s="33" t="s">
        <v>576</v>
      </c>
      <c r="I20" s="33" t="s">
        <v>577</v>
      </c>
    </row>
    <row r="21" spans="1:11">
      <c r="A21" s="176">
        <v>1</v>
      </c>
      <c r="B21" s="176" t="s">
        <v>580</v>
      </c>
      <c r="C21" s="176">
        <v>5</v>
      </c>
      <c r="D21" s="176">
        <v>1760</v>
      </c>
      <c r="E21" s="176">
        <f t="shared" ref="E21:E28" si="1">C21*D21</f>
        <v>8800</v>
      </c>
      <c r="H21" s="33">
        <v>880</v>
      </c>
      <c r="I21" s="33">
        <v>860</v>
      </c>
      <c r="K21" s="33">
        <f>880*2</f>
        <v>1760</v>
      </c>
    </row>
    <row r="22" spans="1:11" ht="26.4">
      <c r="A22" s="176">
        <v>2</v>
      </c>
      <c r="B22" s="176" t="s">
        <v>581</v>
      </c>
      <c r="C22" s="176">
        <v>1</v>
      </c>
      <c r="D22" s="176">
        <v>6000</v>
      </c>
      <c r="E22" s="176">
        <f t="shared" si="1"/>
        <v>6000</v>
      </c>
      <c r="H22" s="33" t="s">
        <v>578</v>
      </c>
      <c r="I22" s="33" t="s">
        <v>579</v>
      </c>
      <c r="K22" s="33">
        <f>3000*2</f>
        <v>6000</v>
      </c>
    </row>
    <row r="23" spans="1:11">
      <c r="A23" s="176">
        <v>3</v>
      </c>
      <c r="B23" s="176" t="s">
        <v>172</v>
      </c>
      <c r="C23" s="176">
        <v>10</v>
      </c>
      <c r="D23" s="176">
        <v>60</v>
      </c>
      <c r="E23" s="176">
        <f t="shared" si="1"/>
        <v>600</v>
      </c>
    </row>
    <row r="24" spans="1:11">
      <c r="A24" s="176">
        <v>4</v>
      </c>
      <c r="B24" s="176" t="s">
        <v>173</v>
      </c>
      <c r="C24" s="176">
        <v>5</v>
      </c>
      <c r="D24" s="176">
        <v>50</v>
      </c>
      <c r="E24" s="176">
        <f t="shared" si="1"/>
        <v>250</v>
      </c>
    </row>
    <row r="25" spans="1:11">
      <c r="A25" s="176">
        <v>5</v>
      </c>
      <c r="B25" s="176" t="s">
        <v>174</v>
      </c>
      <c r="C25" s="176">
        <v>1</v>
      </c>
      <c r="D25" s="176">
        <v>1990</v>
      </c>
      <c r="E25" s="176">
        <f t="shared" si="1"/>
        <v>1990</v>
      </c>
    </row>
    <row r="26" spans="1:11">
      <c r="A26" s="176">
        <v>6</v>
      </c>
      <c r="B26" s="176" t="s">
        <v>188</v>
      </c>
      <c r="C26" s="176">
        <v>1</v>
      </c>
      <c r="D26" s="176">
        <v>3800</v>
      </c>
      <c r="E26" s="176">
        <f t="shared" si="1"/>
        <v>3800</v>
      </c>
    </row>
    <row r="27" spans="1:11">
      <c r="A27" s="176">
        <v>7</v>
      </c>
      <c r="B27" s="176" t="s">
        <v>175</v>
      </c>
      <c r="C27" s="176">
        <v>5</v>
      </c>
      <c r="D27" s="176">
        <v>100</v>
      </c>
      <c r="E27" s="176">
        <f t="shared" si="1"/>
        <v>500</v>
      </c>
    </row>
    <row r="28" spans="1:11">
      <c r="A28" s="176">
        <v>8</v>
      </c>
      <c r="B28" s="176" t="s">
        <v>86</v>
      </c>
      <c r="C28" s="176">
        <v>1</v>
      </c>
      <c r="D28" s="176">
        <v>6900</v>
      </c>
      <c r="E28" s="176">
        <f t="shared" si="1"/>
        <v>6900</v>
      </c>
    </row>
    <row r="29" spans="1:11">
      <c r="A29" s="273" t="s">
        <v>87</v>
      </c>
      <c r="B29" s="274"/>
      <c r="C29" s="274"/>
      <c r="D29" s="275"/>
      <c r="E29" s="177">
        <f>SUM(E21:E28)</f>
        <v>28840</v>
      </c>
    </row>
    <row r="30" spans="1:11">
      <c r="A30" s="97"/>
      <c r="B30" s="179"/>
      <c r="C30" s="179"/>
      <c r="D30" s="97"/>
      <c r="E30" s="97"/>
    </row>
    <row r="31" spans="1:11">
      <c r="A31" s="76" t="s">
        <v>468</v>
      </c>
      <c r="B31" s="9"/>
      <c r="C31" s="9"/>
      <c r="D31" s="75"/>
      <c r="E31" s="75"/>
    </row>
    <row r="32" spans="1:11">
      <c r="A32" s="75"/>
      <c r="B32" s="9"/>
      <c r="C32" s="9"/>
      <c r="D32" s="75"/>
      <c r="E32" s="75"/>
    </row>
    <row r="33" spans="1:5">
      <c r="A33" s="77" t="s">
        <v>129</v>
      </c>
      <c r="B33" s="9"/>
      <c r="C33" s="9"/>
      <c r="D33" s="75"/>
      <c r="E33" s="75"/>
    </row>
    <row r="34" spans="1:5">
      <c r="A34" s="77" t="s">
        <v>141</v>
      </c>
      <c r="B34" s="9"/>
      <c r="C34" s="9"/>
      <c r="D34" s="75"/>
      <c r="E34" s="75"/>
    </row>
    <row r="35" spans="1:5">
      <c r="A35" s="78" t="s">
        <v>180</v>
      </c>
      <c r="B35" s="9"/>
      <c r="C35" s="9"/>
      <c r="D35" s="75"/>
      <c r="E35" s="75"/>
    </row>
    <row r="36" spans="1:5">
      <c r="A36" s="78" t="s">
        <v>181</v>
      </c>
      <c r="B36" s="9"/>
      <c r="C36" s="9"/>
      <c r="D36" s="75"/>
      <c r="E36" s="75"/>
    </row>
  </sheetData>
  <mergeCells count="2">
    <mergeCell ref="A10:D10"/>
    <mergeCell ref="A29:D29"/>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1" sqref="B11"/>
    </sheetView>
  </sheetViews>
  <sheetFormatPr defaultRowHeight="13.2"/>
  <cols>
    <col min="1" max="1" width="7.21875" style="184" customWidth="1"/>
    <col min="2" max="2" width="51.109375" style="184" customWidth="1"/>
    <col min="3" max="16384" width="8.88671875" style="184"/>
  </cols>
  <sheetData>
    <row r="1" spans="1:5">
      <c r="A1" s="186" t="s">
        <v>586</v>
      </c>
    </row>
    <row r="2" spans="1:5" ht="19.2" customHeight="1">
      <c r="A2" s="182" t="s">
        <v>79</v>
      </c>
      <c r="B2" s="182" t="s">
        <v>80</v>
      </c>
      <c r="C2" s="182" t="s">
        <v>81</v>
      </c>
      <c r="D2" s="182" t="s">
        <v>82</v>
      </c>
      <c r="E2" s="182" t="s">
        <v>83</v>
      </c>
    </row>
    <row r="3" spans="1:5" ht="216.6" customHeight="1">
      <c r="A3" s="183">
        <v>1</v>
      </c>
      <c r="B3" s="185" t="s">
        <v>588</v>
      </c>
      <c r="C3" s="183">
        <v>1</v>
      </c>
      <c r="D3" s="183">
        <v>180000</v>
      </c>
      <c r="E3" s="183">
        <f t="shared" ref="E3:E4" si="0">C3*D3</f>
        <v>180000</v>
      </c>
    </row>
    <row r="4" spans="1:5">
      <c r="A4" s="183">
        <v>2</v>
      </c>
      <c r="B4" s="183" t="s">
        <v>86</v>
      </c>
      <c r="C4" s="183">
        <v>1</v>
      </c>
      <c r="D4" s="183">
        <v>10000</v>
      </c>
      <c r="E4" s="183">
        <f t="shared" si="0"/>
        <v>10000</v>
      </c>
    </row>
    <row r="5" spans="1:5">
      <c r="A5" s="350" t="s">
        <v>87</v>
      </c>
      <c r="B5" s="351"/>
      <c r="C5" s="351"/>
      <c r="D5" s="352"/>
      <c r="E5" s="182">
        <f>SUM(E3:E4)</f>
        <v>190000</v>
      </c>
    </row>
    <row r="6" spans="1:5">
      <c r="A6" s="187"/>
      <c r="B6" s="187"/>
      <c r="C6" s="187"/>
      <c r="D6" s="187"/>
      <c r="E6" s="187"/>
    </row>
    <row r="8" spans="1:5">
      <c r="A8" s="186" t="s">
        <v>587</v>
      </c>
    </row>
    <row r="9" spans="1:5">
      <c r="A9" s="182" t="s">
        <v>79</v>
      </c>
      <c r="B9" s="182" t="s">
        <v>80</v>
      </c>
      <c r="C9" s="182" t="s">
        <v>81</v>
      </c>
      <c r="D9" s="182" t="s">
        <v>82</v>
      </c>
      <c r="E9" s="182" t="s">
        <v>83</v>
      </c>
    </row>
    <row r="10" spans="1:5" ht="92.4">
      <c r="A10" s="183">
        <v>1</v>
      </c>
      <c r="B10" s="185" t="s">
        <v>589</v>
      </c>
      <c r="C10" s="183">
        <v>1</v>
      </c>
      <c r="D10" s="183">
        <v>35000</v>
      </c>
      <c r="E10" s="183">
        <f t="shared" ref="E10:E11" si="1">C10*D10</f>
        <v>35000</v>
      </c>
    </row>
    <row r="11" spans="1:5">
      <c r="A11" s="183">
        <v>2</v>
      </c>
      <c r="B11" s="183" t="s">
        <v>86</v>
      </c>
      <c r="C11" s="183">
        <v>1</v>
      </c>
      <c r="D11" s="183">
        <v>5000</v>
      </c>
      <c r="E11" s="183">
        <f t="shared" si="1"/>
        <v>5000</v>
      </c>
    </row>
    <row r="12" spans="1:5">
      <c r="A12" s="350" t="s">
        <v>87</v>
      </c>
      <c r="B12" s="351"/>
      <c r="C12" s="351"/>
      <c r="D12" s="352"/>
      <c r="E12" s="182">
        <f>SUM(E10:E11)</f>
        <v>40000</v>
      </c>
    </row>
  </sheetData>
  <mergeCells count="2">
    <mergeCell ref="A5:D5"/>
    <mergeCell ref="A12:D1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26" sqref="C26"/>
    </sheetView>
  </sheetViews>
  <sheetFormatPr defaultRowHeight="14.4"/>
  <cols>
    <col min="2" max="2" width="12.33203125" customWidth="1"/>
    <col min="3" max="3" width="39.109375" customWidth="1"/>
    <col min="4" max="4" width="6.21875" customWidth="1"/>
  </cols>
  <sheetData>
    <row r="1" spans="1:6">
      <c r="A1" t="s">
        <v>127</v>
      </c>
    </row>
    <row r="2" spans="1:6">
      <c r="A2" s="182" t="s">
        <v>79</v>
      </c>
      <c r="B2" s="182" t="s">
        <v>230</v>
      </c>
      <c r="C2" s="182" t="s">
        <v>80</v>
      </c>
      <c r="D2" s="182" t="s">
        <v>81</v>
      </c>
      <c r="E2" s="182" t="s">
        <v>82</v>
      </c>
      <c r="F2" s="182" t="s">
        <v>83</v>
      </c>
    </row>
    <row r="3" spans="1:6" ht="26.4">
      <c r="A3" s="183">
        <v>1</v>
      </c>
      <c r="B3" s="183" t="s">
        <v>590</v>
      </c>
      <c r="C3" s="183" t="s">
        <v>596</v>
      </c>
      <c r="D3" s="183">
        <v>2</v>
      </c>
      <c r="E3" s="183">
        <v>39000</v>
      </c>
      <c r="F3" s="183">
        <f t="shared" ref="F3:F6" si="0">D3*E3</f>
        <v>78000</v>
      </c>
    </row>
    <row r="4" spans="1:6" ht="39.6">
      <c r="A4" s="183">
        <v>2</v>
      </c>
      <c r="B4" s="183" t="s">
        <v>591</v>
      </c>
      <c r="C4" s="183" t="s">
        <v>592</v>
      </c>
      <c r="D4" s="183">
        <v>1</v>
      </c>
      <c r="E4" s="183">
        <v>6500</v>
      </c>
      <c r="F4" s="183">
        <f t="shared" si="0"/>
        <v>6500</v>
      </c>
    </row>
    <row r="5" spans="1:6">
      <c r="A5" s="183">
        <v>3</v>
      </c>
      <c r="B5" s="354" t="s">
        <v>593</v>
      </c>
      <c r="C5" s="355"/>
      <c r="D5" s="183">
        <v>1</v>
      </c>
      <c r="E5" s="183">
        <v>2500</v>
      </c>
      <c r="F5" s="183">
        <f t="shared" si="0"/>
        <v>2500</v>
      </c>
    </row>
    <row r="6" spans="1:6" ht="26.4" customHeight="1">
      <c r="A6" s="183">
        <v>4</v>
      </c>
      <c r="B6" s="354" t="s">
        <v>86</v>
      </c>
      <c r="C6" s="355"/>
      <c r="D6" s="183">
        <v>1</v>
      </c>
      <c r="E6" s="183">
        <v>9000</v>
      </c>
      <c r="F6" s="183">
        <f t="shared" si="0"/>
        <v>9000</v>
      </c>
    </row>
    <row r="7" spans="1:6">
      <c r="A7" s="353" t="s">
        <v>87</v>
      </c>
      <c r="B7" s="353"/>
      <c r="C7" s="353"/>
      <c r="D7" s="353"/>
      <c r="E7" s="353"/>
      <c r="F7" s="182">
        <f>SUM(F3:F6)</f>
        <v>96000</v>
      </c>
    </row>
    <row r="9" spans="1:6">
      <c r="A9" t="s">
        <v>127</v>
      </c>
    </row>
    <row r="10" spans="1:6">
      <c r="A10" s="182" t="s">
        <v>79</v>
      </c>
      <c r="B10" s="182" t="s">
        <v>230</v>
      </c>
      <c r="C10" s="182" t="s">
        <v>80</v>
      </c>
      <c r="D10" s="182" t="s">
        <v>81</v>
      </c>
      <c r="E10" s="182" t="s">
        <v>82</v>
      </c>
      <c r="F10" s="182" t="s">
        <v>83</v>
      </c>
    </row>
    <row r="11" spans="1:6">
      <c r="A11" s="183">
        <v>1</v>
      </c>
      <c r="B11" s="183" t="s">
        <v>594</v>
      </c>
      <c r="C11" s="183" t="s">
        <v>595</v>
      </c>
      <c r="D11" s="183">
        <v>4</v>
      </c>
      <c r="E11" s="183">
        <v>12500</v>
      </c>
      <c r="F11" s="183">
        <f t="shared" ref="F11:F13" si="1">D11*E11</f>
        <v>50000</v>
      </c>
    </row>
    <row r="12" spans="1:6">
      <c r="A12" s="183">
        <v>2</v>
      </c>
      <c r="B12" s="354" t="s">
        <v>593</v>
      </c>
      <c r="C12" s="355"/>
      <c r="D12" s="183">
        <v>1</v>
      </c>
      <c r="E12" s="183">
        <v>2500</v>
      </c>
      <c r="F12" s="183">
        <f t="shared" si="1"/>
        <v>2500</v>
      </c>
    </row>
    <row r="13" spans="1:6" ht="26.4" customHeight="1">
      <c r="A13" s="183">
        <v>3</v>
      </c>
      <c r="B13" s="354" t="s">
        <v>86</v>
      </c>
      <c r="C13" s="355"/>
      <c r="D13" s="183">
        <v>1</v>
      </c>
      <c r="E13" s="183">
        <v>9000</v>
      </c>
      <c r="F13" s="183">
        <f t="shared" si="1"/>
        <v>9000</v>
      </c>
    </row>
    <row r="14" spans="1:6">
      <c r="A14" s="353" t="s">
        <v>87</v>
      </c>
      <c r="B14" s="353"/>
      <c r="C14" s="353"/>
      <c r="D14" s="353"/>
      <c r="E14" s="353"/>
      <c r="F14" s="182">
        <f>SUM(F11:F13)</f>
        <v>61500</v>
      </c>
    </row>
    <row r="16" spans="1:6">
      <c r="A16" t="s">
        <v>237</v>
      </c>
    </row>
    <row r="17" spans="1:1">
      <c r="A17" t="s">
        <v>597</v>
      </c>
    </row>
    <row r="18" spans="1:1">
      <c r="A18" t="s">
        <v>598</v>
      </c>
    </row>
    <row r="19" spans="1:1">
      <c r="A19" t="s">
        <v>603</v>
      </c>
    </row>
    <row r="20" spans="1:1">
      <c r="A20" t="s">
        <v>604</v>
      </c>
    </row>
  </sheetData>
  <mergeCells count="6">
    <mergeCell ref="A7:E7"/>
    <mergeCell ref="A14:E14"/>
    <mergeCell ref="B5:C5"/>
    <mergeCell ref="B6:C6"/>
    <mergeCell ref="B12:C12"/>
    <mergeCell ref="B13:C1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workbookViewId="0">
      <selection activeCell="A20" sqref="A20:E31"/>
    </sheetView>
  </sheetViews>
  <sheetFormatPr defaultRowHeight="14.4"/>
  <cols>
    <col min="1" max="1" width="11.6640625" customWidth="1"/>
    <col min="2" max="2" width="47.109375" customWidth="1"/>
    <col min="4" max="4" width="34.77734375" customWidth="1"/>
  </cols>
  <sheetData>
    <row r="1" spans="1:10" ht="21" customHeight="1">
      <c r="A1" s="189" t="s">
        <v>79</v>
      </c>
      <c r="B1" s="189" t="s">
        <v>80</v>
      </c>
      <c r="C1" s="189" t="s">
        <v>81</v>
      </c>
      <c r="D1" s="189" t="s">
        <v>82</v>
      </c>
      <c r="E1" s="189" t="s">
        <v>83</v>
      </c>
    </row>
    <row r="2" spans="1:10" ht="18" customHeight="1">
      <c r="A2" s="188">
        <v>1</v>
      </c>
      <c r="B2" s="188" t="s">
        <v>601</v>
      </c>
      <c r="C2" s="188">
        <v>3</v>
      </c>
      <c r="D2" s="188">
        <v>2100</v>
      </c>
      <c r="E2" s="188">
        <f t="shared" ref="E2:E8" si="0">C2*D2</f>
        <v>6300</v>
      </c>
      <c r="H2">
        <f>1200*2</f>
        <v>2400</v>
      </c>
    </row>
    <row r="3" spans="1:10" ht="14.4" customHeight="1">
      <c r="A3" s="188">
        <v>2</v>
      </c>
      <c r="B3" s="188" t="s">
        <v>599</v>
      </c>
      <c r="C3" s="188">
        <v>1</v>
      </c>
      <c r="D3" s="188">
        <v>7920</v>
      </c>
      <c r="E3" s="188">
        <f t="shared" si="0"/>
        <v>7920</v>
      </c>
      <c r="H3">
        <f>4800*2</f>
        <v>9600</v>
      </c>
      <c r="I3" t="s">
        <v>600</v>
      </c>
      <c r="J3">
        <f>2800*2</f>
        <v>5600</v>
      </c>
    </row>
    <row r="4" spans="1:10">
      <c r="A4" s="188">
        <v>3</v>
      </c>
      <c r="B4" s="188" t="s">
        <v>172</v>
      </c>
      <c r="C4" s="188">
        <v>6</v>
      </c>
      <c r="D4" s="188">
        <v>60</v>
      </c>
      <c r="E4" s="188">
        <f t="shared" si="0"/>
        <v>360</v>
      </c>
    </row>
    <row r="5" spans="1:10">
      <c r="A5" s="188">
        <v>4</v>
      </c>
      <c r="B5" s="188" t="s">
        <v>173</v>
      </c>
      <c r="C5" s="188">
        <v>3</v>
      </c>
      <c r="D5" s="188">
        <v>50</v>
      </c>
      <c r="E5" s="188">
        <f t="shared" si="0"/>
        <v>150</v>
      </c>
    </row>
    <row r="6" spans="1:10" ht="12" customHeight="1">
      <c r="A6" s="188">
        <v>5</v>
      </c>
      <c r="B6" s="188" t="s">
        <v>174</v>
      </c>
      <c r="C6" s="188">
        <v>1</v>
      </c>
      <c r="D6" s="188">
        <v>1990</v>
      </c>
      <c r="E6" s="188">
        <f t="shared" si="0"/>
        <v>1990</v>
      </c>
    </row>
    <row r="7" spans="1:10">
      <c r="A7" s="188">
        <v>6</v>
      </c>
      <c r="B7" s="188" t="s">
        <v>175</v>
      </c>
      <c r="C7" s="188">
        <v>3</v>
      </c>
      <c r="D7" s="188">
        <v>100</v>
      </c>
      <c r="E7" s="188">
        <f t="shared" si="0"/>
        <v>300</v>
      </c>
    </row>
    <row r="8" spans="1:10">
      <c r="A8" s="188">
        <v>7</v>
      </c>
      <c r="B8" s="188" t="s">
        <v>86</v>
      </c>
      <c r="C8" s="188">
        <v>1</v>
      </c>
      <c r="D8" s="188">
        <v>2900</v>
      </c>
      <c r="E8" s="188">
        <f t="shared" si="0"/>
        <v>2900</v>
      </c>
      <c r="I8">
        <f>900*2</f>
        <v>1800</v>
      </c>
    </row>
    <row r="9" spans="1:10">
      <c r="A9" s="273" t="s">
        <v>87</v>
      </c>
      <c r="B9" s="274"/>
      <c r="C9" s="274"/>
      <c r="D9" s="275"/>
      <c r="E9" s="189">
        <f>SUM(E2:E8)</f>
        <v>19920</v>
      </c>
    </row>
    <row r="10" spans="1:10">
      <c r="A10" s="97"/>
      <c r="B10" s="179"/>
      <c r="C10" s="179"/>
      <c r="D10" s="97"/>
      <c r="E10" s="97"/>
    </row>
    <row r="11" spans="1:10">
      <c r="A11" s="76" t="s">
        <v>387</v>
      </c>
      <c r="B11" s="9"/>
      <c r="C11" s="9"/>
      <c r="D11" s="75"/>
      <c r="E11" s="75"/>
    </row>
    <row r="12" spans="1:10">
      <c r="A12" s="75"/>
      <c r="B12" s="9"/>
      <c r="C12" s="9"/>
      <c r="D12" s="75"/>
      <c r="E12" s="75"/>
    </row>
    <row r="13" spans="1:10">
      <c r="A13" s="77" t="s">
        <v>129</v>
      </c>
      <c r="B13" s="9"/>
      <c r="C13" s="9"/>
      <c r="D13" s="75"/>
      <c r="E13" s="75"/>
    </row>
    <row r="14" spans="1:10">
      <c r="A14" s="78" t="s">
        <v>602</v>
      </c>
      <c r="B14" s="9"/>
      <c r="C14" s="9"/>
      <c r="D14" s="75"/>
      <c r="E14" s="75"/>
    </row>
    <row r="15" spans="1:10">
      <c r="A15" s="78" t="s">
        <v>142</v>
      </c>
      <c r="B15" s="9"/>
      <c r="C15" s="9"/>
      <c r="D15" s="75"/>
      <c r="E15" s="75"/>
    </row>
    <row r="20" spans="1:5">
      <c r="A20" s="24"/>
      <c r="B20" s="24" t="s">
        <v>689</v>
      </c>
      <c r="C20" s="24"/>
      <c r="D20" s="24" t="s">
        <v>688</v>
      </c>
      <c r="E20" s="24"/>
    </row>
    <row r="21" spans="1:5">
      <c r="A21" s="24" t="s">
        <v>674</v>
      </c>
      <c r="B21" s="227">
        <v>900</v>
      </c>
      <c r="C21" s="24" t="s">
        <v>674</v>
      </c>
      <c r="D21" s="24">
        <v>1300</v>
      </c>
      <c r="E21" s="24"/>
    </row>
    <row r="22" spans="1:5" ht="28.8">
      <c r="A22" s="24" t="s">
        <v>675</v>
      </c>
      <c r="B22" s="227">
        <v>950</v>
      </c>
      <c r="C22" s="24" t="s">
        <v>675</v>
      </c>
      <c r="D22" s="24">
        <v>1230</v>
      </c>
      <c r="E22" s="24"/>
    </row>
    <row r="23" spans="1:5">
      <c r="A23" s="24" t="s">
        <v>676</v>
      </c>
      <c r="B23" s="227">
        <v>5200</v>
      </c>
      <c r="C23" s="24" t="s">
        <v>676</v>
      </c>
      <c r="D23" s="24">
        <v>6700</v>
      </c>
      <c r="E23" s="24"/>
    </row>
    <row r="24" spans="1:5">
      <c r="A24" s="24" t="s">
        <v>677</v>
      </c>
      <c r="B24" s="227">
        <v>910</v>
      </c>
      <c r="C24" s="24" t="s">
        <v>677</v>
      </c>
      <c r="D24" s="24">
        <v>1500</v>
      </c>
      <c r="E24" s="24"/>
    </row>
    <row r="25" spans="1:5">
      <c r="A25" s="24" t="s">
        <v>678</v>
      </c>
      <c r="B25" s="24">
        <v>60</v>
      </c>
      <c r="C25" s="24" t="s">
        <v>678</v>
      </c>
      <c r="D25" s="24">
        <v>20</v>
      </c>
      <c r="E25" s="24"/>
    </row>
    <row r="26" spans="1:5">
      <c r="A26" s="24" t="s">
        <v>679</v>
      </c>
      <c r="B26" s="24">
        <v>50</v>
      </c>
      <c r="C26" s="24" t="s">
        <v>679</v>
      </c>
      <c r="D26" s="24">
        <v>20</v>
      </c>
      <c r="E26" s="24"/>
    </row>
    <row r="27" spans="1:5" ht="28.8">
      <c r="A27" s="24" t="s">
        <v>684</v>
      </c>
      <c r="B27" s="24">
        <v>2500</v>
      </c>
      <c r="C27" s="24" t="s">
        <v>684</v>
      </c>
      <c r="D27" s="24">
        <v>2300</v>
      </c>
      <c r="E27" s="24"/>
    </row>
    <row r="28" spans="1:5" ht="43.2">
      <c r="A28" s="24" t="s">
        <v>680</v>
      </c>
      <c r="B28" s="24">
        <v>90</v>
      </c>
      <c r="C28" s="24" t="s">
        <v>680</v>
      </c>
      <c r="D28" s="24" t="s">
        <v>685</v>
      </c>
      <c r="E28" s="229" t="s">
        <v>686</v>
      </c>
    </row>
    <row r="29" spans="1:5" ht="28.8">
      <c r="A29" s="24" t="s">
        <v>681</v>
      </c>
      <c r="B29" s="24">
        <v>90</v>
      </c>
      <c r="C29" s="24" t="s">
        <v>681</v>
      </c>
      <c r="D29" s="24" t="s">
        <v>685</v>
      </c>
      <c r="E29" s="24">
        <v>50</v>
      </c>
    </row>
    <row r="30" spans="1:5" ht="28.8">
      <c r="A30" s="24" t="s">
        <v>687</v>
      </c>
      <c r="B30" s="24">
        <v>550</v>
      </c>
      <c r="C30" s="24" t="s">
        <v>682</v>
      </c>
      <c r="D30" s="24">
        <v>600</v>
      </c>
      <c r="E30" s="24"/>
    </row>
    <row r="31" spans="1:5">
      <c r="A31" s="24" t="s">
        <v>683</v>
      </c>
      <c r="B31" s="24">
        <v>5490</v>
      </c>
      <c r="C31" s="24" t="s">
        <v>683</v>
      </c>
      <c r="D31" s="24">
        <v>5550</v>
      </c>
      <c r="E31" s="24"/>
    </row>
    <row r="32" spans="1:5">
      <c r="A32" s="228"/>
      <c r="B32" s="228"/>
      <c r="C32" s="228"/>
      <c r="D32" s="228"/>
    </row>
    <row r="33" spans="1:4">
      <c r="A33" s="24"/>
      <c r="B33" s="24"/>
      <c r="C33" s="24"/>
      <c r="D33" s="24"/>
    </row>
    <row r="34" spans="1:4">
      <c r="A34" s="24"/>
      <c r="B34" s="24"/>
      <c r="C34" s="24"/>
      <c r="D34" s="24"/>
    </row>
    <row r="35" spans="1:4">
      <c r="A35" s="24"/>
      <c r="B35" s="24"/>
      <c r="C35" s="24"/>
      <c r="D35" s="24"/>
    </row>
    <row r="36" spans="1:4">
      <c r="A36" s="24"/>
      <c r="B36" s="24"/>
      <c r="C36" s="24"/>
      <c r="D36" s="24"/>
    </row>
    <row r="37" spans="1:4">
      <c r="A37" s="24"/>
      <c r="B37" s="24"/>
      <c r="C37" s="24"/>
      <c r="D37" s="24"/>
    </row>
    <row r="38" spans="1:4">
      <c r="A38" s="24"/>
      <c r="B38" s="24"/>
      <c r="C38" s="24"/>
      <c r="D38" s="24"/>
    </row>
    <row r="39" spans="1:4">
      <c r="A39" s="226"/>
      <c r="B39" s="226"/>
      <c r="C39" s="226"/>
      <c r="D39" s="226"/>
    </row>
    <row r="40" spans="1:4">
      <c r="A40" s="226"/>
      <c r="B40" s="226"/>
      <c r="C40" s="226"/>
      <c r="D40" s="226"/>
    </row>
    <row r="41" spans="1:4">
      <c r="A41" s="226"/>
      <c r="B41" s="226"/>
    </row>
    <row r="42" spans="1:4">
      <c r="A42" s="226"/>
      <c r="B42" s="226"/>
    </row>
    <row r="43" spans="1:4">
      <c r="A43" s="226"/>
      <c r="B43" s="226"/>
    </row>
    <row r="44" spans="1:4">
      <c r="A44" s="226"/>
      <c r="B44" s="226"/>
    </row>
    <row r="45" spans="1:4">
      <c r="A45" s="226"/>
      <c r="B45" s="226"/>
    </row>
    <row r="46" spans="1:4">
      <c r="A46" s="226"/>
      <c r="B46" s="226"/>
    </row>
    <row r="47" spans="1:4">
      <c r="A47" s="226"/>
      <c r="B47" s="226"/>
    </row>
    <row r="48" spans="1:4">
      <c r="A48" s="226"/>
      <c r="B48" s="226"/>
    </row>
    <row r="49" spans="1:2">
      <c r="A49" s="226"/>
      <c r="B49" s="226"/>
    </row>
    <row r="50" spans="1:2">
      <c r="A50" s="226"/>
      <c r="B50" s="226"/>
    </row>
    <row r="51" spans="1:2">
      <c r="A51" s="226"/>
      <c r="B51" s="226"/>
    </row>
    <row r="52" spans="1:2">
      <c r="A52" s="226"/>
      <c r="B52" s="226"/>
    </row>
    <row r="53" spans="1:2">
      <c r="A53" s="226"/>
      <c r="B53" s="226"/>
    </row>
    <row r="54" spans="1:2">
      <c r="A54" s="226"/>
      <c r="B54" s="226"/>
    </row>
    <row r="55" spans="1:2">
      <c r="A55" s="226"/>
      <c r="B55" s="226"/>
    </row>
    <row r="56" spans="1:2">
      <c r="A56" s="226"/>
      <c r="B56" s="226"/>
    </row>
    <row r="57" spans="1:2">
      <c r="A57" s="226"/>
      <c r="B57" s="226"/>
    </row>
    <row r="58" spans="1:2">
      <c r="A58" s="226"/>
      <c r="B58" s="226"/>
    </row>
    <row r="59" spans="1:2">
      <c r="A59" s="226"/>
      <c r="B59" s="226"/>
    </row>
    <row r="60" spans="1:2">
      <c r="A60" s="226"/>
      <c r="B60" s="226"/>
    </row>
    <row r="61" spans="1:2">
      <c r="A61" s="226"/>
      <c r="B61" s="226"/>
    </row>
    <row r="62" spans="1:2">
      <c r="A62" s="226"/>
      <c r="B62" s="226"/>
    </row>
    <row r="63" spans="1:2">
      <c r="A63" s="226"/>
      <c r="B63" s="226"/>
    </row>
    <row r="64" spans="1:2">
      <c r="A64" s="226"/>
      <c r="B64" s="226"/>
    </row>
    <row r="65" spans="1:2">
      <c r="A65" s="226"/>
      <c r="B65" s="226"/>
    </row>
    <row r="66" spans="1:2">
      <c r="A66" s="226"/>
      <c r="B66" s="226"/>
    </row>
    <row r="67" spans="1:2">
      <c r="A67" s="226"/>
      <c r="B67" s="226"/>
    </row>
    <row r="68" spans="1:2">
      <c r="A68" s="226"/>
      <c r="B68" s="226"/>
    </row>
    <row r="69" spans="1:2">
      <c r="A69" s="226"/>
      <c r="B69" s="226"/>
    </row>
    <row r="70" spans="1:2">
      <c r="A70" s="226"/>
      <c r="B70" s="226"/>
    </row>
  </sheetData>
  <mergeCells count="1">
    <mergeCell ref="A9:D9"/>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0" sqref="E20"/>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288" t="s">
        <v>87</v>
      </c>
      <c r="B4" s="289"/>
      <c r="C4" s="289"/>
      <c r="D4" s="290"/>
      <c r="E4" s="25">
        <f>SUM(E2:E3)</f>
        <v>74600</v>
      </c>
    </row>
  </sheetData>
  <mergeCells count="1">
    <mergeCell ref="A4:D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topLeftCell="A53" workbookViewId="0">
      <selection activeCell="H75" sqref="H75"/>
    </sheetView>
  </sheetViews>
  <sheetFormatPr defaultRowHeight="14.4"/>
  <cols>
    <col min="2" max="2" width="48.88671875" customWidth="1"/>
  </cols>
  <sheetData>
    <row r="1" spans="1:9">
      <c r="A1" t="s">
        <v>127</v>
      </c>
    </row>
    <row r="2" spans="1:9">
      <c r="A2" s="191" t="s">
        <v>79</v>
      </c>
      <c r="B2" s="191" t="s">
        <v>80</v>
      </c>
      <c r="C2" s="191" t="s">
        <v>81</v>
      </c>
      <c r="D2" s="191" t="s">
        <v>82</v>
      </c>
      <c r="E2" s="191" t="s">
        <v>83</v>
      </c>
    </row>
    <row r="3" spans="1:9" ht="28.2" customHeight="1">
      <c r="A3" s="190" t="s">
        <v>147</v>
      </c>
      <c r="B3" s="24" t="s">
        <v>607</v>
      </c>
      <c r="C3" s="190">
        <v>3</v>
      </c>
      <c r="D3" s="190">
        <v>3690</v>
      </c>
      <c r="E3" s="190">
        <f t="shared" ref="E3:E9" si="0">C3*D3</f>
        <v>11070</v>
      </c>
    </row>
    <row r="4" spans="1:9">
      <c r="A4" s="190">
        <v>2</v>
      </c>
      <c r="B4" s="190" t="s">
        <v>605</v>
      </c>
      <c r="C4" s="190">
        <v>1</v>
      </c>
      <c r="D4" s="190">
        <v>8820</v>
      </c>
      <c r="E4" s="190">
        <f t="shared" si="0"/>
        <v>8820</v>
      </c>
      <c r="H4">
        <f>4410*2</f>
        <v>8820</v>
      </c>
      <c r="I4" t="s">
        <v>453</v>
      </c>
    </row>
    <row r="5" spans="1:9">
      <c r="A5" s="190">
        <v>3</v>
      </c>
      <c r="B5" s="190" t="s">
        <v>188</v>
      </c>
      <c r="C5" s="190">
        <v>1</v>
      </c>
      <c r="D5" s="190">
        <v>3800</v>
      </c>
      <c r="E5" s="190">
        <f t="shared" si="0"/>
        <v>3800</v>
      </c>
    </row>
    <row r="6" spans="1:9" ht="26.4">
      <c r="A6" s="190">
        <v>4</v>
      </c>
      <c r="B6" s="190" t="s">
        <v>456</v>
      </c>
      <c r="C6" s="190">
        <v>1</v>
      </c>
      <c r="D6" s="190">
        <v>9000</v>
      </c>
      <c r="E6" s="190">
        <f t="shared" si="0"/>
        <v>9000</v>
      </c>
    </row>
    <row r="7" spans="1:9">
      <c r="A7" s="190">
        <v>5</v>
      </c>
      <c r="B7" s="190" t="s">
        <v>116</v>
      </c>
      <c r="C7" s="190">
        <v>10</v>
      </c>
      <c r="D7" s="190">
        <v>150</v>
      </c>
      <c r="E7" s="190">
        <f t="shared" si="0"/>
        <v>1500</v>
      </c>
    </row>
    <row r="8" spans="1:9">
      <c r="A8" s="190">
        <v>6</v>
      </c>
      <c r="B8" s="190" t="s">
        <v>175</v>
      </c>
      <c r="C8" s="190">
        <v>3</v>
      </c>
      <c r="D8" s="190">
        <v>100</v>
      </c>
      <c r="E8" s="190">
        <f t="shared" si="0"/>
        <v>300</v>
      </c>
    </row>
    <row r="9" spans="1:9">
      <c r="A9" s="190">
        <v>7</v>
      </c>
      <c r="B9" s="190" t="s">
        <v>86</v>
      </c>
      <c r="C9" s="190">
        <v>1</v>
      </c>
      <c r="D9" s="190">
        <v>3000</v>
      </c>
      <c r="E9" s="190">
        <f t="shared" si="0"/>
        <v>3000</v>
      </c>
    </row>
    <row r="10" spans="1:9">
      <c r="A10" s="273" t="s">
        <v>87</v>
      </c>
      <c r="B10" s="274"/>
      <c r="C10" s="274"/>
      <c r="D10" s="275"/>
      <c r="E10" s="191">
        <f>SUM(E3:E9)</f>
        <v>37490</v>
      </c>
    </row>
    <row r="11" spans="1:9">
      <c r="A11" s="5"/>
      <c r="B11" s="5"/>
      <c r="C11" s="5"/>
      <c r="D11" s="5"/>
      <c r="E11" s="5"/>
    </row>
    <row r="12" spans="1:9">
      <c r="A12" s="6" t="s">
        <v>143</v>
      </c>
      <c r="B12" s="5"/>
      <c r="C12" s="5"/>
      <c r="D12" s="5"/>
      <c r="E12" s="5"/>
    </row>
    <row r="13" spans="1:9">
      <c r="A13" t="s">
        <v>450</v>
      </c>
      <c r="B13" s="5"/>
      <c r="C13" s="5"/>
      <c r="D13" s="5"/>
      <c r="E13" s="5"/>
    </row>
    <row r="14" spans="1:9">
      <c r="B14" s="5"/>
      <c r="C14" s="5"/>
      <c r="D14" s="5"/>
      <c r="E14" s="5"/>
    </row>
    <row r="15" spans="1:9">
      <c r="A15" s="6" t="s">
        <v>470</v>
      </c>
      <c r="B15" s="75"/>
      <c r="C15" s="75"/>
      <c r="D15" s="75"/>
      <c r="E15" s="75"/>
    </row>
    <row r="16" spans="1:9">
      <c r="A16" s="6"/>
      <c r="B16" s="75"/>
      <c r="C16" s="75"/>
      <c r="D16" s="75"/>
      <c r="E16" s="75"/>
    </row>
    <row r="17" spans="1:10">
      <c r="A17" s="6" t="s">
        <v>129</v>
      </c>
      <c r="B17" s="75"/>
      <c r="C17" s="75"/>
      <c r="D17" s="75"/>
      <c r="E17" s="75"/>
    </row>
    <row r="18" spans="1:10">
      <c r="A18" s="6" t="s">
        <v>141</v>
      </c>
      <c r="B18" s="75"/>
      <c r="C18" s="75"/>
      <c r="D18" s="75"/>
      <c r="E18" s="75"/>
    </row>
    <row r="19" spans="1:10">
      <c r="A19" s="6" t="s">
        <v>142</v>
      </c>
      <c r="B19" s="75"/>
      <c r="C19" s="75"/>
      <c r="D19" s="75"/>
      <c r="E19" s="75"/>
    </row>
    <row r="20" spans="1:10">
      <c r="A20" s="6" t="s">
        <v>161</v>
      </c>
      <c r="B20" s="75"/>
      <c r="C20" s="75"/>
      <c r="D20" s="75"/>
      <c r="E20" s="75"/>
    </row>
    <row r="21" spans="1:10">
      <c r="A21" s="6" t="s">
        <v>162</v>
      </c>
      <c r="B21" s="75"/>
      <c r="C21" s="75"/>
      <c r="D21" s="75"/>
      <c r="E21" s="75"/>
    </row>
    <row r="24" spans="1:10">
      <c r="A24" t="s">
        <v>128</v>
      </c>
    </row>
    <row r="25" spans="1:10">
      <c r="A25" s="191" t="s">
        <v>79</v>
      </c>
      <c r="B25" s="191" t="s">
        <v>80</v>
      </c>
      <c r="C25" s="191" t="s">
        <v>81</v>
      </c>
      <c r="D25" s="191" t="s">
        <v>82</v>
      </c>
      <c r="E25" s="191" t="s">
        <v>83</v>
      </c>
    </row>
    <row r="26" spans="1:10">
      <c r="A26" s="190">
        <v>1</v>
      </c>
      <c r="B26" s="190" t="s">
        <v>608</v>
      </c>
      <c r="C26" s="190">
        <v>3</v>
      </c>
      <c r="D26" s="190">
        <v>1990</v>
      </c>
      <c r="E26" s="190">
        <f t="shared" ref="E26:E33" si="1">C26*D26</f>
        <v>5970</v>
      </c>
      <c r="I26" s="40">
        <f>1230*2</f>
        <v>2460</v>
      </c>
      <c r="J26" s="40" t="s">
        <v>454</v>
      </c>
    </row>
    <row r="27" spans="1:10">
      <c r="A27" s="190">
        <v>2</v>
      </c>
      <c r="B27" s="190" t="s">
        <v>606</v>
      </c>
      <c r="C27" s="190">
        <v>1</v>
      </c>
      <c r="D27" s="190">
        <v>4990</v>
      </c>
      <c r="E27" s="190">
        <f t="shared" si="1"/>
        <v>4990</v>
      </c>
      <c r="I27">
        <f>1940*2</f>
        <v>3880</v>
      </c>
    </row>
    <row r="28" spans="1:10">
      <c r="A28" s="190">
        <v>3</v>
      </c>
      <c r="B28" s="190" t="s">
        <v>172</v>
      </c>
      <c r="C28" s="190">
        <v>6</v>
      </c>
      <c r="D28" s="190">
        <v>60</v>
      </c>
      <c r="E28" s="190">
        <f t="shared" si="1"/>
        <v>360</v>
      </c>
    </row>
    <row r="29" spans="1:10">
      <c r="A29" s="190">
        <v>4</v>
      </c>
      <c r="B29" s="190" t="s">
        <v>173</v>
      </c>
      <c r="C29" s="190">
        <v>3</v>
      </c>
      <c r="D29" s="190">
        <v>50</v>
      </c>
      <c r="E29" s="190">
        <f t="shared" si="1"/>
        <v>150</v>
      </c>
    </row>
    <row r="30" spans="1:10">
      <c r="A30" s="190">
        <v>5</v>
      </c>
      <c r="B30" s="190" t="s">
        <v>174</v>
      </c>
      <c r="C30" s="190">
        <v>1</v>
      </c>
      <c r="D30" s="190">
        <v>900</v>
      </c>
      <c r="E30" s="190">
        <f t="shared" si="1"/>
        <v>900</v>
      </c>
    </row>
    <row r="31" spans="1:10">
      <c r="A31" s="190">
        <v>6</v>
      </c>
      <c r="B31" s="190" t="s">
        <v>188</v>
      </c>
      <c r="C31" s="190">
        <v>1</v>
      </c>
      <c r="D31" s="190">
        <v>3800</v>
      </c>
      <c r="E31" s="190">
        <f t="shared" si="1"/>
        <v>3800</v>
      </c>
    </row>
    <row r="32" spans="1:10">
      <c r="A32" s="190">
        <v>7</v>
      </c>
      <c r="B32" s="190" t="s">
        <v>175</v>
      </c>
      <c r="C32" s="190">
        <v>3</v>
      </c>
      <c r="D32" s="190">
        <v>100</v>
      </c>
      <c r="E32" s="190">
        <f t="shared" si="1"/>
        <v>300</v>
      </c>
    </row>
    <row r="33" spans="1:5">
      <c r="A33" s="190">
        <v>8</v>
      </c>
      <c r="B33" s="190" t="s">
        <v>86</v>
      </c>
      <c r="C33" s="190">
        <v>1</v>
      </c>
      <c r="D33" s="190">
        <v>3000</v>
      </c>
      <c r="E33" s="190">
        <f t="shared" si="1"/>
        <v>3000</v>
      </c>
    </row>
    <row r="34" spans="1:5">
      <c r="A34" s="273" t="s">
        <v>87</v>
      </c>
      <c r="B34" s="274"/>
      <c r="C34" s="274"/>
      <c r="D34" s="275"/>
      <c r="E34" s="191">
        <f>SUM(E26:E33)</f>
        <v>19470</v>
      </c>
    </row>
    <row r="35" spans="1:5">
      <c r="A35" s="7"/>
      <c r="B35" s="9"/>
      <c r="C35" s="9"/>
      <c r="D35" s="7"/>
      <c r="E35" s="7"/>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4" spans="1:5" s="164" customFormat="1"/>
    <row r="48" spans="1:5">
      <c r="A48" t="s">
        <v>127</v>
      </c>
    </row>
    <row r="49" spans="1:8">
      <c r="A49" s="191" t="s">
        <v>79</v>
      </c>
      <c r="B49" s="191" t="s">
        <v>80</v>
      </c>
      <c r="C49" s="191" t="s">
        <v>81</v>
      </c>
      <c r="D49" s="191" t="s">
        <v>82</v>
      </c>
      <c r="E49" s="191" t="s">
        <v>83</v>
      </c>
    </row>
    <row r="50" spans="1:8">
      <c r="A50" s="190">
        <v>1</v>
      </c>
      <c r="B50" s="24" t="s">
        <v>458</v>
      </c>
      <c r="C50" s="190">
        <v>3</v>
      </c>
      <c r="D50" s="190">
        <v>4300</v>
      </c>
      <c r="E50" s="190">
        <f t="shared" ref="E50:E56" si="2">C50*D50</f>
        <v>12900</v>
      </c>
      <c r="H50">
        <f>2150*2</f>
        <v>4300</v>
      </c>
    </row>
    <row r="51" spans="1:8">
      <c r="A51" s="190">
        <v>2</v>
      </c>
      <c r="B51" s="190" t="s">
        <v>549</v>
      </c>
      <c r="C51" s="190">
        <v>1</v>
      </c>
      <c r="D51" s="190">
        <v>19020</v>
      </c>
      <c r="E51" s="190">
        <f t="shared" si="2"/>
        <v>19020</v>
      </c>
      <c r="H51">
        <f>9510*2</f>
        <v>19020</v>
      </c>
    </row>
    <row r="52" spans="1:8">
      <c r="A52" s="190">
        <v>3</v>
      </c>
      <c r="B52" s="190" t="s">
        <v>117</v>
      </c>
      <c r="C52" s="190">
        <v>1</v>
      </c>
      <c r="D52" s="190">
        <v>8600</v>
      </c>
      <c r="E52" s="190">
        <f t="shared" si="2"/>
        <v>8600</v>
      </c>
    </row>
    <row r="53" spans="1:8" ht="26.4">
      <c r="A53" s="190">
        <v>4</v>
      </c>
      <c r="B53" s="190" t="s">
        <v>456</v>
      </c>
      <c r="C53" s="190">
        <v>1</v>
      </c>
      <c r="D53" s="190">
        <v>9000</v>
      </c>
      <c r="E53" s="190">
        <f t="shared" si="2"/>
        <v>9000</v>
      </c>
    </row>
    <row r="54" spans="1:8">
      <c r="A54" s="190">
        <v>5</v>
      </c>
      <c r="B54" s="190" t="s">
        <v>116</v>
      </c>
      <c r="C54" s="190">
        <v>10</v>
      </c>
      <c r="D54" s="190">
        <v>150</v>
      </c>
      <c r="E54" s="190">
        <f t="shared" si="2"/>
        <v>1500</v>
      </c>
    </row>
    <row r="55" spans="1:8">
      <c r="A55" s="190">
        <v>6</v>
      </c>
      <c r="B55" s="190" t="s">
        <v>175</v>
      </c>
      <c r="C55" s="190">
        <v>3</v>
      </c>
      <c r="D55" s="190">
        <v>100</v>
      </c>
      <c r="E55" s="190">
        <f t="shared" si="2"/>
        <v>300</v>
      </c>
    </row>
    <row r="56" spans="1:8">
      <c r="A56" s="190">
        <v>7</v>
      </c>
      <c r="B56" s="190" t="s">
        <v>86</v>
      </c>
      <c r="C56" s="190">
        <v>1</v>
      </c>
      <c r="D56" s="190">
        <v>3000</v>
      </c>
      <c r="E56" s="190">
        <f t="shared" si="2"/>
        <v>3000</v>
      </c>
    </row>
    <row r="57" spans="1:8">
      <c r="A57" s="273" t="s">
        <v>87</v>
      </c>
      <c r="B57" s="274"/>
      <c r="C57" s="274"/>
      <c r="D57" s="275"/>
      <c r="E57" s="191">
        <f>SUM(E50:E56)</f>
        <v>54320</v>
      </c>
    </row>
    <row r="58" spans="1:8">
      <c r="A58" s="5"/>
      <c r="B58" s="5"/>
      <c r="C58" s="5"/>
      <c r="D58" s="5"/>
      <c r="E58" s="5"/>
    </row>
    <row r="59" spans="1:8">
      <c r="B59" s="5"/>
      <c r="C59" s="5"/>
      <c r="D59" s="5"/>
      <c r="E59" s="5"/>
    </row>
    <row r="60" spans="1:8">
      <c r="A60" s="6" t="s">
        <v>470</v>
      </c>
      <c r="B60" s="75"/>
      <c r="C60" s="75"/>
      <c r="D60" s="75"/>
      <c r="E60" s="75"/>
    </row>
    <row r="61" spans="1:8">
      <c r="A61" s="6"/>
      <c r="B61" s="75"/>
      <c r="C61" s="75"/>
      <c r="D61" s="75"/>
      <c r="E61" s="75"/>
    </row>
    <row r="62" spans="1:8">
      <c r="A62" s="6" t="s">
        <v>129</v>
      </c>
      <c r="B62" s="75"/>
      <c r="C62" s="75"/>
      <c r="D62" s="75"/>
      <c r="E62" s="75"/>
    </row>
    <row r="63" spans="1:8">
      <c r="A63" s="6" t="s">
        <v>141</v>
      </c>
      <c r="B63" s="75"/>
      <c r="C63" s="75"/>
      <c r="D63" s="75"/>
      <c r="E63" s="75"/>
    </row>
    <row r="64" spans="1:8">
      <c r="A64" s="6" t="s">
        <v>142</v>
      </c>
      <c r="B64" s="75"/>
      <c r="C64" s="75"/>
      <c r="D64" s="75"/>
      <c r="E64" s="75"/>
    </row>
    <row r="65" spans="1:8">
      <c r="A65" s="6" t="s">
        <v>161</v>
      </c>
      <c r="B65" s="75"/>
      <c r="C65" s="75"/>
      <c r="D65" s="75"/>
      <c r="E65" s="75"/>
    </row>
    <row r="66" spans="1:8">
      <c r="A66" s="6" t="s">
        <v>162</v>
      </c>
      <c r="B66" s="75"/>
      <c r="C66" s="75"/>
      <c r="D66" s="75"/>
      <c r="E66" s="75"/>
    </row>
    <row r="70" spans="1:8">
      <c r="A70" t="s">
        <v>128</v>
      </c>
    </row>
    <row r="71" spans="1:8">
      <c r="A71" s="191" t="s">
        <v>79</v>
      </c>
      <c r="B71" s="191" t="s">
        <v>80</v>
      </c>
      <c r="C71" s="191" t="s">
        <v>81</v>
      </c>
      <c r="D71" s="191" t="s">
        <v>82</v>
      </c>
      <c r="E71" s="191" t="s">
        <v>83</v>
      </c>
    </row>
    <row r="72" spans="1:8">
      <c r="A72" s="190">
        <v>1</v>
      </c>
      <c r="B72" s="190" t="s">
        <v>550</v>
      </c>
      <c r="C72" s="190">
        <v>3</v>
      </c>
      <c r="D72" s="190">
        <v>1800</v>
      </c>
      <c r="E72" s="190">
        <f t="shared" ref="E72:E79" si="3">C72*D72</f>
        <v>5400</v>
      </c>
      <c r="H72">
        <f>900*2</f>
        <v>1800</v>
      </c>
    </row>
    <row r="73" spans="1:8">
      <c r="A73" s="190">
        <v>2</v>
      </c>
      <c r="B73" s="190" t="s">
        <v>551</v>
      </c>
      <c r="C73" s="190">
        <v>1</v>
      </c>
      <c r="D73" s="190">
        <v>29500</v>
      </c>
      <c r="E73" s="190">
        <f t="shared" si="3"/>
        <v>29500</v>
      </c>
      <c r="H73">
        <f>14750*2</f>
        <v>29500</v>
      </c>
    </row>
    <row r="74" spans="1:8">
      <c r="A74" s="190">
        <v>3</v>
      </c>
      <c r="B74" s="190" t="s">
        <v>172</v>
      </c>
      <c r="C74" s="190">
        <v>6</v>
      </c>
      <c r="D74" s="190">
        <v>60</v>
      </c>
      <c r="E74" s="190">
        <f t="shared" si="3"/>
        <v>360</v>
      </c>
    </row>
    <row r="75" spans="1:8">
      <c r="A75" s="190">
        <v>4</v>
      </c>
      <c r="B75" s="190" t="s">
        <v>173</v>
      </c>
      <c r="C75" s="190">
        <v>3</v>
      </c>
      <c r="D75" s="190">
        <v>50</v>
      </c>
      <c r="E75" s="190">
        <f t="shared" si="3"/>
        <v>150</v>
      </c>
    </row>
    <row r="76" spans="1:8">
      <c r="A76" s="190">
        <v>5</v>
      </c>
      <c r="B76" s="190" t="s">
        <v>174</v>
      </c>
      <c r="C76" s="190">
        <v>1</v>
      </c>
      <c r="D76" s="190">
        <v>1990</v>
      </c>
      <c r="E76" s="190">
        <f t="shared" si="3"/>
        <v>1990</v>
      </c>
    </row>
    <row r="77" spans="1:8">
      <c r="A77" s="190">
        <v>6</v>
      </c>
      <c r="B77" s="190" t="s">
        <v>117</v>
      </c>
      <c r="C77" s="190">
        <v>1</v>
      </c>
      <c r="D77" s="190">
        <v>8600</v>
      </c>
      <c r="E77" s="190">
        <f t="shared" si="3"/>
        <v>8600</v>
      </c>
    </row>
    <row r="78" spans="1:8">
      <c r="A78" s="190">
        <v>7</v>
      </c>
      <c r="B78" s="190" t="s">
        <v>175</v>
      </c>
      <c r="C78" s="190">
        <v>3</v>
      </c>
      <c r="D78" s="190">
        <v>100</v>
      </c>
      <c r="E78" s="190">
        <f t="shared" si="3"/>
        <v>300</v>
      </c>
    </row>
    <row r="79" spans="1:8">
      <c r="A79" s="190">
        <v>8</v>
      </c>
      <c r="B79" s="190" t="s">
        <v>86</v>
      </c>
      <c r="C79" s="190">
        <v>1</v>
      </c>
      <c r="D79" s="190">
        <v>3000</v>
      </c>
      <c r="E79" s="190">
        <f t="shared" si="3"/>
        <v>3000</v>
      </c>
    </row>
    <row r="80" spans="1:8">
      <c r="A80" s="273" t="s">
        <v>87</v>
      </c>
      <c r="B80" s="274"/>
      <c r="C80" s="274"/>
      <c r="D80" s="275"/>
      <c r="E80" s="191">
        <f>SUM(E72:E79)</f>
        <v>49300</v>
      </c>
    </row>
    <row r="81" spans="1:5">
      <c r="A81" s="7"/>
      <c r="B81" s="9"/>
      <c r="C81" s="9"/>
      <c r="D81" s="7"/>
      <c r="E81" s="7"/>
    </row>
    <row r="82" spans="1:5">
      <c r="A82" s="76" t="s">
        <v>468</v>
      </c>
      <c r="B82" s="9"/>
      <c r="C82" s="9"/>
      <c r="D82" s="7"/>
      <c r="E82" s="7"/>
    </row>
    <row r="83" spans="1:5">
      <c r="A83" s="7"/>
      <c r="B83" s="9"/>
      <c r="C83" s="9"/>
      <c r="D83" s="7"/>
      <c r="E83" s="7"/>
    </row>
    <row r="84" spans="1:5">
      <c r="A84" s="77" t="s">
        <v>129</v>
      </c>
      <c r="B84" s="9"/>
      <c r="C84" s="9"/>
      <c r="D84" s="7"/>
      <c r="E84" s="7"/>
    </row>
    <row r="85" spans="1:5">
      <c r="A85" s="77" t="s">
        <v>141</v>
      </c>
      <c r="B85" s="9"/>
      <c r="C85" s="9"/>
      <c r="D85" s="7"/>
      <c r="E85" s="7"/>
    </row>
    <row r="86" spans="1:5">
      <c r="A86" s="78" t="s">
        <v>180</v>
      </c>
      <c r="B86" s="9"/>
      <c r="C86" s="9"/>
      <c r="D86" s="7"/>
      <c r="E86" s="7"/>
    </row>
    <row r="87" spans="1:5">
      <c r="A87" s="78" t="s">
        <v>181</v>
      </c>
      <c r="B87" s="9"/>
      <c r="C87" s="9"/>
      <c r="D87" s="7"/>
      <c r="E87" s="7"/>
    </row>
  </sheetData>
  <mergeCells count="4">
    <mergeCell ref="A10:D10"/>
    <mergeCell ref="A34:D34"/>
    <mergeCell ref="A57:D57"/>
    <mergeCell ref="A80:D80"/>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activeCell="B25" sqref="B25"/>
    </sheetView>
  </sheetViews>
  <sheetFormatPr defaultRowHeight="14.4"/>
  <cols>
    <col min="2" max="2" width="38.109375" customWidth="1"/>
  </cols>
  <sheetData>
    <row r="1" spans="1:9">
      <c r="A1" t="s">
        <v>127</v>
      </c>
    </row>
    <row r="2" spans="1:9">
      <c r="A2" s="193" t="s">
        <v>79</v>
      </c>
      <c r="B2" s="193" t="s">
        <v>80</v>
      </c>
      <c r="C2" s="193" t="s">
        <v>81</v>
      </c>
      <c r="D2" s="193" t="s">
        <v>82</v>
      </c>
      <c r="E2" s="193" t="s">
        <v>83</v>
      </c>
    </row>
    <row r="3" spans="1:9" ht="20.399999999999999" customHeight="1">
      <c r="A3" s="192">
        <v>1</v>
      </c>
      <c r="B3" s="192" t="s">
        <v>466</v>
      </c>
      <c r="C3" s="194">
        <v>5</v>
      </c>
      <c r="D3" s="192">
        <v>2460</v>
      </c>
      <c r="E3" s="192">
        <f t="shared" ref="E3:E11" si="0">C3*D3</f>
        <v>12300</v>
      </c>
      <c r="I3">
        <f>1230*2</f>
        <v>2460</v>
      </c>
    </row>
    <row r="4" spans="1:9">
      <c r="A4" s="192">
        <v>2</v>
      </c>
      <c r="B4" s="192" t="s">
        <v>609</v>
      </c>
      <c r="C4" s="194">
        <v>6</v>
      </c>
      <c r="D4" s="192">
        <v>2340</v>
      </c>
      <c r="E4" s="192">
        <f t="shared" si="0"/>
        <v>14040</v>
      </c>
      <c r="I4">
        <f>1170*2</f>
        <v>2340</v>
      </c>
    </row>
    <row r="5" spans="1:9" ht="26.4">
      <c r="A5" s="192">
        <v>3</v>
      </c>
      <c r="B5" s="192" t="s">
        <v>467</v>
      </c>
      <c r="C5" s="194">
        <v>1</v>
      </c>
      <c r="D5" s="192">
        <v>10640</v>
      </c>
      <c r="E5" s="192">
        <f t="shared" si="0"/>
        <v>10640</v>
      </c>
      <c r="I5">
        <f>5320*2</f>
        <v>10640</v>
      </c>
    </row>
    <row r="6" spans="1:9">
      <c r="A6" s="192">
        <v>4</v>
      </c>
      <c r="B6" s="192" t="s">
        <v>172</v>
      </c>
      <c r="C6" s="194">
        <v>22</v>
      </c>
      <c r="D6" s="192">
        <v>60</v>
      </c>
      <c r="E6" s="192">
        <f t="shared" si="0"/>
        <v>1320</v>
      </c>
    </row>
    <row r="7" spans="1:9">
      <c r="A7" s="192">
        <v>5</v>
      </c>
      <c r="B7" s="192" t="s">
        <v>173</v>
      </c>
      <c r="C7" s="194">
        <v>11</v>
      </c>
      <c r="D7" s="192">
        <v>50</v>
      </c>
      <c r="E7" s="192">
        <f t="shared" si="0"/>
        <v>550</v>
      </c>
    </row>
    <row r="8" spans="1:9">
      <c r="A8" s="192">
        <v>6</v>
      </c>
      <c r="B8" s="192" t="s">
        <v>174</v>
      </c>
      <c r="C8" s="194">
        <v>1</v>
      </c>
      <c r="D8" s="192">
        <v>900</v>
      </c>
      <c r="E8" s="192">
        <f t="shared" si="0"/>
        <v>900</v>
      </c>
    </row>
    <row r="9" spans="1:9">
      <c r="A9" s="192">
        <v>7</v>
      </c>
      <c r="B9" s="192" t="s">
        <v>136</v>
      </c>
      <c r="C9" s="194">
        <v>1</v>
      </c>
      <c r="D9" s="192">
        <v>5900</v>
      </c>
      <c r="E9" s="192">
        <f t="shared" si="0"/>
        <v>5900</v>
      </c>
    </row>
    <row r="10" spans="1:9">
      <c r="A10" s="192">
        <v>8</v>
      </c>
      <c r="B10" s="192" t="s">
        <v>175</v>
      </c>
      <c r="C10" s="194">
        <v>11</v>
      </c>
      <c r="D10" s="192">
        <v>100</v>
      </c>
      <c r="E10" s="192">
        <f t="shared" si="0"/>
        <v>1100</v>
      </c>
    </row>
    <row r="11" spans="1:9">
      <c r="A11" s="192">
        <v>9</v>
      </c>
      <c r="B11" s="192" t="s">
        <v>86</v>
      </c>
      <c r="C11" s="194">
        <v>1</v>
      </c>
      <c r="D11" s="192">
        <v>5900</v>
      </c>
      <c r="E11" s="192">
        <f t="shared" si="0"/>
        <v>5900</v>
      </c>
    </row>
    <row r="12" spans="1:9">
      <c r="A12" s="273" t="s">
        <v>87</v>
      </c>
      <c r="B12" s="274"/>
      <c r="C12" s="274"/>
      <c r="D12" s="275"/>
      <c r="E12" s="193">
        <f>SUM(E3:E11)</f>
        <v>52650</v>
      </c>
    </row>
    <row r="13" spans="1:9">
      <c r="A13" s="7"/>
      <c r="B13" s="9"/>
      <c r="C13" s="9"/>
      <c r="D13" s="7"/>
      <c r="E13" s="7"/>
    </row>
    <row r="14" spans="1:9">
      <c r="A14" s="76" t="s">
        <v>387</v>
      </c>
      <c r="B14" s="9"/>
      <c r="C14" s="9"/>
      <c r="D14" s="7"/>
      <c r="E14" s="7"/>
    </row>
    <row r="15" spans="1:9">
      <c r="A15" s="7"/>
      <c r="B15" s="9"/>
      <c r="C15" s="9"/>
      <c r="D15" s="7"/>
      <c r="E15" s="7"/>
    </row>
    <row r="16" spans="1:9">
      <c r="A16" s="77" t="s">
        <v>129</v>
      </c>
      <c r="B16" s="9"/>
      <c r="C16" s="9"/>
      <c r="D16" s="7"/>
      <c r="E16" s="7"/>
    </row>
    <row r="17" spans="1:9">
      <c r="A17" s="77" t="s">
        <v>141</v>
      </c>
      <c r="B17" s="9"/>
      <c r="C17" s="9"/>
      <c r="D17" s="7"/>
      <c r="E17" s="7"/>
    </row>
    <row r="18" spans="1:9">
      <c r="A18" s="78" t="s">
        <v>180</v>
      </c>
      <c r="B18" s="9"/>
      <c r="C18" s="9"/>
      <c r="D18" s="7"/>
      <c r="E18" s="7"/>
    </row>
    <row r="19" spans="1:9">
      <c r="A19" s="78" t="s">
        <v>181</v>
      </c>
      <c r="B19" s="9"/>
      <c r="C19" s="9"/>
      <c r="D19" s="7"/>
      <c r="E19" s="7"/>
    </row>
    <row r="23" spans="1:9">
      <c r="A23" t="s">
        <v>128</v>
      </c>
    </row>
    <row r="24" spans="1:9">
      <c r="A24" s="193" t="s">
        <v>79</v>
      </c>
      <c r="B24" s="193" t="s">
        <v>80</v>
      </c>
      <c r="C24" s="193" t="s">
        <v>81</v>
      </c>
      <c r="D24" s="193" t="s">
        <v>82</v>
      </c>
      <c r="E24" s="193" t="s">
        <v>83</v>
      </c>
    </row>
    <row r="25" spans="1:9">
      <c r="A25" s="192">
        <v>1</v>
      </c>
      <c r="B25" s="192" t="s">
        <v>550</v>
      </c>
      <c r="C25" s="192">
        <v>5</v>
      </c>
      <c r="D25" s="192">
        <v>1800</v>
      </c>
      <c r="E25" s="192">
        <f t="shared" ref="E25:E33" si="1">C25*D25</f>
        <v>9000</v>
      </c>
      <c r="I25">
        <f>900*2</f>
        <v>1800</v>
      </c>
    </row>
    <row r="26" spans="1:9">
      <c r="A26" s="192">
        <v>2</v>
      </c>
      <c r="B26" s="192" t="s">
        <v>610</v>
      </c>
      <c r="C26" s="192">
        <v>6</v>
      </c>
      <c r="D26" s="192">
        <v>1600</v>
      </c>
      <c r="E26" s="192">
        <f t="shared" si="1"/>
        <v>9600</v>
      </c>
      <c r="I26">
        <f>800*2</f>
        <v>1600</v>
      </c>
    </row>
    <row r="27" spans="1:9">
      <c r="A27" s="192">
        <v>3</v>
      </c>
      <c r="B27" s="192" t="s">
        <v>611</v>
      </c>
      <c r="C27" s="192">
        <v>1</v>
      </c>
      <c r="D27" s="192">
        <v>10440</v>
      </c>
      <c r="E27" s="192">
        <f t="shared" si="1"/>
        <v>10440</v>
      </c>
      <c r="I27">
        <f>5220*2</f>
        <v>10440</v>
      </c>
    </row>
    <row r="28" spans="1:9">
      <c r="A28" s="192">
        <v>4</v>
      </c>
      <c r="B28" s="192" t="s">
        <v>172</v>
      </c>
      <c r="C28" s="192">
        <v>22</v>
      </c>
      <c r="D28" s="192">
        <v>60</v>
      </c>
      <c r="E28" s="192">
        <f t="shared" si="1"/>
        <v>1320</v>
      </c>
    </row>
    <row r="29" spans="1:9">
      <c r="A29" s="192">
        <v>5</v>
      </c>
      <c r="B29" s="192" t="s">
        <v>173</v>
      </c>
      <c r="C29" s="192">
        <v>11</v>
      </c>
      <c r="D29" s="192">
        <v>50</v>
      </c>
      <c r="E29" s="192">
        <f t="shared" si="1"/>
        <v>550</v>
      </c>
    </row>
    <row r="30" spans="1:9">
      <c r="A30" s="192">
        <v>6</v>
      </c>
      <c r="B30" s="192" t="s">
        <v>174</v>
      </c>
      <c r="C30" s="192">
        <v>1</v>
      </c>
      <c r="D30" s="192">
        <v>900</v>
      </c>
      <c r="E30" s="192">
        <f t="shared" si="1"/>
        <v>900</v>
      </c>
    </row>
    <row r="31" spans="1:9">
      <c r="A31" s="192">
        <v>7</v>
      </c>
      <c r="B31" s="192" t="s">
        <v>136</v>
      </c>
      <c r="C31" s="192">
        <v>1</v>
      </c>
      <c r="D31" s="192">
        <v>5900</v>
      </c>
      <c r="E31" s="192">
        <f t="shared" si="1"/>
        <v>5900</v>
      </c>
    </row>
    <row r="32" spans="1:9">
      <c r="A32" s="192">
        <v>8</v>
      </c>
      <c r="B32" s="192" t="s">
        <v>175</v>
      </c>
      <c r="C32" s="192">
        <v>11</v>
      </c>
      <c r="D32" s="192">
        <v>100</v>
      </c>
      <c r="E32" s="192">
        <f t="shared" si="1"/>
        <v>1100</v>
      </c>
    </row>
    <row r="33" spans="1:5">
      <c r="A33" s="192">
        <v>9</v>
      </c>
      <c r="B33" s="192" t="s">
        <v>86</v>
      </c>
      <c r="C33" s="192">
        <v>1</v>
      </c>
      <c r="D33" s="192">
        <v>5900</v>
      </c>
      <c r="E33" s="192">
        <f t="shared" si="1"/>
        <v>5900</v>
      </c>
    </row>
    <row r="34" spans="1:5">
      <c r="A34" s="273" t="s">
        <v>87</v>
      </c>
      <c r="B34" s="274"/>
      <c r="C34" s="274"/>
      <c r="D34" s="275"/>
      <c r="E34" s="193">
        <f>SUM(E25:E33)</f>
        <v>44710</v>
      </c>
    </row>
    <row r="35" spans="1:5">
      <c r="A35" s="5"/>
      <c r="B35" s="5"/>
      <c r="C35" s="5"/>
      <c r="D35" s="5"/>
      <c r="E35" s="5"/>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2" spans="1:5">
      <c r="A42" s="6" t="s">
        <v>162</v>
      </c>
      <c r="B42" s="75"/>
      <c r="C42" s="75"/>
      <c r="D42" s="75"/>
      <c r="E42" s="75"/>
    </row>
  </sheetData>
  <mergeCells count="2">
    <mergeCell ref="A12:D12"/>
    <mergeCell ref="A34:D34"/>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selection activeCell="H3" sqref="H3"/>
    </sheetView>
  </sheetViews>
  <sheetFormatPr defaultRowHeight="14.4"/>
  <cols>
    <col min="2" max="2" width="50.21875" customWidth="1"/>
    <col min="5" max="5" width="21.33203125" customWidth="1"/>
  </cols>
  <sheetData>
    <row r="1" spans="1:8">
      <c r="A1" t="s">
        <v>127</v>
      </c>
    </row>
    <row r="2" spans="1:8" ht="16.8" customHeight="1">
      <c r="A2" s="196" t="s">
        <v>79</v>
      </c>
      <c r="B2" s="196" t="s">
        <v>80</v>
      </c>
      <c r="C2" s="196" t="s">
        <v>81</v>
      </c>
      <c r="D2" s="196" t="s">
        <v>82</v>
      </c>
      <c r="E2" s="196" t="s">
        <v>83</v>
      </c>
    </row>
    <row r="3" spans="1:8" ht="19.8" customHeight="1">
      <c r="A3" s="195">
        <v>1</v>
      </c>
      <c r="B3" s="24" t="s">
        <v>465</v>
      </c>
      <c r="C3" s="195">
        <v>2</v>
      </c>
      <c r="D3" s="195">
        <v>3950</v>
      </c>
      <c r="E3" s="195">
        <f t="shared" ref="E3:E10" si="0">C3*D3</f>
        <v>7900</v>
      </c>
      <c r="H3">
        <f>2450*2</f>
        <v>4900</v>
      </c>
    </row>
    <row r="4" spans="1:8" ht="25.8" customHeight="1">
      <c r="A4" s="195">
        <v>2</v>
      </c>
      <c r="B4" s="24" t="s">
        <v>612</v>
      </c>
      <c r="C4" s="195">
        <v>4</v>
      </c>
      <c r="D4" s="195">
        <v>3950</v>
      </c>
      <c r="E4" s="195">
        <f t="shared" si="0"/>
        <v>15800</v>
      </c>
      <c r="H4">
        <f>2350*2</f>
        <v>4700</v>
      </c>
    </row>
    <row r="5" spans="1:8" ht="26.4" customHeight="1">
      <c r="A5" s="195">
        <v>3</v>
      </c>
      <c r="B5" s="195" t="s">
        <v>613</v>
      </c>
      <c r="C5" s="195">
        <v>1</v>
      </c>
      <c r="D5" s="195">
        <v>11880</v>
      </c>
      <c r="E5" s="195">
        <f t="shared" si="0"/>
        <v>11880</v>
      </c>
      <c r="H5">
        <f>5940*2</f>
        <v>11880</v>
      </c>
    </row>
    <row r="6" spans="1:8">
      <c r="A6" s="195">
        <v>4</v>
      </c>
      <c r="B6" s="195" t="s">
        <v>188</v>
      </c>
      <c r="C6" s="195">
        <v>1</v>
      </c>
      <c r="D6" s="195">
        <v>6200</v>
      </c>
      <c r="E6" s="195">
        <f t="shared" si="0"/>
        <v>6200</v>
      </c>
      <c r="H6">
        <f>3140*2</f>
        <v>6280</v>
      </c>
    </row>
    <row r="7" spans="1:8" ht="34.799999999999997" customHeight="1">
      <c r="A7" s="195">
        <v>5</v>
      </c>
      <c r="B7" s="195" t="s">
        <v>389</v>
      </c>
      <c r="C7" s="195">
        <v>1</v>
      </c>
      <c r="D7" s="195">
        <v>9600</v>
      </c>
      <c r="E7" s="195">
        <f t="shared" si="0"/>
        <v>9600</v>
      </c>
    </row>
    <row r="8" spans="1:8">
      <c r="A8" s="195">
        <v>6</v>
      </c>
      <c r="B8" s="195" t="s">
        <v>116</v>
      </c>
      <c r="C8" s="195">
        <v>16</v>
      </c>
      <c r="D8" s="195">
        <v>150</v>
      </c>
      <c r="E8" s="195">
        <f t="shared" si="0"/>
        <v>2400</v>
      </c>
    </row>
    <row r="9" spans="1:8">
      <c r="A9" s="195">
        <v>7</v>
      </c>
      <c r="B9" s="195" t="s">
        <v>175</v>
      </c>
      <c r="C9" s="195">
        <v>6</v>
      </c>
      <c r="D9" s="195">
        <v>100</v>
      </c>
      <c r="E9" s="195">
        <f t="shared" si="0"/>
        <v>600</v>
      </c>
    </row>
    <row r="10" spans="1:8">
      <c r="A10" s="195">
        <v>8</v>
      </c>
      <c r="B10" s="195" t="s">
        <v>86</v>
      </c>
      <c r="C10" s="195">
        <v>1</v>
      </c>
      <c r="D10" s="195">
        <v>4000</v>
      </c>
      <c r="E10" s="195">
        <f t="shared" si="0"/>
        <v>4000</v>
      </c>
    </row>
    <row r="11" spans="1:8">
      <c r="A11" s="273" t="s">
        <v>87</v>
      </c>
      <c r="B11" s="274"/>
      <c r="C11" s="274"/>
      <c r="D11" s="275"/>
      <c r="E11" s="196">
        <f>SUM(E3:E10)</f>
        <v>58380</v>
      </c>
    </row>
    <row r="12" spans="1:8">
      <c r="A12" s="5"/>
      <c r="B12" s="5"/>
      <c r="C12" s="5"/>
      <c r="D12" s="5"/>
      <c r="E12" s="5"/>
    </row>
    <row r="13" spans="1:8">
      <c r="B13" s="5"/>
      <c r="C13" s="5"/>
      <c r="D13" s="5"/>
      <c r="E13" s="5"/>
    </row>
    <row r="14" spans="1:8">
      <c r="A14" s="6" t="s">
        <v>470</v>
      </c>
      <c r="B14" s="75"/>
      <c r="C14" s="75"/>
      <c r="D14" s="75"/>
      <c r="E14" s="75"/>
    </row>
    <row r="15" spans="1:8">
      <c r="A15" s="6"/>
      <c r="B15" s="75"/>
      <c r="C15" s="75"/>
      <c r="D15" s="75"/>
      <c r="E15" s="75"/>
    </row>
    <row r="16" spans="1:8">
      <c r="A16" s="6" t="s">
        <v>129</v>
      </c>
      <c r="B16" s="75"/>
      <c r="C16" s="75"/>
      <c r="D16" s="75"/>
      <c r="E16" s="75"/>
    </row>
    <row r="17" spans="1:8">
      <c r="A17" s="6" t="s">
        <v>141</v>
      </c>
      <c r="B17" s="75"/>
      <c r="C17" s="75"/>
      <c r="D17" s="75"/>
      <c r="E17" s="75"/>
    </row>
    <row r="18" spans="1:8">
      <c r="A18" s="6" t="s">
        <v>142</v>
      </c>
      <c r="B18" s="75"/>
      <c r="C18" s="75"/>
      <c r="D18" s="75"/>
      <c r="E18" s="75"/>
    </row>
    <row r="19" spans="1:8">
      <c r="A19" s="6" t="s">
        <v>161</v>
      </c>
      <c r="B19" s="75"/>
      <c r="C19" s="75"/>
      <c r="D19" s="75"/>
      <c r="E19" s="75"/>
    </row>
    <row r="20" spans="1:8">
      <c r="A20" s="6" t="s">
        <v>162</v>
      </c>
      <c r="B20" s="75"/>
      <c r="C20" s="75"/>
      <c r="D20" s="75"/>
      <c r="E20" s="75"/>
    </row>
    <row r="22" spans="1:8">
      <c r="A22" s="6" t="s">
        <v>128</v>
      </c>
    </row>
    <row r="23" spans="1:8">
      <c r="A23" s="201" t="s">
        <v>79</v>
      </c>
      <c r="B23" s="201" t="s">
        <v>80</v>
      </c>
      <c r="C23" s="201" t="s">
        <v>81</v>
      </c>
      <c r="D23" s="201" t="s">
        <v>82</v>
      </c>
      <c r="E23" s="201" t="s">
        <v>83</v>
      </c>
    </row>
    <row r="24" spans="1:8">
      <c r="A24" s="200">
        <v>1</v>
      </c>
      <c r="B24" s="24" t="s">
        <v>622</v>
      </c>
      <c r="C24" s="200">
        <v>2</v>
      </c>
      <c r="D24" s="200">
        <v>2900</v>
      </c>
      <c r="E24" s="200">
        <f t="shared" ref="E24:E31" si="1">C24*D24</f>
        <v>5800</v>
      </c>
      <c r="H24">
        <f>1798*2</f>
        <v>3596</v>
      </c>
    </row>
    <row r="25" spans="1:8">
      <c r="A25" s="200">
        <v>2</v>
      </c>
      <c r="B25" s="24" t="s">
        <v>623</v>
      </c>
      <c r="C25" s="200">
        <v>4</v>
      </c>
      <c r="D25" s="200">
        <v>2950</v>
      </c>
      <c r="E25" s="200">
        <f t="shared" si="1"/>
        <v>11800</v>
      </c>
      <c r="H25">
        <f>1749*2</f>
        <v>3498</v>
      </c>
    </row>
    <row r="26" spans="1:8">
      <c r="A26" s="200">
        <v>3</v>
      </c>
      <c r="B26" s="200" t="s">
        <v>624</v>
      </c>
      <c r="C26" s="200">
        <v>1</v>
      </c>
      <c r="D26" s="200">
        <v>9600</v>
      </c>
      <c r="E26" s="200">
        <f t="shared" si="1"/>
        <v>9600</v>
      </c>
      <c r="H26">
        <f>3210*2</f>
        <v>6420</v>
      </c>
    </row>
    <row r="27" spans="1:8">
      <c r="A27" s="200">
        <v>4</v>
      </c>
      <c r="B27" s="200" t="s">
        <v>188</v>
      </c>
      <c r="C27" s="200">
        <v>1</v>
      </c>
      <c r="D27" s="200">
        <v>4250</v>
      </c>
      <c r="E27" s="200">
        <f t="shared" si="1"/>
        <v>4250</v>
      </c>
      <c r="H27">
        <f>3140*2</f>
        <v>6280</v>
      </c>
    </row>
    <row r="28" spans="1:8" ht="26.4">
      <c r="A28" s="200">
        <v>5</v>
      </c>
      <c r="B28" s="200" t="s">
        <v>389</v>
      </c>
      <c r="C28" s="200">
        <v>1</v>
      </c>
      <c r="D28" s="200">
        <v>9600</v>
      </c>
      <c r="E28" s="200">
        <f t="shared" si="1"/>
        <v>9600</v>
      </c>
    </row>
    <row r="29" spans="1:8">
      <c r="A29" s="200">
        <v>6</v>
      </c>
      <c r="B29" s="200" t="s">
        <v>116</v>
      </c>
      <c r="C29" s="200">
        <v>16</v>
      </c>
      <c r="D29" s="200">
        <v>150</v>
      </c>
      <c r="E29" s="200">
        <f t="shared" si="1"/>
        <v>2400</v>
      </c>
    </row>
    <row r="30" spans="1:8">
      <c r="A30" s="200">
        <v>7</v>
      </c>
      <c r="B30" s="200" t="s">
        <v>175</v>
      </c>
      <c r="C30" s="200">
        <v>6</v>
      </c>
      <c r="D30" s="200">
        <v>100</v>
      </c>
      <c r="E30" s="200">
        <f t="shared" si="1"/>
        <v>600</v>
      </c>
    </row>
    <row r="31" spans="1:8">
      <c r="A31" s="200">
        <v>8</v>
      </c>
      <c r="B31" s="200" t="s">
        <v>86</v>
      </c>
      <c r="C31" s="200">
        <v>1</v>
      </c>
      <c r="D31" s="200">
        <v>4000</v>
      </c>
      <c r="E31" s="200">
        <f t="shared" si="1"/>
        <v>4000</v>
      </c>
    </row>
    <row r="32" spans="1:8">
      <c r="A32" s="273" t="s">
        <v>87</v>
      </c>
      <c r="B32" s="274"/>
      <c r="C32" s="274"/>
      <c r="D32" s="275"/>
      <c r="E32" s="201">
        <f>SUM(E24:E31)</f>
        <v>48050</v>
      </c>
    </row>
    <row r="33" spans="1:5">
      <c r="A33" s="5"/>
      <c r="B33" s="5"/>
      <c r="C33" s="5"/>
      <c r="D33" s="5"/>
      <c r="E33" s="5"/>
    </row>
    <row r="34" spans="1:5">
      <c r="B34" s="5"/>
      <c r="C34" s="5"/>
      <c r="D34" s="5"/>
      <c r="E34" s="5"/>
    </row>
    <row r="35" spans="1:5">
      <c r="A35" s="6" t="s">
        <v>470</v>
      </c>
      <c r="B35" s="75"/>
      <c r="C35" s="75"/>
      <c r="D35" s="75"/>
      <c r="E35" s="75"/>
    </row>
    <row r="36" spans="1:5">
      <c r="A36" s="6"/>
      <c r="B36" s="75"/>
      <c r="C36" s="75"/>
      <c r="D36" s="75"/>
      <c r="E36" s="75"/>
    </row>
    <row r="37" spans="1:5">
      <c r="A37" s="6" t="s">
        <v>129</v>
      </c>
      <c r="B37" s="75"/>
      <c r="C37" s="75"/>
      <c r="D37" s="75"/>
      <c r="E37" s="75"/>
    </row>
    <row r="38" spans="1:5">
      <c r="A38" s="6" t="s">
        <v>141</v>
      </c>
      <c r="B38" s="75"/>
      <c r="C38" s="75"/>
      <c r="D38" s="75"/>
      <c r="E38" s="75"/>
    </row>
    <row r="39" spans="1:5">
      <c r="A39" s="6" t="s">
        <v>142</v>
      </c>
      <c r="B39" s="75"/>
      <c r="C39" s="75"/>
      <c r="D39" s="75"/>
      <c r="E39" s="75"/>
    </row>
    <row r="40" spans="1:5">
      <c r="A40" s="6" t="s">
        <v>161</v>
      </c>
      <c r="B40" s="75"/>
      <c r="C40" s="75"/>
      <c r="D40" s="75"/>
      <c r="E40" s="75"/>
    </row>
    <row r="41" spans="1:5">
      <c r="A41" s="6" t="s">
        <v>162</v>
      </c>
      <c r="B41" s="75"/>
      <c r="C41" s="75"/>
      <c r="D41" s="75"/>
      <c r="E41" s="75"/>
    </row>
  </sheetData>
  <mergeCells count="2">
    <mergeCell ref="A11:D11"/>
    <mergeCell ref="A32:D3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73" workbookViewId="0">
      <selection activeCell="I95" sqref="I95"/>
    </sheetView>
  </sheetViews>
  <sheetFormatPr defaultRowHeight="14.4"/>
  <cols>
    <col min="1" max="1" width="8.88671875" style="33"/>
    <col min="2" max="2" width="58.109375" style="33" customWidth="1"/>
    <col min="3" max="3" width="10.88671875" style="33" customWidth="1"/>
    <col min="4" max="4" width="16.33203125" style="33" customWidth="1"/>
    <col min="5" max="16384" width="8.88671875" style="33"/>
  </cols>
  <sheetData>
    <row r="1" spans="1:8">
      <c r="A1" s="33" t="s">
        <v>127</v>
      </c>
    </row>
    <row r="2" spans="1:8" ht="21.6" customHeight="1">
      <c r="A2" s="198" t="s">
        <v>79</v>
      </c>
      <c r="B2" s="198" t="s">
        <v>80</v>
      </c>
      <c r="C2" s="198" t="s">
        <v>81</v>
      </c>
      <c r="D2" s="198" t="s">
        <v>82</v>
      </c>
      <c r="E2" s="198" t="s">
        <v>83</v>
      </c>
    </row>
    <row r="3" spans="1:8" ht="22.2" customHeight="1">
      <c r="A3" s="197">
        <v>1</v>
      </c>
      <c r="B3" s="24" t="s">
        <v>617</v>
      </c>
      <c r="C3" s="197">
        <v>5</v>
      </c>
      <c r="D3" s="197">
        <v>9300</v>
      </c>
      <c r="E3" s="197">
        <f t="shared" ref="E3:E12" si="0">C3*D3</f>
        <v>46500</v>
      </c>
      <c r="H3" s="33">
        <f>4660*2</f>
        <v>9320</v>
      </c>
    </row>
    <row r="4" spans="1:8" ht="19.2" customHeight="1">
      <c r="A4" s="197">
        <v>2</v>
      </c>
      <c r="B4" s="197" t="s">
        <v>613</v>
      </c>
      <c r="C4" s="197">
        <v>1</v>
      </c>
      <c r="D4" s="197">
        <v>11880</v>
      </c>
      <c r="E4" s="197">
        <f t="shared" si="0"/>
        <v>11880</v>
      </c>
      <c r="H4" s="33">
        <f>5940*2</f>
        <v>11880</v>
      </c>
    </row>
    <row r="5" spans="1:8" ht="21.6" customHeight="1">
      <c r="A5" s="197">
        <v>3</v>
      </c>
      <c r="B5" s="197" t="s">
        <v>136</v>
      </c>
      <c r="C5" s="197">
        <v>1</v>
      </c>
      <c r="D5" s="197">
        <v>4090</v>
      </c>
      <c r="E5" s="197">
        <f t="shared" si="0"/>
        <v>4090</v>
      </c>
      <c r="H5" s="33">
        <f>4090*2</f>
        <v>8180</v>
      </c>
    </row>
    <row r="6" spans="1:8" ht="21.6" customHeight="1">
      <c r="A6" s="197">
        <v>4</v>
      </c>
      <c r="B6" s="197" t="s">
        <v>389</v>
      </c>
      <c r="C6" s="197">
        <v>1</v>
      </c>
      <c r="D6" s="197">
        <v>11900</v>
      </c>
      <c r="E6" s="197">
        <f t="shared" si="0"/>
        <v>11900</v>
      </c>
    </row>
    <row r="7" spans="1:8" ht="22.8" customHeight="1">
      <c r="A7" s="197">
        <v>5</v>
      </c>
      <c r="B7" s="197" t="s">
        <v>116</v>
      </c>
      <c r="C7" s="197">
        <v>14</v>
      </c>
      <c r="D7" s="197">
        <v>150</v>
      </c>
      <c r="E7" s="197">
        <f t="shared" si="0"/>
        <v>2100</v>
      </c>
    </row>
    <row r="8" spans="1:8" ht="18.600000000000001" customHeight="1">
      <c r="A8" s="197">
        <v>6</v>
      </c>
      <c r="B8" s="197" t="s">
        <v>175</v>
      </c>
      <c r="C8" s="197">
        <v>5</v>
      </c>
      <c r="D8" s="197">
        <v>100</v>
      </c>
      <c r="E8" s="197">
        <f t="shared" si="0"/>
        <v>500</v>
      </c>
    </row>
    <row r="9" spans="1:8" ht="18.600000000000001" customHeight="1">
      <c r="A9" s="197">
        <v>7</v>
      </c>
      <c r="B9" s="197" t="s">
        <v>616</v>
      </c>
      <c r="C9" s="197">
        <v>1</v>
      </c>
      <c r="D9" s="197">
        <v>2900</v>
      </c>
      <c r="E9" s="197">
        <f t="shared" si="0"/>
        <v>2900</v>
      </c>
    </row>
    <row r="10" spans="1:8" ht="18.600000000000001" customHeight="1">
      <c r="A10" s="197">
        <v>8</v>
      </c>
      <c r="B10" s="197" t="s">
        <v>619</v>
      </c>
      <c r="C10" s="197">
        <v>250</v>
      </c>
      <c r="D10" s="197">
        <v>75</v>
      </c>
      <c r="E10" s="197">
        <f t="shared" si="0"/>
        <v>18750</v>
      </c>
    </row>
    <row r="11" spans="1:8" ht="18.600000000000001" customHeight="1">
      <c r="A11" s="197">
        <v>9</v>
      </c>
      <c r="B11" s="197" t="s">
        <v>618</v>
      </c>
      <c r="C11" s="197">
        <v>250</v>
      </c>
      <c r="D11" s="197">
        <v>75</v>
      </c>
      <c r="E11" s="197">
        <f t="shared" si="0"/>
        <v>18750</v>
      </c>
    </row>
    <row r="12" spans="1:8" ht="21.6" customHeight="1">
      <c r="A12" s="197">
        <v>10</v>
      </c>
      <c r="B12" s="197" t="s">
        <v>86</v>
      </c>
      <c r="C12" s="197">
        <v>1</v>
      </c>
      <c r="D12" s="197">
        <v>5900</v>
      </c>
      <c r="E12" s="197">
        <f t="shared" si="0"/>
        <v>5900</v>
      </c>
    </row>
    <row r="13" spans="1:8" ht="15.6" customHeight="1">
      <c r="A13" s="273" t="s">
        <v>87</v>
      </c>
      <c r="B13" s="274"/>
      <c r="C13" s="274"/>
      <c r="D13" s="275"/>
      <c r="E13" s="198">
        <f>SUM(E3:E12)</f>
        <v>123270</v>
      </c>
    </row>
    <row r="14" spans="1:8" ht="12" customHeight="1">
      <c r="A14" s="5"/>
      <c r="B14" s="5"/>
      <c r="C14" s="5"/>
      <c r="D14" s="5"/>
      <c r="E14" s="5"/>
    </row>
    <row r="15" spans="1:8" s="42" customFormat="1" ht="15.6" customHeight="1">
      <c r="B15" s="163"/>
      <c r="C15" s="163"/>
      <c r="D15" s="163"/>
      <c r="E15" s="163"/>
    </row>
    <row r="16" spans="1:8" s="42" customFormat="1">
      <c r="A16" s="6" t="s">
        <v>620</v>
      </c>
      <c r="B16" s="75"/>
      <c r="C16" s="75"/>
      <c r="D16" s="75"/>
      <c r="E16" s="75"/>
    </row>
    <row r="17" spans="1:9" s="42" customFormat="1">
      <c r="A17" s="6"/>
      <c r="B17" s="75"/>
      <c r="C17" s="75"/>
      <c r="D17" s="75"/>
      <c r="E17" s="75"/>
    </row>
    <row r="18" spans="1:9" s="42" customFormat="1">
      <c r="A18" s="6" t="s">
        <v>129</v>
      </c>
      <c r="B18" s="75"/>
      <c r="C18" s="75"/>
      <c r="D18" s="75"/>
      <c r="E18" s="75"/>
    </row>
    <row r="19" spans="1:9" s="42" customFormat="1">
      <c r="A19" s="6" t="s">
        <v>141</v>
      </c>
      <c r="B19" s="75"/>
      <c r="C19" s="75"/>
      <c r="D19" s="75"/>
      <c r="E19" s="75"/>
    </row>
    <row r="20" spans="1:9" s="42" customFormat="1">
      <c r="A20" s="6" t="s">
        <v>142</v>
      </c>
      <c r="B20" s="75"/>
      <c r="C20" s="75"/>
      <c r="D20" s="75"/>
      <c r="E20" s="75"/>
    </row>
    <row r="21" spans="1:9" s="42" customFormat="1">
      <c r="A21" s="6" t="s">
        <v>393</v>
      </c>
      <c r="B21" s="75"/>
      <c r="C21" s="75"/>
      <c r="D21" s="75"/>
      <c r="E21" s="75"/>
    </row>
    <row r="22" spans="1:9" ht="34.799999999999997" customHeight="1"/>
    <row r="23" spans="1:9">
      <c r="A23" s="33" t="s">
        <v>128</v>
      </c>
    </row>
    <row r="24" spans="1:9">
      <c r="A24" s="198" t="s">
        <v>79</v>
      </c>
      <c r="B24" s="198" t="s">
        <v>80</v>
      </c>
      <c r="C24" s="198" t="s">
        <v>81</v>
      </c>
      <c r="D24" s="198" t="s">
        <v>82</v>
      </c>
      <c r="E24" s="198" t="s">
        <v>83</v>
      </c>
    </row>
    <row r="25" spans="1:9">
      <c r="A25" s="197">
        <v>1</v>
      </c>
      <c r="B25" s="197" t="s">
        <v>614</v>
      </c>
      <c r="C25" s="197">
        <v>5</v>
      </c>
      <c r="D25" s="197">
        <v>3800</v>
      </c>
      <c r="E25" s="197">
        <f t="shared" ref="E25:E35" si="1">C25*D25</f>
        <v>19000</v>
      </c>
      <c r="I25" s="33">
        <f>1940*2</f>
        <v>3880</v>
      </c>
    </row>
    <row r="26" spans="1:9">
      <c r="A26" s="197">
        <v>2</v>
      </c>
      <c r="B26" s="197" t="s">
        <v>615</v>
      </c>
      <c r="C26" s="197">
        <v>1</v>
      </c>
      <c r="D26" s="197">
        <v>13700</v>
      </c>
      <c r="E26" s="197">
        <f t="shared" si="1"/>
        <v>13700</v>
      </c>
      <c r="I26" s="33">
        <f>6850*2</f>
        <v>13700</v>
      </c>
    </row>
    <row r="27" spans="1:9">
      <c r="A27" s="197">
        <v>3</v>
      </c>
      <c r="B27" s="197" t="s">
        <v>172</v>
      </c>
      <c r="C27" s="197">
        <v>10</v>
      </c>
      <c r="D27" s="197">
        <v>60</v>
      </c>
      <c r="E27" s="197">
        <f t="shared" si="1"/>
        <v>600</v>
      </c>
    </row>
    <row r="28" spans="1:9">
      <c r="A28" s="197">
        <v>4</v>
      </c>
      <c r="B28" s="197" t="s">
        <v>173</v>
      </c>
      <c r="C28" s="197">
        <v>5</v>
      </c>
      <c r="D28" s="197">
        <v>50</v>
      </c>
      <c r="E28" s="197">
        <f t="shared" si="1"/>
        <v>250</v>
      </c>
    </row>
    <row r="29" spans="1:9">
      <c r="A29" s="197">
        <v>5</v>
      </c>
      <c r="B29" s="197" t="s">
        <v>174</v>
      </c>
      <c r="C29" s="197">
        <v>1</v>
      </c>
      <c r="D29" s="197">
        <v>990</v>
      </c>
      <c r="E29" s="197">
        <f t="shared" si="1"/>
        <v>990</v>
      </c>
    </row>
    <row r="30" spans="1:9">
      <c r="A30" s="197">
        <v>6</v>
      </c>
      <c r="B30" s="197" t="s">
        <v>136</v>
      </c>
      <c r="C30" s="197">
        <v>1</v>
      </c>
      <c r="D30" s="197">
        <v>4090</v>
      </c>
      <c r="E30" s="197">
        <f t="shared" si="1"/>
        <v>4090</v>
      </c>
    </row>
    <row r="31" spans="1:9">
      <c r="A31" s="197">
        <v>7</v>
      </c>
      <c r="B31" s="197" t="s">
        <v>175</v>
      </c>
      <c r="C31" s="197">
        <v>5</v>
      </c>
      <c r="D31" s="197">
        <v>100</v>
      </c>
      <c r="E31" s="197">
        <f t="shared" si="1"/>
        <v>500</v>
      </c>
    </row>
    <row r="32" spans="1:9">
      <c r="A32" s="197">
        <v>8</v>
      </c>
      <c r="B32" s="197" t="s">
        <v>616</v>
      </c>
      <c r="C32" s="197">
        <v>1</v>
      </c>
      <c r="D32" s="197">
        <v>2900</v>
      </c>
      <c r="E32" s="197">
        <f t="shared" si="1"/>
        <v>2900</v>
      </c>
    </row>
    <row r="33" spans="1:9">
      <c r="A33" s="197">
        <v>9</v>
      </c>
      <c r="B33" s="197" t="s">
        <v>459</v>
      </c>
      <c r="C33" s="197">
        <v>250</v>
      </c>
      <c r="D33" s="197">
        <v>75</v>
      </c>
      <c r="E33" s="197">
        <f t="shared" si="1"/>
        <v>18750</v>
      </c>
    </row>
    <row r="34" spans="1:9">
      <c r="A34" s="197">
        <v>10</v>
      </c>
      <c r="B34" s="199" t="s">
        <v>618</v>
      </c>
      <c r="C34" s="197">
        <v>250</v>
      </c>
      <c r="D34" s="197">
        <v>75</v>
      </c>
      <c r="E34" s="197">
        <f t="shared" si="1"/>
        <v>18750</v>
      </c>
    </row>
    <row r="35" spans="1:9">
      <c r="A35" s="197">
        <v>11</v>
      </c>
      <c r="B35" s="197" t="s">
        <v>86</v>
      </c>
      <c r="C35" s="197">
        <v>1</v>
      </c>
      <c r="D35" s="197">
        <v>5900</v>
      </c>
      <c r="E35" s="197">
        <f t="shared" si="1"/>
        <v>5900</v>
      </c>
    </row>
    <row r="36" spans="1:9">
      <c r="A36" s="273" t="s">
        <v>87</v>
      </c>
      <c r="B36" s="274"/>
      <c r="C36" s="274"/>
      <c r="D36" s="275"/>
      <c r="E36" s="198">
        <f>SUM(E25:E35)</f>
        <v>85430</v>
      </c>
    </row>
    <row r="37" spans="1:9">
      <c r="A37" s="7"/>
      <c r="B37" s="9"/>
      <c r="C37" s="9"/>
      <c r="D37" s="7"/>
      <c r="E37" s="7"/>
    </row>
    <row r="38" spans="1:9">
      <c r="A38" s="76" t="s">
        <v>621</v>
      </c>
      <c r="B38" s="9"/>
      <c r="C38" s="9"/>
      <c r="D38" s="7"/>
      <c r="E38" s="7"/>
    </row>
    <row r="39" spans="1:9">
      <c r="A39" s="7"/>
      <c r="B39" s="9"/>
      <c r="C39" s="9"/>
      <c r="D39" s="7"/>
      <c r="E39" s="7"/>
    </row>
    <row r="40" spans="1:9">
      <c r="A40" s="77" t="s">
        <v>129</v>
      </c>
      <c r="B40" s="9"/>
      <c r="C40" s="9"/>
      <c r="D40" s="7"/>
      <c r="E40" s="7"/>
    </row>
    <row r="41" spans="1:9">
      <c r="A41" s="77" t="s">
        <v>141</v>
      </c>
      <c r="B41" s="9"/>
      <c r="C41" s="9"/>
      <c r="D41" s="7"/>
      <c r="E41" s="7"/>
    </row>
    <row r="42" spans="1:9">
      <c r="A42" s="78" t="s">
        <v>142</v>
      </c>
      <c r="B42" s="9"/>
      <c r="C42" s="9"/>
      <c r="D42" s="7"/>
      <c r="E42" s="7"/>
    </row>
    <row r="45" spans="1:9">
      <c r="A45" s="33" t="s">
        <v>127</v>
      </c>
    </row>
    <row r="46" spans="1:9">
      <c r="A46" s="203" t="s">
        <v>79</v>
      </c>
      <c r="B46" s="203" t="s">
        <v>80</v>
      </c>
      <c r="C46" s="203" t="s">
        <v>81</v>
      </c>
      <c r="D46" s="203" t="s">
        <v>82</v>
      </c>
      <c r="E46" s="203" t="s">
        <v>83</v>
      </c>
    </row>
    <row r="47" spans="1:9">
      <c r="A47" s="202">
        <v>1</v>
      </c>
      <c r="B47" s="24" t="s">
        <v>625</v>
      </c>
      <c r="C47" s="202">
        <v>5</v>
      </c>
      <c r="D47" s="202">
        <v>5900</v>
      </c>
      <c r="E47" s="202">
        <f t="shared" ref="E47:E54" si="2">C47*D47</f>
        <v>29500</v>
      </c>
      <c r="I47" s="33">
        <f>3765*2</f>
        <v>7530</v>
      </c>
    </row>
    <row r="48" spans="1:9">
      <c r="A48" s="202">
        <v>2</v>
      </c>
      <c r="B48" s="202" t="s">
        <v>624</v>
      </c>
      <c r="C48" s="202">
        <v>1</v>
      </c>
      <c r="D48" s="202">
        <v>8700</v>
      </c>
      <c r="E48" s="202">
        <f t="shared" si="2"/>
        <v>8700</v>
      </c>
      <c r="I48" s="33">
        <f>3150*2</f>
        <v>6300</v>
      </c>
    </row>
    <row r="49" spans="1:5">
      <c r="A49" s="202">
        <v>3</v>
      </c>
      <c r="B49" s="202" t="s">
        <v>136</v>
      </c>
      <c r="C49" s="202">
        <v>1</v>
      </c>
      <c r="D49" s="202">
        <v>4090</v>
      </c>
      <c r="E49" s="202">
        <f t="shared" si="2"/>
        <v>4090</v>
      </c>
    </row>
    <row r="50" spans="1:5" ht="26.4">
      <c r="A50" s="202">
        <v>4</v>
      </c>
      <c r="B50" s="202" t="s">
        <v>389</v>
      </c>
      <c r="C50" s="202">
        <v>1</v>
      </c>
      <c r="D50" s="202">
        <v>9600</v>
      </c>
      <c r="E50" s="202">
        <f t="shared" si="2"/>
        <v>9600</v>
      </c>
    </row>
    <row r="51" spans="1:5">
      <c r="A51" s="202">
        <v>5</v>
      </c>
      <c r="B51" s="202" t="s">
        <v>116</v>
      </c>
      <c r="C51" s="202">
        <v>14</v>
      </c>
      <c r="D51" s="202">
        <v>150</v>
      </c>
      <c r="E51" s="202">
        <f t="shared" si="2"/>
        <v>2100</v>
      </c>
    </row>
    <row r="52" spans="1:5">
      <c r="A52" s="202">
        <v>6</v>
      </c>
      <c r="B52" s="202" t="s">
        <v>175</v>
      </c>
      <c r="C52" s="202">
        <v>5</v>
      </c>
      <c r="D52" s="202">
        <v>100</v>
      </c>
      <c r="E52" s="202">
        <f t="shared" si="2"/>
        <v>500</v>
      </c>
    </row>
    <row r="53" spans="1:5">
      <c r="A53" s="204">
        <v>7</v>
      </c>
      <c r="B53" s="202" t="s">
        <v>616</v>
      </c>
      <c r="C53" s="202">
        <v>1</v>
      </c>
      <c r="D53" s="202">
        <v>2900</v>
      </c>
      <c r="E53" s="202">
        <f t="shared" si="2"/>
        <v>2900</v>
      </c>
    </row>
    <row r="54" spans="1:5">
      <c r="A54" s="204">
        <v>8</v>
      </c>
      <c r="B54" s="202" t="s">
        <v>86</v>
      </c>
      <c r="C54" s="202">
        <v>1</v>
      </c>
      <c r="D54" s="202">
        <v>5900</v>
      </c>
      <c r="E54" s="202">
        <f t="shared" si="2"/>
        <v>5900</v>
      </c>
    </row>
    <row r="55" spans="1:5">
      <c r="A55" s="273" t="s">
        <v>87</v>
      </c>
      <c r="B55" s="274"/>
      <c r="C55" s="274"/>
      <c r="D55" s="275"/>
      <c r="E55" s="203">
        <f>SUM(E47:E54)</f>
        <v>63290</v>
      </c>
    </row>
    <row r="56" spans="1:5">
      <c r="A56" s="5"/>
      <c r="B56" s="5"/>
      <c r="C56" s="5"/>
      <c r="D56" s="5"/>
      <c r="E56" s="5"/>
    </row>
    <row r="57" spans="1:5" s="206" customFormat="1">
      <c r="A57" s="76" t="s">
        <v>632</v>
      </c>
      <c r="B57" s="163"/>
      <c r="C57" s="163"/>
      <c r="D57" s="163"/>
      <c r="E57" s="163"/>
    </row>
    <row r="58" spans="1:5" ht="16.8" customHeight="1">
      <c r="A58" s="205" t="s">
        <v>627</v>
      </c>
      <c r="B58" s="205" t="s">
        <v>628</v>
      </c>
      <c r="C58" s="205" t="s">
        <v>19</v>
      </c>
      <c r="D58" s="205" t="s">
        <v>629</v>
      </c>
      <c r="E58" s="163"/>
    </row>
    <row r="59" spans="1:5">
      <c r="A59" s="24">
        <v>250</v>
      </c>
      <c r="B59" s="204">
        <v>75</v>
      </c>
      <c r="C59" s="204">
        <f>250*75</f>
        <v>18750</v>
      </c>
      <c r="D59" s="204">
        <f>C59*1.18</f>
        <v>22125</v>
      </c>
      <c r="E59" s="75"/>
    </row>
    <row r="60" spans="1:5">
      <c r="A60" s="6"/>
      <c r="B60" s="75"/>
      <c r="C60" s="75"/>
      <c r="D60" s="75"/>
      <c r="E60" s="75"/>
    </row>
    <row r="61" spans="1:5">
      <c r="A61" s="6" t="s">
        <v>630</v>
      </c>
      <c r="B61" s="75"/>
      <c r="C61" s="75"/>
      <c r="D61" s="75"/>
      <c r="E61" s="75"/>
    </row>
    <row r="62" spans="1:5" ht="12.6" customHeight="1">
      <c r="A62" s="205" t="s">
        <v>627</v>
      </c>
      <c r="B62" s="205" t="s">
        <v>628</v>
      </c>
      <c r="C62" s="205" t="s">
        <v>19</v>
      </c>
      <c r="D62" s="205" t="s">
        <v>629</v>
      </c>
      <c r="E62" s="75"/>
    </row>
    <row r="63" spans="1:5">
      <c r="A63" s="24">
        <v>250</v>
      </c>
      <c r="B63" s="204">
        <v>75</v>
      </c>
      <c r="C63" s="204">
        <f>250*75</f>
        <v>18750</v>
      </c>
      <c r="D63" s="204">
        <f>C63*1.18</f>
        <v>22125</v>
      </c>
      <c r="E63" s="75"/>
    </row>
    <row r="64" spans="1:5">
      <c r="A64" s="6"/>
      <c r="B64" s="75"/>
      <c r="C64" s="75"/>
      <c r="D64" s="75"/>
      <c r="E64" s="75"/>
    </row>
    <row r="65" spans="1:7">
      <c r="A65" s="6" t="s">
        <v>620</v>
      </c>
      <c r="B65" s="75"/>
      <c r="C65" s="75"/>
      <c r="D65" s="75"/>
      <c r="E65" s="75"/>
    </row>
    <row r="66" spans="1:7">
      <c r="A66" s="6"/>
      <c r="B66" s="75"/>
      <c r="C66" s="75"/>
      <c r="D66" s="75"/>
      <c r="E66" s="75"/>
    </row>
    <row r="67" spans="1:7">
      <c r="A67" s="6" t="s">
        <v>129</v>
      </c>
      <c r="B67" s="75"/>
      <c r="C67" s="75"/>
      <c r="D67" s="75"/>
      <c r="E67" s="75"/>
    </row>
    <row r="68" spans="1:7">
      <c r="A68" s="6" t="s">
        <v>141</v>
      </c>
      <c r="B68" s="75"/>
      <c r="C68" s="75"/>
      <c r="D68" s="75"/>
      <c r="E68" s="75"/>
    </row>
    <row r="69" spans="1:7">
      <c r="A69" s="6" t="s">
        <v>142</v>
      </c>
      <c r="B69" s="75"/>
      <c r="C69" s="75"/>
      <c r="D69" s="75"/>
      <c r="E69" s="75"/>
    </row>
    <row r="70" spans="1:7">
      <c r="A70" s="6" t="s">
        <v>393</v>
      </c>
      <c r="B70" s="75"/>
      <c r="C70" s="75"/>
      <c r="D70" s="75"/>
      <c r="E70" s="75"/>
    </row>
    <row r="72" spans="1:7">
      <c r="A72" s="33" t="s">
        <v>128</v>
      </c>
    </row>
    <row r="73" spans="1:7">
      <c r="A73" s="203" t="s">
        <v>79</v>
      </c>
      <c r="B73" s="203" t="s">
        <v>80</v>
      </c>
      <c r="C73" s="203" t="s">
        <v>81</v>
      </c>
      <c r="D73" s="203" t="s">
        <v>82</v>
      </c>
      <c r="E73" s="203" t="s">
        <v>83</v>
      </c>
    </row>
    <row r="74" spans="1:7">
      <c r="A74" s="202">
        <v>1</v>
      </c>
      <c r="B74" s="202" t="s">
        <v>626</v>
      </c>
      <c r="C74" s="202">
        <v>5</v>
      </c>
      <c r="D74" s="202">
        <v>2700</v>
      </c>
      <c r="E74" s="202">
        <f t="shared" ref="E74:E82" si="3">C74*D74</f>
        <v>13500</v>
      </c>
      <c r="G74" s="33">
        <f>1365*2</f>
        <v>2730</v>
      </c>
    </row>
    <row r="75" spans="1:7">
      <c r="A75" s="202">
        <v>2</v>
      </c>
      <c r="B75" s="202" t="s">
        <v>631</v>
      </c>
      <c r="C75" s="202">
        <v>1</v>
      </c>
      <c r="D75" s="202">
        <v>8700</v>
      </c>
      <c r="E75" s="202">
        <f t="shared" si="3"/>
        <v>8700</v>
      </c>
      <c r="G75" s="33">
        <f>4375*2</f>
        <v>8750</v>
      </c>
    </row>
    <row r="76" spans="1:7">
      <c r="A76" s="202">
        <v>3</v>
      </c>
      <c r="B76" s="202" t="s">
        <v>172</v>
      </c>
      <c r="C76" s="202">
        <v>10</v>
      </c>
      <c r="D76" s="202">
        <v>60</v>
      </c>
      <c r="E76" s="202">
        <f t="shared" si="3"/>
        <v>600</v>
      </c>
    </row>
    <row r="77" spans="1:7">
      <c r="A77" s="202">
        <v>4</v>
      </c>
      <c r="B77" s="202" t="s">
        <v>173</v>
      </c>
      <c r="C77" s="202">
        <v>5</v>
      </c>
      <c r="D77" s="202">
        <v>50</v>
      </c>
      <c r="E77" s="202">
        <f t="shared" si="3"/>
        <v>250</v>
      </c>
    </row>
    <row r="78" spans="1:7">
      <c r="A78" s="202">
        <v>5</v>
      </c>
      <c r="B78" s="202" t="s">
        <v>174</v>
      </c>
      <c r="C78" s="202">
        <v>1</v>
      </c>
      <c r="D78" s="202">
        <v>990</v>
      </c>
      <c r="E78" s="202">
        <f t="shared" si="3"/>
        <v>990</v>
      </c>
    </row>
    <row r="79" spans="1:7">
      <c r="A79" s="202">
        <v>6</v>
      </c>
      <c r="B79" s="202" t="s">
        <v>136</v>
      </c>
      <c r="C79" s="202">
        <v>1</v>
      </c>
      <c r="D79" s="202">
        <v>4090</v>
      </c>
      <c r="E79" s="202">
        <f t="shared" si="3"/>
        <v>4090</v>
      </c>
    </row>
    <row r="80" spans="1:7">
      <c r="A80" s="202">
        <v>7</v>
      </c>
      <c r="B80" s="202" t="s">
        <v>175</v>
      </c>
      <c r="C80" s="202">
        <v>5</v>
      </c>
      <c r="D80" s="202">
        <v>100</v>
      </c>
      <c r="E80" s="202">
        <f t="shared" si="3"/>
        <v>500</v>
      </c>
    </row>
    <row r="81" spans="1:5">
      <c r="A81" s="202">
        <v>8</v>
      </c>
      <c r="B81" s="202" t="s">
        <v>616</v>
      </c>
      <c r="C81" s="202">
        <v>1</v>
      </c>
      <c r="D81" s="202">
        <v>2900</v>
      </c>
      <c r="E81" s="202">
        <f t="shared" si="3"/>
        <v>2900</v>
      </c>
    </row>
    <row r="82" spans="1:5">
      <c r="A82" s="204">
        <v>9</v>
      </c>
      <c r="B82" s="202" t="s">
        <v>86</v>
      </c>
      <c r="C82" s="202">
        <v>1</v>
      </c>
      <c r="D82" s="202">
        <v>5900</v>
      </c>
      <c r="E82" s="202">
        <f t="shared" si="3"/>
        <v>5900</v>
      </c>
    </row>
    <row r="83" spans="1:5">
      <c r="A83" s="273" t="s">
        <v>87</v>
      </c>
      <c r="B83" s="274"/>
      <c r="C83" s="274"/>
      <c r="D83" s="275"/>
      <c r="E83" s="203">
        <f>SUM(E74:E82)</f>
        <v>37430</v>
      </c>
    </row>
    <row r="84" spans="1:5">
      <c r="A84" s="7"/>
      <c r="B84" s="9"/>
      <c r="C84" s="9"/>
      <c r="D84" s="7"/>
      <c r="E84" s="7"/>
    </row>
    <row r="85" spans="1:5">
      <c r="A85" s="76" t="s">
        <v>633</v>
      </c>
      <c r="B85" s="163"/>
      <c r="C85" s="163"/>
    </row>
    <row r="86" spans="1:5" ht="26.4">
      <c r="A86" s="205" t="s">
        <v>627</v>
      </c>
      <c r="B86" s="205" t="s">
        <v>628</v>
      </c>
      <c r="C86" s="205" t="s">
        <v>19</v>
      </c>
      <c r="D86" s="205" t="s">
        <v>629</v>
      </c>
    </row>
    <row r="87" spans="1:5">
      <c r="A87" s="24">
        <v>250</v>
      </c>
      <c r="B87" s="204">
        <v>75</v>
      </c>
      <c r="C87" s="204">
        <f>250*75</f>
        <v>18750</v>
      </c>
      <c r="D87" s="204">
        <f>C87*1.18</f>
        <v>22125</v>
      </c>
    </row>
    <row r="88" spans="1:5">
      <c r="A88" s="6"/>
      <c r="B88" s="75"/>
      <c r="C88" s="75"/>
    </row>
    <row r="89" spans="1:5">
      <c r="A89" s="6" t="s">
        <v>630</v>
      </c>
      <c r="B89" s="75"/>
      <c r="C89" s="75"/>
    </row>
    <row r="90" spans="1:5" ht="26.4">
      <c r="A90" s="205" t="s">
        <v>627</v>
      </c>
      <c r="B90" s="205" t="s">
        <v>628</v>
      </c>
      <c r="C90" s="205" t="s">
        <v>19</v>
      </c>
      <c r="D90" s="205" t="s">
        <v>629</v>
      </c>
    </row>
    <row r="91" spans="1:5">
      <c r="A91" s="24">
        <v>250</v>
      </c>
      <c r="B91" s="204">
        <v>75</v>
      </c>
      <c r="C91" s="204">
        <f>250*75</f>
        <v>18750</v>
      </c>
      <c r="D91" s="204">
        <f>C91*1.18</f>
        <v>22125</v>
      </c>
    </row>
    <row r="92" spans="1:5">
      <c r="A92" s="6"/>
      <c r="B92" s="75"/>
      <c r="C92" s="75"/>
    </row>
    <row r="94" spans="1:5">
      <c r="A94" s="76" t="s">
        <v>621</v>
      </c>
      <c r="B94" s="9"/>
      <c r="C94" s="9"/>
      <c r="D94" s="7"/>
      <c r="E94" s="7"/>
    </row>
    <row r="95" spans="1:5">
      <c r="A95" s="7"/>
      <c r="B95" s="9"/>
      <c r="C95" s="9"/>
      <c r="D95" s="7"/>
      <c r="E95" s="7"/>
    </row>
    <row r="96" spans="1:5">
      <c r="A96" s="77" t="s">
        <v>129</v>
      </c>
      <c r="B96" s="9"/>
      <c r="C96" s="9"/>
      <c r="D96" s="7"/>
      <c r="E96" s="7"/>
    </row>
    <row r="97" spans="1:5">
      <c r="A97" s="77" t="s">
        <v>141</v>
      </c>
      <c r="B97" s="9"/>
      <c r="C97" s="9"/>
      <c r="D97" s="7"/>
      <c r="E97" s="7"/>
    </row>
    <row r="98" spans="1:5">
      <c r="A98" s="78" t="s">
        <v>142</v>
      </c>
      <c r="B98" s="9"/>
      <c r="C98" s="9"/>
      <c r="D98" s="7"/>
      <c r="E98" s="7"/>
    </row>
  </sheetData>
  <mergeCells count="4">
    <mergeCell ref="A13:D13"/>
    <mergeCell ref="A36:D36"/>
    <mergeCell ref="A55:D55"/>
    <mergeCell ref="A83:D83"/>
  </mergeCells>
  <pageMargins left="0.7" right="0.7" top="0.75" bottom="0.75" header="0.3" footer="0.3"/>
  <pageSetup orientation="portrait" horizontalDpi="0"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H3" sqref="H3"/>
    </sheetView>
  </sheetViews>
  <sheetFormatPr defaultRowHeight="14.4"/>
  <cols>
    <col min="2" max="2" width="54.44140625" customWidth="1"/>
  </cols>
  <sheetData>
    <row r="1" spans="1:8" ht="29.4" customHeight="1">
      <c r="A1" s="208" t="s">
        <v>79</v>
      </c>
      <c r="B1" s="208" t="s">
        <v>80</v>
      </c>
      <c r="C1" s="208" t="s">
        <v>81</v>
      </c>
      <c r="D1" s="208" t="s">
        <v>82</v>
      </c>
      <c r="E1" s="208" t="s">
        <v>83</v>
      </c>
    </row>
    <row r="2" spans="1:8">
      <c r="A2" s="207">
        <v>1</v>
      </c>
      <c r="B2" s="207" t="s">
        <v>626</v>
      </c>
      <c r="C2" s="207">
        <v>4</v>
      </c>
      <c r="D2" s="207">
        <v>2700</v>
      </c>
      <c r="E2" s="207">
        <f t="shared" ref="E2:E9" si="0">C2*D2</f>
        <v>10800</v>
      </c>
      <c r="H2">
        <f>1277*2</f>
        <v>2554</v>
      </c>
    </row>
    <row r="3" spans="1:8">
      <c r="A3" s="207">
        <v>2</v>
      </c>
      <c r="B3" s="207" t="s">
        <v>635</v>
      </c>
      <c r="C3" s="207">
        <v>1</v>
      </c>
      <c r="D3" s="207">
        <v>15000</v>
      </c>
      <c r="E3" s="207">
        <f t="shared" si="0"/>
        <v>15000</v>
      </c>
      <c r="H3">
        <f>7700*2</f>
        <v>15400</v>
      </c>
    </row>
    <row r="4" spans="1:8">
      <c r="A4" s="207">
        <v>3</v>
      </c>
      <c r="B4" s="207" t="s">
        <v>172</v>
      </c>
      <c r="C4" s="207">
        <v>8</v>
      </c>
      <c r="D4" s="207">
        <v>60</v>
      </c>
      <c r="E4" s="207">
        <f t="shared" si="0"/>
        <v>480</v>
      </c>
    </row>
    <row r="5" spans="1:8">
      <c r="A5" s="207">
        <v>4</v>
      </c>
      <c r="B5" s="207" t="s">
        <v>173</v>
      </c>
      <c r="C5" s="207">
        <v>4</v>
      </c>
      <c r="D5" s="207">
        <v>50</v>
      </c>
      <c r="E5" s="207">
        <f t="shared" si="0"/>
        <v>200</v>
      </c>
    </row>
    <row r="6" spans="1:8">
      <c r="A6" s="207">
        <v>5</v>
      </c>
      <c r="B6" s="207" t="s">
        <v>174</v>
      </c>
      <c r="C6" s="207">
        <v>1</v>
      </c>
      <c r="D6" s="207">
        <v>990</v>
      </c>
      <c r="E6" s="207">
        <f t="shared" si="0"/>
        <v>990</v>
      </c>
    </row>
    <row r="7" spans="1:8">
      <c r="A7" s="207">
        <v>6</v>
      </c>
      <c r="B7" s="207" t="s">
        <v>188</v>
      </c>
      <c r="C7" s="207">
        <v>1</v>
      </c>
      <c r="D7" s="207">
        <v>3200</v>
      </c>
      <c r="E7" s="207">
        <f t="shared" si="0"/>
        <v>3200</v>
      </c>
    </row>
    <row r="8" spans="1:8">
      <c r="A8" s="207">
        <v>7</v>
      </c>
      <c r="B8" s="207" t="s">
        <v>175</v>
      </c>
      <c r="C8" s="207">
        <v>4</v>
      </c>
      <c r="D8" s="207">
        <v>100</v>
      </c>
      <c r="E8" s="207">
        <f t="shared" si="0"/>
        <v>400</v>
      </c>
    </row>
    <row r="9" spans="1:8">
      <c r="A9" s="207">
        <v>8</v>
      </c>
      <c r="B9" s="207" t="s">
        <v>86</v>
      </c>
      <c r="C9" s="207">
        <v>1</v>
      </c>
      <c r="D9" s="207">
        <v>2900</v>
      </c>
      <c r="E9" s="207">
        <f t="shared" si="0"/>
        <v>2900</v>
      </c>
    </row>
    <row r="10" spans="1:8">
      <c r="A10" s="273" t="s">
        <v>87</v>
      </c>
      <c r="B10" s="274"/>
      <c r="C10" s="274"/>
      <c r="D10" s="275"/>
      <c r="E10" s="208">
        <f>SUM(E2:E9)</f>
        <v>33970</v>
      </c>
    </row>
    <row r="11" spans="1:8">
      <c r="A11" s="7"/>
      <c r="B11" s="9"/>
      <c r="C11" s="9"/>
      <c r="D11" s="7"/>
      <c r="E11" s="7"/>
    </row>
    <row r="12" spans="1:8">
      <c r="A12" s="76" t="s">
        <v>387</v>
      </c>
      <c r="B12" s="9"/>
      <c r="C12" s="9"/>
      <c r="D12" s="7"/>
      <c r="E12" s="7"/>
    </row>
    <row r="13" spans="1:8">
      <c r="A13" s="7"/>
      <c r="B13" s="9"/>
      <c r="C13" s="9"/>
      <c r="D13" s="7"/>
      <c r="E13" s="7"/>
    </row>
    <row r="14" spans="1:8">
      <c r="A14" s="77" t="s">
        <v>129</v>
      </c>
      <c r="B14" s="9"/>
      <c r="C14" s="9"/>
      <c r="D14" s="7"/>
      <c r="E14" s="7"/>
    </row>
    <row r="15" spans="1:8">
      <c r="A15" s="77" t="s">
        <v>141</v>
      </c>
      <c r="B15" s="9"/>
      <c r="C15" s="9"/>
      <c r="D15" s="7"/>
      <c r="E15" s="7"/>
    </row>
    <row r="16" spans="1:8">
      <c r="A16" s="78" t="s">
        <v>142</v>
      </c>
      <c r="B16" s="9"/>
      <c r="C16" s="9"/>
      <c r="D16" s="7"/>
      <c r="E16" s="7"/>
    </row>
    <row r="17" spans="1:6">
      <c r="A17" t="s">
        <v>634</v>
      </c>
    </row>
    <row r="22" spans="1:6">
      <c r="A22" s="208" t="s">
        <v>79</v>
      </c>
      <c r="B22" s="208" t="s">
        <v>80</v>
      </c>
      <c r="C22" s="208" t="s">
        <v>82</v>
      </c>
    </row>
    <row r="23" spans="1:6" ht="17.399999999999999" customHeight="1">
      <c r="A23" s="207">
        <v>1</v>
      </c>
      <c r="B23" s="24" t="s">
        <v>636</v>
      </c>
      <c r="C23" s="207">
        <v>10000</v>
      </c>
      <c r="F23">
        <f>5000*2</f>
        <v>10000</v>
      </c>
    </row>
    <row r="24" spans="1:6">
      <c r="A24" s="207">
        <v>2</v>
      </c>
      <c r="B24" s="207" t="s">
        <v>637</v>
      </c>
      <c r="C24" s="207"/>
    </row>
    <row r="25" spans="1:6">
      <c r="A25" s="207">
        <v>3</v>
      </c>
      <c r="B25" s="207" t="s">
        <v>638</v>
      </c>
      <c r="C25" s="207"/>
    </row>
    <row r="26" spans="1:6">
      <c r="A26" s="207">
        <v>4</v>
      </c>
      <c r="B26" s="207" t="s">
        <v>117</v>
      </c>
      <c r="C26" s="207">
        <v>6550</v>
      </c>
      <c r="F26">
        <f>6550*2</f>
        <v>13100</v>
      </c>
    </row>
    <row r="27" spans="1:6">
      <c r="A27" s="207">
        <v>5</v>
      </c>
      <c r="B27" s="207" t="s">
        <v>639</v>
      </c>
      <c r="C27" s="207"/>
    </row>
    <row r="28" spans="1:6">
      <c r="A28" s="207">
        <v>6</v>
      </c>
      <c r="B28" s="207" t="s">
        <v>121</v>
      </c>
      <c r="C28" s="207"/>
    </row>
    <row r="29" spans="1:6">
      <c r="A29" s="207">
        <v>7</v>
      </c>
      <c r="B29" s="207" t="s">
        <v>640</v>
      </c>
      <c r="C29" s="207"/>
    </row>
    <row r="30" spans="1:6" ht="26.4">
      <c r="A30" s="207">
        <v>8</v>
      </c>
      <c r="B30" s="207" t="s">
        <v>641</v>
      </c>
      <c r="C30" s="207"/>
    </row>
    <row r="31" spans="1:6">
      <c r="A31" s="207">
        <v>9</v>
      </c>
      <c r="B31" s="207" t="s">
        <v>642</v>
      </c>
      <c r="C31" s="207"/>
    </row>
    <row r="32" spans="1:6" ht="16.8" customHeight="1">
      <c r="A32" s="207">
        <v>10</v>
      </c>
      <c r="B32" s="207" t="s">
        <v>643</v>
      </c>
      <c r="C32" s="207"/>
    </row>
    <row r="33" spans="1:3" ht="17.399999999999999" customHeight="1">
      <c r="A33" s="207">
        <v>11</v>
      </c>
      <c r="B33" s="207" t="s">
        <v>644</v>
      </c>
      <c r="C33" s="207"/>
    </row>
  </sheetData>
  <mergeCells count="1">
    <mergeCell ref="A10:D10"/>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23" sqref="H23"/>
    </sheetView>
  </sheetViews>
  <sheetFormatPr defaultRowHeight="14.4"/>
  <cols>
    <col min="2" max="2" width="30.44140625" customWidth="1"/>
  </cols>
  <sheetData>
    <row r="1" spans="1:8" s="33" customFormat="1">
      <c r="A1" s="210" t="s">
        <v>79</v>
      </c>
      <c r="B1" s="210" t="s">
        <v>80</v>
      </c>
      <c r="C1" s="210" t="s">
        <v>81</v>
      </c>
      <c r="D1" s="210" t="s">
        <v>82</v>
      </c>
      <c r="E1" s="210" t="s">
        <v>83</v>
      </c>
    </row>
    <row r="2" spans="1:8" s="33" customFormat="1">
      <c r="A2" s="209">
        <v>1</v>
      </c>
      <c r="B2" s="209" t="s">
        <v>645</v>
      </c>
      <c r="C2" s="209">
        <v>5</v>
      </c>
      <c r="D2" s="209">
        <v>1900</v>
      </c>
      <c r="E2" s="209">
        <f t="shared" ref="E2:E10" si="0">C2*D2</f>
        <v>9500</v>
      </c>
      <c r="H2" s="33">
        <f>950*2</f>
        <v>1900</v>
      </c>
    </row>
    <row r="3" spans="1:8" s="33" customFormat="1">
      <c r="A3" s="209">
        <v>2</v>
      </c>
      <c r="B3" s="209" t="s">
        <v>646</v>
      </c>
      <c r="C3" s="209">
        <v>6</v>
      </c>
      <c r="D3" s="209">
        <v>1800</v>
      </c>
      <c r="E3" s="209">
        <f t="shared" si="0"/>
        <v>10800</v>
      </c>
      <c r="H3" s="33">
        <f>890*2</f>
        <v>1780</v>
      </c>
    </row>
    <row r="4" spans="1:8" s="33" customFormat="1" ht="26.4">
      <c r="A4" s="209">
        <v>3</v>
      </c>
      <c r="B4" s="209" t="s">
        <v>647</v>
      </c>
      <c r="C4" s="209">
        <v>1</v>
      </c>
      <c r="D4" s="209">
        <v>15000</v>
      </c>
      <c r="E4" s="209">
        <f t="shared" si="0"/>
        <v>15000</v>
      </c>
      <c r="H4" s="33">
        <f>7700*2</f>
        <v>15400</v>
      </c>
    </row>
    <row r="5" spans="1:8" s="33" customFormat="1">
      <c r="A5" s="209">
        <v>4</v>
      </c>
      <c r="B5" s="209" t="s">
        <v>172</v>
      </c>
      <c r="C5" s="209">
        <v>22</v>
      </c>
      <c r="D5" s="209">
        <v>60</v>
      </c>
      <c r="E5" s="209">
        <f t="shared" si="0"/>
        <v>1320</v>
      </c>
    </row>
    <row r="6" spans="1:8" s="33" customFormat="1">
      <c r="A6" s="209">
        <v>5</v>
      </c>
      <c r="B6" s="209" t="s">
        <v>173</v>
      </c>
      <c r="C6" s="209">
        <v>11</v>
      </c>
      <c r="D6" s="209">
        <v>50</v>
      </c>
      <c r="E6" s="209">
        <f t="shared" si="0"/>
        <v>550</v>
      </c>
    </row>
    <row r="7" spans="1:8" s="33" customFormat="1">
      <c r="A7" s="209">
        <v>6</v>
      </c>
      <c r="B7" s="209" t="s">
        <v>174</v>
      </c>
      <c r="C7" s="209">
        <v>1</v>
      </c>
      <c r="D7" s="209">
        <v>900</v>
      </c>
      <c r="E7" s="209">
        <f t="shared" si="0"/>
        <v>900</v>
      </c>
    </row>
    <row r="8" spans="1:8" s="33" customFormat="1" ht="26.4">
      <c r="A8" s="209">
        <v>7</v>
      </c>
      <c r="B8" s="209" t="s">
        <v>136</v>
      </c>
      <c r="C8" s="209">
        <v>1</v>
      </c>
      <c r="D8" s="209">
        <v>4200</v>
      </c>
      <c r="E8" s="209">
        <f t="shared" si="0"/>
        <v>4200</v>
      </c>
      <c r="H8" s="33">
        <f>4090*2</f>
        <v>8180</v>
      </c>
    </row>
    <row r="9" spans="1:8" s="33" customFormat="1">
      <c r="A9" s="209">
        <v>8</v>
      </c>
      <c r="B9" s="209" t="s">
        <v>175</v>
      </c>
      <c r="C9" s="209">
        <v>11</v>
      </c>
      <c r="D9" s="209">
        <v>100</v>
      </c>
      <c r="E9" s="209">
        <f t="shared" si="0"/>
        <v>1100</v>
      </c>
    </row>
    <row r="10" spans="1:8" s="33" customFormat="1" ht="26.4">
      <c r="A10" s="209">
        <v>9</v>
      </c>
      <c r="B10" s="209" t="s">
        <v>86</v>
      </c>
      <c r="C10" s="209">
        <v>1</v>
      </c>
      <c r="D10" s="209">
        <v>5900</v>
      </c>
      <c r="E10" s="209">
        <f t="shared" si="0"/>
        <v>5900</v>
      </c>
    </row>
    <row r="11" spans="1:8" s="33" customFormat="1">
      <c r="A11" s="273" t="s">
        <v>87</v>
      </c>
      <c r="B11" s="274"/>
      <c r="C11" s="274"/>
      <c r="D11" s="275"/>
      <c r="E11" s="210">
        <f>SUM(E2:E10)</f>
        <v>49270</v>
      </c>
    </row>
    <row r="12" spans="1:8">
      <c r="A12" s="7"/>
      <c r="B12" s="9"/>
      <c r="C12" s="9"/>
      <c r="D12" s="7"/>
      <c r="E12" s="7"/>
    </row>
    <row r="13" spans="1:8">
      <c r="A13" s="76" t="s">
        <v>387</v>
      </c>
      <c r="B13" s="9"/>
      <c r="C13" s="9"/>
      <c r="D13" s="7"/>
      <c r="E13" s="7"/>
    </row>
    <row r="14" spans="1:8">
      <c r="A14" s="7"/>
      <c r="B14" s="9"/>
      <c r="C14" s="9"/>
      <c r="D14" s="7"/>
      <c r="E14" s="7"/>
    </row>
    <row r="15" spans="1:8">
      <c r="A15" s="77" t="s">
        <v>129</v>
      </c>
      <c r="B15" s="9"/>
      <c r="C15" s="9"/>
      <c r="D15" s="7"/>
      <c r="E15" s="7"/>
    </row>
    <row r="16" spans="1:8">
      <c r="A16" s="77" t="s">
        <v>141</v>
      </c>
      <c r="B16" s="9"/>
      <c r="C16" s="9"/>
      <c r="D16" s="7"/>
      <c r="E16" s="7"/>
    </row>
    <row r="17" spans="1:5">
      <c r="A17" s="78" t="s">
        <v>180</v>
      </c>
      <c r="B17" s="9"/>
      <c r="C17" s="9"/>
      <c r="D17" s="7"/>
      <c r="E17" s="7"/>
    </row>
    <row r="18" spans="1:5">
      <c r="A18" s="78" t="s">
        <v>181</v>
      </c>
      <c r="B18" s="9"/>
      <c r="C18" s="9"/>
      <c r="D18" s="7"/>
      <c r="E18" s="7"/>
    </row>
  </sheetData>
  <mergeCells count="1">
    <mergeCell ref="A11:D11"/>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topLeftCell="A73" workbookViewId="0">
      <selection activeCell="H92" sqref="H92"/>
    </sheetView>
  </sheetViews>
  <sheetFormatPr defaultRowHeight="14.4"/>
  <cols>
    <col min="2" max="2" width="49.77734375" customWidth="1"/>
  </cols>
  <sheetData>
    <row r="1" spans="1:10">
      <c r="A1" t="s">
        <v>648</v>
      </c>
    </row>
    <row r="2" spans="1:10">
      <c r="A2" s="212" t="s">
        <v>79</v>
      </c>
      <c r="B2" s="212" t="s">
        <v>80</v>
      </c>
      <c r="C2" s="212" t="s">
        <v>81</v>
      </c>
      <c r="D2" s="212" t="s">
        <v>82</v>
      </c>
      <c r="E2" s="212" t="s">
        <v>83</v>
      </c>
    </row>
    <row r="3" spans="1:10" ht="20.399999999999999" customHeight="1">
      <c r="A3" s="211" t="s">
        <v>147</v>
      </c>
      <c r="B3" s="211" t="s">
        <v>582</v>
      </c>
      <c r="C3" s="211">
        <v>4</v>
      </c>
      <c r="D3" s="211">
        <v>2460</v>
      </c>
      <c r="E3" s="211">
        <f t="shared" ref="E3:E10" si="0">C3*D3</f>
        <v>9840</v>
      </c>
      <c r="I3">
        <f>1230*2</f>
        <v>2460</v>
      </c>
    </row>
    <row r="4" spans="1:10" ht="23.4" customHeight="1">
      <c r="A4" s="211" t="s">
        <v>214</v>
      </c>
      <c r="B4" s="211" t="s">
        <v>658</v>
      </c>
      <c r="C4" s="211">
        <v>1</v>
      </c>
      <c r="D4" s="211">
        <v>3800</v>
      </c>
      <c r="E4" s="211">
        <f t="shared" si="0"/>
        <v>3800</v>
      </c>
      <c r="I4">
        <f>1940*2</f>
        <v>3880</v>
      </c>
    </row>
    <row r="5" spans="1:10">
      <c r="A5" s="211">
        <v>3</v>
      </c>
      <c r="B5" s="211" t="s">
        <v>172</v>
      </c>
      <c r="C5" s="211">
        <v>8</v>
      </c>
      <c r="D5" s="211">
        <v>60</v>
      </c>
      <c r="E5" s="211">
        <f t="shared" si="0"/>
        <v>480</v>
      </c>
    </row>
    <row r="6" spans="1:10">
      <c r="A6" s="211">
        <v>4</v>
      </c>
      <c r="B6" s="211" t="s">
        <v>173</v>
      </c>
      <c r="C6" s="211">
        <v>4</v>
      </c>
      <c r="D6" s="211">
        <v>50</v>
      </c>
      <c r="E6" s="211">
        <f t="shared" si="0"/>
        <v>200</v>
      </c>
    </row>
    <row r="7" spans="1:10">
      <c r="A7" s="211">
        <v>5</v>
      </c>
      <c r="B7" s="211" t="s">
        <v>174</v>
      </c>
      <c r="C7" s="211">
        <v>1</v>
      </c>
      <c r="D7" s="211">
        <v>900</v>
      </c>
      <c r="E7" s="211">
        <f t="shared" si="0"/>
        <v>900</v>
      </c>
    </row>
    <row r="8" spans="1:10">
      <c r="A8" s="211">
        <v>6</v>
      </c>
      <c r="B8" s="211" t="s">
        <v>188</v>
      </c>
      <c r="C8" s="211">
        <v>1</v>
      </c>
      <c r="D8" s="211">
        <v>3200</v>
      </c>
      <c r="E8" s="211">
        <f t="shared" si="0"/>
        <v>3200</v>
      </c>
    </row>
    <row r="9" spans="1:10">
      <c r="A9" s="211">
        <v>7</v>
      </c>
      <c r="B9" s="211" t="s">
        <v>175</v>
      </c>
      <c r="C9" s="211">
        <v>4</v>
      </c>
      <c r="D9" s="211">
        <v>100</v>
      </c>
      <c r="E9" s="211">
        <f t="shared" si="0"/>
        <v>400</v>
      </c>
    </row>
    <row r="10" spans="1:10">
      <c r="A10" s="211">
        <v>8</v>
      </c>
      <c r="B10" s="211" t="s">
        <v>86</v>
      </c>
      <c r="C10" s="211">
        <v>1</v>
      </c>
      <c r="D10" s="211">
        <v>2900</v>
      </c>
      <c r="E10" s="211">
        <f t="shared" si="0"/>
        <v>2900</v>
      </c>
    </row>
    <row r="11" spans="1:10">
      <c r="A11" s="273" t="s">
        <v>87</v>
      </c>
      <c r="B11" s="274"/>
      <c r="C11" s="274"/>
      <c r="D11" s="275"/>
      <c r="E11" s="212">
        <f>SUM(E3:E10)</f>
        <v>21720</v>
      </c>
    </row>
    <row r="12" spans="1:10">
      <c r="A12" s="5"/>
      <c r="B12" s="5"/>
      <c r="C12" s="5"/>
      <c r="D12" s="5"/>
      <c r="E12" s="5"/>
    </row>
    <row r="13" spans="1:10">
      <c r="A13" s="7" t="s">
        <v>650</v>
      </c>
      <c r="B13" s="9"/>
      <c r="C13" s="9"/>
      <c r="D13" s="7"/>
      <c r="E13" s="7"/>
    </row>
    <row r="14" spans="1:10">
      <c r="A14" s="7" t="s">
        <v>651</v>
      </c>
      <c r="B14" s="9"/>
      <c r="C14" s="9"/>
      <c r="D14" s="7"/>
      <c r="E14" s="7"/>
      <c r="I14">
        <f>1940*2</f>
        <v>3880</v>
      </c>
    </row>
    <row r="15" spans="1:10">
      <c r="A15" s="7" t="s">
        <v>659</v>
      </c>
      <c r="B15" s="9"/>
      <c r="C15" s="9"/>
      <c r="D15" s="7"/>
      <c r="E15" s="7"/>
      <c r="J15">
        <f>4100*2</f>
        <v>8200</v>
      </c>
    </row>
    <row r="16" spans="1:10">
      <c r="A16" s="7"/>
      <c r="B16" s="9"/>
      <c r="C16" s="9"/>
      <c r="D16" s="7"/>
      <c r="E16" s="7"/>
    </row>
    <row r="17" spans="1:9">
      <c r="A17" s="76" t="s">
        <v>387</v>
      </c>
      <c r="B17" s="9"/>
      <c r="C17" s="9"/>
      <c r="D17" s="7"/>
      <c r="E17" s="7"/>
    </row>
    <row r="18" spans="1:9">
      <c r="A18" s="7"/>
      <c r="B18" s="9"/>
      <c r="C18" s="9"/>
      <c r="D18" s="7"/>
      <c r="E18" s="7"/>
    </row>
    <row r="19" spans="1:9">
      <c r="A19" s="77" t="s">
        <v>129</v>
      </c>
      <c r="B19" s="9"/>
      <c r="C19" s="9"/>
      <c r="D19" s="7"/>
      <c r="E19" s="7"/>
    </row>
    <row r="20" spans="1:9">
      <c r="A20" s="77" t="s">
        <v>141</v>
      </c>
      <c r="B20" s="9"/>
      <c r="C20" s="9"/>
      <c r="D20" s="7"/>
      <c r="E20" s="7"/>
    </row>
    <row r="21" spans="1:9">
      <c r="A21" s="78" t="s">
        <v>180</v>
      </c>
      <c r="B21" s="9"/>
      <c r="C21" s="9"/>
      <c r="D21" s="7"/>
      <c r="E21" s="7"/>
    </row>
    <row r="22" spans="1:9">
      <c r="A22" s="78" t="s">
        <v>181</v>
      </c>
      <c r="B22" s="9"/>
      <c r="C22" s="9"/>
      <c r="D22" s="7"/>
      <c r="E22" s="7"/>
    </row>
    <row r="25" spans="1:9">
      <c r="A25" t="s">
        <v>649</v>
      </c>
    </row>
    <row r="26" spans="1:9">
      <c r="A26" s="212" t="s">
        <v>79</v>
      </c>
      <c r="B26" s="212" t="s">
        <v>80</v>
      </c>
      <c r="C26" s="212" t="s">
        <v>81</v>
      </c>
      <c r="D26" s="212" t="s">
        <v>82</v>
      </c>
      <c r="E26" s="212" t="s">
        <v>83</v>
      </c>
    </row>
    <row r="27" spans="1:9">
      <c r="A27" s="211" t="s">
        <v>147</v>
      </c>
      <c r="B27" s="211" t="s">
        <v>550</v>
      </c>
      <c r="C27" s="211">
        <v>4</v>
      </c>
      <c r="D27" s="211">
        <v>1800</v>
      </c>
      <c r="E27" s="211">
        <f t="shared" ref="E27:E34" si="1">C27*D27</f>
        <v>7200</v>
      </c>
      <c r="I27">
        <f>900*2</f>
        <v>1800</v>
      </c>
    </row>
    <row r="28" spans="1:9">
      <c r="A28" s="211">
        <v>2</v>
      </c>
      <c r="B28" s="211" t="s">
        <v>652</v>
      </c>
      <c r="C28" s="211">
        <v>1</v>
      </c>
      <c r="D28" s="211">
        <v>10440</v>
      </c>
      <c r="E28" s="211">
        <f t="shared" si="1"/>
        <v>10440</v>
      </c>
      <c r="I28">
        <f>5220*2</f>
        <v>10440</v>
      </c>
    </row>
    <row r="29" spans="1:9">
      <c r="A29" s="211">
        <v>3</v>
      </c>
      <c r="B29" s="211" t="s">
        <v>172</v>
      </c>
      <c r="C29" s="211">
        <v>8</v>
      </c>
      <c r="D29" s="211">
        <v>60</v>
      </c>
      <c r="E29" s="211">
        <f t="shared" si="1"/>
        <v>480</v>
      </c>
    </row>
    <row r="30" spans="1:9">
      <c r="A30" s="211">
        <v>4</v>
      </c>
      <c r="B30" s="211" t="s">
        <v>173</v>
      </c>
      <c r="C30" s="211">
        <v>4</v>
      </c>
      <c r="D30" s="211">
        <v>50</v>
      </c>
      <c r="E30" s="211">
        <f t="shared" si="1"/>
        <v>200</v>
      </c>
    </row>
    <row r="31" spans="1:9">
      <c r="A31" s="211">
        <v>5</v>
      </c>
      <c r="B31" s="211" t="s">
        <v>174</v>
      </c>
      <c r="C31" s="211">
        <v>1</v>
      </c>
      <c r="D31" s="211">
        <v>900</v>
      </c>
      <c r="E31" s="211">
        <f t="shared" si="1"/>
        <v>900</v>
      </c>
    </row>
    <row r="32" spans="1:9">
      <c r="A32" s="211">
        <v>6</v>
      </c>
      <c r="B32" s="211" t="s">
        <v>188</v>
      </c>
      <c r="C32" s="211">
        <v>1</v>
      </c>
      <c r="D32" s="211">
        <v>3200</v>
      </c>
      <c r="E32" s="211">
        <f t="shared" si="1"/>
        <v>3200</v>
      </c>
    </row>
    <row r="33" spans="1:9">
      <c r="A33" s="211">
        <v>7</v>
      </c>
      <c r="B33" s="211" t="s">
        <v>175</v>
      </c>
      <c r="C33" s="211">
        <v>4</v>
      </c>
      <c r="D33" s="211">
        <v>100</v>
      </c>
      <c r="E33" s="211">
        <f t="shared" si="1"/>
        <v>400</v>
      </c>
    </row>
    <row r="34" spans="1:9">
      <c r="A34" s="211">
        <v>8</v>
      </c>
      <c r="B34" s="211" t="s">
        <v>86</v>
      </c>
      <c r="C34" s="211">
        <v>1</v>
      </c>
      <c r="D34" s="211">
        <v>2900</v>
      </c>
      <c r="E34" s="211">
        <f t="shared" si="1"/>
        <v>2900</v>
      </c>
    </row>
    <row r="35" spans="1:9">
      <c r="A35" s="273" t="s">
        <v>87</v>
      </c>
      <c r="B35" s="274"/>
      <c r="C35" s="274"/>
      <c r="D35" s="275"/>
      <c r="E35" s="212">
        <f>SUM(E27:E34)</f>
        <v>25720</v>
      </c>
    </row>
    <row r="36" spans="1:9">
      <c r="A36" s="5"/>
      <c r="B36" s="5"/>
      <c r="C36" s="5"/>
      <c r="D36" s="5"/>
      <c r="E36" s="5"/>
    </row>
    <row r="37" spans="1:9">
      <c r="A37" s="7" t="s">
        <v>650</v>
      </c>
      <c r="B37" s="5"/>
      <c r="C37" s="5"/>
      <c r="D37" s="5"/>
      <c r="E37" s="5"/>
    </row>
    <row r="38" spans="1:9">
      <c r="A38" s="7" t="s">
        <v>657</v>
      </c>
      <c r="B38" s="5"/>
      <c r="C38" s="5"/>
      <c r="D38" s="5"/>
      <c r="E38" s="5"/>
      <c r="I38">
        <f>1960*2</f>
        <v>3920</v>
      </c>
    </row>
    <row r="39" spans="1:9">
      <c r="A39" s="5"/>
      <c r="B39" s="5"/>
      <c r="C39" s="5"/>
      <c r="D39" s="5"/>
      <c r="E39" s="5"/>
    </row>
    <row r="40" spans="1:9">
      <c r="A40" s="76" t="s">
        <v>387</v>
      </c>
      <c r="B40" s="9"/>
      <c r="C40" s="9"/>
      <c r="D40" s="7"/>
      <c r="E40" s="7"/>
    </row>
    <row r="41" spans="1:9">
      <c r="A41" s="7"/>
      <c r="B41" s="9"/>
      <c r="C41" s="9"/>
      <c r="D41" s="7"/>
      <c r="E41" s="7"/>
    </row>
    <row r="42" spans="1:9">
      <c r="A42" s="77" t="s">
        <v>129</v>
      </c>
      <c r="B42" s="9"/>
      <c r="C42" s="9"/>
      <c r="D42" s="7"/>
      <c r="E42" s="7"/>
    </row>
    <row r="43" spans="1:9">
      <c r="A43" s="77" t="s">
        <v>141</v>
      </c>
      <c r="B43" s="9"/>
      <c r="C43" s="9"/>
      <c r="D43" s="7"/>
      <c r="E43" s="7"/>
    </row>
    <row r="44" spans="1:9">
      <c r="A44" s="78" t="s">
        <v>180</v>
      </c>
      <c r="B44" s="9"/>
      <c r="C44" s="9"/>
      <c r="D44" s="7"/>
      <c r="E44" s="7"/>
    </row>
    <row r="45" spans="1:9">
      <c r="A45" s="78" t="s">
        <v>181</v>
      </c>
      <c r="B45" s="9"/>
      <c r="C45" s="9"/>
      <c r="D45" s="7"/>
      <c r="E45" s="7"/>
    </row>
    <row r="46" spans="1:9">
      <c r="A46" s="6" t="s">
        <v>162</v>
      </c>
      <c r="B46" s="75"/>
      <c r="C46" s="75"/>
      <c r="D46" s="75"/>
      <c r="E46" s="75"/>
    </row>
    <row r="50" spans="1:8">
      <c r="A50" t="s">
        <v>653</v>
      </c>
    </row>
    <row r="51" spans="1:8">
      <c r="A51" s="212" t="s">
        <v>79</v>
      </c>
      <c r="B51" s="212" t="s">
        <v>80</v>
      </c>
      <c r="C51" s="212" t="s">
        <v>81</v>
      </c>
      <c r="D51" s="212" t="s">
        <v>82</v>
      </c>
      <c r="E51" s="212" t="s">
        <v>83</v>
      </c>
    </row>
    <row r="52" spans="1:8">
      <c r="A52" s="211" t="s">
        <v>147</v>
      </c>
      <c r="B52" s="24" t="s">
        <v>434</v>
      </c>
      <c r="C52" s="211">
        <v>4</v>
      </c>
      <c r="D52" s="211">
        <v>4200</v>
      </c>
      <c r="E52" s="211">
        <f t="shared" ref="E52:E58" si="2">C52*D52</f>
        <v>16800</v>
      </c>
      <c r="H52">
        <f>2450*2</f>
        <v>4900</v>
      </c>
    </row>
    <row r="53" spans="1:8">
      <c r="A53" s="211" t="s">
        <v>214</v>
      </c>
      <c r="B53" s="211" t="s">
        <v>137</v>
      </c>
      <c r="C53" s="211">
        <v>1</v>
      </c>
      <c r="D53" s="211">
        <v>8800</v>
      </c>
      <c r="E53" s="211">
        <f t="shared" si="2"/>
        <v>8800</v>
      </c>
      <c r="H53">
        <f>4410*2</f>
        <v>8820</v>
      </c>
    </row>
    <row r="54" spans="1:8">
      <c r="A54" s="211">
        <v>3</v>
      </c>
      <c r="B54" s="211" t="s">
        <v>188</v>
      </c>
      <c r="C54" s="211">
        <v>1</v>
      </c>
      <c r="D54" s="211">
        <v>3200</v>
      </c>
      <c r="E54" s="211">
        <f t="shared" si="2"/>
        <v>3200</v>
      </c>
    </row>
    <row r="55" spans="1:8" ht="26.4">
      <c r="A55" s="211">
        <v>4</v>
      </c>
      <c r="B55" s="211" t="s">
        <v>389</v>
      </c>
      <c r="C55" s="211">
        <v>1</v>
      </c>
      <c r="D55" s="211">
        <v>9600</v>
      </c>
      <c r="E55" s="211">
        <f t="shared" si="2"/>
        <v>9600</v>
      </c>
    </row>
    <row r="56" spans="1:8">
      <c r="A56" s="211">
        <v>5</v>
      </c>
      <c r="B56" s="211" t="s">
        <v>116</v>
      </c>
      <c r="C56" s="211">
        <v>10</v>
      </c>
      <c r="D56" s="211">
        <v>150</v>
      </c>
      <c r="E56" s="211">
        <f t="shared" si="2"/>
        <v>1500</v>
      </c>
    </row>
    <row r="57" spans="1:8">
      <c r="A57" s="211">
        <v>6</v>
      </c>
      <c r="B57" s="211" t="s">
        <v>175</v>
      </c>
      <c r="C57" s="211">
        <v>4</v>
      </c>
      <c r="D57" s="211">
        <v>100</v>
      </c>
      <c r="E57" s="211">
        <f t="shared" si="2"/>
        <v>400</v>
      </c>
    </row>
    <row r="58" spans="1:8">
      <c r="A58" s="211">
        <v>7</v>
      </c>
      <c r="B58" s="211" t="s">
        <v>86</v>
      </c>
      <c r="C58" s="211">
        <v>1</v>
      </c>
      <c r="D58" s="211">
        <v>2900</v>
      </c>
      <c r="E58" s="211">
        <f t="shared" si="2"/>
        <v>2900</v>
      </c>
    </row>
    <row r="59" spans="1:8">
      <c r="A59" s="273" t="s">
        <v>87</v>
      </c>
      <c r="B59" s="274"/>
      <c r="C59" s="274"/>
      <c r="D59" s="275"/>
      <c r="E59" s="212">
        <f>SUM(E52:E58)</f>
        <v>43200</v>
      </c>
    </row>
    <row r="60" spans="1:8">
      <c r="A60" s="5"/>
      <c r="B60" s="5"/>
      <c r="C60" s="5"/>
      <c r="D60" s="5"/>
      <c r="E60" s="5"/>
    </row>
    <row r="61" spans="1:8">
      <c r="A61" s="7" t="s">
        <v>650</v>
      </c>
      <c r="B61" s="5"/>
      <c r="C61" s="5"/>
      <c r="D61" s="5"/>
      <c r="E61" s="5"/>
    </row>
    <row r="62" spans="1:8">
      <c r="A62" s="7" t="s">
        <v>660</v>
      </c>
      <c r="B62" s="5"/>
      <c r="C62" s="5"/>
      <c r="D62" s="5"/>
      <c r="E62" s="5"/>
      <c r="H62">
        <f>4040*2</f>
        <v>8080</v>
      </c>
    </row>
    <row r="63" spans="1:8">
      <c r="B63" s="5"/>
      <c r="C63" s="5"/>
      <c r="D63" s="5"/>
      <c r="E63" s="5"/>
    </row>
    <row r="64" spans="1:8">
      <c r="A64" s="6" t="s">
        <v>470</v>
      </c>
      <c r="B64" s="75"/>
      <c r="C64" s="75"/>
      <c r="D64" s="75"/>
      <c r="E64" s="75"/>
    </row>
    <row r="65" spans="1:8">
      <c r="A65" s="6"/>
      <c r="B65" s="75"/>
      <c r="C65" s="75"/>
      <c r="D65" s="75"/>
      <c r="E65" s="75"/>
    </row>
    <row r="66" spans="1:8">
      <c r="A66" s="6" t="s">
        <v>129</v>
      </c>
      <c r="B66" s="75"/>
      <c r="C66" s="75"/>
      <c r="D66" s="75"/>
      <c r="E66" s="75"/>
    </row>
    <row r="67" spans="1:8">
      <c r="A67" s="6" t="s">
        <v>141</v>
      </c>
      <c r="B67" s="75"/>
      <c r="C67" s="75"/>
      <c r="D67" s="75"/>
      <c r="E67" s="75"/>
    </row>
    <row r="68" spans="1:8">
      <c r="A68" s="6" t="s">
        <v>142</v>
      </c>
      <c r="B68" s="75"/>
      <c r="C68" s="75"/>
      <c r="D68" s="75"/>
      <c r="E68" s="75"/>
    </row>
    <row r="69" spans="1:8">
      <c r="A69" s="6" t="s">
        <v>161</v>
      </c>
      <c r="B69" s="75"/>
      <c r="C69" s="75"/>
      <c r="D69" s="75"/>
      <c r="E69" s="75"/>
    </row>
    <row r="70" spans="1:8">
      <c r="A70" s="6" t="s">
        <v>162</v>
      </c>
      <c r="B70" s="75"/>
      <c r="C70" s="75"/>
      <c r="D70" s="75"/>
      <c r="E70" s="75"/>
    </row>
    <row r="73" spans="1:8">
      <c r="A73" t="s">
        <v>654</v>
      </c>
    </row>
    <row r="74" spans="1:8">
      <c r="A74" s="212" t="s">
        <v>79</v>
      </c>
      <c r="B74" s="212" t="s">
        <v>80</v>
      </c>
      <c r="C74" s="212" t="s">
        <v>81</v>
      </c>
      <c r="D74" s="212" t="s">
        <v>82</v>
      </c>
      <c r="E74" s="212" t="s">
        <v>83</v>
      </c>
    </row>
    <row r="75" spans="1:8">
      <c r="A75" s="211" t="s">
        <v>147</v>
      </c>
      <c r="B75" s="24" t="s">
        <v>655</v>
      </c>
      <c r="C75" s="211">
        <v>4</v>
      </c>
      <c r="D75" s="211">
        <v>4300</v>
      </c>
      <c r="E75" s="211">
        <f t="shared" ref="E75:E81" si="3">C75*D75</f>
        <v>17200</v>
      </c>
      <c r="H75">
        <f>2150*2</f>
        <v>4300</v>
      </c>
    </row>
    <row r="76" spans="1:8">
      <c r="A76" s="211">
        <v>2</v>
      </c>
      <c r="B76" s="211" t="s">
        <v>472</v>
      </c>
      <c r="C76" s="211">
        <v>1</v>
      </c>
      <c r="D76" s="211">
        <v>11350</v>
      </c>
      <c r="E76" s="211">
        <f t="shared" si="3"/>
        <v>11350</v>
      </c>
      <c r="H76">
        <f>5675*2</f>
        <v>11350</v>
      </c>
    </row>
    <row r="77" spans="1:8">
      <c r="A77" s="211">
        <v>3</v>
      </c>
      <c r="B77" s="211" t="s">
        <v>188</v>
      </c>
      <c r="C77" s="211">
        <v>1</v>
      </c>
      <c r="D77" s="211">
        <v>3200</v>
      </c>
      <c r="E77" s="211">
        <f t="shared" si="3"/>
        <v>3200</v>
      </c>
    </row>
    <row r="78" spans="1:8" ht="26.4">
      <c r="A78" s="211">
        <v>4</v>
      </c>
      <c r="B78" s="211" t="s">
        <v>389</v>
      </c>
      <c r="C78" s="211">
        <v>1</v>
      </c>
      <c r="D78" s="211">
        <v>9600</v>
      </c>
      <c r="E78" s="211">
        <f t="shared" si="3"/>
        <v>9600</v>
      </c>
    </row>
    <row r="79" spans="1:8">
      <c r="A79" s="211">
        <v>5</v>
      </c>
      <c r="B79" s="211" t="s">
        <v>116</v>
      </c>
      <c r="C79" s="211">
        <v>10</v>
      </c>
      <c r="D79" s="211">
        <v>150</v>
      </c>
      <c r="E79" s="211">
        <f t="shared" si="3"/>
        <v>1500</v>
      </c>
    </row>
    <row r="80" spans="1:8">
      <c r="A80" s="211">
        <v>6</v>
      </c>
      <c r="B80" s="211" t="s">
        <v>175</v>
      </c>
      <c r="C80" s="211">
        <v>4</v>
      </c>
      <c r="D80" s="211">
        <v>100</v>
      </c>
      <c r="E80" s="211">
        <f t="shared" si="3"/>
        <v>400</v>
      </c>
    </row>
    <row r="81" spans="1:8">
      <c r="A81" s="211">
        <v>7</v>
      </c>
      <c r="B81" s="211" t="s">
        <v>86</v>
      </c>
      <c r="C81" s="211">
        <v>1</v>
      </c>
      <c r="D81" s="211">
        <v>2900</v>
      </c>
      <c r="E81" s="211">
        <f t="shared" si="3"/>
        <v>2900</v>
      </c>
    </row>
    <row r="82" spans="1:8">
      <c r="A82" s="273" t="s">
        <v>87</v>
      </c>
      <c r="B82" s="274"/>
      <c r="C82" s="274"/>
      <c r="D82" s="275"/>
      <c r="E82" s="212">
        <f>SUM(E75:E81)</f>
        <v>46150</v>
      </c>
    </row>
    <row r="83" spans="1:8">
      <c r="A83" s="5"/>
      <c r="B83" s="5"/>
      <c r="C83" s="5"/>
      <c r="D83" s="5"/>
      <c r="E83" s="5"/>
    </row>
    <row r="84" spans="1:8">
      <c r="A84" s="7" t="s">
        <v>650</v>
      </c>
      <c r="B84" s="5"/>
      <c r="C84" s="5"/>
      <c r="D84" s="5"/>
      <c r="E84" s="5"/>
    </row>
    <row r="85" spans="1:8">
      <c r="A85" s="7" t="s">
        <v>656</v>
      </c>
      <c r="B85" s="5"/>
      <c r="C85" s="5"/>
      <c r="D85" s="5"/>
      <c r="E85" s="5"/>
      <c r="H85">
        <f>3955*2</f>
        <v>7910</v>
      </c>
    </row>
    <row r="86" spans="1:8">
      <c r="A86" s="5"/>
      <c r="B86" s="5"/>
      <c r="C86" s="5"/>
      <c r="D86" s="5"/>
      <c r="E86" s="5"/>
    </row>
    <row r="87" spans="1:8">
      <c r="A87" s="6" t="s">
        <v>470</v>
      </c>
      <c r="B87" s="75"/>
      <c r="C87" s="75"/>
      <c r="D87" s="75"/>
      <c r="E87" s="75"/>
    </row>
    <row r="88" spans="1:8">
      <c r="A88" s="6"/>
      <c r="B88" s="75"/>
      <c r="C88" s="75"/>
      <c r="D88" s="75"/>
      <c r="E88" s="75"/>
    </row>
    <row r="89" spans="1:8">
      <c r="A89" s="6" t="s">
        <v>129</v>
      </c>
      <c r="B89" s="75"/>
      <c r="C89" s="75"/>
      <c r="D89" s="75"/>
      <c r="E89" s="75"/>
    </row>
    <row r="90" spans="1:8">
      <c r="A90" s="6" t="s">
        <v>141</v>
      </c>
      <c r="B90" s="75"/>
      <c r="C90" s="75"/>
      <c r="D90" s="75"/>
      <c r="E90" s="75"/>
    </row>
    <row r="91" spans="1:8">
      <c r="A91" s="6" t="s">
        <v>142</v>
      </c>
      <c r="B91" s="75"/>
      <c r="C91" s="75"/>
      <c r="D91" s="75"/>
      <c r="E91" s="75"/>
    </row>
    <row r="92" spans="1:8">
      <c r="A92" s="6" t="s">
        <v>161</v>
      </c>
      <c r="B92" s="75"/>
      <c r="C92" s="75"/>
      <c r="D92" s="75"/>
      <c r="E92" s="75"/>
    </row>
    <row r="93" spans="1:8">
      <c r="A93" s="6" t="s">
        <v>162</v>
      </c>
      <c r="B93" s="75"/>
      <c r="C93" s="75"/>
      <c r="D93" s="75"/>
      <c r="E93" s="75"/>
    </row>
  </sheetData>
  <mergeCells count="4">
    <mergeCell ref="A11:D11"/>
    <mergeCell ref="A35:D35"/>
    <mergeCell ref="A59:D59"/>
    <mergeCell ref="A82:D8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7"/>
  <sheetViews>
    <sheetView workbookViewId="0">
      <selection activeCell="G21" sqref="G21"/>
    </sheetView>
  </sheetViews>
  <sheetFormatPr defaultRowHeight="14.4"/>
  <cols>
    <col min="1" max="1" width="8.88671875" style="42"/>
    <col min="2" max="2" width="53.77734375" style="42" customWidth="1"/>
    <col min="3" max="3" width="14.5546875" style="42" customWidth="1"/>
    <col min="4" max="8" width="8.88671875" style="42"/>
    <col min="9" max="10" width="8.88671875" style="42" customWidth="1"/>
    <col min="11" max="16384" width="8.88671875" style="42"/>
  </cols>
  <sheetData>
    <row r="1" spans="1:7">
      <c r="A1" s="42" t="s">
        <v>127</v>
      </c>
    </row>
    <row r="2" spans="1:7">
      <c r="A2" s="216" t="s">
        <v>698</v>
      </c>
      <c r="B2" s="216" t="s">
        <v>80</v>
      </c>
      <c r="C2" s="216" t="s">
        <v>81</v>
      </c>
      <c r="D2" s="216" t="s">
        <v>82</v>
      </c>
      <c r="E2" s="216" t="s">
        <v>83</v>
      </c>
    </row>
    <row r="3" spans="1:7" ht="16.2" customHeight="1">
      <c r="A3" s="217">
        <v>1</v>
      </c>
      <c r="B3" s="217" t="s">
        <v>582</v>
      </c>
      <c r="C3" s="217">
        <v>5</v>
      </c>
      <c r="D3" s="217">
        <v>1990</v>
      </c>
      <c r="E3" s="217">
        <f t="shared" ref="E3:E12" si="0">C3*D3</f>
        <v>9950</v>
      </c>
    </row>
    <row r="4" spans="1:7" ht="17.399999999999999" customHeight="1">
      <c r="A4" s="217">
        <v>2</v>
      </c>
      <c r="B4" s="217" t="s">
        <v>178</v>
      </c>
      <c r="C4" s="217">
        <v>1</v>
      </c>
      <c r="D4" s="217">
        <v>5800</v>
      </c>
      <c r="E4" s="217">
        <f t="shared" si="0"/>
        <v>5800</v>
      </c>
      <c r="G4" s="42">
        <f>2900*2</f>
        <v>5800</v>
      </c>
    </row>
    <row r="5" spans="1:7" ht="15" customHeight="1">
      <c r="A5" s="217">
        <v>3</v>
      </c>
      <c r="B5" s="217" t="s">
        <v>172</v>
      </c>
      <c r="C5" s="217">
        <v>10</v>
      </c>
      <c r="D5" s="217">
        <v>60</v>
      </c>
      <c r="E5" s="217">
        <f t="shared" si="0"/>
        <v>600</v>
      </c>
    </row>
    <row r="6" spans="1:7">
      <c r="A6" s="217">
        <v>4</v>
      </c>
      <c r="B6" s="217" t="s">
        <v>173</v>
      </c>
      <c r="C6" s="217">
        <v>5</v>
      </c>
      <c r="D6" s="217">
        <v>50</v>
      </c>
      <c r="E6" s="217">
        <f t="shared" si="0"/>
        <v>250</v>
      </c>
    </row>
    <row r="7" spans="1:7">
      <c r="A7" s="217">
        <v>5</v>
      </c>
      <c r="B7" s="217" t="s">
        <v>174</v>
      </c>
      <c r="C7" s="217">
        <v>1</v>
      </c>
      <c r="D7" s="217">
        <v>1800</v>
      </c>
      <c r="E7" s="217">
        <f t="shared" si="0"/>
        <v>1800</v>
      </c>
    </row>
    <row r="8" spans="1:7">
      <c r="A8" s="217">
        <v>6</v>
      </c>
      <c r="B8" s="219" t="s">
        <v>136</v>
      </c>
      <c r="C8" s="219">
        <v>1</v>
      </c>
      <c r="D8" s="219">
        <v>5490</v>
      </c>
      <c r="E8" s="217">
        <f t="shared" si="0"/>
        <v>5490</v>
      </c>
    </row>
    <row r="9" spans="1:7">
      <c r="A9" s="217">
        <v>7</v>
      </c>
      <c r="B9" s="217" t="s">
        <v>175</v>
      </c>
      <c r="C9" s="217">
        <v>5</v>
      </c>
      <c r="D9" s="217">
        <v>100</v>
      </c>
      <c r="E9" s="217">
        <f t="shared" si="0"/>
        <v>500</v>
      </c>
    </row>
    <row r="10" spans="1:7">
      <c r="A10" s="217">
        <v>8</v>
      </c>
      <c r="B10" s="217" t="s">
        <v>661</v>
      </c>
      <c r="C10" s="217">
        <v>1</v>
      </c>
      <c r="D10" s="217">
        <v>2900</v>
      </c>
      <c r="E10" s="217">
        <f t="shared" si="0"/>
        <v>2900</v>
      </c>
    </row>
    <row r="11" spans="1:7">
      <c r="A11" s="217">
        <v>9</v>
      </c>
      <c r="B11" s="217" t="s">
        <v>667</v>
      </c>
      <c r="C11" s="217">
        <v>300</v>
      </c>
      <c r="D11" s="217">
        <v>27</v>
      </c>
      <c r="E11" s="217">
        <f t="shared" si="0"/>
        <v>8100</v>
      </c>
    </row>
    <row r="12" spans="1:7">
      <c r="A12" s="217">
        <v>10</v>
      </c>
      <c r="B12" s="217" t="s">
        <v>86</v>
      </c>
      <c r="C12" s="217">
        <v>1</v>
      </c>
      <c r="D12" s="217">
        <v>4000</v>
      </c>
      <c r="E12" s="217">
        <f t="shared" si="0"/>
        <v>4000</v>
      </c>
    </row>
    <row r="13" spans="1:7">
      <c r="A13" s="356" t="s">
        <v>668</v>
      </c>
      <c r="B13" s="357"/>
      <c r="C13" s="357"/>
      <c r="D13" s="358"/>
      <c r="E13" s="216">
        <f>SUM(E3:E12)</f>
        <v>39390</v>
      </c>
      <c r="G13" s="42">
        <f>E13*1.18</f>
        <v>46480.2</v>
      </c>
    </row>
    <row r="14" spans="1:7">
      <c r="A14" s="75"/>
      <c r="B14" s="9"/>
      <c r="C14" s="9"/>
      <c r="D14" s="75"/>
      <c r="E14" s="75"/>
    </row>
    <row r="15" spans="1:7" ht="27" customHeight="1">
      <c r="A15" s="220" t="s">
        <v>669</v>
      </c>
      <c r="B15" s="220" t="s">
        <v>670</v>
      </c>
      <c r="C15" s="220" t="s">
        <v>671</v>
      </c>
      <c r="D15" s="75"/>
      <c r="E15" s="75"/>
    </row>
    <row r="16" spans="1:7">
      <c r="A16" s="222">
        <f>E13*9%</f>
        <v>3545.1</v>
      </c>
      <c r="B16" s="222">
        <f>E13*9%</f>
        <v>3545.1</v>
      </c>
      <c r="C16" s="223">
        <f>E13+A16+B16</f>
        <v>46480.2</v>
      </c>
      <c r="D16" s="75"/>
      <c r="E16" s="75"/>
    </row>
    <row r="17" spans="1:8">
      <c r="A17" s="75"/>
      <c r="B17" s="221" t="s">
        <v>672</v>
      </c>
      <c r="C17" s="9"/>
      <c r="D17" s="75"/>
      <c r="E17" s="75"/>
    </row>
    <row r="18" spans="1:8">
      <c r="A18" s="77" t="s">
        <v>129</v>
      </c>
      <c r="B18" s="9"/>
      <c r="C18" s="9"/>
      <c r="D18" s="75"/>
      <c r="E18" s="75"/>
    </row>
    <row r="19" spans="1:8">
      <c r="A19" s="77" t="s">
        <v>141</v>
      </c>
      <c r="B19" s="9"/>
      <c r="C19" s="9"/>
      <c r="D19" s="75"/>
      <c r="E19" s="75"/>
    </row>
    <row r="20" spans="1:8">
      <c r="A20" s="78" t="s">
        <v>142</v>
      </c>
      <c r="B20" s="9"/>
      <c r="C20" s="9"/>
      <c r="D20" s="75"/>
      <c r="E20" s="75"/>
    </row>
    <row r="21" spans="1:8">
      <c r="A21" s="6" t="s">
        <v>393</v>
      </c>
      <c r="B21" s="9"/>
      <c r="C21" s="9"/>
      <c r="D21" s="75"/>
      <c r="E21" s="75"/>
    </row>
    <row r="23" spans="1:8">
      <c r="A23" s="42" t="s">
        <v>662</v>
      </c>
    </row>
    <row r="24" spans="1:8">
      <c r="A24" s="214" t="s">
        <v>79</v>
      </c>
      <c r="B24" s="214" t="s">
        <v>80</v>
      </c>
      <c r="C24" s="214" t="s">
        <v>81</v>
      </c>
      <c r="D24" s="214" t="s">
        <v>82</v>
      </c>
      <c r="E24" s="214" t="s">
        <v>83</v>
      </c>
    </row>
    <row r="25" spans="1:8">
      <c r="A25" s="213">
        <v>1</v>
      </c>
      <c r="B25" s="24" t="s">
        <v>434</v>
      </c>
      <c r="C25" s="213">
        <v>5</v>
      </c>
      <c r="D25" s="213">
        <v>3950</v>
      </c>
      <c r="E25" s="213">
        <f t="shared" ref="E25:E33" si="1">C25*D25</f>
        <v>19750</v>
      </c>
    </row>
    <row r="26" spans="1:8">
      <c r="A26" s="213">
        <v>2</v>
      </c>
      <c r="B26" s="213" t="s">
        <v>137</v>
      </c>
      <c r="C26" s="213">
        <v>1</v>
      </c>
      <c r="D26" s="213">
        <v>7920</v>
      </c>
      <c r="E26" s="213">
        <f t="shared" si="1"/>
        <v>7920</v>
      </c>
      <c r="G26" s="42">
        <f>5940*2</f>
        <v>11880</v>
      </c>
      <c r="H26" s="42">
        <f>4410*2</f>
        <v>8820</v>
      </c>
    </row>
    <row r="27" spans="1:8">
      <c r="A27" s="213">
        <v>3</v>
      </c>
      <c r="B27" s="219" t="s">
        <v>136</v>
      </c>
      <c r="C27" s="213">
        <v>1</v>
      </c>
      <c r="D27" s="213">
        <v>5490</v>
      </c>
      <c r="E27" s="213">
        <f t="shared" si="1"/>
        <v>5490</v>
      </c>
    </row>
    <row r="28" spans="1:8" ht="26.4">
      <c r="A28" s="213">
        <v>4</v>
      </c>
      <c r="B28" s="213" t="s">
        <v>389</v>
      </c>
      <c r="C28" s="213">
        <v>1</v>
      </c>
      <c r="D28" s="213">
        <v>9600</v>
      </c>
      <c r="E28" s="213">
        <f t="shared" si="1"/>
        <v>9600</v>
      </c>
    </row>
    <row r="29" spans="1:8">
      <c r="A29" s="213">
        <v>5</v>
      </c>
      <c r="B29" s="213" t="s">
        <v>116</v>
      </c>
      <c r="C29" s="213">
        <v>14</v>
      </c>
      <c r="D29" s="213">
        <v>150</v>
      </c>
      <c r="E29" s="213">
        <f t="shared" si="1"/>
        <v>2100</v>
      </c>
    </row>
    <row r="30" spans="1:8">
      <c r="A30" s="213">
        <v>6</v>
      </c>
      <c r="B30" s="213" t="s">
        <v>175</v>
      </c>
      <c r="C30" s="213">
        <v>5</v>
      </c>
      <c r="D30" s="213">
        <v>100</v>
      </c>
      <c r="E30" s="213">
        <f t="shared" si="1"/>
        <v>500</v>
      </c>
    </row>
    <row r="31" spans="1:8">
      <c r="A31" s="213">
        <v>7</v>
      </c>
      <c r="B31" s="213" t="s">
        <v>661</v>
      </c>
      <c r="C31" s="213">
        <v>1</v>
      </c>
      <c r="D31" s="213">
        <v>2900</v>
      </c>
      <c r="E31" s="213">
        <f t="shared" si="1"/>
        <v>2900</v>
      </c>
    </row>
    <row r="32" spans="1:8">
      <c r="A32" s="219" t="s">
        <v>665</v>
      </c>
      <c r="B32" s="219" t="s">
        <v>673</v>
      </c>
      <c r="C32" s="219">
        <v>300</v>
      </c>
      <c r="D32" s="219">
        <v>35</v>
      </c>
      <c r="E32" s="219">
        <f t="shared" si="1"/>
        <v>10500</v>
      </c>
    </row>
    <row r="33" spans="1:7">
      <c r="A33" s="213">
        <v>9</v>
      </c>
      <c r="B33" s="213" t="s">
        <v>86</v>
      </c>
      <c r="C33" s="213">
        <v>1</v>
      </c>
      <c r="D33" s="213">
        <v>5000</v>
      </c>
      <c r="E33" s="213">
        <f t="shared" si="1"/>
        <v>5000</v>
      </c>
    </row>
    <row r="34" spans="1:7">
      <c r="A34" s="273" t="s">
        <v>87</v>
      </c>
      <c r="B34" s="274"/>
      <c r="C34" s="274"/>
      <c r="D34" s="275"/>
      <c r="E34" s="214">
        <f>SUM(E25:E33)</f>
        <v>63760</v>
      </c>
      <c r="G34" s="42">
        <f>E34*1.18</f>
        <v>75236.800000000003</v>
      </c>
    </row>
    <row r="35" spans="1:7">
      <c r="B35" s="163"/>
      <c r="C35" s="163"/>
      <c r="D35" s="163"/>
      <c r="E35" s="163"/>
    </row>
    <row r="36" spans="1:7" ht="26.4">
      <c r="A36" s="220" t="s">
        <v>669</v>
      </c>
      <c r="B36" s="220" t="s">
        <v>670</v>
      </c>
      <c r="C36" s="220" t="s">
        <v>671</v>
      </c>
      <c r="D36" s="163"/>
      <c r="E36" s="163"/>
    </row>
    <row r="37" spans="1:7">
      <c r="A37" s="222">
        <f>E34*9%</f>
        <v>5738.4</v>
      </c>
      <c r="B37" s="222">
        <f>E34*9%</f>
        <v>5738.4</v>
      </c>
      <c r="C37" s="223">
        <f>E34+A37+B37</f>
        <v>75236.799999999988</v>
      </c>
      <c r="D37" s="163"/>
      <c r="E37" s="163"/>
    </row>
    <row r="38" spans="1:7">
      <c r="B38" s="163"/>
      <c r="C38" s="163"/>
      <c r="D38" s="163"/>
      <c r="E38" s="163"/>
    </row>
    <row r="39" spans="1:7">
      <c r="A39" s="75" t="s">
        <v>143</v>
      </c>
      <c r="B39" s="163"/>
      <c r="C39" s="163"/>
      <c r="D39" s="163"/>
      <c r="E39" s="163"/>
    </row>
    <row r="40" spans="1:7">
      <c r="A40" s="75" t="s">
        <v>666</v>
      </c>
      <c r="B40" s="75"/>
      <c r="C40" s="75"/>
      <c r="D40" s="75"/>
      <c r="E40" s="75"/>
    </row>
    <row r="41" spans="1:7">
      <c r="A41" s="75"/>
      <c r="B41" s="75"/>
      <c r="C41" s="75"/>
      <c r="D41" s="75"/>
      <c r="E41" s="75"/>
    </row>
    <row r="42" spans="1:7">
      <c r="A42" s="6" t="s">
        <v>129</v>
      </c>
      <c r="B42" s="75"/>
      <c r="C42" s="75"/>
      <c r="D42" s="75"/>
      <c r="E42" s="75"/>
    </row>
    <row r="43" spans="1:7">
      <c r="A43" s="6" t="s">
        <v>141</v>
      </c>
      <c r="B43" s="75"/>
      <c r="C43" s="75"/>
      <c r="D43" s="75"/>
      <c r="E43" s="75"/>
    </row>
    <row r="44" spans="1:7">
      <c r="A44" s="6" t="s">
        <v>142</v>
      </c>
      <c r="B44" s="75"/>
      <c r="C44" s="75"/>
      <c r="D44" s="75"/>
      <c r="E44" s="75"/>
    </row>
    <row r="45" spans="1:7">
      <c r="A45" s="6" t="s">
        <v>393</v>
      </c>
      <c r="B45" s="75"/>
      <c r="C45" s="75"/>
      <c r="D45" s="75"/>
      <c r="E45" s="75"/>
    </row>
    <row r="79" spans="1:5">
      <c r="A79" s="42" t="s">
        <v>649</v>
      </c>
    </row>
    <row r="80" spans="1:5">
      <c r="A80" s="216" t="s">
        <v>79</v>
      </c>
      <c r="B80" s="216" t="s">
        <v>80</v>
      </c>
      <c r="C80" s="216" t="s">
        <v>81</v>
      </c>
      <c r="D80" s="216" t="s">
        <v>82</v>
      </c>
      <c r="E80" s="216" t="s">
        <v>83</v>
      </c>
    </row>
    <row r="81" spans="1:7">
      <c r="A81" s="217">
        <v>1</v>
      </c>
      <c r="B81" s="217" t="s">
        <v>550</v>
      </c>
      <c r="C81" s="217">
        <v>5</v>
      </c>
      <c r="D81" s="217">
        <v>1800</v>
      </c>
      <c r="E81" s="217">
        <f t="shared" ref="E81:E89" si="2">C81*D81</f>
        <v>9000</v>
      </c>
      <c r="G81" s="42">
        <f>3300*2</f>
        <v>6600</v>
      </c>
    </row>
    <row r="82" spans="1:7">
      <c r="A82" s="217">
        <v>2</v>
      </c>
      <c r="B82" s="217" t="s">
        <v>652</v>
      </c>
      <c r="C82" s="217">
        <v>1</v>
      </c>
      <c r="D82" s="217">
        <v>6600</v>
      </c>
      <c r="E82" s="217">
        <f t="shared" si="2"/>
        <v>6600</v>
      </c>
    </row>
    <row r="83" spans="1:7">
      <c r="A83" s="217">
        <v>3</v>
      </c>
      <c r="B83" s="217" t="s">
        <v>172</v>
      </c>
      <c r="C83" s="217">
        <v>10</v>
      </c>
      <c r="D83" s="217">
        <v>60</v>
      </c>
      <c r="E83" s="217">
        <f t="shared" si="2"/>
        <v>600</v>
      </c>
    </row>
    <row r="84" spans="1:7">
      <c r="A84" s="217">
        <v>4</v>
      </c>
      <c r="B84" s="217" t="s">
        <v>173</v>
      </c>
      <c r="C84" s="217">
        <v>5</v>
      </c>
      <c r="D84" s="217">
        <v>50</v>
      </c>
      <c r="E84" s="217">
        <f t="shared" si="2"/>
        <v>250</v>
      </c>
    </row>
    <row r="85" spans="1:7">
      <c r="A85" s="217">
        <v>5</v>
      </c>
      <c r="B85" s="217" t="s">
        <v>174</v>
      </c>
      <c r="C85" s="217">
        <v>1</v>
      </c>
      <c r="D85" s="217">
        <v>900</v>
      </c>
      <c r="E85" s="217">
        <f t="shared" si="2"/>
        <v>900</v>
      </c>
    </row>
    <row r="86" spans="1:7">
      <c r="A86" s="217">
        <v>6</v>
      </c>
      <c r="B86" s="213" t="s">
        <v>136</v>
      </c>
      <c r="C86" s="213">
        <v>1</v>
      </c>
      <c r="D86" s="213">
        <v>4200</v>
      </c>
      <c r="E86" s="217">
        <f t="shared" si="2"/>
        <v>4200</v>
      </c>
    </row>
    <row r="87" spans="1:7">
      <c r="A87" s="217">
        <v>7</v>
      </c>
      <c r="B87" s="217" t="s">
        <v>175</v>
      </c>
      <c r="C87" s="217">
        <v>5</v>
      </c>
      <c r="D87" s="217">
        <v>100</v>
      </c>
      <c r="E87" s="217">
        <f t="shared" si="2"/>
        <v>500</v>
      </c>
    </row>
    <row r="88" spans="1:7">
      <c r="A88" s="217">
        <v>8</v>
      </c>
      <c r="B88" s="217" t="s">
        <v>661</v>
      </c>
      <c r="C88" s="217">
        <v>1</v>
      </c>
      <c r="D88" s="217">
        <v>2900</v>
      </c>
      <c r="E88" s="217">
        <f t="shared" si="2"/>
        <v>2900</v>
      </c>
    </row>
    <row r="89" spans="1:7">
      <c r="A89" s="217">
        <v>9</v>
      </c>
      <c r="B89" s="217" t="s">
        <v>86</v>
      </c>
      <c r="C89" s="217">
        <v>1</v>
      </c>
      <c r="D89" s="217">
        <v>3000</v>
      </c>
      <c r="E89" s="217">
        <f t="shared" si="2"/>
        <v>3000</v>
      </c>
    </row>
    <row r="90" spans="1:7">
      <c r="A90" s="356" t="s">
        <v>87</v>
      </c>
      <c r="B90" s="357"/>
      <c r="C90" s="357"/>
      <c r="D90" s="358"/>
      <c r="E90" s="216">
        <f>SUM(E81:E89)</f>
        <v>27950</v>
      </c>
    </row>
    <row r="91" spans="1:7">
      <c r="A91" s="163"/>
      <c r="B91" s="163"/>
      <c r="C91" s="163"/>
      <c r="D91" s="163"/>
      <c r="E91" s="163"/>
    </row>
    <row r="92" spans="1:7">
      <c r="A92" s="76" t="s">
        <v>387</v>
      </c>
      <c r="B92" s="9"/>
      <c r="C92" s="9"/>
      <c r="D92" s="75"/>
      <c r="E92" s="75"/>
    </row>
    <row r="93" spans="1:7">
      <c r="A93" s="75"/>
      <c r="B93" s="9"/>
      <c r="C93" s="9"/>
      <c r="D93" s="75"/>
      <c r="E93" s="75"/>
    </row>
    <row r="94" spans="1:7">
      <c r="A94" s="77" t="s">
        <v>129</v>
      </c>
      <c r="B94" s="9"/>
      <c r="C94" s="9"/>
      <c r="D94" s="75"/>
      <c r="E94" s="75"/>
    </row>
    <row r="95" spans="1:7">
      <c r="A95" s="77" t="s">
        <v>141</v>
      </c>
      <c r="B95" s="9"/>
      <c r="C95" s="9"/>
      <c r="D95" s="75"/>
      <c r="E95" s="75"/>
    </row>
    <row r="96" spans="1:7">
      <c r="A96" s="78" t="s">
        <v>142</v>
      </c>
      <c r="B96" s="9"/>
      <c r="C96" s="9"/>
      <c r="D96" s="75"/>
      <c r="E96" s="75"/>
    </row>
    <row r="97" spans="1:8">
      <c r="A97" s="6" t="s">
        <v>393</v>
      </c>
      <c r="B97" s="75"/>
      <c r="C97" s="75"/>
      <c r="D97" s="75"/>
      <c r="E97" s="75"/>
    </row>
    <row r="102" spans="1:8">
      <c r="A102" s="42" t="s">
        <v>654</v>
      </c>
    </row>
    <row r="103" spans="1:8">
      <c r="A103" s="216" t="s">
        <v>79</v>
      </c>
      <c r="B103" s="216" t="s">
        <v>80</v>
      </c>
      <c r="C103" s="216" t="s">
        <v>81</v>
      </c>
      <c r="D103" s="216" t="s">
        <v>82</v>
      </c>
      <c r="E103" s="216" t="s">
        <v>83</v>
      </c>
    </row>
    <row r="104" spans="1:8">
      <c r="A104" s="217">
        <v>1</v>
      </c>
      <c r="B104" s="218" t="s">
        <v>655</v>
      </c>
      <c r="C104" s="217">
        <v>5</v>
      </c>
      <c r="D104" s="217">
        <v>4300</v>
      </c>
      <c r="E104" s="217">
        <f t="shared" ref="E104:E111" si="3">C104*D104</f>
        <v>21500</v>
      </c>
    </row>
    <row r="105" spans="1:8">
      <c r="A105" s="217">
        <v>2</v>
      </c>
      <c r="B105" s="217" t="s">
        <v>472</v>
      </c>
      <c r="C105" s="217">
        <v>1</v>
      </c>
      <c r="D105" s="217">
        <v>11500</v>
      </c>
      <c r="E105" s="217">
        <f t="shared" si="3"/>
        <v>11500</v>
      </c>
      <c r="H105" s="42">
        <f>3640*2</f>
        <v>7280</v>
      </c>
    </row>
    <row r="106" spans="1:8">
      <c r="A106" s="217">
        <v>3</v>
      </c>
      <c r="B106" s="213" t="s">
        <v>136</v>
      </c>
      <c r="C106" s="213">
        <v>1</v>
      </c>
      <c r="D106" s="213">
        <v>4200</v>
      </c>
      <c r="E106" s="217">
        <f t="shared" si="3"/>
        <v>4200</v>
      </c>
    </row>
    <row r="107" spans="1:8">
      <c r="A107" s="217">
        <v>4</v>
      </c>
      <c r="B107" s="217" t="s">
        <v>389</v>
      </c>
      <c r="C107" s="217">
        <v>1</v>
      </c>
      <c r="D107" s="217">
        <v>9600</v>
      </c>
      <c r="E107" s="217">
        <f t="shared" si="3"/>
        <v>9600</v>
      </c>
    </row>
    <row r="108" spans="1:8">
      <c r="A108" s="217">
        <v>5</v>
      </c>
      <c r="B108" s="217" t="s">
        <v>116</v>
      </c>
      <c r="C108" s="217">
        <v>14</v>
      </c>
      <c r="D108" s="217">
        <v>150</v>
      </c>
      <c r="E108" s="217">
        <f t="shared" si="3"/>
        <v>2100</v>
      </c>
    </row>
    <row r="109" spans="1:8">
      <c r="A109" s="217">
        <v>6</v>
      </c>
      <c r="B109" s="217" t="s">
        <v>175</v>
      </c>
      <c r="C109" s="217">
        <v>5</v>
      </c>
      <c r="D109" s="217">
        <v>100</v>
      </c>
      <c r="E109" s="217">
        <f t="shared" si="3"/>
        <v>500</v>
      </c>
    </row>
    <row r="110" spans="1:8">
      <c r="A110" s="217">
        <v>7</v>
      </c>
      <c r="B110" s="217" t="s">
        <v>661</v>
      </c>
      <c r="C110" s="217">
        <v>1</v>
      </c>
      <c r="D110" s="217">
        <v>2900</v>
      </c>
      <c r="E110" s="217">
        <f t="shared" si="3"/>
        <v>2900</v>
      </c>
    </row>
    <row r="111" spans="1:8">
      <c r="A111" s="217">
        <v>8</v>
      </c>
      <c r="B111" s="217" t="s">
        <v>86</v>
      </c>
      <c r="C111" s="217">
        <v>1</v>
      </c>
      <c r="D111" s="217">
        <v>3000</v>
      </c>
      <c r="E111" s="217">
        <f t="shared" si="3"/>
        <v>3000</v>
      </c>
    </row>
    <row r="112" spans="1:8">
      <c r="A112" s="356" t="s">
        <v>87</v>
      </c>
      <c r="B112" s="357"/>
      <c r="C112" s="357"/>
      <c r="D112" s="358"/>
      <c r="E112" s="216">
        <f>SUM(E104:E111)</f>
        <v>55300</v>
      </c>
    </row>
    <row r="113" spans="1:5">
      <c r="A113" s="163"/>
      <c r="B113" s="163"/>
      <c r="C113" s="163"/>
      <c r="D113" s="163"/>
      <c r="E113" s="163"/>
    </row>
    <row r="114" spans="1:5">
      <c r="A114" s="6" t="s">
        <v>470</v>
      </c>
      <c r="B114" s="75"/>
      <c r="C114" s="75"/>
      <c r="D114" s="75"/>
      <c r="E114" s="75"/>
    </row>
    <row r="115" spans="1:5">
      <c r="A115" s="6"/>
      <c r="B115" s="75"/>
      <c r="C115" s="75"/>
      <c r="D115" s="75"/>
      <c r="E115" s="75"/>
    </row>
    <row r="116" spans="1:5">
      <c r="A116" s="6" t="s">
        <v>129</v>
      </c>
      <c r="B116" s="75"/>
      <c r="C116" s="75"/>
      <c r="D116" s="75"/>
      <c r="E116" s="75"/>
    </row>
    <row r="117" spans="1:5">
      <c r="A117" s="6" t="s">
        <v>141</v>
      </c>
      <c r="B117" s="75"/>
      <c r="C117" s="75"/>
      <c r="D117" s="75"/>
      <c r="E117" s="75"/>
    </row>
    <row r="118" spans="1:5">
      <c r="A118" s="6" t="s">
        <v>142</v>
      </c>
      <c r="B118" s="75"/>
      <c r="C118" s="75"/>
      <c r="D118" s="75"/>
      <c r="E118" s="75"/>
    </row>
    <row r="119" spans="1:5">
      <c r="A119" s="6" t="s">
        <v>393</v>
      </c>
      <c r="B119" s="75"/>
      <c r="C119" s="75"/>
      <c r="D119" s="75"/>
      <c r="E119" s="75"/>
    </row>
    <row r="166" spans="1:1">
      <c r="A166" s="215" t="s">
        <v>664</v>
      </c>
    </row>
    <row r="167" spans="1:1">
      <c r="A167" s="42" t="s">
        <v>663</v>
      </c>
    </row>
  </sheetData>
  <mergeCells count="4">
    <mergeCell ref="A13:D13"/>
    <mergeCell ref="A90:D90"/>
    <mergeCell ref="A34:D34"/>
    <mergeCell ref="A112:D112"/>
  </mergeCells>
  <pageMargins left="0.7" right="0.7" top="0.75" bottom="0.75" header="0.3" footer="0.3"/>
  <pageSetup orientation="portrait" horizontalDpi="0" verticalDpi="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B10" sqref="B10"/>
    </sheetView>
  </sheetViews>
  <sheetFormatPr defaultRowHeight="14.4"/>
  <cols>
    <col min="2" max="2" width="42.21875" customWidth="1"/>
  </cols>
  <sheetData>
    <row r="1" spans="1:11" ht="21.6" customHeight="1">
      <c r="A1" s="225" t="s">
        <v>79</v>
      </c>
      <c r="B1" s="225" t="s">
        <v>80</v>
      </c>
      <c r="C1" s="225" t="s">
        <v>81</v>
      </c>
      <c r="D1" s="225" t="s">
        <v>82</v>
      </c>
      <c r="E1" s="225" t="s">
        <v>83</v>
      </c>
    </row>
    <row r="2" spans="1:11">
      <c r="A2" s="224">
        <v>1</v>
      </c>
      <c r="B2" s="224" t="s">
        <v>690</v>
      </c>
      <c r="C2" s="224">
        <v>2</v>
      </c>
      <c r="D2" s="224">
        <v>2500</v>
      </c>
      <c r="E2" s="224">
        <f t="shared" ref="E2:E12" si="0">C2*D2</f>
        <v>5000</v>
      </c>
      <c r="H2">
        <f>1250*2</f>
        <v>2500</v>
      </c>
    </row>
    <row r="3" spans="1:11">
      <c r="A3" s="224">
        <v>2</v>
      </c>
      <c r="B3" s="224" t="s">
        <v>691</v>
      </c>
      <c r="C3" s="224">
        <v>3</v>
      </c>
      <c r="D3" s="224">
        <v>2260</v>
      </c>
      <c r="E3" s="224">
        <f t="shared" si="0"/>
        <v>6780</v>
      </c>
      <c r="H3">
        <f>1130*2</f>
        <v>2260</v>
      </c>
    </row>
    <row r="4" spans="1:11">
      <c r="A4" s="230">
        <v>3</v>
      </c>
      <c r="B4" s="224" t="s">
        <v>692</v>
      </c>
      <c r="C4" s="224">
        <v>1</v>
      </c>
      <c r="D4" s="224">
        <v>1700</v>
      </c>
      <c r="E4" s="224">
        <f t="shared" si="0"/>
        <v>1700</v>
      </c>
      <c r="H4">
        <f>880*2</f>
        <v>1760</v>
      </c>
    </row>
    <row r="5" spans="1:11">
      <c r="A5" s="230">
        <v>4</v>
      </c>
      <c r="B5" s="224" t="s">
        <v>694</v>
      </c>
      <c r="C5" s="224">
        <v>2</v>
      </c>
      <c r="D5" s="224">
        <v>1800</v>
      </c>
      <c r="E5" s="224">
        <f t="shared" si="0"/>
        <v>3600</v>
      </c>
      <c r="H5">
        <f>930*2</f>
        <v>1860</v>
      </c>
    </row>
    <row r="6" spans="1:11" ht="30" customHeight="1">
      <c r="A6" s="230">
        <v>5</v>
      </c>
      <c r="B6" s="224" t="s">
        <v>697</v>
      </c>
      <c r="C6" s="224">
        <v>1</v>
      </c>
      <c r="D6" s="224">
        <v>16200</v>
      </c>
      <c r="E6" s="224">
        <f t="shared" si="0"/>
        <v>16200</v>
      </c>
      <c r="G6" t="s">
        <v>695</v>
      </c>
      <c r="H6">
        <f>6800*2</f>
        <v>13600</v>
      </c>
      <c r="I6" t="s">
        <v>696</v>
      </c>
      <c r="K6">
        <f>7700*2</f>
        <v>15400</v>
      </c>
    </row>
    <row r="7" spans="1:11">
      <c r="A7" s="230">
        <v>6</v>
      </c>
      <c r="B7" s="224" t="s">
        <v>172</v>
      </c>
      <c r="C7" s="224">
        <v>16</v>
      </c>
      <c r="D7" s="224">
        <v>60</v>
      </c>
      <c r="E7" s="224">
        <f t="shared" si="0"/>
        <v>960</v>
      </c>
    </row>
    <row r="8" spans="1:11">
      <c r="A8" s="230">
        <v>7</v>
      </c>
      <c r="B8" s="224" t="s">
        <v>173</v>
      </c>
      <c r="C8" s="224">
        <v>8</v>
      </c>
      <c r="D8" s="224">
        <v>50</v>
      </c>
      <c r="E8" s="224">
        <f t="shared" si="0"/>
        <v>400</v>
      </c>
    </row>
    <row r="9" spans="1:11">
      <c r="A9" s="230">
        <v>8</v>
      </c>
      <c r="B9" s="224" t="s">
        <v>174</v>
      </c>
      <c r="C9" s="224">
        <v>1</v>
      </c>
      <c r="D9" s="224">
        <v>1990</v>
      </c>
      <c r="E9" s="224">
        <f t="shared" si="0"/>
        <v>1990</v>
      </c>
    </row>
    <row r="10" spans="1:11" ht="22.2" customHeight="1">
      <c r="A10" s="230">
        <v>9</v>
      </c>
      <c r="B10" s="224" t="s">
        <v>136</v>
      </c>
      <c r="C10" s="224">
        <v>1</v>
      </c>
      <c r="D10" s="224">
        <v>5600</v>
      </c>
      <c r="E10" s="224">
        <f t="shared" si="0"/>
        <v>5600</v>
      </c>
    </row>
    <row r="11" spans="1:11">
      <c r="A11" s="230">
        <v>10</v>
      </c>
      <c r="B11" s="224" t="s">
        <v>175</v>
      </c>
      <c r="C11" s="224">
        <v>10</v>
      </c>
      <c r="D11" s="224">
        <v>100</v>
      </c>
      <c r="E11" s="224">
        <f t="shared" si="0"/>
        <v>1000</v>
      </c>
    </row>
    <row r="12" spans="1:11" ht="23.4" customHeight="1">
      <c r="A12" s="230">
        <v>11</v>
      </c>
      <c r="B12" s="224" t="s">
        <v>86</v>
      </c>
      <c r="C12" s="224">
        <v>1</v>
      </c>
      <c r="D12" s="224">
        <v>5000</v>
      </c>
      <c r="E12" s="224">
        <f t="shared" si="0"/>
        <v>5000</v>
      </c>
      <c r="I12" t="s">
        <v>693</v>
      </c>
    </row>
    <row r="13" spans="1:11">
      <c r="A13" s="273" t="s">
        <v>87</v>
      </c>
      <c r="B13" s="274"/>
      <c r="C13" s="274"/>
      <c r="D13" s="275"/>
      <c r="E13" s="225">
        <f>SUM(E2:E12)</f>
        <v>48230</v>
      </c>
    </row>
    <row r="14" spans="1:11">
      <c r="A14" s="7"/>
      <c r="B14" s="9"/>
      <c r="C14" s="9"/>
      <c r="D14" s="7"/>
      <c r="E14" s="7"/>
    </row>
    <row r="15" spans="1:11">
      <c r="A15" s="76" t="s">
        <v>387</v>
      </c>
      <c r="B15" s="9"/>
      <c r="C15" s="9"/>
      <c r="D15" s="7"/>
      <c r="E15" s="7"/>
    </row>
    <row r="16" spans="1:11">
      <c r="A16" s="7"/>
      <c r="B16" s="9"/>
      <c r="C16" s="9"/>
      <c r="D16" s="7"/>
      <c r="E16" s="7"/>
    </row>
    <row r="17" spans="1:5">
      <c r="A17" s="77" t="s">
        <v>129</v>
      </c>
      <c r="B17" s="9"/>
      <c r="C17" s="9"/>
      <c r="D17" s="7"/>
      <c r="E17" s="7"/>
    </row>
    <row r="18" spans="1:5">
      <c r="A18" s="77" t="s">
        <v>141</v>
      </c>
      <c r="B18" s="9"/>
      <c r="C18" s="9"/>
      <c r="D18" s="7"/>
      <c r="E18" s="7"/>
    </row>
    <row r="19" spans="1:5">
      <c r="A19" s="78" t="s">
        <v>180</v>
      </c>
      <c r="B19" s="9"/>
      <c r="C19" s="9"/>
      <c r="D19" s="7"/>
      <c r="E19" s="7"/>
    </row>
    <row r="20" spans="1:5">
      <c r="A20" s="78" t="s">
        <v>181</v>
      </c>
      <c r="B20" s="9"/>
      <c r="C20" s="9"/>
      <c r="D20" s="7"/>
      <c r="E20" s="7"/>
    </row>
  </sheetData>
  <mergeCells count="1">
    <mergeCell ref="A13:D13"/>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22" sqref="B22"/>
    </sheetView>
  </sheetViews>
  <sheetFormatPr defaultRowHeight="14.4"/>
  <cols>
    <col min="1" max="1" width="15" customWidth="1"/>
    <col min="2" max="2" width="27.44140625" customWidth="1"/>
    <col min="3" max="3" width="14.109375" customWidth="1"/>
    <col min="4" max="4" width="15.109375" customWidth="1"/>
  </cols>
  <sheetData>
    <row r="1" spans="1:7">
      <c r="A1" s="232" t="s">
        <v>79</v>
      </c>
      <c r="B1" s="232" t="s">
        <v>80</v>
      </c>
      <c r="C1" s="232" t="s">
        <v>81</v>
      </c>
      <c r="D1" s="232" t="s">
        <v>82</v>
      </c>
      <c r="E1" s="232" t="s">
        <v>83</v>
      </c>
    </row>
    <row r="2" spans="1:7">
      <c r="A2" s="231">
        <v>1</v>
      </c>
      <c r="B2" s="231" t="s">
        <v>699</v>
      </c>
      <c r="C2" s="231">
        <v>1</v>
      </c>
      <c r="D2" s="231">
        <v>358000</v>
      </c>
      <c r="E2" s="231">
        <f t="shared" ref="E2:E5" si="0">C2*D2</f>
        <v>358000</v>
      </c>
    </row>
    <row r="3" spans="1:7">
      <c r="A3" s="231">
        <v>2</v>
      </c>
      <c r="B3" s="231" t="s">
        <v>386</v>
      </c>
      <c r="C3" s="231">
        <v>20</v>
      </c>
      <c r="D3" s="231">
        <v>3600</v>
      </c>
      <c r="E3" s="231">
        <f t="shared" si="0"/>
        <v>72000</v>
      </c>
    </row>
    <row r="4" spans="1:7">
      <c r="A4" s="231">
        <v>3</v>
      </c>
      <c r="B4" s="231" t="s">
        <v>384</v>
      </c>
      <c r="C4" s="231">
        <v>1</v>
      </c>
      <c r="D4" s="231">
        <v>5000</v>
      </c>
      <c r="E4" s="231">
        <f t="shared" si="0"/>
        <v>5000</v>
      </c>
    </row>
    <row r="5" spans="1:7" ht="22.8" customHeight="1">
      <c r="A5" s="231">
        <v>4</v>
      </c>
      <c r="B5" s="231" t="s">
        <v>86</v>
      </c>
      <c r="C5" s="231">
        <v>1</v>
      </c>
      <c r="D5" s="231">
        <v>15000</v>
      </c>
      <c r="E5" s="231">
        <f t="shared" si="0"/>
        <v>15000</v>
      </c>
      <c r="G5">
        <f>E2+E4+E5</f>
        <v>378000</v>
      </c>
    </row>
    <row r="6" spans="1:7">
      <c r="A6" s="312" t="s">
        <v>87</v>
      </c>
      <c r="B6" s="312"/>
      <c r="C6" s="312"/>
      <c r="D6" s="312"/>
      <c r="E6" s="232">
        <f>SUM(E2:E5)</f>
        <v>450000</v>
      </c>
    </row>
    <row r="7" spans="1:7">
      <c r="A7" s="359" t="s">
        <v>553</v>
      </c>
      <c r="B7" s="360"/>
      <c r="C7" s="360"/>
      <c r="D7" s="360"/>
      <c r="E7" s="111">
        <f>378000*9%</f>
        <v>34020</v>
      </c>
    </row>
    <row r="8" spans="1:7">
      <c r="A8" s="361" t="s">
        <v>554</v>
      </c>
      <c r="B8" s="362"/>
      <c r="C8" s="362"/>
      <c r="D8" s="362"/>
      <c r="E8" s="232">
        <f>378000*9%</f>
        <v>34020</v>
      </c>
    </row>
    <row r="9" spans="1:7">
      <c r="A9" s="361" t="s">
        <v>700</v>
      </c>
      <c r="B9" s="362"/>
      <c r="C9" s="362"/>
      <c r="D9" s="362"/>
      <c r="E9" s="232">
        <f>E3*14%</f>
        <v>10080.000000000002</v>
      </c>
    </row>
    <row r="10" spans="1:7">
      <c r="A10" s="361" t="s">
        <v>701</v>
      </c>
      <c r="B10" s="362"/>
      <c r="C10" s="362"/>
      <c r="D10" s="362"/>
      <c r="E10" s="232">
        <f>E3*14%</f>
        <v>10080.000000000002</v>
      </c>
    </row>
    <row r="11" spans="1:7">
      <c r="A11" s="273" t="s">
        <v>702</v>
      </c>
      <c r="B11" s="274"/>
      <c r="C11" s="274"/>
      <c r="D11" s="275"/>
      <c r="E11" s="232">
        <f>SUM(E6:E10)</f>
        <v>538200</v>
      </c>
    </row>
    <row r="13" spans="1:7" ht="18" customHeight="1">
      <c r="A13" s="25" t="s">
        <v>703</v>
      </c>
      <c r="B13" s="25" t="s">
        <v>704</v>
      </c>
      <c r="C13" s="25" t="s">
        <v>705</v>
      </c>
      <c r="D13" s="25" t="s">
        <v>706</v>
      </c>
    </row>
    <row r="14" spans="1:7">
      <c r="A14" s="24">
        <f>G5*9%</f>
        <v>34020</v>
      </c>
      <c r="B14" s="24">
        <f>G5*9%</f>
        <v>34020</v>
      </c>
      <c r="C14" s="24">
        <f>E3*14%</f>
        <v>10080.000000000002</v>
      </c>
      <c r="D14" s="24">
        <f>E3*14%</f>
        <v>10080.000000000002</v>
      </c>
    </row>
  </sheetData>
  <mergeCells count="6">
    <mergeCell ref="A11:D11"/>
    <mergeCell ref="A6:D6"/>
    <mergeCell ref="A7:D7"/>
    <mergeCell ref="A8:D8"/>
    <mergeCell ref="A9:D9"/>
    <mergeCell ref="A10:D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288" t="s">
        <v>87</v>
      </c>
      <c r="B15" s="289"/>
      <c r="C15" s="289"/>
      <c r="D15" s="290"/>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288" t="s">
        <v>87</v>
      </c>
      <c r="B31" s="289"/>
      <c r="C31" s="289"/>
      <c r="D31" s="290"/>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D25" sqref="D25"/>
    </sheetView>
  </sheetViews>
  <sheetFormatPr defaultRowHeight="14.4"/>
  <cols>
    <col min="1" max="1" width="15" customWidth="1"/>
    <col min="2" max="2" width="27.44140625" customWidth="1"/>
    <col min="3" max="3" width="14.109375" customWidth="1"/>
    <col min="4" max="4" width="15.109375" customWidth="1"/>
  </cols>
  <sheetData>
    <row r="1" spans="1:7">
      <c r="A1" s="234" t="s">
        <v>79</v>
      </c>
      <c r="B1" s="234" t="s">
        <v>80</v>
      </c>
      <c r="C1" s="234" t="s">
        <v>81</v>
      </c>
      <c r="D1" s="234" t="s">
        <v>82</v>
      </c>
      <c r="E1" s="234" t="s">
        <v>83</v>
      </c>
    </row>
    <row r="2" spans="1:7">
      <c r="A2" s="233">
        <v>1</v>
      </c>
      <c r="B2" s="233" t="s">
        <v>699</v>
      </c>
      <c r="C2" s="233">
        <v>1</v>
      </c>
      <c r="D2" s="233">
        <v>358000</v>
      </c>
      <c r="E2" s="233">
        <f t="shared" ref="E2:E5" si="0">C2*D2</f>
        <v>358000</v>
      </c>
    </row>
    <row r="3" spans="1:7">
      <c r="A3" s="233">
        <v>2</v>
      </c>
      <c r="B3" s="233" t="s">
        <v>707</v>
      </c>
      <c r="C3" s="233">
        <v>20</v>
      </c>
      <c r="D3" s="233">
        <v>5900</v>
      </c>
      <c r="E3" s="233">
        <f t="shared" si="0"/>
        <v>118000</v>
      </c>
    </row>
    <row r="4" spans="1:7">
      <c r="A4" s="233">
        <v>3</v>
      </c>
      <c r="B4" s="233" t="s">
        <v>384</v>
      </c>
      <c r="C4" s="233">
        <v>1</v>
      </c>
      <c r="D4" s="233">
        <v>5000</v>
      </c>
      <c r="E4" s="233">
        <f t="shared" si="0"/>
        <v>5000</v>
      </c>
    </row>
    <row r="5" spans="1:7" ht="22.8" customHeight="1">
      <c r="A5" s="233">
        <v>4</v>
      </c>
      <c r="B5" s="233" t="s">
        <v>86</v>
      </c>
      <c r="C5" s="233">
        <v>1</v>
      </c>
      <c r="D5" s="233">
        <v>15000</v>
      </c>
      <c r="E5" s="233">
        <f t="shared" si="0"/>
        <v>15000</v>
      </c>
      <c r="G5">
        <f>E2+E4+E5</f>
        <v>378000</v>
      </c>
    </row>
    <row r="6" spans="1:7">
      <c r="A6" s="312" t="s">
        <v>87</v>
      </c>
      <c r="B6" s="312"/>
      <c r="C6" s="312"/>
      <c r="D6" s="312"/>
      <c r="E6" s="234">
        <f>SUM(E2:E5)</f>
        <v>496000</v>
      </c>
    </row>
    <row r="7" spans="1:7">
      <c r="A7" s="359" t="s">
        <v>553</v>
      </c>
      <c r="B7" s="360"/>
      <c r="C7" s="360"/>
      <c r="D7" s="360"/>
      <c r="E7" s="111">
        <f>378000*9%</f>
        <v>34020</v>
      </c>
    </row>
    <row r="8" spans="1:7">
      <c r="A8" s="361" t="s">
        <v>554</v>
      </c>
      <c r="B8" s="362"/>
      <c r="C8" s="362"/>
      <c r="D8" s="362"/>
      <c r="E8" s="234">
        <f>378000*9%</f>
        <v>34020</v>
      </c>
    </row>
    <row r="9" spans="1:7">
      <c r="A9" s="361" t="s">
        <v>700</v>
      </c>
      <c r="B9" s="362"/>
      <c r="C9" s="362"/>
      <c r="D9" s="362"/>
      <c r="E9" s="234">
        <f>E3*14%</f>
        <v>16520</v>
      </c>
    </row>
    <row r="10" spans="1:7">
      <c r="A10" s="361" t="s">
        <v>701</v>
      </c>
      <c r="B10" s="362"/>
      <c r="C10" s="362"/>
      <c r="D10" s="362"/>
      <c r="E10" s="234">
        <f>E3*14%</f>
        <v>16520</v>
      </c>
    </row>
    <row r="11" spans="1:7">
      <c r="A11" s="273" t="s">
        <v>702</v>
      </c>
      <c r="B11" s="274"/>
      <c r="C11" s="274"/>
      <c r="D11" s="275"/>
      <c r="E11" s="234">
        <f>SUM(E6:E10)</f>
        <v>597080</v>
      </c>
    </row>
    <row r="13" spans="1:7" ht="18" customHeight="1">
      <c r="A13" s="25" t="s">
        <v>703</v>
      </c>
      <c r="B13" s="25" t="s">
        <v>704</v>
      </c>
      <c r="C13" s="25" t="s">
        <v>705</v>
      </c>
      <c r="D13" s="25" t="s">
        <v>706</v>
      </c>
    </row>
    <row r="14" spans="1:7">
      <c r="A14" s="24">
        <f>G5*9%</f>
        <v>34020</v>
      </c>
      <c r="B14" s="24">
        <f>G5*9%</f>
        <v>34020</v>
      </c>
      <c r="C14" s="24">
        <f>E3*14%</f>
        <v>16520</v>
      </c>
      <c r="D14" s="24">
        <f>E3*14%</f>
        <v>16520</v>
      </c>
    </row>
  </sheetData>
  <mergeCells count="6">
    <mergeCell ref="A11:D11"/>
    <mergeCell ref="A6:D6"/>
    <mergeCell ref="A7:D7"/>
    <mergeCell ref="A8:D8"/>
    <mergeCell ref="A9:D9"/>
    <mergeCell ref="A10:D10"/>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M16" sqref="M16"/>
    </sheetView>
  </sheetViews>
  <sheetFormatPr defaultRowHeight="14.4"/>
  <cols>
    <col min="1" max="1" width="15" customWidth="1"/>
    <col min="2" max="2" width="27.44140625" customWidth="1"/>
    <col min="3" max="3" width="14.109375" customWidth="1"/>
    <col min="4" max="4" width="15.109375" customWidth="1"/>
  </cols>
  <sheetData>
    <row r="1" spans="1:8">
      <c r="A1" t="s">
        <v>127</v>
      </c>
    </row>
    <row r="2" spans="1:8">
      <c r="A2" s="236" t="s">
        <v>79</v>
      </c>
      <c r="B2" s="236" t="s">
        <v>80</v>
      </c>
      <c r="C2" s="236" t="s">
        <v>81</v>
      </c>
      <c r="D2" s="236" t="s">
        <v>82</v>
      </c>
      <c r="E2" s="236" t="s">
        <v>83</v>
      </c>
    </row>
    <row r="3" spans="1:8">
      <c r="A3" s="235">
        <v>1</v>
      </c>
      <c r="B3" s="235" t="s">
        <v>708</v>
      </c>
      <c r="C3" s="235">
        <v>1</v>
      </c>
      <c r="D3" s="235">
        <v>435000</v>
      </c>
      <c r="E3" s="235">
        <f t="shared" ref="E3:E6" si="0">C3*D3</f>
        <v>435000</v>
      </c>
      <c r="H3">
        <f>335000+100000</f>
        <v>435000</v>
      </c>
    </row>
    <row r="4" spans="1:8">
      <c r="A4" s="235">
        <v>2</v>
      </c>
      <c r="B4" s="235" t="s">
        <v>707</v>
      </c>
      <c r="C4" s="235">
        <v>32</v>
      </c>
      <c r="D4" s="235">
        <v>5900</v>
      </c>
      <c r="E4" s="235">
        <f t="shared" si="0"/>
        <v>188800</v>
      </c>
    </row>
    <row r="5" spans="1:8">
      <c r="A5" s="235">
        <v>3</v>
      </c>
      <c r="B5" s="235" t="s">
        <v>384</v>
      </c>
      <c r="C5" s="235">
        <v>1</v>
      </c>
      <c r="D5" s="235">
        <v>5000</v>
      </c>
      <c r="E5" s="235">
        <f t="shared" si="0"/>
        <v>5000</v>
      </c>
    </row>
    <row r="6" spans="1:8" ht="22.8" customHeight="1">
      <c r="A6" s="235">
        <v>4</v>
      </c>
      <c r="B6" s="235" t="s">
        <v>86</v>
      </c>
      <c r="C6" s="235">
        <v>1</v>
      </c>
      <c r="D6" s="235">
        <v>15000</v>
      </c>
      <c r="E6" s="235">
        <f t="shared" si="0"/>
        <v>15000</v>
      </c>
      <c r="G6">
        <f>E3+E5+E6</f>
        <v>455000</v>
      </c>
    </row>
    <row r="7" spans="1:8">
      <c r="A7" s="312" t="s">
        <v>87</v>
      </c>
      <c r="B7" s="312"/>
      <c r="C7" s="312"/>
      <c r="D7" s="312"/>
      <c r="E7" s="236">
        <f>SUM(E3:E6)</f>
        <v>643800</v>
      </c>
    </row>
    <row r="8" spans="1:8">
      <c r="A8" s="359" t="s">
        <v>553</v>
      </c>
      <c r="B8" s="360"/>
      <c r="C8" s="360"/>
      <c r="D8" s="360"/>
      <c r="E8" s="111">
        <f>455000*9%</f>
        <v>40950</v>
      </c>
    </row>
    <row r="9" spans="1:8">
      <c r="A9" s="361" t="s">
        <v>554</v>
      </c>
      <c r="B9" s="362"/>
      <c r="C9" s="362"/>
      <c r="D9" s="362"/>
      <c r="E9" s="236">
        <f>455000*9%</f>
        <v>40950</v>
      </c>
    </row>
    <row r="10" spans="1:8">
      <c r="A10" s="361" t="s">
        <v>700</v>
      </c>
      <c r="B10" s="362"/>
      <c r="C10" s="362"/>
      <c r="D10" s="362"/>
      <c r="E10" s="236">
        <f>E4*14%</f>
        <v>26432.000000000004</v>
      </c>
    </row>
    <row r="11" spans="1:8">
      <c r="A11" s="361" t="s">
        <v>701</v>
      </c>
      <c r="B11" s="362"/>
      <c r="C11" s="362"/>
      <c r="D11" s="362"/>
      <c r="E11" s="236">
        <f>E4*14%</f>
        <v>26432.000000000004</v>
      </c>
    </row>
    <row r="12" spans="1:8">
      <c r="A12" s="273" t="s">
        <v>702</v>
      </c>
      <c r="B12" s="274"/>
      <c r="C12" s="274"/>
      <c r="D12" s="275"/>
      <c r="E12" s="236">
        <f>SUM(E7:E11)</f>
        <v>778564</v>
      </c>
    </row>
    <row r="14" spans="1:8" ht="18" customHeight="1">
      <c r="A14" s="25" t="s">
        <v>703</v>
      </c>
      <c r="B14" s="25" t="s">
        <v>704</v>
      </c>
      <c r="C14" s="25" t="s">
        <v>705</v>
      </c>
      <c r="D14" s="25" t="s">
        <v>706</v>
      </c>
    </row>
    <row r="15" spans="1:8">
      <c r="A15" s="24">
        <f>G6*9%</f>
        <v>40950</v>
      </c>
      <c r="B15" s="24">
        <f>G6*9%</f>
        <v>40950</v>
      </c>
      <c r="C15" s="24">
        <f>E4*14%</f>
        <v>26432.000000000004</v>
      </c>
      <c r="D15" s="24">
        <f>E4*14%</f>
        <v>26432.000000000004</v>
      </c>
    </row>
    <row r="18" spans="1:8">
      <c r="A18" t="s">
        <v>128</v>
      </c>
    </row>
    <row r="19" spans="1:8">
      <c r="A19" s="236" t="s">
        <v>79</v>
      </c>
      <c r="B19" s="236" t="s">
        <v>80</v>
      </c>
      <c r="C19" s="236" t="s">
        <v>81</v>
      </c>
      <c r="D19" s="236" t="s">
        <v>82</v>
      </c>
      <c r="E19" s="236" t="s">
        <v>83</v>
      </c>
    </row>
    <row r="20" spans="1:8">
      <c r="A20" s="235">
        <v>1</v>
      </c>
      <c r="B20" s="235" t="s">
        <v>709</v>
      </c>
      <c r="C20" s="235">
        <v>1</v>
      </c>
      <c r="D20" s="235">
        <v>395000</v>
      </c>
      <c r="E20" s="235">
        <f t="shared" ref="E20:E23" si="1">C20*D20</f>
        <v>395000</v>
      </c>
      <c r="H20">
        <f>295000+100000</f>
        <v>395000</v>
      </c>
    </row>
    <row r="21" spans="1:8">
      <c r="A21" s="235">
        <v>2</v>
      </c>
      <c r="B21" s="235" t="s">
        <v>707</v>
      </c>
      <c r="C21" s="235">
        <v>32</v>
      </c>
      <c r="D21" s="235">
        <v>5900</v>
      </c>
      <c r="E21" s="235">
        <f t="shared" si="1"/>
        <v>188800</v>
      </c>
    </row>
    <row r="22" spans="1:8">
      <c r="A22" s="235">
        <v>3</v>
      </c>
      <c r="B22" s="235" t="s">
        <v>384</v>
      </c>
      <c r="C22" s="235">
        <v>1</v>
      </c>
      <c r="D22" s="235">
        <v>5000</v>
      </c>
      <c r="E22" s="235">
        <f t="shared" si="1"/>
        <v>5000</v>
      </c>
    </row>
    <row r="23" spans="1:8" ht="26.4">
      <c r="A23" s="235">
        <v>4</v>
      </c>
      <c r="B23" s="235" t="s">
        <v>86</v>
      </c>
      <c r="C23" s="235">
        <v>1</v>
      </c>
      <c r="D23" s="235">
        <v>15000</v>
      </c>
      <c r="E23" s="235">
        <f t="shared" si="1"/>
        <v>15000</v>
      </c>
      <c r="G23">
        <f>E20+E22+E23</f>
        <v>415000</v>
      </c>
    </row>
    <row r="24" spans="1:8">
      <c r="A24" s="312" t="s">
        <v>87</v>
      </c>
      <c r="B24" s="312"/>
      <c r="C24" s="312"/>
      <c r="D24" s="312"/>
      <c r="E24" s="236">
        <f>SUM(E20:E23)</f>
        <v>603800</v>
      </c>
    </row>
    <row r="25" spans="1:8">
      <c r="A25" s="359" t="s">
        <v>553</v>
      </c>
      <c r="B25" s="360"/>
      <c r="C25" s="360"/>
      <c r="D25" s="360"/>
      <c r="E25" s="111">
        <f>415000*9%</f>
        <v>37350</v>
      </c>
    </row>
    <row r="26" spans="1:8">
      <c r="A26" s="361" t="s">
        <v>554</v>
      </c>
      <c r="B26" s="362"/>
      <c r="C26" s="362"/>
      <c r="D26" s="362"/>
      <c r="E26" s="236">
        <f>415000*9%</f>
        <v>37350</v>
      </c>
    </row>
    <row r="27" spans="1:8">
      <c r="A27" s="361" t="s">
        <v>700</v>
      </c>
      <c r="B27" s="362"/>
      <c r="C27" s="362"/>
      <c r="D27" s="362"/>
      <c r="E27" s="236">
        <f>E21*14%</f>
        <v>26432.000000000004</v>
      </c>
    </row>
    <row r="28" spans="1:8">
      <c r="A28" s="361" t="s">
        <v>701</v>
      </c>
      <c r="B28" s="362"/>
      <c r="C28" s="362"/>
      <c r="D28" s="362"/>
      <c r="E28" s="236">
        <f>E21*14%</f>
        <v>26432.000000000004</v>
      </c>
    </row>
    <row r="29" spans="1:8">
      <c r="A29" s="273" t="s">
        <v>702</v>
      </c>
      <c r="B29" s="274"/>
      <c r="C29" s="274"/>
      <c r="D29" s="275"/>
      <c r="E29" s="236">
        <f>SUM(E24:E28)</f>
        <v>731364</v>
      </c>
    </row>
    <row r="31" spans="1:8">
      <c r="A31" s="25" t="s">
        <v>703</v>
      </c>
      <c r="B31" s="25" t="s">
        <v>704</v>
      </c>
      <c r="C31" s="25" t="s">
        <v>705</v>
      </c>
      <c r="D31" s="25" t="s">
        <v>706</v>
      </c>
    </row>
    <row r="32" spans="1:8">
      <c r="A32" s="24">
        <f>G23*9%</f>
        <v>37350</v>
      </c>
      <c r="B32" s="24">
        <f>G23*9%</f>
        <v>37350</v>
      </c>
      <c r="C32" s="24">
        <f>E21*14%</f>
        <v>26432.000000000004</v>
      </c>
      <c r="D32" s="24">
        <f>E21*14%</f>
        <v>26432.000000000004</v>
      </c>
    </row>
  </sheetData>
  <mergeCells count="12">
    <mergeCell ref="A29:D29"/>
    <mergeCell ref="A7:D7"/>
    <mergeCell ref="A8:D8"/>
    <mergeCell ref="A9:D9"/>
    <mergeCell ref="A10:D10"/>
    <mergeCell ref="A11:D11"/>
    <mergeCell ref="A12:D12"/>
    <mergeCell ref="A24:D24"/>
    <mergeCell ref="A25:D25"/>
    <mergeCell ref="A26:D26"/>
    <mergeCell ref="A27:D27"/>
    <mergeCell ref="A28:D28"/>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J18" sqref="J18"/>
    </sheetView>
  </sheetViews>
  <sheetFormatPr defaultRowHeight="14.4"/>
  <cols>
    <col min="1" max="1" width="15" customWidth="1"/>
    <col min="2" max="2" width="32.6640625" customWidth="1"/>
    <col min="3" max="3" width="14.109375" customWidth="1"/>
    <col min="4" max="4" width="15.109375" customWidth="1"/>
    <col min="5" max="5" width="9.44140625" customWidth="1"/>
  </cols>
  <sheetData>
    <row r="1" spans="1:9">
      <c r="A1" s="238" t="s">
        <v>79</v>
      </c>
      <c r="B1" s="238" t="s">
        <v>80</v>
      </c>
      <c r="C1" s="238" t="s">
        <v>81</v>
      </c>
      <c r="D1" s="238" t="s">
        <v>82</v>
      </c>
      <c r="E1" s="238" t="s">
        <v>83</v>
      </c>
    </row>
    <row r="2" spans="1:9" ht="26.4">
      <c r="A2" s="237">
        <v>1</v>
      </c>
      <c r="B2" s="237" t="s">
        <v>711</v>
      </c>
      <c r="C2" s="237">
        <v>1</v>
      </c>
      <c r="D2" s="237">
        <v>331559</v>
      </c>
      <c r="E2" s="237">
        <f t="shared" ref="E2:E6" si="0">C2*D2</f>
        <v>331559</v>
      </c>
      <c r="I2">
        <f>332559-1000</f>
        <v>331559</v>
      </c>
    </row>
    <row r="3" spans="1:9">
      <c r="A3" s="237">
        <v>2</v>
      </c>
      <c r="B3" s="237" t="s">
        <v>710</v>
      </c>
      <c r="C3" s="237">
        <v>32</v>
      </c>
      <c r="D3" s="237">
        <v>123312</v>
      </c>
      <c r="E3" s="237">
        <f t="shared" si="0"/>
        <v>3945984</v>
      </c>
      <c r="H3">
        <f>124312.32-1000</f>
        <v>123312.32000000001</v>
      </c>
    </row>
    <row r="4" spans="1:9">
      <c r="A4" s="237">
        <v>3</v>
      </c>
      <c r="B4" s="237" t="s">
        <v>712</v>
      </c>
      <c r="C4" s="237">
        <v>1</v>
      </c>
      <c r="D4" s="237">
        <v>25500</v>
      </c>
      <c r="E4" s="237">
        <f t="shared" si="0"/>
        <v>25500</v>
      </c>
    </row>
    <row r="5" spans="1:9" ht="22.8" customHeight="1">
      <c r="A5" s="237">
        <v>4</v>
      </c>
      <c r="B5" s="237" t="s">
        <v>86</v>
      </c>
      <c r="C5" s="237">
        <v>1</v>
      </c>
      <c r="D5" s="237">
        <v>12000</v>
      </c>
      <c r="E5" s="237">
        <f t="shared" si="0"/>
        <v>12000</v>
      </c>
      <c r="G5">
        <f>E2+E4+E5+E6</f>
        <v>372059</v>
      </c>
    </row>
    <row r="6" spans="1:9" ht="22.8" customHeight="1">
      <c r="A6" s="237">
        <v>5</v>
      </c>
      <c r="B6" s="237" t="s">
        <v>713</v>
      </c>
      <c r="C6" s="237">
        <v>1</v>
      </c>
      <c r="D6" s="237">
        <v>3000</v>
      </c>
      <c r="E6" s="237">
        <f t="shared" si="0"/>
        <v>3000</v>
      </c>
    </row>
    <row r="7" spans="1:9">
      <c r="A7" s="312" t="s">
        <v>87</v>
      </c>
      <c r="B7" s="312"/>
      <c r="C7" s="312"/>
      <c r="D7" s="312"/>
      <c r="E7" s="238">
        <f>SUM(E2:E6)</f>
        <v>4318043</v>
      </c>
    </row>
    <row r="8" spans="1:9">
      <c r="A8" s="359" t="s">
        <v>553</v>
      </c>
      <c r="B8" s="360"/>
      <c r="C8" s="360"/>
      <c r="D8" s="360"/>
      <c r="E8" s="111">
        <f>372059*9%</f>
        <v>33485.31</v>
      </c>
    </row>
    <row r="9" spans="1:9">
      <c r="A9" s="361" t="s">
        <v>554</v>
      </c>
      <c r="B9" s="362"/>
      <c r="C9" s="362"/>
      <c r="D9" s="362"/>
      <c r="E9" s="238">
        <f>372059*9%</f>
        <v>33485.31</v>
      </c>
    </row>
    <row r="10" spans="1:9">
      <c r="A10" s="361" t="s">
        <v>700</v>
      </c>
      <c r="B10" s="362"/>
      <c r="C10" s="362"/>
      <c r="D10" s="362"/>
      <c r="E10" s="238">
        <f>E3*14%</f>
        <v>552437.76000000001</v>
      </c>
    </row>
    <row r="11" spans="1:9">
      <c r="A11" s="361" t="s">
        <v>701</v>
      </c>
      <c r="B11" s="362"/>
      <c r="C11" s="362"/>
      <c r="D11" s="362"/>
      <c r="E11" s="238">
        <f>E3*14%</f>
        <v>552437.76000000001</v>
      </c>
    </row>
    <row r="12" spans="1:9">
      <c r="A12" s="273" t="s">
        <v>702</v>
      </c>
      <c r="B12" s="274"/>
      <c r="C12" s="274"/>
      <c r="D12" s="275"/>
      <c r="E12" s="238">
        <f>SUM(E7:E11)</f>
        <v>5489889.1399999987</v>
      </c>
    </row>
    <row r="14" spans="1:9" ht="18" customHeight="1">
      <c r="A14" s="25" t="s">
        <v>703</v>
      </c>
      <c r="B14" s="25" t="s">
        <v>704</v>
      </c>
      <c r="C14" s="25" t="s">
        <v>705</v>
      </c>
      <c r="D14" s="25" t="s">
        <v>706</v>
      </c>
    </row>
    <row r="15" spans="1:9">
      <c r="A15" s="24">
        <f>G5*9%</f>
        <v>33485.31</v>
      </c>
      <c r="B15" s="24">
        <f>G5*9%</f>
        <v>33485.31</v>
      </c>
      <c r="C15" s="24">
        <f>E3*14%</f>
        <v>552437.76000000001</v>
      </c>
      <c r="D15" s="24">
        <f>E3*14%</f>
        <v>552437.76000000001</v>
      </c>
    </row>
    <row r="17" spans="1:1">
      <c r="A17" t="s">
        <v>714</v>
      </c>
    </row>
    <row r="18" spans="1:1">
      <c r="A18" t="s">
        <v>715</v>
      </c>
    </row>
  </sheetData>
  <mergeCells count="6">
    <mergeCell ref="A12:D12"/>
    <mergeCell ref="A7:D7"/>
    <mergeCell ref="A8:D8"/>
    <mergeCell ref="A9:D9"/>
    <mergeCell ref="A10:D10"/>
    <mergeCell ref="A11:D11"/>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G19" sqref="G19"/>
    </sheetView>
  </sheetViews>
  <sheetFormatPr defaultRowHeight="13.8"/>
  <cols>
    <col min="1" max="1" width="8.88671875" style="241" customWidth="1"/>
    <col min="2" max="2" width="63.5546875" style="241" customWidth="1"/>
    <col min="3" max="3" width="6.21875" style="241" customWidth="1"/>
    <col min="4" max="4" width="8.88671875" style="241"/>
    <col min="5" max="5" width="8.6640625" style="241" customWidth="1"/>
    <col min="6" max="16384" width="8.88671875" style="241"/>
  </cols>
  <sheetData>
    <row r="1" spans="1:5" ht="13.8" customHeight="1">
      <c r="A1" s="240" t="s">
        <v>79</v>
      </c>
      <c r="B1" s="240" t="s">
        <v>80</v>
      </c>
      <c r="C1" s="240" t="s">
        <v>81</v>
      </c>
      <c r="D1" s="240" t="s">
        <v>82</v>
      </c>
      <c r="E1" s="240" t="s">
        <v>83</v>
      </c>
    </row>
    <row r="2" spans="1:5">
      <c r="A2" s="239">
        <v>1</v>
      </c>
      <c r="B2" s="242" t="s">
        <v>716</v>
      </c>
      <c r="C2" s="239">
        <v>2</v>
      </c>
      <c r="D2" s="239">
        <v>2250</v>
      </c>
      <c r="E2" s="239">
        <f t="shared" ref="E2:E6" si="0">C2*D2</f>
        <v>4500</v>
      </c>
    </row>
    <row r="3" spans="1:5">
      <c r="A3" s="239">
        <v>2</v>
      </c>
      <c r="B3" s="242" t="s">
        <v>717</v>
      </c>
      <c r="C3" s="239">
        <v>2</v>
      </c>
      <c r="D3" s="239">
        <v>1890</v>
      </c>
      <c r="E3" s="239">
        <f t="shared" si="0"/>
        <v>3780</v>
      </c>
    </row>
    <row r="4" spans="1:5" ht="45.6" customHeight="1">
      <c r="A4" s="239">
        <v>3</v>
      </c>
      <c r="B4" s="242" t="s">
        <v>718</v>
      </c>
      <c r="C4" s="239">
        <v>2</v>
      </c>
      <c r="D4" s="239">
        <v>65000</v>
      </c>
      <c r="E4" s="239">
        <f t="shared" si="0"/>
        <v>130000</v>
      </c>
    </row>
    <row r="5" spans="1:5">
      <c r="A5" s="239">
        <v>4</v>
      </c>
      <c r="B5" s="242" t="s">
        <v>719</v>
      </c>
      <c r="C5" s="239">
        <v>1</v>
      </c>
      <c r="D5" s="239">
        <v>11000</v>
      </c>
      <c r="E5" s="239">
        <f t="shared" si="0"/>
        <v>11000</v>
      </c>
    </row>
    <row r="6" spans="1:5" ht="24" customHeight="1">
      <c r="A6" s="239">
        <v>5</v>
      </c>
      <c r="B6" s="242" t="s">
        <v>720</v>
      </c>
      <c r="C6" s="239">
        <v>2</v>
      </c>
      <c r="D6" s="239">
        <v>5000</v>
      </c>
      <c r="E6" s="239">
        <f t="shared" si="0"/>
        <v>10000</v>
      </c>
    </row>
    <row r="7" spans="1:5">
      <c r="A7" s="340" t="s">
        <v>87</v>
      </c>
      <c r="B7" s="340"/>
      <c r="C7" s="340"/>
      <c r="D7" s="340"/>
      <c r="E7" s="240">
        <f>SUM(E2:E6)</f>
        <v>159280</v>
      </c>
    </row>
    <row r="8" spans="1:5">
      <c r="A8" s="363" t="s">
        <v>553</v>
      </c>
      <c r="B8" s="364"/>
      <c r="C8" s="364"/>
      <c r="D8" s="364"/>
      <c r="E8" s="240">
        <f>E7*9%</f>
        <v>14335.199999999999</v>
      </c>
    </row>
    <row r="9" spans="1:5">
      <c r="A9" s="365" t="s">
        <v>554</v>
      </c>
      <c r="B9" s="366"/>
      <c r="C9" s="366"/>
      <c r="D9" s="366"/>
      <c r="E9" s="240">
        <f>E7*9%</f>
        <v>14335.199999999999</v>
      </c>
    </row>
    <row r="10" spans="1:5">
      <c r="A10" s="273" t="s">
        <v>702</v>
      </c>
      <c r="B10" s="274"/>
      <c r="C10" s="274"/>
      <c r="D10" s="275"/>
      <c r="E10" s="240">
        <f>SUM(E7:E9)</f>
        <v>187950.40000000002</v>
      </c>
    </row>
  </sheetData>
  <mergeCells count="4">
    <mergeCell ref="A7:D7"/>
    <mergeCell ref="A8:D8"/>
    <mergeCell ref="A9:D9"/>
    <mergeCell ref="A10:D10"/>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G23" sqref="G23"/>
    </sheetView>
  </sheetViews>
  <sheetFormatPr defaultRowHeight="14.4"/>
  <cols>
    <col min="1" max="1" width="7" customWidth="1"/>
    <col min="2" max="2" width="39.21875" customWidth="1"/>
    <col min="3" max="3" width="6.6640625" customWidth="1"/>
  </cols>
  <sheetData>
    <row r="1" spans="1:11">
      <c r="A1" s="244" t="s">
        <v>79</v>
      </c>
      <c r="B1" s="244" t="s">
        <v>80</v>
      </c>
      <c r="C1" s="244" t="s">
        <v>81</v>
      </c>
      <c r="D1" s="244" t="s">
        <v>82</v>
      </c>
      <c r="E1" s="244" t="s">
        <v>83</v>
      </c>
    </row>
    <row r="2" spans="1:11" ht="37.799999999999997" customHeight="1">
      <c r="A2" s="243" t="s">
        <v>147</v>
      </c>
      <c r="B2" s="24" t="s">
        <v>722</v>
      </c>
      <c r="C2" s="243">
        <v>5</v>
      </c>
      <c r="D2" s="243">
        <v>3900</v>
      </c>
      <c r="E2" s="243">
        <f t="shared" ref="E2:E8" si="0">C2*D2</f>
        <v>19500</v>
      </c>
      <c r="G2">
        <f>2450*2</f>
        <v>4900</v>
      </c>
    </row>
    <row r="3" spans="1:11" ht="27" customHeight="1">
      <c r="A3" s="243">
        <v>2</v>
      </c>
      <c r="B3" s="243" t="s">
        <v>826</v>
      </c>
      <c r="C3" s="243">
        <v>1</v>
      </c>
      <c r="D3" s="243">
        <v>9600</v>
      </c>
      <c r="E3" s="243">
        <f t="shared" si="0"/>
        <v>9600</v>
      </c>
      <c r="G3">
        <f>5940*2</f>
        <v>11880</v>
      </c>
      <c r="I3">
        <f>4410*2</f>
        <v>8820</v>
      </c>
      <c r="J3">
        <f>3640*2</f>
        <v>7280</v>
      </c>
    </row>
    <row r="4" spans="1:11" ht="15" customHeight="1">
      <c r="A4" s="243">
        <v>3</v>
      </c>
      <c r="B4" s="243" t="s">
        <v>188</v>
      </c>
      <c r="C4" s="243">
        <v>1</v>
      </c>
      <c r="D4" s="243">
        <v>4500</v>
      </c>
      <c r="E4" s="243">
        <f t="shared" si="0"/>
        <v>4500</v>
      </c>
    </row>
    <row r="5" spans="1:11" ht="31.2" customHeight="1">
      <c r="A5" s="243">
        <v>4</v>
      </c>
      <c r="B5" s="243" t="s">
        <v>723</v>
      </c>
      <c r="C5" s="243">
        <v>1</v>
      </c>
      <c r="D5" s="243">
        <v>9600</v>
      </c>
      <c r="E5" s="243">
        <f t="shared" si="0"/>
        <v>9600</v>
      </c>
    </row>
    <row r="6" spans="1:11" ht="15" customHeight="1">
      <c r="A6" s="243">
        <v>5</v>
      </c>
      <c r="B6" s="243" t="s">
        <v>116</v>
      </c>
      <c r="C6" s="243">
        <v>13</v>
      </c>
      <c r="D6" s="243">
        <v>150</v>
      </c>
      <c r="E6" s="243">
        <f t="shared" si="0"/>
        <v>1950</v>
      </c>
    </row>
    <row r="7" spans="1:11">
      <c r="A7" s="243">
        <v>6</v>
      </c>
      <c r="B7" s="243" t="s">
        <v>175</v>
      </c>
      <c r="C7" s="243">
        <v>5</v>
      </c>
      <c r="D7" s="243">
        <v>100</v>
      </c>
      <c r="E7" s="243">
        <f t="shared" si="0"/>
        <v>500</v>
      </c>
    </row>
    <row r="8" spans="1:11" ht="13.8" customHeight="1">
      <c r="A8" s="243">
        <v>7</v>
      </c>
      <c r="B8" s="243" t="s">
        <v>86</v>
      </c>
      <c r="C8" s="243">
        <v>1</v>
      </c>
      <c r="D8" s="243">
        <v>4000</v>
      </c>
      <c r="E8" s="243">
        <f t="shared" si="0"/>
        <v>4000</v>
      </c>
    </row>
    <row r="9" spans="1:11">
      <c r="A9" s="273" t="s">
        <v>87</v>
      </c>
      <c r="B9" s="274"/>
      <c r="C9" s="274"/>
      <c r="D9" s="275"/>
      <c r="E9" s="244">
        <f>SUM(E2:E8)</f>
        <v>49650</v>
      </c>
    </row>
    <row r="10" spans="1:11">
      <c r="A10" s="5"/>
      <c r="B10" s="5"/>
      <c r="C10" s="5"/>
      <c r="D10" s="5"/>
      <c r="E10" s="5"/>
    </row>
    <row r="11" spans="1:11">
      <c r="B11" s="5"/>
      <c r="C11" s="5"/>
      <c r="D11" s="5"/>
      <c r="E11" s="5"/>
    </row>
    <row r="12" spans="1:11">
      <c r="A12" s="6" t="s">
        <v>470</v>
      </c>
      <c r="B12" s="75"/>
      <c r="C12" s="75"/>
      <c r="D12" s="75"/>
      <c r="E12" s="75"/>
    </row>
    <row r="13" spans="1:11">
      <c r="A13" s="6"/>
      <c r="B13" s="75"/>
      <c r="C13" s="75"/>
      <c r="D13" s="75"/>
      <c r="E13" s="75"/>
    </row>
    <row r="14" spans="1:11">
      <c r="A14" s="6" t="s">
        <v>650</v>
      </c>
      <c r="B14" s="75"/>
      <c r="C14" s="75"/>
      <c r="D14" s="75"/>
      <c r="E14" s="75"/>
      <c r="K14">
        <f>8680*2</f>
        <v>17360</v>
      </c>
    </row>
    <row r="15" spans="1:11">
      <c r="A15" s="6" t="s">
        <v>721</v>
      </c>
      <c r="B15" s="75"/>
      <c r="C15" s="75"/>
      <c r="D15" s="75"/>
      <c r="E15" s="75"/>
    </row>
    <row r="16" spans="1:11">
      <c r="A16" s="6"/>
      <c r="B16" s="75"/>
      <c r="C16" s="75"/>
      <c r="D16" s="75"/>
      <c r="E16" s="75"/>
    </row>
    <row r="17" spans="1:5">
      <c r="A17" s="6" t="s">
        <v>129</v>
      </c>
      <c r="B17" s="75"/>
      <c r="C17" s="75"/>
      <c r="D17" s="75"/>
      <c r="E17" s="75"/>
    </row>
    <row r="18" spans="1:5">
      <c r="A18" s="6" t="s">
        <v>141</v>
      </c>
      <c r="B18" s="75"/>
      <c r="C18" s="75"/>
      <c r="D18" s="75"/>
      <c r="E18" s="75"/>
    </row>
    <row r="19" spans="1:5">
      <c r="A19" s="6" t="s">
        <v>142</v>
      </c>
      <c r="B19" s="75"/>
      <c r="C19" s="75"/>
      <c r="D19" s="75"/>
      <c r="E19" s="75"/>
    </row>
    <row r="20" spans="1:5">
      <c r="A20" s="6" t="s">
        <v>161</v>
      </c>
      <c r="B20" s="75"/>
      <c r="C20" s="75"/>
      <c r="D20" s="75"/>
      <c r="E20" s="75"/>
    </row>
    <row r="21" spans="1:5">
      <c r="A21" s="6" t="s">
        <v>162</v>
      </c>
      <c r="B21" s="75"/>
      <c r="C21" s="75"/>
      <c r="D21" s="75"/>
      <c r="E21" s="75"/>
    </row>
  </sheetData>
  <mergeCells count="1">
    <mergeCell ref="A9:D9"/>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3" workbookViewId="0">
      <selection activeCell="H29" sqref="H29"/>
    </sheetView>
  </sheetViews>
  <sheetFormatPr defaultRowHeight="13.8"/>
  <cols>
    <col min="1" max="1" width="8.88671875" style="241"/>
    <col min="2" max="2" width="45.77734375" style="241" customWidth="1"/>
    <col min="3" max="4" width="8.88671875" style="241"/>
    <col min="5" max="5" width="14.5546875" style="241" customWidth="1"/>
    <col min="6" max="16384" width="8.88671875" style="241"/>
  </cols>
  <sheetData>
    <row r="1" spans="1:10">
      <c r="A1" s="247" t="s">
        <v>79</v>
      </c>
      <c r="B1" s="247" t="s">
        <v>80</v>
      </c>
      <c r="C1" s="247" t="s">
        <v>81</v>
      </c>
      <c r="D1" s="247" t="s">
        <v>82</v>
      </c>
      <c r="E1" s="247" t="s">
        <v>83</v>
      </c>
    </row>
    <row r="2" spans="1:10" ht="22.8" customHeight="1">
      <c r="A2" s="246">
        <v>1</v>
      </c>
      <c r="B2" s="242" t="s">
        <v>757</v>
      </c>
      <c r="C2" s="246">
        <v>1</v>
      </c>
      <c r="D2" s="246">
        <v>369000</v>
      </c>
      <c r="E2" s="246">
        <f t="shared" ref="E2:E6" si="0">C2*D2</f>
        <v>369000</v>
      </c>
      <c r="G2" s="241">
        <v>302800</v>
      </c>
    </row>
    <row r="3" spans="1:10">
      <c r="A3" s="246">
        <v>2</v>
      </c>
      <c r="B3" s="242" t="s">
        <v>758</v>
      </c>
      <c r="C3" s="246">
        <v>1</v>
      </c>
      <c r="D3" s="246">
        <v>120000</v>
      </c>
      <c r="E3" s="246">
        <f t="shared" si="0"/>
        <v>120000</v>
      </c>
      <c r="G3" s="241">
        <v>107200</v>
      </c>
    </row>
    <row r="4" spans="1:10">
      <c r="A4" s="246">
        <v>3</v>
      </c>
      <c r="B4" s="242" t="s">
        <v>759</v>
      </c>
      <c r="C4" s="246">
        <v>1</v>
      </c>
      <c r="D4" s="246">
        <v>27000</v>
      </c>
      <c r="E4" s="246">
        <f t="shared" si="0"/>
        <v>27000</v>
      </c>
      <c r="G4" s="241">
        <v>28500</v>
      </c>
    </row>
    <row r="5" spans="1:10">
      <c r="A5" s="246">
        <v>4</v>
      </c>
      <c r="B5" s="242" t="s">
        <v>760</v>
      </c>
      <c r="C5" s="246">
        <v>1</v>
      </c>
      <c r="D5" s="246">
        <v>9000</v>
      </c>
      <c r="E5" s="246">
        <f t="shared" si="0"/>
        <v>9000</v>
      </c>
      <c r="G5" s="241">
        <v>10000</v>
      </c>
    </row>
    <row r="6" spans="1:10">
      <c r="A6" s="246">
        <v>5</v>
      </c>
      <c r="B6" s="242" t="s">
        <v>761</v>
      </c>
      <c r="C6" s="246">
        <v>1</v>
      </c>
      <c r="D6" s="246">
        <v>12000</v>
      </c>
      <c r="E6" s="246">
        <f t="shared" si="0"/>
        <v>12000</v>
      </c>
      <c r="G6" s="241">
        <v>10000</v>
      </c>
    </row>
    <row r="7" spans="1:10">
      <c r="A7" s="312" t="s">
        <v>87</v>
      </c>
      <c r="B7" s="312"/>
      <c r="C7" s="312"/>
      <c r="D7" s="312"/>
      <c r="E7" s="245">
        <f>SUM(E2:E6)</f>
        <v>537000</v>
      </c>
    </row>
    <row r="8" spans="1:10" ht="13.8" customHeight="1">
      <c r="A8" s="359" t="s">
        <v>553</v>
      </c>
      <c r="B8" s="360"/>
      <c r="C8" s="360"/>
      <c r="D8" s="360"/>
      <c r="E8" s="111">
        <f>417000*9%</f>
        <v>37530</v>
      </c>
    </row>
    <row r="9" spans="1:10" ht="13.8" customHeight="1">
      <c r="A9" s="361" t="s">
        <v>554</v>
      </c>
      <c r="B9" s="362"/>
      <c r="C9" s="362"/>
      <c r="D9" s="362"/>
      <c r="E9" s="111">
        <f>417000*9%</f>
        <v>37530</v>
      </c>
      <c r="J9" s="241">
        <f>E2+E4+E5+E6</f>
        <v>417000</v>
      </c>
    </row>
    <row r="10" spans="1:10">
      <c r="A10" s="361" t="s">
        <v>700</v>
      </c>
      <c r="B10" s="362"/>
      <c r="C10" s="362"/>
      <c r="D10" s="362"/>
      <c r="E10" s="245">
        <f>E3*14%</f>
        <v>16800</v>
      </c>
    </row>
    <row r="11" spans="1:10">
      <c r="A11" s="361" t="s">
        <v>701</v>
      </c>
      <c r="B11" s="362"/>
      <c r="C11" s="362"/>
      <c r="D11" s="362"/>
      <c r="E11" s="245">
        <f>E3*14%</f>
        <v>16800</v>
      </c>
    </row>
    <row r="12" spans="1:10" ht="13.8" customHeight="1">
      <c r="A12" s="273" t="s">
        <v>702</v>
      </c>
      <c r="B12" s="274"/>
      <c r="C12" s="274"/>
      <c r="D12" s="275"/>
      <c r="E12" s="245">
        <f>SUM(E7:E11)</f>
        <v>645660</v>
      </c>
    </row>
    <row r="14" spans="1:10">
      <c r="A14" s="241" t="s">
        <v>714</v>
      </c>
    </row>
    <row r="15" spans="1:10">
      <c r="A15" s="241" t="s">
        <v>755</v>
      </c>
    </row>
    <row r="16" spans="1:10">
      <c r="A16" s="241" t="s">
        <v>756</v>
      </c>
    </row>
    <row r="19" spans="1:5">
      <c r="A19" s="247" t="s">
        <v>79</v>
      </c>
      <c r="B19" s="247" t="s">
        <v>80</v>
      </c>
      <c r="C19" s="247" t="s">
        <v>81</v>
      </c>
      <c r="D19" s="247" t="s">
        <v>82</v>
      </c>
      <c r="E19" s="247" t="s">
        <v>83</v>
      </c>
    </row>
    <row r="20" spans="1:5">
      <c r="A20" s="246">
        <v>1</v>
      </c>
      <c r="B20" s="242" t="s">
        <v>757</v>
      </c>
      <c r="C20" s="246">
        <v>1</v>
      </c>
      <c r="D20" s="246">
        <v>369000</v>
      </c>
      <c r="E20" s="246">
        <f t="shared" ref="E20:E24" si="1">C20*D20</f>
        <v>369000</v>
      </c>
    </row>
    <row r="21" spans="1:5">
      <c r="A21" s="246">
        <v>2</v>
      </c>
      <c r="B21" s="242" t="s">
        <v>758</v>
      </c>
      <c r="C21" s="246">
        <v>1</v>
      </c>
      <c r="D21" s="246">
        <v>120000</v>
      </c>
      <c r="E21" s="246">
        <f t="shared" si="1"/>
        <v>120000</v>
      </c>
    </row>
    <row r="22" spans="1:5">
      <c r="A22" s="246">
        <v>3</v>
      </c>
      <c r="B22" s="242" t="s">
        <v>759</v>
      </c>
      <c r="C22" s="246">
        <v>1</v>
      </c>
      <c r="D22" s="246">
        <v>27000</v>
      </c>
      <c r="E22" s="246">
        <f t="shared" si="1"/>
        <v>27000</v>
      </c>
    </row>
    <row r="23" spans="1:5">
      <c r="A23" s="246">
        <v>4</v>
      </c>
      <c r="B23" s="242" t="s">
        <v>760</v>
      </c>
      <c r="C23" s="246">
        <v>1</v>
      </c>
      <c r="D23" s="246">
        <v>9000</v>
      </c>
      <c r="E23" s="246">
        <f t="shared" si="1"/>
        <v>9000</v>
      </c>
    </row>
    <row r="24" spans="1:5">
      <c r="A24" s="246">
        <v>5</v>
      </c>
      <c r="B24" s="242" t="s">
        <v>761</v>
      </c>
      <c r="C24" s="246">
        <v>1</v>
      </c>
      <c r="D24" s="246">
        <v>12000</v>
      </c>
      <c r="E24" s="246">
        <f t="shared" si="1"/>
        <v>12000</v>
      </c>
    </row>
    <row r="25" spans="1:5">
      <c r="A25" s="273" t="s">
        <v>808</v>
      </c>
      <c r="B25" s="274"/>
      <c r="C25" s="274"/>
      <c r="D25" s="275"/>
      <c r="E25" s="247">
        <f>E12</f>
        <v>645660</v>
      </c>
    </row>
    <row r="27" spans="1:5">
      <c r="A27" s="241" t="s">
        <v>714</v>
      </c>
    </row>
    <row r="28" spans="1:5">
      <c r="A28" s="241" t="s">
        <v>755</v>
      </c>
    </row>
    <row r="29" spans="1:5">
      <c r="A29" s="241" t="s">
        <v>756</v>
      </c>
    </row>
  </sheetData>
  <mergeCells count="7">
    <mergeCell ref="A25:D25"/>
    <mergeCell ref="A7:D7"/>
    <mergeCell ref="A8:D8"/>
    <mergeCell ref="A9:D9"/>
    <mergeCell ref="A12:D12"/>
    <mergeCell ref="A10:D10"/>
    <mergeCell ref="A11:D11"/>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workbookViewId="0">
      <selection activeCell="E7" sqref="E7:E46"/>
    </sheetView>
  </sheetViews>
  <sheetFormatPr defaultRowHeight="11.4"/>
  <cols>
    <col min="1" max="1" width="8.33203125" style="248" customWidth="1"/>
    <col min="2" max="2" width="7.6640625" style="248" customWidth="1"/>
    <col min="3" max="3" width="12.109375" style="248" customWidth="1"/>
    <col min="4" max="4" width="30.21875" style="248" customWidth="1"/>
    <col min="5" max="5" width="6.33203125" style="248" customWidth="1"/>
    <col min="6" max="6" width="7.21875" style="248" customWidth="1"/>
    <col min="7" max="7" width="8.5546875" style="248" customWidth="1"/>
    <col min="8" max="8" width="6.88671875" style="248" customWidth="1"/>
    <col min="9" max="9" width="10.33203125" style="248" customWidth="1"/>
    <col min="10" max="10" width="7.77734375" style="248" customWidth="1"/>
    <col min="11" max="11" width="15.6640625" style="248" customWidth="1"/>
    <col min="12" max="12" width="13.33203125" style="248" customWidth="1"/>
    <col min="13" max="16384" width="8.88671875" style="249"/>
  </cols>
  <sheetData>
    <row r="1" spans="1:12" ht="28.8" customHeight="1">
      <c r="A1" s="368" t="s">
        <v>724</v>
      </c>
      <c r="B1" s="368"/>
    </row>
    <row r="2" spans="1:12" ht="13.2">
      <c r="A2" s="261"/>
      <c r="B2" s="376" t="s">
        <v>731</v>
      </c>
      <c r="C2" s="377"/>
      <c r="D2" s="377"/>
      <c r="E2" s="377"/>
      <c r="F2" s="377"/>
      <c r="G2" s="377"/>
      <c r="H2" s="377"/>
      <c r="I2" s="377"/>
      <c r="J2" s="378"/>
      <c r="K2" s="369" t="s">
        <v>730</v>
      </c>
      <c r="L2" s="370"/>
    </row>
    <row r="3" spans="1:12" ht="13.2">
      <c r="A3" s="261"/>
      <c r="B3" s="376" t="s">
        <v>733</v>
      </c>
      <c r="C3" s="377"/>
      <c r="D3" s="378"/>
      <c r="E3" s="376" t="s">
        <v>734</v>
      </c>
      <c r="F3" s="378"/>
      <c r="G3" s="376" t="s">
        <v>732</v>
      </c>
      <c r="H3" s="377"/>
      <c r="I3" s="377"/>
      <c r="J3" s="378"/>
      <c r="K3" s="371"/>
      <c r="L3" s="372"/>
    </row>
    <row r="4" spans="1:12" ht="84.6" customHeight="1">
      <c r="A4" s="250" t="s">
        <v>735</v>
      </c>
      <c r="B4" s="250" t="s">
        <v>736</v>
      </c>
      <c r="C4" s="250" t="s">
        <v>737</v>
      </c>
      <c r="D4" s="250" t="s">
        <v>738</v>
      </c>
      <c r="E4" s="250" t="s">
        <v>739</v>
      </c>
      <c r="F4" s="250" t="s">
        <v>740</v>
      </c>
      <c r="G4" s="250" t="s">
        <v>741</v>
      </c>
      <c r="H4" s="250" t="s">
        <v>742</v>
      </c>
      <c r="I4" s="250" t="s">
        <v>743</v>
      </c>
      <c r="J4" s="250" t="s">
        <v>744</v>
      </c>
      <c r="K4" s="250" t="s">
        <v>745</v>
      </c>
      <c r="L4" s="250" t="s">
        <v>746</v>
      </c>
    </row>
    <row r="5" spans="1:12" ht="72.599999999999994" customHeight="1">
      <c r="A5" s="250" t="s">
        <v>725</v>
      </c>
      <c r="B5" s="250"/>
      <c r="C5" s="250"/>
      <c r="D5" s="250"/>
      <c r="E5" s="250"/>
      <c r="F5" s="250"/>
      <c r="G5" s="250"/>
      <c r="H5" s="250"/>
      <c r="I5" s="250"/>
      <c r="J5" s="250"/>
      <c r="K5" s="251"/>
      <c r="L5" s="250"/>
    </row>
    <row r="6" spans="1:12" ht="26.4">
      <c r="A6" s="261" t="s">
        <v>726</v>
      </c>
      <c r="B6" s="252"/>
      <c r="C6" s="252"/>
      <c r="D6" s="252"/>
      <c r="E6" s="253"/>
      <c r="F6" s="252"/>
      <c r="G6" s="252"/>
      <c r="H6" s="252"/>
      <c r="I6" s="252"/>
      <c r="J6" s="252"/>
      <c r="K6" s="252"/>
      <c r="L6" s="252"/>
    </row>
    <row r="7" spans="1:12">
      <c r="A7" s="254" t="s">
        <v>747</v>
      </c>
      <c r="B7" s="255"/>
      <c r="C7" s="255">
        <v>13</v>
      </c>
      <c r="D7" s="255"/>
      <c r="E7" s="375">
        <v>1</v>
      </c>
      <c r="F7" s="256"/>
      <c r="G7" s="255"/>
      <c r="H7" s="255">
        <v>1</v>
      </c>
      <c r="I7" s="255"/>
      <c r="J7" s="255">
        <v>1</v>
      </c>
      <c r="K7" s="255">
        <v>2</v>
      </c>
      <c r="L7" s="255">
        <v>1</v>
      </c>
    </row>
    <row r="8" spans="1:12" ht="34.200000000000003">
      <c r="A8" s="254" t="s">
        <v>748</v>
      </c>
      <c r="B8" s="255">
        <v>2</v>
      </c>
      <c r="C8" s="255">
        <v>11</v>
      </c>
      <c r="D8" s="255"/>
      <c r="E8" s="375"/>
      <c r="F8" s="256"/>
      <c r="G8" s="255"/>
      <c r="H8" s="255"/>
      <c r="I8" s="255">
        <v>1</v>
      </c>
      <c r="J8" s="255"/>
      <c r="K8" s="257">
        <v>2</v>
      </c>
      <c r="L8" s="255"/>
    </row>
    <row r="9" spans="1:12" ht="22.8">
      <c r="A9" s="254" t="s">
        <v>749</v>
      </c>
      <c r="B9" s="255">
        <v>1</v>
      </c>
      <c r="C9" s="255"/>
      <c r="D9" s="255"/>
      <c r="E9" s="375"/>
      <c r="F9" s="256"/>
      <c r="G9" s="255"/>
      <c r="H9" s="255"/>
      <c r="I9" s="255"/>
      <c r="J9" s="255"/>
      <c r="K9" s="255"/>
      <c r="L9" s="255"/>
    </row>
    <row r="10" spans="1:12" ht="22.8">
      <c r="A10" s="254" t="s">
        <v>750</v>
      </c>
      <c r="B10" s="255"/>
      <c r="C10" s="255">
        <v>14</v>
      </c>
      <c r="D10" s="255"/>
      <c r="E10" s="375"/>
      <c r="F10" s="256"/>
      <c r="G10" s="255"/>
      <c r="H10" s="255">
        <v>3</v>
      </c>
      <c r="I10" s="255"/>
      <c r="J10" s="255"/>
      <c r="K10" s="255">
        <v>2</v>
      </c>
      <c r="L10" s="255">
        <v>1</v>
      </c>
    </row>
    <row r="11" spans="1:12">
      <c r="A11" s="254" t="s">
        <v>751</v>
      </c>
      <c r="B11" s="254"/>
      <c r="C11" s="255">
        <v>7</v>
      </c>
      <c r="D11" s="255"/>
      <c r="E11" s="375"/>
      <c r="F11" s="256">
        <v>1</v>
      </c>
      <c r="G11" s="255"/>
      <c r="H11" s="255"/>
      <c r="I11" s="373">
        <v>1</v>
      </c>
      <c r="J11" s="255"/>
      <c r="K11" s="255"/>
      <c r="L11" s="255"/>
    </row>
    <row r="12" spans="1:12" ht="22.8">
      <c r="A12" s="254" t="s">
        <v>752</v>
      </c>
      <c r="B12" s="255"/>
      <c r="C12" s="255">
        <v>5</v>
      </c>
      <c r="D12" s="255"/>
      <c r="E12" s="375"/>
      <c r="F12" s="256">
        <v>1</v>
      </c>
      <c r="G12" s="255"/>
      <c r="H12" s="255"/>
      <c r="I12" s="374"/>
      <c r="J12" s="255"/>
      <c r="K12" s="255"/>
      <c r="L12" s="255"/>
    </row>
    <row r="13" spans="1:12" ht="22.8">
      <c r="A13" s="255" t="s">
        <v>753</v>
      </c>
      <c r="B13" s="255"/>
      <c r="C13" s="255">
        <v>5</v>
      </c>
      <c r="D13" s="255"/>
      <c r="E13" s="375"/>
      <c r="F13" s="256">
        <v>1</v>
      </c>
      <c r="G13" s="255"/>
      <c r="H13" s="255"/>
      <c r="I13" s="255"/>
      <c r="J13" s="255"/>
      <c r="K13" s="255"/>
      <c r="L13" s="255"/>
    </row>
    <row r="14" spans="1:12" ht="45.6">
      <c r="A14" s="255" t="s">
        <v>754</v>
      </c>
      <c r="B14" s="255"/>
      <c r="C14" s="255">
        <v>26</v>
      </c>
      <c r="D14" s="255"/>
      <c r="E14" s="375"/>
      <c r="F14" s="256"/>
      <c r="G14" s="255"/>
      <c r="H14" s="255">
        <v>1</v>
      </c>
      <c r="I14" s="255"/>
      <c r="J14" s="255"/>
      <c r="K14" s="255">
        <v>4</v>
      </c>
      <c r="L14" s="255">
        <v>1</v>
      </c>
    </row>
    <row r="15" spans="1:12">
      <c r="A15" s="255" t="s">
        <v>762</v>
      </c>
      <c r="B15" s="255"/>
      <c r="C15" s="255">
        <v>2</v>
      </c>
      <c r="D15" s="255"/>
      <c r="E15" s="375"/>
      <c r="F15" s="256"/>
      <c r="G15" s="255"/>
      <c r="H15" s="255"/>
      <c r="I15" s="255"/>
      <c r="J15" s="255"/>
      <c r="K15" s="255"/>
      <c r="L15" s="255"/>
    </row>
    <row r="16" spans="1:12">
      <c r="A16" s="255" t="s">
        <v>763</v>
      </c>
      <c r="B16" s="255"/>
      <c r="C16" s="255">
        <v>9</v>
      </c>
      <c r="D16" s="255"/>
      <c r="E16" s="375"/>
      <c r="F16" s="256"/>
      <c r="G16" s="255"/>
      <c r="H16" s="255">
        <v>1</v>
      </c>
      <c r="I16" s="255"/>
      <c r="J16" s="255"/>
      <c r="K16" s="257">
        <v>2</v>
      </c>
      <c r="L16" s="255"/>
    </row>
    <row r="17" spans="1:12">
      <c r="A17" s="255" t="s">
        <v>764</v>
      </c>
      <c r="B17" s="255"/>
      <c r="C17" s="255">
        <v>6</v>
      </c>
      <c r="D17" s="255"/>
      <c r="E17" s="375"/>
      <c r="F17" s="256"/>
      <c r="G17" s="255"/>
      <c r="H17" s="255">
        <v>1</v>
      </c>
      <c r="I17" s="255"/>
      <c r="J17" s="255"/>
      <c r="K17" s="255">
        <v>2</v>
      </c>
      <c r="L17" s="255">
        <v>1</v>
      </c>
    </row>
    <row r="18" spans="1:12" ht="26.4">
      <c r="A18" s="261" t="s">
        <v>727</v>
      </c>
      <c r="B18" s="252"/>
      <c r="C18" s="252"/>
      <c r="D18" s="252"/>
      <c r="E18" s="375"/>
      <c r="F18" s="258"/>
      <c r="G18" s="252"/>
      <c r="H18" s="252"/>
      <c r="I18" s="252"/>
      <c r="J18" s="252"/>
      <c r="K18" s="252"/>
      <c r="L18" s="252"/>
    </row>
    <row r="19" spans="1:12">
      <c r="A19" s="255" t="s">
        <v>318</v>
      </c>
      <c r="B19" s="255"/>
      <c r="C19" s="255">
        <v>2</v>
      </c>
      <c r="D19" s="255"/>
      <c r="E19" s="375"/>
      <c r="F19" s="256">
        <v>2</v>
      </c>
      <c r="G19" s="255"/>
      <c r="H19" s="255"/>
      <c r="I19" s="255">
        <v>2</v>
      </c>
      <c r="J19" s="255"/>
      <c r="K19" s="255"/>
      <c r="L19" s="255"/>
    </row>
    <row r="20" spans="1:12">
      <c r="A20" s="255" t="s">
        <v>765</v>
      </c>
      <c r="B20" s="255"/>
      <c r="C20" s="255">
        <v>18</v>
      </c>
      <c r="D20" s="255"/>
      <c r="E20" s="375"/>
      <c r="F20" s="256"/>
      <c r="G20" s="255"/>
      <c r="H20" s="255">
        <v>1</v>
      </c>
      <c r="I20" s="255"/>
      <c r="J20" s="255"/>
      <c r="K20" s="255">
        <v>2</v>
      </c>
      <c r="L20" s="255">
        <v>1</v>
      </c>
    </row>
    <row r="21" spans="1:12">
      <c r="A21" s="255" t="s">
        <v>766</v>
      </c>
      <c r="B21" s="255"/>
      <c r="C21" s="255">
        <v>14</v>
      </c>
      <c r="D21" s="255"/>
      <c r="E21" s="375"/>
      <c r="F21" s="256"/>
      <c r="G21" s="255"/>
      <c r="H21" s="255">
        <v>1</v>
      </c>
      <c r="I21" s="255"/>
      <c r="J21" s="255"/>
      <c r="K21" s="255"/>
      <c r="L21" s="255"/>
    </row>
    <row r="22" spans="1:12" ht="22.8">
      <c r="A22" s="255" t="s">
        <v>767</v>
      </c>
      <c r="B22" s="255"/>
      <c r="C22" s="255">
        <v>3</v>
      </c>
      <c r="D22" s="255"/>
      <c r="E22" s="375"/>
      <c r="F22" s="256">
        <v>1</v>
      </c>
      <c r="G22" s="255"/>
      <c r="H22" s="255"/>
      <c r="I22" s="255"/>
      <c r="J22" s="255"/>
      <c r="K22" s="255"/>
      <c r="L22" s="255"/>
    </row>
    <row r="23" spans="1:12" ht="22.8">
      <c r="A23" s="255" t="s">
        <v>768</v>
      </c>
      <c r="B23" s="255">
        <v>1</v>
      </c>
      <c r="C23" s="255"/>
      <c r="D23" s="255"/>
      <c r="E23" s="375"/>
      <c r="F23" s="256"/>
      <c r="G23" s="255"/>
      <c r="H23" s="255"/>
      <c r="I23" s="255"/>
      <c r="J23" s="255"/>
      <c r="K23" s="255"/>
      <c r="L23" s="255"/>
    </row>
    <row r="24" spans="1:12">
      <c r="A24" s="255" t="s">
        <v>769</v>
      </c>
      <c r="B24" s="255">
        <v>2</v>
      </c>
      <c r="C24" s="255">
        <v>8</v>
      </c>
      <c r="D24" s="255"/>
      <c r="E24" s="375"/>
      <c r="F24" s="256"/>
      <c r="G24" s="255"/>
      <c r="H24" s="255">
        <v>1</v>
      </c>
      <c r="I24" s="255"/>
      <c r="J24" s="255"/>
      <c r="K24" s="255"/>
      <c r="L24" s="255"/>
    </row>
    <row r="25" spans="1:12" ht="22.8">
      <c r="A25" s="255" t="s">
        <v>770</v>
      </c>
      <c r="B25" s="255"/>
      <c r="C25" s="255">
        <v>13</v>
      </c>
      <c r="D25" s="255"/>
      <c r="E25" s="375"/>
      <c r="F25" s="256"/>
      <c r="G25" s="255"/>
      <c r="H25" s="255">
        <v>3</v>
      </c>
      <c r="I25" s="255"/>
      <c r="J25" s="255"/>
      <c r="K25" s="255">
        <v>2</v>
      </c>
      <c r="L25" s="255">
        <v>1</v>
      </c>
    </row>
    <row r="26" spans="1:12" ht="22.8">
      <c r="A26" s="255" t="s">
        <v>771</v>
      </c>
      <c r="B26" s="255"/>
      <c r="C26" s="255">
        <v>4</v>
      </c>
      <c r="D26" s="255"/>
      <c r="E26" s="375"/>
      <c r="F26" s="256">
        <v>1</v>
      </c>
      <c r="G26" s="255"/>
      <c r="H26" s="255"/>
      <c r="I26" s="373">
        <v>1</v>
      </c>
      <c r="J26" s="255"/>
      <c r="K26" s="255"/>
      <c r="L26" s="255"/>
    </row>
    <row r="27" spans="1:12" ht="22.8">
      <c r="A27" s="255" t="s">
        <v>772</v>
      </c>
      <c r="B27" s="255"/>
      <c r="C27" s="255">
        <v>5</v>
      </c>
      <c r="D27" s="255"/>
      <c r="E27" s="375"/>
      <c r="F27" s="256">
        <v>1</v>
      </c>
      <c r="G27" s="255"/>
      <c r="H27" s="255"/>
      <c r="I27" s="374"/>
      <c r="J27" s="255"/>
      <c r="K27" s="255"/>
      <c r="L27" s="255"/>
    </row>
    <row r="28" spans="1:12" ht="22.8">
      <c r="A28" s="255" t="s">
        <v>773</v>
      </c>
      <c r="B28" s="255"/>
      <c r="C28" s="255">
        <v>4</v>
      </c>
      <c r="D28" s="255"/>
      <c r="E28" s="375"/>
      <c r="F28" s="256"/>
      <c r="G28" s="255"/>
      <c r="H28" s="255"/>
      <c r="I28" s="255"/>
      <c r="J28" s="255"/>
      <c r="K28" s="255"/>
      <c r="L28" s="255"/>
    </row>
    <row r="29" spans="1:12" ht="22.8">
      <c r="A29" s="255" t="s">
        <v>774</v>
      </c>
      <c r="B29" s="255"/>
      <c r="C29" s="255">
        <v>16</v>
      </c>
      <c r="D29" s="255"/>
      <c r="E29" s="375"/>
      <c r="F29" s="256"/>
      <c r="G29" s="255">
        <v>1</v>
      </c>
      <c r="H29" s="255"/>
      <c r="I29" s="255"/>
      <c r="J29" s="255">
        <v>1</v>
      </c>
      <c r="K29" s="255">
        <v>4</v>
      </c>
      <c r="L29" s="255">
        <v>2</v>
      </c>
    </row>
    <row r="30" spans="1:12" ht="22.8">
      <c r="A30" s="255" t="s">
        <v>775</v>
      </c>
      <c r="B30" s="255"/>
      <c r="C30" s="255">
        <v>13</v>
      </c>
      <c r="D30" s="255"/>
      <c r="E30" s="375"/>
      <c r="F30" s="256"/>
      <c r="G30" s="255"/>
      <c r="H30" s="255">
        <v>3</v>
      </c>
      <c r="I30" s="255"/>
      <c r="J30" s="255"/>
      <c r="K30" s="255">
        <v>2</v>
      </c>
      <c r="L30" s="255">
        <v>1</v>
      </c>
    </row>
    <row r="31" spans="1:12" ht="22.8">
      <c r="A31" s="255" t="s">
        <v>776</v>
      </c>
      <c r="B31" s="255"/>
      <c r="C31" s="255">
        <v>4</v>
      </c>
      <c r="D31" s="255"/>
      <c r="E31" s="375"/>
      <c r="F31" s="256"/>
      <c r="G31" s="255"/>
      <c r="H31" s="255"/>
      <c r="I31" s="255"/>
      <c r="J31" s="255"/>
      <c r="K31" s="255"/>
      <c r="L31" s="255"/>
    </row>
    <row r="32" spans="1:12" ht="22.8">
      <c r="A32" s="255" t="s">
        <v>777</v>
      </c>
      <c r="B32" s="255"/>
      <c r="C32" s="255">
        <v>9</v>
      </c>
      <c r="D32" s="255"/>
      <c r="E32" s="375"/>
      <c r="F32" s="256">
        <v>1</v>
      </c>
      <c r="G32" s="255"/>
      <c r="H32" s="255"/>
      <c r="I32" s="373">
        <v>1</v>
      </c>
      <c r="J32" s="255"/>
      <c r="K32" s="255"/>
      <c r="L32" s="255"/>
    </row>
    <row r="33" spans="1:12" ht="22.8">
      <c r="A33" s="255" t="s">
        <v>778</v>
      </c>
      <c r="B33" s="255"/>
      <c r="C33" s="255">
        <v>5</v>
      </c>
      <c r="D33" s="255"/>
      <c r="E33" s="375"/>
      <c r="F33" s="256">
        <v>1</v>
      </c>
      <c r="G33" s="255"/>
      <c r="H33" s="255"/>
      <c r="I33" s="374"/>
      <c r="J33" s="255"/>
      <c r="K33" s="255"/>
      <c r="L33" s="255"/>
    </row>
    <row r="34" spans="1:12" ht="26.4">
      <c r="A34" s="261" t="s">
        <v>728</v>
      </c>
      <c r="B34" s="252"/>
      <c r="C34" s="252"/>
      <c r="D34" s="252"/>
      <c r="E34" s="375"/>
      <c r="F34" s="258"/>
      <c r="G34" s="252"/>
      <c r="H34" s="252"/>
      <c r="I34" s="252"/>
      <c r="J34" s="252"/>
      <c r="K34" s="252"/>
      <c r="L34" s="252"/>
    </row>
    <row r="35" spans="1:12">
      <c r="A35" s="255" t="s">
        <v>779</v>
      </c>
      <c r="B35" s="255"/>
      <c r="C35" s="255">
        <v>2</v>
      </c>
      <c r="D35" s="255"/>
      <c r="E35" s="375"/>
      <c r="F35" s="256">
        <v>2</v>
      </c>
      <c r="G35" s="255"/>
      <c r="H35" s="255"/>
      <c r="I35" s="255">
        <v>2</v>
      </c>
      <c r="J35" s="255"/>
      <c r="K35" s="255"/>
      <c r="L35" s="255"/>
    </row>
    <row r="36" spans="1:12">
      <c r="A36" s="255" t="s">
        <v>765</v>
      </c>
      <c r="B36" s="255"/>
      <c r="C36" s="255">
        <v>13</v>
      </c>
      <c r="D36" s="255"/>
      <c r="E36" s="375"/>
      <c r="F36" s="256"/>
      <c r="G36" s="255"/>
      <c r="H36" s="255">
        <v>1</v>
      </c>
      <c r="I36" s="255"/>
      <c r="J36" s="255"/>
      <c r="K36" s="255">
        <v>2</v>
      </c>
      <c r="L36" s="255">
        <v>1</v>
      </c>
    </row>
    <row r="37" spans="1:12" ht="22.8">
      <c r="A37" s="255" t="s">
        <v>780</v>
      </c>
      <c r="B37" s="255"/>
      <c r="C37" s="255">
        <v>15</v>
      </c>
      <c r="D37" s="255"/>
      <c r="E37" s="375"/>
      <c r="F37" s="256"/>
      <c r="G37" s="255">
        <v>1</v>
      </c>
      <c r="H37" s="255"/>
      <c r="I37" s="255"/>
      <c r="J37" s="255">
        <v>1</v>
      </c>
      <c r="K37" s="255">
        <v>2</v>
      </c>
      <c r="L37" s="255">
        <v>1</v>
      </c>
    </row>
    <row r="38" spans="1:12">
      <c r="A38" s="255" t="s">
        <v>781</v>
      </c>
      <c r="B38" s="255"/>
      <c r="C38" s="255">
        <v>4</v>
      </c>
      <c r="D38" s="255"/>
      <c r="E38" s="375"/>
      <c r="F38" s="256">
        <v>1</v>
      </c>
      <c r="G38" s="255"/>
      <c r="H38" s="255"/>
      <c r="I38" s="373">
        <v>1</v>
      </c>
      <c r="J38" s="255"/>
      <c r="K38" s="255"/>
      <c r="L38" s="255"/>
    </row>
    <row r="39" spans="1:12" ht="22.8">
      <c r="A39" s="255" t="s">
        <v>752</v>
      </c>
      <c r="B39" s="255"/>
      <c r="C39" s="255">
        <v>7</v>
      </c>
      <c r="D39" s="255"/>
      <c r="E39" s="375"/>
      <c r="F39" s="256">
        <v>1</v>
      </c>
      <c r="G39" s="255"/>
      <c r="H39" s="255"/>
      <c r="I39" s="374"/>
      <c r="J39" s="255"/>
      <c r="K39" s="255"/>
      <c r="L39" s="255"/>
    </row>
    <row r="40" spans="1:12">
      <c r="A40" s="255" t="s">
        <v>782</v>
      </c>
      <c r="B40" s="255"/>
      <c r="C40" s="255">
        <v>4</v>
      </c>
      <c r="D40" s="255"/>
      <c r="E40" s="375"/>
      <c r="F40" s="256"/>
      <c r="G40" s="255"/>
      <c r="H40" s="255"/>
      <c r="I40" s="255"/>
      <c r="J40" s="255"/>
      <c r="K40" s="255"/>
      <c r="L40" s="255"/>
    </row>
    <row r="41" spans="1:12" ht="22.8">
      <c r="A41" s="255" t="s">
        <v>768</v>
      </c>
      <c r="B41" s="255">
        <v>1</v>
      </c>
      <c r="C41" s="255"/>
      <c r="D41" s="255"/>
      <c r="E41" s="375"/>
      <c r="F41" s="256"/>
      <c r="G41" s="255"/>
      <c r="H41" s="255"/>
      <c r="I41" s="255"/>
      <c r="J41" s="255"/>
      <c r="K41" s="255"/>
      <c r="L41" s="255"/>
    </row>
    <row r="42" spans="1:12">
      <c r="A42" s="255" t="s">
        <v>783</v>
      </c>
      <c r="B42" s="255">
        <v>6</v>
      </c>
      <c r="C42" s="255">
        <v>5</v>
      </c>
      <c r="D42" s="255"/>
      <c r="E42" s="375"/>
      <c r="F42" s="256"/>
      <c r="G42" s="255"/>
      <c r="H42" s="255"/>
      <c r="I42" s="255">
        <v>1</v>
      </c>
      <c r="J42" s="255"/>
      <c r="K42" s="257">
        <v>2</v>
      </c>
      <c r="L42" s="255"/>
    </row>
    <row r="43" spans="1:12" ht="22.8">
      <c r="A43" s="255" t="s">
        <v>784</v>
      </c>
      <c r="B43" s="255"/>
      <c r="C43" s="255">
        <v>13</v>
      </c>
      <c r="D43" s="255"/>
      <c r="E43" s="375"/>
      <c r="F43" s="256"/>
      <c r="G43" s="255"/>
      <c r="H43" s="255">
        <v>3</v>
      </c>
      <c r="I43" s="255"/>
      <c r="J43" s="255"/>
      <c r="K43" s="255">
        <v>2</v>
      </c>
      <c r="L43" s="255">
        <v>1</v>
      </c>
    </row>
    <row r="44" spans="1:12" ht="22.8">
      <c r="A44" s="255" t="s">
        <v>785</v>
      </c>
      <c r="B44" s="255"/>
      <c r="C44" s="255">
        <v>4</v>
      </c>
      <c r="D44" s="255"/>
      <c r="E44" s="375"/>
      <c r="F44" s="256">
        <v>1</v>
      </c>
      <c r="G44" s="255"/>
      <c r="H44" s="255"/>
      <c r="I44" s="373">
        <v>1</v>
      </c>
      <c r="J44" s="255"/>
      <c r="K44" s="255"/>
      <c r="L44" s="255"/>
    </row>
    <row r="45" spans="1:12" ht="22.8">
      <c r="A45" s="255" t="s">
        <v>786</v>
      </c>
      <c r="B45" s="255"/>
      <c r="C45" s="255">
        <v>5</v>
      </c>
      <c r="D45" s="255"/>
      <c r="E45" s="375"/>
      <c r="F45" s="256">
        <v>1</v>
      </c>
      <c r="G45" s="255"/>
      <c r="H45" s="255"/>
      <c r="I45" s="374"/>
      <c r="J45" s="255"/>
      <c r="K45" s="255"/>
      <c r="L45" s="255"/>
    </row>
    <row r="46" spans="1:12" ht="22.8">
      <c r="A46" s="255" t="s">
        <v>729</v>
      </c>
      <c r="B46" s="255"/>
      <c r="C46" s="255">
        <v>4</v>
      </c>
      <c r="D46" s="255"/>
      <c r="E46" s="375"/>
      <c r="F46" s="256"/>
      <c r="G46" s="255"/>
      <c r="H46" s="255"/>
      <c r="I46" s="255"/>
      <c r="J46" s="255"/>
      <c r="K46" s="255"/>
      <c r="L46" s="255"/>
    </row>
    <row r="47" spans="1:12" ht="26.4">
      <c r="A47" s="262" t="s">
        <v>787</v>
      </c>
      <c r="B47" s="262">
        <f>SUM(B7:B46)</f>
        <v>13</v>
      </c>
      <c r="C47" s="262">
        <f>SUM(C7:C46)</f>
        <v>292</v>
      </c>
      <c r="D47" s="262">
        <f>SUM(D7:D46)</f>
        <v>0</v>
      </c>
      <c r="E47" s="262">
        <v>1</v>
      </c>
      <c r="F47" s="262">
        <f t="shared" ref="F47:L47" si="0">SUM(F7:F46)</f>
        <v>16</v>
      </c>
      <c r="G47" s="262">
        <f t="shared" si="0"/>
        <v>2</v>
      </c>
      <c r="H47" s="262">
        <f t="shared" si="0"/>
        <v>20</v>
      </c>
      <c r="I47" s="262">
        <f t="shared" si="0"/>
        <v>11</v>
      </c>
      <c r="J47" s="262">
        <f t="shared" si="0"/>
        <v>3</v>
      </c>
      <c r="K47" s="262">
        <f t="shared" si="0"/>
        <v>32</v>
      </c>
      <c r="L47" s="262">
        <f t="shared" si="0"/>
        <v>12</v>
      </c>
    </row>
    <row r="49" spans="1:15" ht="26.4">
      <c r="A49" s="245" t="s">
        <v>788</v>
      </c>
      <c r="B49" s="245" t="s">
        <v>441</v>
      </c>
      <c r="C49" s="245" t="s">
        <v>789</v>
      </c>
      <c r="D49" s="245" t="s">
        <v>1</v>
      </c>
      <c r="E49" s="245" t="s">
        <v>20</v>
      </c>
      <c r="F49" s="245" t="s">
        <v>790</v>
      </c>
      <c r="G49" s="245" t="s">
        <v>791</v>
      </c>
      <c r="H49" s="245" t="s">
        <v>807</v>
      </c>
    </row>
    <row r="50" spans="1:15" ht="13.2">
      <c r="A50" s="379" t="s">
        <v>792</v>
      </c>
      <c r="B50" s="380"/>
      <c r="C50" s="380"/>
      <c r="D50" s="380"/>
      <c r="E50" s="380"/>
      <c r="F50" s="380"/>
      <c r="G50" s="380"/>
      <c r="H50" s="381"/>
    </row>
    <row r="51" spans="1:15" ht="22.8">
      <c r="A51" s="255">
        <v>1</v>
      </c>
      <c r="B51" s="254" t="s">
        <v>793</v>
      </c>
      <c r="C51" s="254" t="s">
        <v>812</v>
      </c>
      <c r="D51" s="254" t="s">
        <v>794</v>
      </c>
      <c r="E51" s="255">
        <v>1</v>
      </c>
      <c r="F51" s="255">
        <v>186800</v>
      </c>
      <c r="G51" s="255">
        <f>E51*F51</f>
        <v>186800</v>
      </c>
      <c r="H51" s="259">
        <v>0.18</v>
      </c>
      <c r="O51" s="248">
        <v>92900</v>
      </c>
    </row>
    <row r="52" spans="1:15" ht="34.200000000000003">
      <c r="A52" s="255">
        <v>2</v>
      </c>
      <c r="B52" s="254" t="s">
        <v>793</v>
      </c>
      <c r="C52" s="254" t="s">
        <v>813</v>
      </c>
      <c r="D52" s="254" t="s">
        <v>795</v>
      </c>
      <c r="E52" s="255">
        <v>1</v>
      </c>
      <c r="F52" s="255">
        <v>58900</v>
      </c>
      <c r="G52" s="255">
        <f t="shared" ref="G52:G62" si="1">E52*F52</f>
        <v>58900</v>
      </c>
      <c r="H52" s="259">
        <v>0.18</v>
      </c>
      <c r="O52" s="248">
        <v>29200</v>
      </c>
    </row>
    <row r="53" spans="1:15" ht="22.8">
      <c r="A53" s="255">
        <v>3</v>
      </c>
      <c r="B53" s="254" t="s">
        <v>793</v>
      </c>
      <c r="C53" s="254" t="s">
        <v>814</v>
      </c>
      <c r="D53" s="254" t="s">
        <v>796</v>
      </c>
      <c r="E53" s="255">
        <v>3</v>
      </c>
      <c r="F53" s="255">
        <v>209900</v>
      </c>
      <c r="G53" s="255">
        <f t="shared" si="1"/>
        <v>629700</v>
      </c>
      <c r="H53" s="259">
        <v>0.18</v>
      </c>
      <c r="O53" s="248">
        <v>108400</v>
      </c>
    </row>
    <row r="54" spans="1:15" ht="22.8">
      <c r="A54" s="255">
        <v>4</v>
      </c>
      <c r="B54" s="254" t="s">
        <v>793</v>
      </c>
      <c r="C54" s="254" t="s">
        <v>811</v>
      </c>
      <c r="D54" s="254" t="s">
        <v>797</v>
      </c>
      <c r="E54" s="255">
        <v>4</v>
      </c>
      <c r="F54" s="255">
        <v>62000</v>
      </c>
      <c r="G54" s="255">
        <f t="shared" si="1"/>
        <v>248000</v>
      </c>
      <c r="H54" s="259">
        <v>0.18</v>
      </c>
      <c r="O54" s="248">
        <v>31000</v>
      </c>
    </row>
    <row r="55" spans="1:15" ht="22.8">
      <c r="A55" s="255">
        <v>5</v>
      </c>
      <c r="B55" s="254" t="s">
        <v>793</v>
      </c>
      <c r="C55" s="254" t="s">
        <v>815</v>
      </c>
      <c r="D55" s="254" t="s">
        <v>798</v>
      </c>
      <c r="E55" s="255">
        <v>11</v>
      </c>
      <c r="F55" s="255">
        <v>18900</v>
      </c>
      <c r="G55" s="255">
        <f t="shared" si="1"/>
        <v>207900</v>
      </c>
      <c r="H55" s="259">
        <v>0.18</v>
      </c>
      <c r="O55" s="248">
        <v>6800</v>
      </c>
    </row>
    <row r="56" spans="1:15">
      <c r="A56" s="255">
        <v>6</v>
      </c>
      <c r="B56" s="254" t="s">
        <v>793</v>
      </c>
      <c r="C56" s="254" t="s">
        <v>817</v>
      </c>
      <c r="D56" s="254" t="s">
        <v>799</v>
      </c>
      <c r="E56" s="255">
        <v>11</v>
      </c>
      <c r="F56" s="255">
        <v>3800</v>
      </c>
      <c r="G56" s="255">
        <f t="shared" si="1"/>
        <v>41800</v>
      </c>
      <c r="H56" s="259">
        <v>0.18</v>
      </c>
      <c r="O56" s="248">
        <v>1180</v>
      </c>
    </row>
    <row r="57" spans="1:15" ht="34.200000000000003">
      <c r="A57" s="255">
        <v>7</v>
      </c>
      <c r="B57" s="254" t="s">
        <v>793</v>
      </c>
      <c r="C57" s="254" t="s">
        <v>816</v>
      </c>
      <c r="D57" s="254" t="s">
        <v>800</v>
      </c>
      <c r="E57" s="255">
        <v>20</v>
      </c>
      <c r="F57" s="255">
        <v>60900</v>
      </c>
      <c r="G57" s="255">
        <f t="shared" si="1"/>
        <v>1218000</v>
      </c>
      <c r="H57" s="259">
        <v>0.18</v>
      </c>
      <c r="O57" s="248">
        <v>30200</v>
      </c>
    </row>
    <row r="58" spans="1:15" ht="34.200000000000003">
      <c r="A58" s="255">
        <v>8</v>
      </c>
      <c r="B58" s="254" t="s">
        <v>793</v>
      </c>
      <c r="C58" s="254" t="s">
        <v>819</v>
      </c>
      <c r="D58" s="254" t="s">
        <v>801</v>
      </c>
      <c r="E58" s="255">
        <v>2</v>
      </c>
      <c r="F58" s="255">
        <v>90900</v>
      </c>
      <c r="G58" s="255">
        <f t="shared" si="1"/>
        <v>181800</v>
      </c>
      <c r="H58" s="259">
        <v>0.18</v>
      </c>
      <c r="O58" s="248">
        <v>45600</v>
      </c>
    </row>
    <row r="59" spans="1:15" ht="22.8">
      <c r="A59" s="255">
        <v>9</v>
      </c>
      <c r="B59" s="254" t="s">
        <v>793</v>
      </c>
      <c r="C59" s="254" t="s">
        <v>818</v>
      </c>
      <c r="D59" s="254" t="s">
        <v>802</v>
      </c>
      <c r="E59" s="255">
        <v>6</v>
      </c>
      <c r="F59" s="255">
        <v>32800</v>
      </c>
      <c r="G59" s="255">
        <f t="shared" si="1"/>
        <v>196800</v>
      </c>
      <c r="H59" s="259">
        <v>0.18</v>
      </c>
      <c r="O59" s="248">
        <v>15600</v>
      </c>
    </row>
    <row r="60" spans="1:15" ht="22.8">
      <c r="A60" s="255">
        <v>10</v>
      </c>
      <c r="B60" s="254" t="s">
        <v>793</v>
      </c>
      <c r="C60" s="254" t="s">
        <v>820</v>
      </c>
      <c r="D60" s="254" t="s">
        <v>803</v>
      </c>
      <c r="E60" s="255">
        <v>16</v>
      </c>
      <c r="F60" s="255">
        <v>20000</v>
      </c>
      <c r="G60" s="255">
        <f t="shared" si="1"/>
        <v>320000</v>
      </c>
      <c r="H60" s="259">
        <v>0.18</v>
      </c>
      <c r="O60" s="248">
        <v>8800</v>
      </c>
    </row>
    <row r="61" spans="1:15">
      <c r="A61" s="255">
        <v>11</v>
      </c>
      <c r="B61" s="254" t="s">
        <v>793</v>
      </c>
      <c r="C61" s="254" t="s">
        <v>810</v>
      </c>
      <c r="D61" s="254" t="s">
        <v>804</v>
      </c>
      <c r="E61" s="255">
        <v>3</v>
      </c>
      <c r="F61" s="255">
        <v>18200</v>
      </c>
      <c r="G61" s="255">
        <f t="shared" si="1"/>
        <v>54600</v>
      </c>
      <c r="H61" s="259">
        <v>0.18</v>
      </c>
      <c r="O61" s="248">
        <v>8000</v>
      </c>
    </row>
    <row r="62" spans="1:15" ht="22.8">
      <c r="A62" s="260">
        <v>12</v>
      </c>
      <c r="B62" s="254" t="s">
        <v>809</v>
      </c>
      <c r="C62" s="254"/>
      <c r="D62" s="254" t="s">
        <v>805</v>
      </c>
      <c r="E62" s="255">
        <v>3</v>
      </c>
      <c r="F62" s="255">
        <v>26900</v>
      </c>
      <c r="G62" s="255">
        <f t="shared" si="1"/>
        <v>80700</v>
      </c>
      <c r="H62" s="259">
        <v>0.18</v>
      </c>
      <c r="O62" s="248">
        <v>12000</v>
      </c>
    </row>
    <row r="63" spans="1:15" ht="13.2">
      <c r="A63" s="367" t="s">
        <v>792</v>
      </c>
      <c r="B63" s="367"/>
      <c r="C63" s="367"/>
      <c r="D63" s="367"/>
      <c r="E63" s="367"/>
      <c r="F63" s="367"/>
      <c r="G63" s="261">
        <f>SUM(G51:G62)</f>
        <v>3425000</v>
      </c>
    </row>
    <row r="64" spans="1:15" ht="24.6" customHeight="1">
      <c r="A64" s="382" t="s">
        <v>806</v>
      </c>
      <c r="B64" s="382"/>
      <c r="C64" s="382"/>
      <c r="D64" s="382"/>
      <c r="E64" s="382"/>
      <c r="F64" s="382"/>
      <c r="G64" s="262">
        <v>475000</v>
      </c>
    </row>
    <row r="65" spans="1:7" ht="27.6" customHeight="1">
      <c r="A65" s="367" t="s">
        <v>2</v>
      </c>
      <c r="B65" s="367"/>
      <c r="C65" s="367"/>
      <c r="D65" s="367"/>
      <c r="E65" s="367"/>
      <c r="F65" s="367"/>
      <c r="G65" s="261">
        <f>SUM(G63:G64)</f>
        <v>3900000</v>
      </c>
    </row>
  </sheetData>
  <mergeCells count="16">
    <mergeCell ref="A65:F65"/>
    <mergeCell ref="A1:B1"/>
    <mergeCell ref="K2:L3"/>
    <mergeCell ref="I11:I12"/>
    <mergeCell ref="I26:I27"/>
    <mergeCell ref="I32:I33"/>
    <mergeCell ref="I38:I39"/>
    <mergeCell ref="I44:I45"/>
    <mergeCell ref="E7:E46"/>
    <mergeCell ref="B2:J2"/>
    <mergeCell ref="B3:D3"/>
    <mergeCell ref="E3:F3"/>
    <mergeCell ref="G3:J3"/>
    <mergeCell ref="A50:H50"/>
    <mergeCell ref="A63:F63"/>
    <mergeCell ref="A64:F64"/>
  </mergeCells>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D22" sqref="D22"/>
    </sheetView>
  </sheetViews>
  <sheetFormatPr defaultRowHeight="13.8"/>
  <cols>
    <col min="1" max="1" width="8.88671875" style="266"/>
    <col min="2" max="2" width="29.21875" style="266" customWidth="1"/>
    <col min="3" max="3" width="17.77734375" style="266" customWidth="1"/>
    <col min="4" max="16384" width="8.88671875" style="266"/>
  </cols>
  <sheetData>
    <row r="1" spans="1:3">
      <c r="A1" s="265" t="s">
        <v>79</v>
      </c>
      <c r="B1" s="265" t="s">
        <v>80</v>
      </c>
      <c r="C1" s="265" t="s">
        <v>82</v>
      </c>
    </row>
    <row r="2" spans="1:3" ht="45">
      <c r="A2" s="267">
        <v>1</v>
      </c>
      <c r="B2" s="268" t="s">
        <v>821</v>
      </c>
      <c r="C2" s="267" t="s">
        <v>822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J24" sqref="J24"/>
    </sheetView>
  </sheetViews>
  <sheetFormatPr defaultRowHeight="14.4"/>
  <cols>
    <col min="2" max="2" width="20.44140625" customWidth="1"/>
    <col min="5" max="5" width="7.5546875" customWidth="1"/>
  </cols>
  <sheetData>
    <row r="1" spans="1:5" ht="27.6">
      <c r="A1" s="31" t="s">
        <v>79</v>
      </c>
      <c r="B1" s="31" t="s">
        <v>80</v>
      </c>
      <c r="C1" s="31" t="s">
        <v>81</v>
      </c>
      <c r="D1" s="31" t="s">
        <v>82</v>
      </c>
      <c r="E1" s="31" t="s">
        <v>83</v>
      </c>
    </row>
    <row r="2" spans="1:5" ht="82.8">
      <c r="A2" s="29">
        <v>1</v>
      </c>
      <c r="B2" s="29" t="s">
        <v>823</v>
      </c>
      <c r="C2" s="165">
        <v>1</v>
      </c>
      <c r="D2" s="165">
        <v>139830</v>
      </c>
      <c r="E2" s="165">
        <f>C2*D2</f>
        <v>139830</v>
      </c>
    </row>
    <row r="3" spans="1:5">
      <c r="A3" s="344" t="s">
        <v>2</v>
      </c>
      <c r="B3" s="345"/>
      <c r="C3" s="345"/>
      <c r="D3" s="345"/>
      <c r="E3" s="166">
        <f>SUM(E2)</f>
        <v>139830</v>
      </c>
    </row>
    <row r="4" spans="1:5">
      <c r="A4" s="344" t="s">
        <v>553</v>
      </c>
      <c r="B4" s="345"/>
      <c r="C4" s="345"/>
      <c r="D4" s="345"/>
      <c r="E4" s="166">
        <f>E3*9%</f>
        <v>12584.699999999999</v>
      </c>
    </row>
    <row r="5" spans="1:5">
      <c r="A5" s="344" t="s">
        <v>554</v>
      </c>
      <c r="B5" s="345"/>
      <c r="C5" s="345"/>
      <c r="D5" s="345"/>
      <c r="E5" s="166">
        <f>E3*9%</f>
        <v>12584.699999999999</v>
      </c>
    </row>
    <row r="6" spans="1:5">
      <c r="A6" s="344" t="s">
        <v>89</v>
      </c>
      <c r="B6" s="345"/>
      <c r="C6" s="345"/>
      <c r="D6" s="345"/>
      <c r="E6" s="166">
        <f>SUM(E3:E5)</f>
        <v>164999.40000000002</v>
      </c>
    </row>
  </sheetData>
  <mergeCells count="4">
    <mergeCell ref="A3:D3"/>
    <mergeCell ref="A4:D4"/>
    <mergeCell ref="A5:D5"/>
    <mergeCell ref="A6:D6"/>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5" sqref="B5"/>
    </sheetView>
  </sheetViews>
  <sheetFormatPr defaultRowHeight="14.4"/>
  <cols>
    <col min="2" max="2" width="44.77734375" customWidth="1"/>
    <col min="3" max="3" width="16.6640625" customWidth="1"/>
  </cols>
  <sheetData>
    <row r="1" spans="1:8" ht="25.2" customHeight="1">
      <c r="A1" s="264" t="s">
        <v>79</v>
      </c>
      <c r="B1" s="264" t="s">
        <v>80</v>
      </c>
      <c r="C1" s="264" t="s">
        <v>81</v>
      </c>
      <c r="D1" s="264" t="s">
        <v>82</v>
      </c>
      <c r="E1" s="264" t="s">
        <v>83</v>
      </c>
    </row>
    <row r="2" spans="1:8" ht="25.2" customHeight="1">
      <c r="A2" s="263">
        <v>1</v>
      </c>
      <c r="B2" s="24" t="s">
        <v>824</v>
      </c>
      <c r="C2" s="263">
        <v>4</v>
      </c>
      <c r="D2" s="263">
        <v>3900</v>
      </c>
      <c r="E2" s="263">
        <f t="shared" ref="E2:E8" si="0">C2*D2</f>
        <v>15600</v>
      </c>
      <c r="H2">
        <f>2450*2</f>
        <v>4900</v>
      </c>
    </row>
    <row r="3" spans="1:8" ht="18.600000000000001" customHeight="1">
      <c r="A3" s="263">
        <v>2</v>
      </c>
      <c r="B3" s="263" t="s">
        <v>825</v>
      </c>
      <c r="C3" s="263">
        <v>1</v>
      </c>
      <c r="D3" s="263">
        <v>8800</v>
      </c>
      <c r="E3" s="263">
        <f t="shared" si="0"/>
        <v>8800</v>
      </c>
      <c r="H3">
        <f>4410*2</f>
        <v>8820</v>
      </c>
    </row>
    <row r="4" spans="1:8" ht="22.8" customHeight="1">
      <c r="A4" s="263">
        <v>3</v>
      </c>
      <c r="B4" s="263" t="s">
        <v>117</v>
      </c>
      <c r="C4" s="263">
        <v>1</v>
      </c>
      <c r="D4" s="263">
        <v>4500</v>
      </c>
      <c r="E4" s="263">
        <f t="shared" si="0"/>
        <v>4500</v>
      </c>
    </row>
    <row r="5" spans="1:8" ht="37.799999999999997" customHeight="1">
      <c r="A5" s="263">
        <v>4</v>
      </c>
      <c r="B5" s="263" t="s">
        <v>723</v>
      </c>
      <c r="C5" s="263">
        <v>1</v>
      </c>
      <c r="D5" s="263">
        <v>9600</v>
      </c>
      <c r="E5" s="263">
        <f t="shared" si="0"/>
        <v>9600</v>
      </c>
    </row>
    <row r="6" spans="1:8" ht="33" customHeight="1">
      <c r="A6" s="263">
        <v>5</v>
      </c>
      <c r="B6" s="263" t="s">
        <v>116</v>
      </c>
      <c r="C6" s="263">
        <v>11</v>
      </c>
      <c r="D6" s="263">
        <v>150</v>
      </c>
      <c r="E6" s="263">
        <f t="shared" si="0"/>
        <v>1650</v>
      </c>
    </row>
    <row r="7" spans="1:8">
      <c r="A7" s="263">
        <v>6</v>
      </c>
      <c r="B7" s="263" t="s">
        <v>175</v>
      </c>
      <c r="C7" s="263">
        <v>4</v>
      </c>
      <c r="D7" s="263">
        <v>100</v>
      </c>
      <c r="E7" s="263">
        <f t="shared" si="0"/>
        <v>400</v>
      </c>
    </row>
    <row r="8" spans="1:8">
      <c r="A8" s="263">
        <v>7</v>
      </c>
      <c r="B8" s="263" t="s">
        <v>86</v>
      </c>
      <c r="C8" s="263">
        <v>1</v>
      </c>
      <c r="D8" s="263">
        <v>3000</v>
      </c>
      <c r="E8" s="263">
        <f t="shared" si="0"/>
        <v>3000</v>
      </c>
    </row>
    <row r="9" spans="1:8">
      <c r="A9" s="273" t="s">
        <v>87</v>
      </c>
      <c r="B9" s="274"/>
      <c r="C9" s="274"/>
      <c r="D9" s="275"/>
      <c r="E9" s="264">
        <f>SUM(E2:E8)</f>
        <v>43550</v>
      </c>
    </row>
    <row r="10" spans="1:8">
      <c r="A10" s="5"/>
      <c r="B10" s="5"/>
      <c r="C10" s="5"/>
      <c r="D10" s="5"/>
      <c r="E10" s="5"/>
    </row>
    <row r="11" spans="1:8">
      <c r="A11" s="6" t="s">
        <v>470</v>
      </c>
      <c r="B11" s="75"/>
      <c r="C11" s="75"/>
      <c r="D11" s="75"/>
      <c r="E11" s="75"/>
    </row>
    <row r="12" spans="1:8">
      <c r="A12" s="6"/>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393</v>
      </c>
      <c r="B16" s="75"/>
      <c r="C16" s="75"/>
      <c r="D16" s="75"/>
      <c r="E16" s="75"/>
    </row>
  </sheetData>
  <mergeCells count="1">
    <mergeCell ref="A9: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288" t="s">
        <v>87</v>
      </c>
      <c r="B9" s="289"/>
      <c r="C9" s="289"/>
      <c r="D9" s="290"/>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291" t="s">
        <v>146</v>
      </c>
      <c r="B19" s="292"/>
      <c r="C19" s="292"/>
      <c r="D19" s="292"/>
      <c r="E19" s="293"/>
      <c r="G19">
        <f>8680*2</f>
        <v>17360</v>
      </c>
      <c r="H19" s="38" t="s">
        <v>144</v>
      </c>
    </row>
    <row r="20" spans="1:8" ht="11.4" customHeight="1">
      <c r="A20" s="294"/>
      <c r="B20" s="295"/>
      <c r="C20" s="295"/>
      <c r="D20" s="295"/>
      <c r="E20" s="296"/>
    </row>
  </sheetData>
  <mergeCells count="2">
    <mergeCell ref="A9:D9"/>
    <mergeCell ref="A19:E20"/>
  </mergeCells>
  <pageMargins left="0.7" right="0.7" top="0.75" bottom="0.75" header="0.3" footer="0.3"/>
  <pageSetup orientation="portrait" horizontalDpi="0" verticalDpi="0"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abSelected="1" workbookViewId="0">
      <selection activeCell="E14" sqref="E14"/>
    </sheetView>
  </sheetViews>
  <sheetFormatPr defaultRowHeight="14.4"/>
  <cols>
    <col min="2" max="2" width="61" customWidth="1"/>
  </cols>
  <sheetData>
    <row r="1" spans="1:7">
      <c r="A1" s="40" t="s">
        <v>832</v>
      </c>
    </row>
    <row r="2" spans="1:7">
      <c r="A2" s="270" t="s">
        <v>79</v>
      </c>
      <c r="B2" s="270" t="s">
        <v>80</v>
      </c>
      <c r="C2" s="270" t="s">
        <v>81</v>
      </c>
      <c r="D2" s="270" t="s">
        <v>82</v>
      </c>
      <c r="E2" s="270" t="s">
        <v>83</v>
      </c>
    </row>
    <row r="3" spans="1:7" ht="18.600000000000001" customHeight="1">
      <c r="A3" s="269" t="s">
        <v>147</v>
      </c>
      <c r="B3" s="24" t="s">
        <v>827</v>
      </c>
      <c r="C3" s="269">
        <v>36</v>
      </c>
      <c r="D3" s="269">
        <v>3990</v>
      </c>
      <c r="E3" s="269">
        <f t="shared" ref="E3:E12" si="0">C3*D3</f>
        <v>143640</v>
      </c>
      <c r="G3">
        <f>2450*2</f>
        <v>4900</v>
      </c>
    </row>
    <row r="4" spans="1:7" ht="18" customHeight="1">
      <c r="A4" s="269">
        <v>2</v>
      </c>
      <c r="B4" s="269" t="s">
        <v>828</v>
      </c>
      <c r="C4" s="269">
        <v>1</v>
      </c>
      <c r="D4" s="269">
        <v>39600</v>
      </c>
      <c r="E4" s="269">
        <f t="shared" si="0"/>
        <v>39600</v>
      </c>
      <c r="G4">
        <f>15750*2</f>
        <v>31500</v>
      </c>
    </row>
    <row r="5" spans="1:7" ht="17.399999999999999" customHeight="1">
      <c r="A5" s="269">
        <v>3</v>
      </c>
      <c r="B5" s="269" t="s">
        <v>117</v>
      </c>
      <c r="C5" s="269">
        <v>1</v>
      </c>
      <c r="D5" s="269">
        <v>8700</v>
      </c>
      <c r="E5" s="269">
        <f t="shared" si="0"/>
        <v>8700</v>
      </c>
      <c r="G5">
        <f>6550*2</f>
        <v>13100</v>
      </c>
    </row>
    <row r="6" spans="1:7" ht="14.4" customHeight="1">
      <c r="A6" s="269">
        <v>4</v>
      </c>
      <c r="B6" s="271" t="s">
        <v>839</v>
      </c>
      <c r="C6" s="269">
        <v>8</v>
      </c>
      <c r="D6" s="269">
        <v>8790</v>
      </c>
      <c r="E6" s="269">
        <f t="shared" si="0"/>
        <v>70320</v>
      </c>
      <c r="G6">
        <f>4250*2</f>
        <v>8500</v>
      </c>
    </row>
    <row r="7" spans="1:7" ht="15.6" customHeight="1">
      <c r="A7" s="269">
        <v>5</v>
      </c>
      <c r="B7" s="269" t="s">
        <v>116</v>
      </c>
      <c r="C7" s="269">
        <v>42</v>
      </c>
      <c r="D7" s="269">
        <v>150</v>
      </c>
      <c r="E7" s="269">
        <f t="shared" si="0"/>
        <v>6300</v>
      </c>
    </row>
    <row r="8" spans="1:7">
      <c r="A8" s="269">
        <v>6</v>
      </c>
      <c r="B8" s="269" t="s">
        <v>175</v>
      </c>
      <c r="C8" s="269">
        <v>36</v>
      </c>
      <c r="D8" s="269">
        <v>100</v>
      </c>
      <c r="E8" s="269">
        <f t="shared" si="0"/>
        <v>3600</v>
      </c>
    </row>
    <row r="9" spans="1:7">
      <c r="A9" s="269">
        <v>7</v>
      </c>
      <c r="B9" s="269" t="s">
        <v>830</v>
      </c>
      <c r="C9" s="269">
        <v>7</v>
      </c>
      <c r="D9" s="269">
        <v>2900</v>
      </c>
      <c r="E9" s="269">
        <f t="shared" si="0"/>
        <v>20300</v>
      </c>
    </row>
    <row r="10" spans="1:7">
      <c r="A10" s="271">
        <v>8</v>
      </c>
      <c r="B10" s="271" t="s">
        <v>838</v>
      </c>
      <c r="C10" s="271">
        <v>1</v>
      </c>
      <c r="D10" s="271">
        <v>4950</v>
      </c>
      <c r="E10" s="271">
        <f t="shared" si="0"/>
        <v>4950</v>
      </c>
    </row>
    <row r="11" spans="1:7" ht="18.600000000000001" customHeight="1">
      <c r="A11" s="269" t="s">
        <v>831</v>
      </c>
      <c r="B11" s="269" t="s">
        <v>222</v>
      </c>
      <c r="C11" s="269">
        <v>900</v>
      </c>
      <c r="D11" s="269">
        <v>90</v>
      </c>
      <c r="E11" s="269">
        <f t="shared" si="0"/>
        <v>81000</v>
      </c>
    </row>
    <row r="12" spans="1:7">
      <c r="A12" s="269">
        <v>10</v>
      </c>
      <c r="B12" s="269" t="s">
        <v>86</v>
      </c>
      <c r="C12" s="269">
        <v>1</v>
      </c>
      <c r="D12" s="269">
        <v>20000</v>
      </c>
      <c r="E12" s="269">
        <f t="shared" si="0"/>
        <v>20000</v>
      </c>
    </row>
    <row r="13" spans="1:7">
      <c r="A13" s="273" t="s">
        <v>87</v>
      </c>
      <c r="B13" s="274"/>
      <c r="C13" s="274"/>
      <c r="D13" s="275"/>
      <c r="E13" s="270">
        <f>SUM(E3:E12)</f>
        <v>398410</v>
      </c>
    </row>
    <row r="14" spans="1:7">
      <c r="A14" s="5"/>
      <c r="B14" s="5"/>
      <c r="C14" s="5"/>
      <c r="D14" s="5"/>
      <c r="E14" s="5"/>
    </row>
    <row r="15" spans="1:7">
      <c r="A15" s="6" t="s">
        <v>451</v>
      </c>
      <c r="B15" s="75"/>
      <c r="C15" s="75"/>
      <c r="D15" s="75"/>
      <c r="E15" s="75"/>
    </row>
    <row r="16" spans="1:7">
      <c r="A16" s="6"/>
      <c r="B16" s="75"/>
      <c r="C16" s="75"/>
      <c r="D16" s="75"/>
      <c r="E16" s="75"/>
    </row>
    <row r="17" spans="1:7">
      <c r="A17" s="6" t="s">
        <v>650</v>
      </c>
      <c r="B17" s="75"/>
      <c r="C17" s="75"/>
      <c r="D17" s="75"/>
      <c r="E17" s="75"/>
    </row>
    <row r="18" spans="1:7">
      <c r="A18" s="6" t="s">
        <v>829</v>
      </c>
      <c r="B18" s="75"/>
      <c r="C18" s="75"/>
      <c r="D18" s="75"/>
      <c r="E18" s="75"/>
      <c r="G18">
        <f>8680*2</f>
        <v>17360</v>
      </c>
    </row>
    <row r="19" spans="1:7">
      <c r="A19" s="6"/>
      <c r="B19" s="75"/>
      <c r="C19" s="75"/>
      <c r="D19" s="75"/>
      <c r="E19" s="75"/>
    </row>
    <row r="20" spans="1:7">
      <c r="A20" s="6" t="s">
        <v>129</v>
      </c>
      <c r="B20" s="75"/>
      <c r="C20" s="75"/>
      <c r="D20" s="75"/>
      <c r="E20" s="75"/>
    </row>
    <row r="21" spans="1:7">
      <c r="A21" s="6" t="s">
        <v>141</v>
      </c>
      <c r="B21" s="75"/>
      <c r="C21" s="75"/>
      <c r="D21" s="75"/>
      <c r="E21" s="75"/>
    </row>
    <row r="22" spans="1:7">
      <c r="A22" s="6" t="s">
        <v>142</v>
      </c>
      <c r="B22" s="75"/>
      <c r="C22" s="75"/>
      <c r="D22" s="75"/>
      <c r="E22" s="75"/>
    </row>
    <row r="23" spans="1:7">
      <c r="A23" s="6" t="s">
        <v>393</v>
      </c>
      <c r="B23" s="75"/>
      <c r="C23" s="75"/>
      <c r="D23" s="75"/>
      <c r="E23" s="75"/>
    </row>
    <row r="25" spans="1:7">
      <c r="A25" s="54" t="s">
        <v>833</v>
      </c>
    </row>
    <row r="26" spans="1:7">
      <c r="A26" s="272" t="s">
        <v>79</v>
      </c>
      <c r="B26" s="272" t="s">
        <v>80</v>
      </c>
      <c r="C26" s="272" t="s">
        <v>81</v>
      </c>
      <c r="D26" s="272" t="s">
        <v>82</v>
      </c>
      <c r="E26" s="272" t="s">
        <v>83</v>
      </c>
    </row>
    <row r="27" spans="1:7">
      <c r="A27" s="271">
        <v>1</v>
      </c>
      <c r="B27" s="24" t="s">
        <v>834</v>
      </c>
      <c r="C27" s="271">
        <v>1</v>
      </c>
      <c r="D27" s="271">
        <v>59990</v>
      </c>
      <c r="E27" s="271">
        <f t="shared" ref="E27:E29" si="1">C27*D27</f>
        <v>59990</v>
      </c>
    </row>
    <row r="28" spans="1:7">
      <c r="A28" s="271">
        <v>2</v>
      </c>
      <c r="B28" s="271" t="s">
        <v>835</v>
      </c>
      <c r="C28" s="271">
        <v>2</v>
      </c>
      <c r="D28" s="271">
        <v>1500</v>
      </c>
      <c r="E28" s="271">
        <f t="shared" si="1"/>
        <v>3000</v>
      </c>
    </row>
    <row r="29" spans="1:7">
      <c r="A29" s="271">
        <v>3</v>
      </c>
      <c r="B29" s="271" t="s">
        <v>86</v>
      </c>
      <c r="C29" s="271">
        <v>1</v>
      </c>
      <c r="D29" s="271">
        <v>9000</v>
      </c>
      <c r="E29" s="271">
        <f t="shared" si="1"/>
        <v>9000</v>
      </c>
    </row>
    <row r="30" spans="1:7">
      <c r="A30" s="273" t="s">
        <v>87</v>
      </c>
      <c r="B30" s="274"/>
      <c r="C30" s="274"/>
      <c r="D30" s="275"/>
      <c r="E30" s="272">
        <f>SUM(E27:E29)</f>
        <v>71990</v>
      </c>
    </row>
    <row r="32" spans="1:7">
      <c r="A32" t="s">
        <v>836</v>
      </c>
    </row>
    <row r="33" spans="1:1">
      <c r="A33" t="s">
        <v>837</v>
      </c>
    </row>
  </sheetData>
  <mergeCells count="2">
    <mergeCell ref="A13:D13"/>
    <mergeCell ref="A30:D3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288" t="s">
        <v>87</v>
      </c>
      <c r="B6" s="289"/>
      <c r="C6" s="289"/>
      <c r="D6" s="290"/>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288" t="s">
        <v>87</v>
      </c>
      <c r="B11" s="289"/>
      <c r="C11" s="289"/>
      <c r="D11" s="290"/>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288" t="s">
        <v>87</v>
      </c>
      <c r="B8" s="289"/>
      <c r="C8" s="289"/>
      <c r="D8" s="290"/>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297" t="s">
        <v>169</v>
      </c>
      <c r="B19" s="297"/>
      <c r="C19" s="297"/>
      <c r="D19" s="297"/>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lpstr>Gonsalves 204</vt:lpstr>
      <vt:lpstr>Pinge 205</vt:lpstr>
      <vt:lpstr>Joylin 206</vt:lpstr>
      <vt:lpstr>Putz 207</vt:lpstr>
      <vt:lpstr>Goa Chess Association 301</vt:lpstr>
      <vt:lpstr>Joylin 302</vt:lpstr>
      <vt:lpstr>Harsh 303</vt:lpstr>
      <vt:lpstr>Siddharth Enterprises 304</vt:lpstr>
      <vt:lpstr>Abhijeet 305</vt:lpstr>
      <vt:lpstr>El Shaddai 306</vt:lpstr>
      <vt:lpstr>Diana Aqua and Pools 307</vt:lpstr>
      <vt:lpstr>Golden Tulip 308</vt:lpstr>
      <vt:lpstr>CII 309</vt:lpstr>
      <vt:lpstr>Vatareshwar 310</vt:lpstr>
      <vt:lpstr>Dave Rodrigues 311</vt:lpstr>
      <vt:lpstr>Nazir Shaik 312</vt:lpstr>
      <vt:lpstr>Urvashi Gohil 313</vt:lpstr>
      <vt:lpstr>BSNL 314</vt:lpstr>
      <vt:lpstr>Nazir Shaik 315</vt:lpstr>
      <vt:lpstr>Nazir Shaik 316</vt:lpstr>
      <vt:lpstr>E'delicious 317</vt:lpstr>
      <vt:lpstr>Sujit 318</vt:lpstr>
      <vt:lpstr>Vatareshwar 319</vt:lpstr>
      <vt:lpstr>El Shaddai 401</vt:lpstr>
      <vt:lpstr>El Shaddai 402</vt:lpstr>
      <vt:lpstr>El Shaddai 403</vt:lpstr>
      <vt:lpstr>El Shaddai 404</vt:lpstr>
      <vt:lpstr>El Shaddai 405</vt:lpstr>
      <vt:lpstr>Anant Navelkar 406</vt:lpstr>
      <vt:lpstr>El Shaddai 407</vt:lpstr>
      <vt:lpstr>K98 Native Villas 408</vt:lpstr>
      <vt:lpstr>Putz 409</vt:lpstr>
      <vt:lpstr>K Amonkar and Assosciates 410</vt:lpstr>
      <vt:lpstr>Falcon Resorts 411</vt:lpstr>
      <vt:lpstr>Hibis Resort 412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2024-02-07T10:15:58Z</dcterms:modified>
</cp:coreProperties>
</file>