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602" firstSheet="3" activeTab="3"/>
  </bookViews>
  <sheets>
    <sheet name="INVENTARIO" sheetId="1" r:id="rId1"/>
    <sheet name="DETALLE DE VENTAS" sheetId="3" state="hidden" r:id="rId2"/>
    <sheet name="DETALLE DE VENTAS - OTRO" sheetId="12" state="hidden" r:id="rId3"/>
    <sheet name="GANANCIA DIARIA" sheetId="18" r:id="rId4"/>
    <sheet name="INGRESO DIARIO" sheetId="8" r:id="rId5"/>
    <sheet name="DETALLE DE CREDITOS" sheetId="19" r:id="rId6"/>
    <sheet name="CREDITOS" sheetId="20" r:id="rId7"/>
    <sheet name="NOTAS DE CREDITOS" sheetId="17" state="hidden" r:id="rId8"/>
  </sheets>
  <definedNames>
    <definedName name="_xlnm._FilterDatabase" localSheetId="6" hidden="1">CREDITOS!$B$1:$B$99</definedName>
    <definedName name="_xlnm._FilterDatabase" localSheetId="5" hidden="1">'DETALLE DE CREDITOS'!$B$1:$H$333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9" i="20" l="1"/>
  <c r="F526" i="8"/>
  <c r="I53" i="20"/>
  <c r="J61" i="20" l="1"/>
  <c r="J62" i="20"/>
  <c r="J63" i="20"/>
  <c r="J64" i="20"/>
  <c r="J65" i="20"/>
  <c r="J66" i="20"/>
  <c r="J67" i="20"/>
  <c r="J68" i="20"/>
  <c r="J69" i="20"/>
  <c r="J70" i="20"/>
  <c r="J71" i="20"/>
  <c r="J72" i="20"/>
  <c r="J73" i="20"/>
  <c r="J74" i="20"/>
  <c r="J75" i="20"/>
  <c r="J76" i="20"/>
  <c r="J77" i="20"/>
  <c r="J78" i="20"/>
  <c r="J79" i="20"/>
  <c r="J80" i="20"/>
  <c r="J81" i="20"/>
  <c r="J82" i="20"/>
  <c r="J83" i="20"/>
  <c r="J84" i="20"/>
  <c r="J85" i="20"/>
  <c r="J86" i="20"/>
  <c r="J87" i="20"/>
  <c r="J88" i="20"/>
  <c r="J89" i="20"/>
  <c r="J90" i="20"/>
  <c r="J91" i="20"/>
  <c r="J92" i="20"/>
  <c r="J93" i="20"/>
  <c r="J94" i="20"/>
  <c r="J95" i="20"/>
  <c r="J96" i="20"/>
  <c r="J97" i="20"/>
  <c r="J98" i="20"/>
  <c r="I61" i="20"/>
  <c r="H61" i="20"/>
  <c r="E61" i="20"/>
  <c r="F61" i="20"/>
  <c r="D61" i="20"/>
  <c r="F51" i="20"/>
  <c r="E51" i="20"/>
  <c r="D51" i="20"/>
  <c r="G62" i="20" l="1"/>
  <c r="G63" i="20"/>
  <c r="G64" i="20"/>
  <c r="G65" i="20"/>
  <c r="G66" i="20"/>
  <c r="G67" i="20"/>
  <c r="G68" i="20"/>
  <c r="G69" i="20"/>
  <c r="G70" i="20"/>
  <c r="G71" i="20"/>
  <c r="G72" i="20"/>
  <c r="G73" i="20"/>
  <c r="G74" i="20"/>
  <c r="G75" i="20"/>
  <c r="G76" i="20"/>
  <c r="G77" i="20"/>
  <c r="G78" i="20"/>
  <c r="G79" i="20"/>
  <c r="G80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93" i="20"/>
  <c r="G94" i="20"/>
  <c r="G95" i="20"/>
  <c r="G96" i="20"/>
  <c r="G97" i="20"/>
  <c r="G98" i="20"/>
  <c r="L2" i="20"/>
  <c r="G61" i="20" s="1"/>
  <c r="E60" i="20"/>
  <c r="F60" i="20"/>
  <c r="D60" i="20"/>
  <c r="E59" i="20"/>
  <c r="F59" i="20"/>
  <c r="D59" i="20"/>
  <c r="E57" i="20"/>
  <c r="F57" i="20"/>
  <c r="E58" i="20"/>
  <c r="F58" i="20"/>
  <c r="D58" i="20"/>
  <c r="D57" i="20"/>
  <c r="E56" i="20"/>
  <c r="F56" i="20"/>
  <c r="D56" i="20"/>
  <c r="I55" i="20"/>
  <c r="E55" i="20"/>
  <c r="F55" i="20"/>
  <c r="H55" i="20" s="1"/>
  <c r="D55" i="20"/>
  <c r="E54" i="20"/>
  <c r="F54" i="20"/>
  <c r="H54" i="20" s="1"/>
  <c r="J54" i="20" s="1"/>
  <c r="D54" i="20"/>
  <c r="E53" i="20"/>
  <c r="F53" i="20"/>
  <c r="H53" i="20" s="1"/>
  <c r="J53" i="20" s="1"/>
  <c r="D53" i="20"/>
  <c r="I51" i="20"/>
  <c r="E52" i="20"/>
  <c r="F52" i="20"/>
  <c r="H51" i="20" s="1"/>
  <c r="D52" i="20"/>
  <c r="E50" i="20"/>
  <c r="F50" i="20"/>
  <c r="H50" i="20" s="1"/>
  <c r="J50" i="20" s="1"/>
  <c r="D50" i="20"/>
  <c r="E49" i="20"/>
  <c r="F49" i="20"/>
  <c r="H49" i="20" s="1"/>
  <c r="J49" i="20" s="1"/>
  <c r="D49" i="20"/>
  <c r="I46" i="20"/>
  <c r="E46" i="20"/>
  <c r="F46" i="20"/>
  <c r="E47" i="20"/>
  <c r="F47" i="20"/>
  <c r="E48" i="20"/>
  <c r="F48" i="20"/>
  <c r="D48" i="20"/>
  <c r="D47" i="20"/>
  <c r="D46" i="20"/>
  <c r="E45" i="20"/>
  <c r="F45" i="20"/>
  <c r="H45" i="20" s="1"/>
  <c r="J45" i="20" s="1"/>
  <c r="D45" i="20"/>
  <c r="E44" i="20"/>
  <c r="F44" i="20"/>
  <c r="H44" i="20" s="1"/>
  <c r="J44" i="20" s="1"/>
  <c r="D44" i="20"/>
  <c r="E39" i="20"/>
  <c r="F39" i="20"/>
  <c r="E40" i="20"/>
  <c r="F40" i="20"/>
  <c r="E41" i="20"/>
  <c r="F41" i="20"/>
  <c r="E42" i="20"/>
  <c r="F42" i="20"/>
  <c r="E43" i="20"/>
  <c r="F43" i="20"/>
  <c r="D43" i="20"/>
  <c r="D42" i="20"/>
  <c r="D41" i="20"/>
  <c r="D40" i="20"/>
  <c r="D39" i="20"/>
  <c r="I35" i="20"/>
  <c r="E35" i="20"/>
  <c r="F35" i="20"/>
  <c r="E36" i="20"/>
  <c r="F36" i="20"/>
  <c r="E37" i="20"/>
  <c r="F37" i="20"/>
  <c r="E38" i="20"/>
  <c r="F38" i="20"/>
  <c r="D38" i="20"/>
  <c r="D37" i="20"/>
  <c r="D36" i="20"/>
  <c r="D35" i="20"/>
  <c r="I33" i="20"/>
  <c r="E33" i="20"/>
  <c r="F33" i="20"/>
  <c r="E34" i="20"/>
  <c r="F34" i="20"/>
  <c r="D34" i="20"/>
  <c r="D33" i="20"/>
  <c r="E32" i="20"/>
  <c r="F32" i="20"/>
  <c r="D32" i="20"/>
  <c r="I31" i="20"/>
  <c r="I3" i="20"/>
  <c r="E11" i="20"/>
  <c r="F11" i="20"/>
  <c r="E12" i="20"/>
  <c r="F12" i="20"/>
  <c r="E13" i="20"/>
  <c r="F13" i="20"/>
  <c r="E14" i="20"/>
  <c r="F14" i="20"/>
  <c r="E15" i="20"/>
  <c r="F15" i="20"/>
  <c r="E16" i="20"/>
  <c r="F16" i="20"/>
  <c r="E17" i="20"/>
  <c r="F17" i="20"/>
  <c r="E18" i="20"/>
  <c r="F18" i="20"/>
  <c r="D18" i="20"/>
  <c r="D17" i="20"/>
  <c r="D16" i="20"/>
  <c r="D15" i="20"/>
  <c r="D14" i="20"/>
  <c r="D13" i="20"/>
  <c r="D12" i="20"/>
  <c r="D11" i="20"/>
  <c r="I6" i="20"/>
  <c r="E7" i="20"/>
  <c r="F7" i="20"/>
  <c r="E8" i="20"/>
  <c r="F8" i="20"/>
  <c r="E9" i="20"/>
  <c r="F9" i="20"/>
  <c r="D9" i="20"/>
  <c r="D8" i="20"/>
  <c r="D7" i="20"/>
  <c r="E31" i="20"/>
  <c r="F31" i="20"/>
  <c r="D31" i="20"/>
  <c r="E20" i="20"/>
  <c r="F20" i="20"/>
  <c r="E21" i="20"/>
  <c r="F21" i="20"/>
  <c r="E22" i="20"/>
  <c r="F22" i="20"/>
  <c r="E23" i="20"/>
  <c r="F23" i="20"/>
  <c r="E24" i="20"/>
  <c r="F24" i="20"/>
  <c r="E25" i="20"/>
  <c r="F25" i="20"/>
  <c r="E26" i="20"/>
  <c r="F26" i="20"/>
  <c r="E27" i="20"/>
  <c r="F27" i="20"/>
  <c r="E28" i="20"/>
  <c r="F28" i="20"/>
  <c r="E29" i="20"/>
  <c r="F29" i="20"/>
  <c r="E30" i="20"/>
  <c r="F30" i="20"/>
  <c r="D26" i="20"/>
  <c r="D30" i="20"/>
  <c r="D29" i="20"/>
  <c r="D28" i="20"/>
  <c r="D27" i="20"/>
  <c r="D25" i="20"/>
  <c r="D24" i="20"/>
  <c r="D23" i="20"/>
  <c r="D22" i="20"/>
  <c r="D21" i="20"/>
  <c r="D20" i="20"/>
  <c r="E19" i="20"/>
  <c r="F19" i="20"/>
  <c r="H19" i="20" s="1"/>
  <c r="J19" i="20" s="1"/>
  <c r="D19" i="20"/>
  <c r="H56" i="20"/>
  <c r="J56" i="20" s="1"/>
  <c r="H60" i="20"/>
  <c r="F10" i="20"/>
  <c r="F6" i="20"/>
  <c r="F5" i="20"/>
  <c r="F4" i="20"/>
  <c r="F3" i="20"/>
  <c r="G3" i="20" l="1"/>
  <c r="G51" i="20"/>
  <c r="G52" i="20"/>
  <c r="G35" i="20"/>
  <c r="G19" i="20"/>
  <c r="G47" i="20"/>
  <c r="G31" i="20"/>
  <c r="G15" i="20"/>
  <c r="G60" i="20"/>
  <c r="G43" i="20"/>
  <c r="G27" i="20"/>
  <c r="G11" i="20"/>
  <c r="G56" i="20"/>
  <c r="G39" i="20"/>
  <c r="G23" i="20"/>
  <c r="G7" i="20"/>
  <c r="G59" i="20"/>
  <c r="G55" i="20"/>
  <c r="G50" i="20"/>
  <c r="G46" i="20"/>
  <c r="G42" i="20"/>
  <c r="G38" i="20"/>
  <c r="G34" i="20"/>
  <c r="G30" i="20"/>
  <c r="G26" i="20"/>
  <c r="G22" i="20"/>
  <c r="G18" i="20"/>
  <c r="G14" i="20"/>
  <c r="G10" i="20"/>
  <c r="G6" i="20"/>
  <c r="G58" i="20"/>
  <c r="G54" i="20"/>
  <c r="G49" i="20"/>
  <c r="G45" i="20"/>
  <c r="G41" i="20"/>
  <c r="G37" i="20"/>
  <c r="G33" i="20"/>
  <c r="G29" i="20"/>
  <c r="G25" i="20"/>
  <c r="G21" i="20"/>
  <c r="G17" i="20"/>
  <c r="G13" i="20"/>
  <c r="G9" i="20"/>
  <c r="G5" i="20"/>
  <c r="G57" i="20"/>
  <c r="G53" i="20"/>
  <c r="G48" i="20"/>
  <c r="G44" i="20"/>
  <c r="G40" i="20"/>
  <c r="G36" i="20"/>
  <c r="G32" i="20"/>
  <c r="G28" i="20"/>
  <c r="G24" i="20"/>
  <c r="G20" i="20"/>
  <c r="G16" i="20"/>
  <c r="G12" i="20"/>
  <c r="G8" i="20"/>
  <c r="G4" i="20"/>
  <c r="H57" i="20"/>
  <c r="J57" i="20" s="1"/>
  <c r="J51" i="20"/>
  <c r="H46" i="20"/>
  <c r="H35" i="20"/>
  <c r="J35" i="20" s="1"/>
  <c r="H31" i="20"/>
  <c r="J31" i="20" s="1"/>
  <c r="H20" i="20"/>
  <c r="J20" i="20" s="1"/>
  <c r="J46" i="20"/>
  <c r="J55" i="20"/>
  <c r="H33" i="20"/>
  <c r="J33" i="20" s="1"/>
  <c r="H39" i="20"/>
  <c r="J39" i="20" s="1"/>
  <c r="H59" i="20"/>
  <c r="J59" i="20" s="1"/>
  <c r="J60" i="20"/>
  <c r="H6" i="20"/>
  <c r="J6" i="20" s="1"/>
  <c r="H3" i="20"/>
  <c r="J3" i="20" s="1"/>
  <c r="H11" i="20"/>
  <c r="J11" i="20" s="1"/>
  <c r="M519" i="8"/>
  <c r="F519" i="8" l="1"/>
  <c r="G118" i="1" l="1"/>
  <c r="F517" i="8"/>
  <c r="F514" i="8"/>
  <c r="F512" i="8" l="1"/>
  <c r="F510" i="8" l="1"/>
  <c r="I473" i="8"/>
  <c r="F490" i="8" l="1"/>
  <c r="F486" i="8" l="1"/>
  <c r="F483" i="8" l="1"/>
  <c r="P475" i="8" l="1"/>
  <c r="P470" i="8"/>
  <c r="P466" i="8"/>
  <c r="P467" i="8"/>
  <c r="P468" i="8"/>
  <c r="P469" i="8"/>
  <c r="P465" i="8"/>
  <c r="P459" i="8"/>
  <c r="P460" i="8"/>
  <c r="P461" i="8"/>
  <c r="P462" i="8"/>
  <c r="P463" i="8"/>
  <c r="P458" i="8"/>
  <c r="P452" i="8"/>
  <c r="P453" i="8"/>
  <c r="P454" i="8"/>
  <c r="P456" i="8"/>
  <c r="P451" i="8"/>
  <c r="P447" i="8"/>
  <c r="P448" i="8"/>
  <c r="P449" i="8"/>
  <c r="P446" i="8"/>
  <c r="P441" i="8"/>
  <c r="P438" i="8"/>
  <c r="P439" i="8"/>
  <c r="P440" i="8"/>
  <c r="P437" i="8"/>
  <c r="P431" i="8"/>
  <c r="P432" i="8"/>
  <c r="P433" i="8"/>
  <c r="P434" i="8"/>
  <c r="P435" i="8"/>
  <c r="P430" i="8"/>
  <c r="P428" i="8"/>
  <c r="P427" i="8"/>
  <c r="O472" i="8" l="1"/>
  <c r="AB142" i="18" l="1"/>
  <c r="AE142" i="18"/>
  <c r="AH142" i="18"/>
  <c r="Y142" i="18" s="1"/>
  <c r="AL142" i="18"/>
  <c r="AM142" i="18"/>
  <c r="AN142" i="18" s="1"/>
  <c r="AB143" i="18"/>
  <c r="AE143" i="18"/>
  <c r="AH143" i="18"/>
  <c r="AL143" i="18"/>
  <c r="AB144" i="18"/>
  <c r="AE144" i="18"/>
  <c r="AH144" i="18"/>
  <c r="AL144" i="18"/>
  <c r="AM144" i="18"/>
  <c r="AN144" i="18" s="1"/>
  <c r="AB145" i="18"/>
  <c r="AE145" i="18"/>
  <c r="AH145" i="18"/>
  <c r="AL145" i="18"/>
  <c r="AM145" i="18"/>
  <c r="AN145" i="18" s="1"/>
  <c r="AB146" i="18"/>
  <c r="AE146" i="18"/>
  <c r="AH146" i="18"/>
  <c r="AL146" i="18"/>
  <c r="AM146" i="18"/>
  <c r="AN146" i="18" s="1"/>
  <c r="Y145" i="18" l="1"/>
  <c r="Y146" i="18"/>
  <c r="Y143" i="18"/>
  <c r="AM143" i="18" s="1"/>
  <c r="AN143" i="18" s="1"/>
  <c r="Y144" i="18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6" i="1"/>
  <c r="F465" i="8" l="1"/>
  <c r="AL119" i="18" l="1"/>
  <c r="AM119" i="18"/>
  <c r="AN119" i="18"/>
  <c r="AH119" i="18"/>
  <c r="AE119" i="18"/>
  <c r="AB119" i="18"/>
  <c r="AM140" i="18"/>
  <c r="AN140" i="18" s="1"/>
  <c r="AH139" i="18"/>
  <c r="AH140" i="18"/>
  <c r="AE139" i="18"/>
  <c r="AE140" i="18"/>
  <c r="AB139" i="18"/>
  <c r="AB140" i="18"/>
  <c r="AL140" i="18"/>
  <c r="AL139" i="18"/>
  <c r="Y139" i="18" l="1"/>
  <c r="AM139" i="18" s="1"/>
  <c r="AN139" i="18" s="1"/>
  <c r="Y140" i="18"/>
  <c r="Y119" i="18"/>
  <c r="F451" i="8" l="1"/>
  <c r="F448" i="8"/>
  <c r="J438" i="8" l="1"/>
  <c r="F437" i="8" l="1"/>
  <c r="F434" i="8" l="1"/>
  <c r="P17" i="1" l="1"/>
  <c r="AB195" i="18" l="1"/>
  <c r="AE195" i="18"/>
  <c r="AH195" i="18"/>
  <c r="AL195" i="18"/>
  <c r="AM195" i="18"/>
  <c r="AN195" i="18" s="1"/>
  <c r="AB196" i="18"/>
  <c r="AE196" i="18"/>
  <c r="AH196" i="18"/>
  <c r="AL196" i="18"/>
  <c r="AB197" i="18"/>
  <c r="AE197" i="18"/>
  <c r="AH197" i="18"/>
  <c r="AL197" i="18"/>
  <c r="AM197" i="18"/>
  <c r="AN197" i="18" s="1"/>
  <c r="AB198" i="18"/>
  <c r="AE198" i="18"/>
  <c r="AH198" i="18"/>
  <c r="AL198" i="18"/>
  <c r="AB199" i="18"/>
  <c r="AE199" i="18"/>
  <c r="AH199" i="18"/>
  <c r="AL199" i="18"/>
  <c r="AB200" i="18"/>
  <c r="AE200" i="18"/>
  <c r="AH200" i="18"/>
  <c r="AL200" i="18"/>
  <c r="AB201" i="18"/>
  <c r="AE201" i="18"/>
  <c r="AH201" i="18"/>
  <c r="AL201" i="18"/>
  <c r="AB202" i="18"/>
  <c r="AE202" i="18"/>
  <c r="AH202" i="18"/>
  <c r="AL202" i="18"/>
  <c r="Y203" i="18"/>
  <c r="AB203" i="18"/>
  <c r="AE203" i="18"/>
  <c r="AH203" i="18"/>
  <c r="AL203" i="18"/>
  <c r="AM203" i="18"/>
  <c r="AN203" i="18" s="1"/>
  <c r="Y204" i="18"/>
  <c r="AB204" i="18"/>
  <c r="AE204" i="18"/>
  <c r="AH204" i="18"/>
  <c r="AL204" i="18"/>
  <c r="AM204" i="18"/>
  <c r="AN204" i="18" s="1"/>
  <c r="Y205" i="18"/>
  <c r="AB205" i="18"/>
  <c r="AE205" i="18"/>
  <c r="AH205" i="18"/>
  <c r="AL205" i="18"/>
  <c r="AM205" i="18"/>
  <c r="AN205" i="18" s="1"/>
  <c r="Y206" i="18"/>
  <c r="AB206" i="18"/>
  <c r="AE206" i="18"/>
  <c r="AH206" i="18"/>
  <c r="AL206" i="18"/>
  <c r="AM206" i="18"/>
  <c r="AN206" i="18" s="1"/>
  <c r="Y207" i="18"/>
  <c r="AB207" i="18"/>
  <c r="AE207" i="18"/>
  <c r="AH207" i="18"/>
  <c r="AL207" i="18"/>
  <c r="AM207" i="18"/>
  <c r="AN207" i="18" s="1"/>
  <c r="Y208" i="18"/>
  <c r="AB208" i="18"/>
  <c r="AE208" i="18"/>
  <c r="AH208" i="18"/>
  <c r="AL208" i="18"/>
  <c r="AM208" i="18"/>
  <c r="AN208" i="18" s="1"/>
  <c r="AB184" i="18"/>
  <c r="AE184" i="18"/>
  <c r="AH184" i="18"/>
  <c r="AL184" i="18"/>
  <c r="AB185" i="18"/>
  <c r="AE185" i="18"/>
  <c r="AH185" i="18"/>
  <c r="AL185" i="18"/>
  <c r="AB186" i="18"/>
  <c r="AE186" i="18"/>
  <c r="AH186" i="18"/>
  <c r="AL186" i="18"/>
  <c r="AB187" i="18"/>
  <c r="AE187" i="18"/>
  <c r="AH187" i="18"/>
  <c r="AL187" i="18"/>
  <c r="AB188" i="18"/>
  <c r="AE188" i="18"/>
  <c r="AH188" i="18"/>
  <c r="AL188" i="18"/>
  <c r="AM188" i="18"/>
  <c r="AN188" i="18" s="1"/>
  <c r="AB189" i="18"/>
  <c r="AE189" i="18"/>
  <c r="AH189" i="18"/>
  <c r="AL189" i="18"/>
  <c r="AB166" i="18"/>
  <c r="AE166" i="18"/>
  <c r="AH166" i="18"/>
  <c r="AL166" i="18"/>
  <c r="AB167" i="18"/>
  <c r="AE167" i="18"/>
  <c r="AH167" i="18"/>
  <c r="AL167" i="18"/>
  <c r="AM167" i="18"/>
  <c r="AN167" i="18" s="1"/>
  <c r="AB168" i="18"/>
  <c r="AE168" i="18"/>
  <c r="AH168" i="18"/>
  <c r="AL168" i="18"/>
  <c r="AB169" i="18"/>
  <c r="AE169" i="18"/>
  <c r="AH169" i="18"/>
  <c r="AL169" i="18"/>
  <c r="AM169" i="18"/>
  <c r="AN169" i="18" s="1"/>
  <c r="AB170" i="18"/>
  <c r="AE170" i="18"/>
  <c r="AH170" i="18"/>
  <c r="AL170" i="18"/>
  <c r="AM170" i="18"/>
  <c r="AN170" i="18" s="1"/>
  <c r="AB171" i="18"/>
  <c r="AE171" i="18"/>
  <c r="AH171" i="18"/>
  <c r="AL171" i="18"/>
  <c r="AM171" i="18"/>
  <c r="AN171" i="18" s="1"/>
  <c r="AB172" i="18"/>
  <c r="AE172" i="18"/>
  <c r="AH172" i="18"/>
  <c r="AL172" i="18"/>
  <c r="AM172" i="18"/>
  <c r="AN172" i="18" s="1"/>
  <c r="AB173" i="18"/>
  <c r="AE173" i="18"/>
  <c r="AH173" i="18"/>
  <c r="AL173" i="18"/>
  <c r="AM173" i="18"/>
  <c r="AN173" i="18" s="1"/>
  <c r="AB174" i="18"/>
  <c r="AE174" i="18"/>
  <c r="AH174" i="18"/>
  <c r="AL174" i="18"/>
  <c r="AM174" i="18"/>
  <c r="AN174" i="18" s="1"/>
  <c r="AB175" i="18"/>
  <c r="AE175" i="18"/>
  <c r="AH175" i="18"/>
  <c r="AL175" i="18"/>
  <c r="AM175" i="18"/>
  <c r="AN175" i="18" s="1"/>
  <c r="AB176" i="18"/>
  <c r="AE176" i="18"/>
  <c r="AH176" i="18"/>
  <c r="AL176" i="18"/>
  <c r="AM176" i="18"/>
  <c r="AN176" i="18" s="1"/>
  <c r="AB177" i="18"/>
  <c r="AE177" i="18"/>
  <c r="AH177" i="18"/>
  <c r="AL177" i="18"/>
  <c r="AM177" i="18"/>
  <c r="AN177" i="18" s="1"/>
  <c r="AB178" i="18"/>
  <c r="AE178" i="18"/>
  <c r="AH178" i="18"/>
  <c r="AL178" i="18"/>
  <c r="AB179" i="18"/>
  <c r="AE179" i="18"/>
  <c r="AH179" i="18"/>
  <c r="AL179" i="18"/>
  <c r="AM179" i="18"/>
  <c r="AN179" i="18" s="1"/>
  <c r="AB180" i="18"/>
  <c r="AE180" i="18"/>
  <c r="AH180" i="18"/>
  <c r="AL180" i="18"/>
  <c r="AM180" i="18"/>
  <c r="AN180" i="18" s="1"/>
  <c r="AB181" i="18"/>
  <c r="AE181" i="18"/>
  <c r="AH181" i="18"/>
  <c r="AL181" i="18"/>
  <c r="AM181" i="18"/>
  <c r="AN181" i="18" s="1"/>
  <c r="AB182" i="18"/>
  <c r="AE182" i="18"/>
  <c r="AH182" i="18"/>
  <c r="AL182" i="18"/>
  <c r="AB183" i="18"/>
  <c r="AE183" i="18"/>
  <c r="AH183" i="18"/>
  <c r="AM183" i="18" s="1"/>
  <c r="AN183" i="18" s="1"/>
  <c r="AL183" i="18"/>
  <c r="AB190" i="18"/>
  <c r="AE190" i="18"/>
  <c r="AH190" i="18"/>
  <c r="AL190" i="18"/>
  <c r="AM190" i="18"/>
  <c r="AN190" i="18" s="1"/>
  <c r="AB191" i="18"/>
  <c r="AE191" i="18"/>
  <c r="AH191" i="18"/>
  <c r="AL191" i="18"/>
  <c r="AB192" i="18"/>
  <c r="AE192" i="18"/>
  <c r="AH192" i="18"/>
  <c r="AL192" i="18"/>
  <c r="AB193" i="18"/>
  <c r="AE193" i="18"/>
  <c r="AH193" i="18"/>
  <c r="AL193" i="18"/>
  <c r="AM193" i="18"/>
  <c r="AN193" i="18" s="1"/>
  <c r="AB194" i="18"/>
  <c r="AE194" i="18"/>
  <c r="AH194" i="18"/>
  <c r="AL194" i="18"/>
  <c r="AB209" i="18"/>
  <c r="AE209" i="18"/>
  <c r="Y209" i="18" s="1"/>
  <c r="AH209" i="18"/>
  <c r="AL209" i="18"/>
  <c r="AM209" i="18"/>
  <c r="AN209" i="18" s="1"/>
  <c r="AJ211" i="18"/>
  <c r="S221" i="18" s="1"/>
  <c r="AM210" i="18"/>
  <c r="AN210" i="18" s="1"/>
  <c r="AL210" i="18"/>
  <c r="AH210" i="18"/>
  <c r="Y210" i="18" s="1"/>
  <c r="AE210" i="18"/>
  <c r="AB210" i="18"/>
  <c r="AL165" i="18"/>
  <c r="AH165" i="18"/>
  <c r="AE165" i="18"/>
  <c r="AB165" i="18"/>
  <c r="AL164" i="18"/>
  <c r="AH164" i="18"/>
  <c r="AE164" i="18"/>
  <c r="AB164" i="18"/>
  <c r="AM163" i="18"/>
  <c r="AN163" i="18" s="1"/>
  <c r="AL163" i="18"/>
  <c r="AH163" i="18"/>
  <c r="AE163" i="18"/>
  <c r="AB163" i="18"/>
  <c r="AL162" i="18"/>
  <c r="AH162" i="18"/>
  <c r="AE162" i="18"/>
  <c r="AB162" i="18"/>
  <c r="AL161" i="18"/>
  <c r="AH161" i="18"/>
  <c r="AE161" i="18"/>
  <c r="AB161" i="18"/>
  <c r="AL160" i="18"/>
  <c r="AH160" i="18"/>
  <c r="AE160" i="18"/>
  <c r="AB160" i="18"/>
  <c r="AL159" i="18"/>
  <c r="AH159" i="18"/>
  <c r="AE159" i="18"/>
  <c r="AB159" i="18"/>
  <c r="AM158" i="18"/>
  <c r="AN158" i="18" s="1"/>
  <c r="AL158" i="18"/>
  <c r="AH158" i="18"/>
  <c r="AE158" i="18"/>
  <c r="AB158" i="18"/>
  <c r="AM157" i="18"/>
  <c r="AN157" i="18" s="1"/>
  <c r="AL157" i="18"/>
  <c r="AH157" i="18"/>
  <c r="AE157" i="18"/>
  <c r="AB157" i="18"/>
  <c r="AM156" i="18"/>
  <c r="AN156" i="18" s="1"/>
  <c r="AL156" i="18"/>
  <c r="AH156" i="18"/>
  <c r="AE156" i="18"/>
  <c r="AB156" i="18"/>
  <c r="AL155" i="18"/>
  <c r="AH155" i="18"/>
  <c r="AE155" i="18"/>
  <c r="AB155" i="18" s="1"/>
  <c r="AM154" i="18"/>
  <c r="AN154" i="18" s="1"/>
  <c r="AL154" i="18"/>
  <c r="AH154" i="18"/>
  <c r="AE154" i="18"/>
  <c r="AM153" i="18"/>
  <c r="AN153" i="18" s="1"/>
  <c r="AL153" i="18"/>
  <c r="AH153" i="18"/>
  <c r="AE153" i="18"/>
  <c r="AB153" i="18"/>
  <c r="AL152" i="18"/>
  <c r="AH152" i="18"/>
  <c r="AE152" i="18"/>
  <c r="AB152" i="18"/>
  <c r="Y202" i="18" l="1"/>
  <c r="AM202" i="18"/>
  <c r="AN202" i="18" s="1"/>
  <c r="Y201" i="18"/>
  <c r="AM201" i="18" s="1"/>
  <c r="AN201" i="18" s="1"/>
  <c r="Y200" i="18"/>
  <c r="AM200" i="18" s="1"/>
  <c r="AN200" i="18" s="1"/>
  <c r="Y195" i="18"/>
  <c r="Y199" i="18"/>
  <c r="AM199" i="18" s="1"/>
  <c r="AN199" i="18" s="1"/>
  <c r="Y193" i="18"/>
  <c r="Y198" i="18"/>
  <c r="AM198" i="18" s="1"/>
  <c r="AN198" i="18" s="1"/>
  <c r="Y197" i="18"/>
  <c r="Y188" i="18"/>
  <c r="Y189" i="18"/>
  <c r="AM189" i="18" s="1"/>
  <c r="AN189" i="18" s="1"/>
  <c r="Y186" i="18"/>
  <c r="AM186" i="18" s="1"/>
  <c r="AN186" i="18" s="1"/>
  <c r="Y184" i="18"/>
  <c r="AM184" i="18" s="1"/>
  <c r="AN184" i="18" s="1"/>
  <c r="Y190" i="18"/>
  <c r="Y177" i="18"/>
  <c r="Y196" i="18"/>
  <c r="AM196" i="18" s="1"/>
  <c r="AN196" i="18" s="1"/>
  <c r="Y166" i="18"/>
  <c r="AM166" i="18" s="1"/>
  <c r="AN166" i="18" s="1"/>
  <c r="Y181" i="18"/>
  <c r="Y183" i="18"/>
  <c r="Y169" i="18"/>
  <c r="Y159" i="18"/>
  <c r="AM159" i="18" s="1"/>
  <c r="AN159" i="18" s="1"/>
  <c r="Y175" i="18"/>
  <c r="Y172" i="18"/>
  <c r="Y171" i="18"/>
  <c r="Y187" i="18"/>
  <c r="AM187" i="18" s="1"/>
  <c r="AN187" i="18" s="1"/>
  <c r="Y174" i="18"/>
  <c r="Y167" i="18"/>
  <c r="Y178" i="18"/>
  <c r="AM178" i="18" s="1"/>
  <c r="AN178" i="18" s="1"/>
  <c r="Y179" i="18"/>
  <c r="Y185" i="18"/>
  <c r="AM185" i="18" s="1"/>
  <c r="Y156" i="18"/>
  <c r="Y165" i="18"/>
  <c r="AM165" i="18" s="1"/>
  <c r="AN165" i="18" s="1"/>
  <c r="Y192" i="18"/>
  <c r="AM192" i="18" s="1"/>
  <c r="AN192" i="18" s="1"/>
  <c r="Y180" i="18"/>
  <c r="Y173" i="18"/>
  <c r="Y170" i="18"/>
  <c r="Y168" i="18"/>
  <c r="AM168" i="18" s="1"/>
  <c r="AN168" i="18" s="1"/>
  <c r="Y155" i="18"/>
  <c r="AM155" i="18" s="1"/>
  <c r="AN155" i="18" s="1"/>
  <c r="Y162" i="18"/>
  <c r="AM162" i="18" s="1"/>
  <c r="AN162" i="18" s="1"/>
  <c r="Y163" i="18"/>
  <c r="Y194" i="18"/>
  <c r="AM194" i="18" s="1"/>
  <c r="AN194" i="18" s="1"/>
  <c r="Y191" i="18"/>
  <c r="AM191" i="18" s="1"/>
  <c r="AN191" i="18" s="1"/>
  <c r="Y182" i="18"/>
  <c r="AM182" i="18" s="1"/>
  <c r="AN182" i="18" s="1"/>
  <c r="Y176" i="18"/>
  <c r="Y157" i="18"/>
  <c r="Y160" i="18"/>
  <c r="AM160" i="18" s="1"/>
  <c r="AN160" i="18" s="1"/>
  <c r="Y152" i="18"/>
  <c r="AM152" i="18" s="1"/>
  <c r="AN152" i="18" s="1"/>
  <c r="Y158" i="18"/>
  <c r="Y161" i="18"/>
  <c r="AM161" i="18" s="1"/>
  <c r="AN161" i="18" s="1"/>
  <c r="Y164" i="18"/>
  <c r="AM164" i="18" s="1"/>
  <c r="AN164" i="18" s="1"/>
  <c r="Y153" i="18"/>
  <c r="AB154" i="18"/>
  <c r="Y154" i="18" s="1"/>
  <c r="AN185" i="18" l="1"/>
  <c r="AN211" i="18" s="1"/>
  <c r="U221" i="18" s="1"/>
  <c r="AO216" i="18" s="1"/>
  <c r="AM211" i="18"/>
  <c r="T221" i="18" s="1"/>
  <c r="AB102" i="18"/>
  <c r="AE102" i="18"/>
  <c r="AH102" i="18"/>
  <c r="AL102" i="18"/>
  <c r="AB103" i="18"/>
  <c r="AE103" i="18"/>
  <c r="AH103" i="18"/>
  <c r="AL103" i="18"/>
  <c r="AM103" i="18"/>
  <c r="AN103" i="18" s="1"/>
  <c r="Y102" i="18" l="1"/>
  <c r="AO211" i="18"/>
  <c r="V221" i="18" s="1"/>
  <c r="Y103" i="18"/>
  <c r="AM102" i="18"/>
  <c r="AN102" i="18" s="1"/>
  <c r="M413" i="8" l="1"/>
  <c r="M412" i="8" l="1"/>
  <c r="F412" i="8" l="1"/>
  <c r="F409" i="8" l="1"/>
  <c r="F406" i="8" l="1"/>
  <c r="F398" i="8" l="1"/>
  <c r="AH97" i="18" l="1"/>
  <c r="AL97" i="18"/>
  <c r="AE97" i="18" l="1"/>
  <c r="AB97" i="18" s="1"/>
  <c r="U143" i="1"/>
  <c r="U147" i="1"/>
  <c r="U151" i="1"/>
  <c r="U155" i="1"/>
  <c r="R142" i="1"/>
  <c r="U142" i="1" s="1"/>
  <c r="R143" i="1"/>
  <c r="R144" i="1"/>
  <c r="U144" i="1" s="1"/>
  <c r="R145" i="1"/>
  <c r="U145" i="1" s="1"/>
  <c r="R146" i="1"/>
  <c r="U146" i="1" s="1"/>
  <c r="R147" i="1"/>
  <c r="R148" i="1"/>
  <c r="U148" i="1" s="1"/>
  <c r="R149" i="1"/>
  <c r="U149" i="1" s="1"/>
  <c r="R150" i="1"/>
  <c r="U150" i="1" s="1"/>
  <c r="R151" i="1"/>
  <c r="R152" i="1"/>
  <c r="U152" i="1" s="1"/>
  <c r="R153" i="1"/>
  <c r="U153" i="1" s="1"/>
  <c r="R154" i="1"/>
  <c r="U154" i="1" s="1"/>
  <c r="R155" i="1"/>
  <c r="R156" i="1"/>
  <c r="U156" i="1" s="1"/>
  <c r="R157" i="1"/>
  <c r="U157" i="1" s="1"/>
  <c r="R158" i="1"/>
  <c r="U158" i="1" s="1"/>
  <c r="R159" i="1"/>
  <c r="U159" i="1" s="1"/>
  <c r="R141" i="1"/>
  <c r="U141" i="1" s="1"/>
  <c r="Q142" i="1"/>
  <c r="V142" i="1" s="1"/>
  <c r="Q143" i="1"/>
  <c r="V143" i="1" s="1"/>
  <c r="Q144" i="1"/>
  <c r="V144" i="1" s="1"/>
  <c r="Q145" i="1"/>
  <c r="V145" i="1" s="1"/>
  <c r="Q146" i="1"/>
  <c r="V146" i="1" s="1"/>
  <c r="Q147" i="1"/>
  <c r="V147" i="1" s="1"/>
  <c r="Q148" i="1"/>
  <c r="V148" i="1" s="1"/>
  <c r="Q149" i="1"/>
  <c r="V149" i="1" s="1"/>
  <c r="Q150" i="1"/>
  <c r="V150" i="1" s="1"/>
  <c r="Q151" i="1"/>
  <c r="V151" i="1" s="1"/>
  <c r="Q152" i="1"/>
  <c r="V152" i="1" s="1"/>
  <c r="Q153" i="1"/>
  <c r="V153" i="1" s="1"/>
  <c r="Q154" i="1"/>
  <c r="V154" i="1" s="1"/>
  <c r="Q155" i="1"/>
  <c r="V155" i="1" s="1"/>
  <c r="Q156" i="1"/>
  <c r="V156" i="1" s="1"/>
  <c r="Q157" i="1"/>
  <c r="V157" i="1" s="1"/>
  <c r="Q158" i="1"/>
  <c r="V158" i="1" s="1"/>
  <c r="Q159" i="1"/>
  <c r="V159" i="1" s="1"/>
  <c r="Q141" i="1"/>
  <c r="V141" i="1" s="1"/>
  <c r="Y97" i="18" l="1"/>
  <c r="AM97" i="18" s="1"/>
  <c r="AN97" i="18" s="1"/>
  <c r="F395" i="8"/>
  <c r="F392" i="8"/>
  <c r="O56" i="8" l="1"/>
  <c r="O57" i="8"/>
  <c r="O58" i="8"/>
  <c r="O59" i="8"/>
  <c r="O60" i="8"/>
  <c r="O61" i="8"/>
  <c r="O62" i="8"/>
  <c r="O63" i="8"/>
  <c r="O64" i="8"/>
  <c r="O65" i="8"/>
  <c r="O66" i="8"/>
  <c r="O67" i="8"/>
  <c r="O68" i="8"/>
  <c r="O69" i="8"/>
  <c r="O70" i="8"/>
  <c r="O71" i="8"/>
  <c r="O72" i="8"/>
  <c r="O73" i="8"/>
  <c r="O74" i="8"/>
  <c r="O75" i="8"/>
  <c r="O76" i="8"/>
  <c r="O77" i="8"/>
  <c r="O78" i="8"/>
  <c r="O79" i="8"/>
  <c r="O80" i="8"/>
  <c r="O81" i="8"/>
  <c r="O82" i="8"/>
  <c r="O83" i="8"/>
  <c r="O84" i="8"/>
  <c r="O85" i="8"/>
  <c r="O86" i="8"/>
  <c r="O87" i="8"/>
  <c r="O88" i="8"/>
  <c r="O89" i="8"/>
  <c r="O90" i="8"/>
  <c r="O91" i="8"/>
  <c r="O92" i="8"/>
  <c r="O93" i="8"/>
  <c r="O94" i="8"/>
  <c r="O95" i="8"/>
  <c r="O96" i="8"/>
  <c r="O97" i="8"/>
  <c r="O98" i="8"/>
  <c r="O99" i="8"/>
  <c r="O100" i="8"/>
  <c r="O101" i="8"/>
  <c r="O102" i="8"/>
  <c r="O103" i="8"/>
  <c r="O104" i="8"/>
  <c r="O105" i="8"/>
  <c r="O106" i="8"/>
  <c r="O107" i="8"/>
  <c r="O108" i="8"/>
  <c r="O109" i="8"/>
  <c r="O110" i="8"/>
  <c r="O111" i="8"/>
  <c r="O112" i="8"/>
  <c r="O113" i="8"/>
  <c r="O114" i="8"/>
  <c r="O115" i="8"/>
  <c r="O116" i="8"/>
  <c r="O117" i="8"/>
  <c r="O118" i="8"/>
  <c r="O119" i="8"/>
  <c r="O120" i="8"/>
  <c r="O121" i="8"/>
  <c r="O122" i="8"/>
  <c r="O123" i="8"/>
  <c r="O124" i="8"/>
  <c r="O125" i="8"/>
  <c r="O126" i="8"/>
  <c r="O127" i="8"/>
  <c r="O128" i="8"/>
  <c r="O129" i="8"/>
  <c r="O130" i="8"/>
  <c r="O131" i="8"/>
  <c r="O132" i="8"/>
  <c r="O133" i="8"/>
  <c r="O134" i="8"/>
  <c r="O135" i="8"/>
  <c r="O136" i="8"/>
  <c r="O137" i="8"/>
  <c r="O138" i="8"/>
  <c r="O139" i="8"/>
  <c r="O140" i="8"/>
  <c r="O141" i="8"/>
  <c r="O142" i="8"/>
  <c r="O143" i="8"/>
  <c r="O144" i="8"/>
  <c r="O145" i="8"/>
  <c r="O146" i="8"/>
  <c r="O147" i="8"/>
  <c r="O148" i="8"/>
  <c r="O149" i="8"/>
  <c r="O150" i="8"/>
  <c r="O151" i="8"/>
  <c r="O152" i="8"/>
  <c r="O153" i="8"/>
  <c r="O154" i="8"/>
  <c r="O155" i="8"/>
  <c r="O156" i="8"/>
  <c r="O157" i="8"/>
  <c r="O158" i="8"/>
  <c r="O159" i="8"/>
  <c r="O160" i="8"/>
  <c r="O161" i="8"/>
  <c r="O162" i="8"/>
  <c r="O163" i="8"/>
  <c r="O164" i="8"/>
  <c r="O165" i="8"/>
  <c r="O166" i="8"/>
  <c r="O167" i="8"/>
  <c r="O168" i="8"/>
  <c r="O169" i="8"/>
  <c r="O170" i="8"/>
  <c r="O171" i="8"/>
  <c r="O172" i="8"/>
  <c r="O173" i="8"/>
  <c r="O174" i="8"/>
  <c r="O175" i="8"/>
  <c r="O176" i="8"/>
  <c r="O177" i="8"/>
  <c r="O178" i="8"/>
  <c r="O179" i="8"/>
  <c r="O180" i="8"/>
  <c r="O181" i="8"/>
  <c r="O182" i="8"/>
  <c r="O183" i="8"/>
  <c r="O184" i="8"/>
  <c r="O185" i="8"/>
  <c r="O186" i="8"/>
  <c r="O187" i="8"/>
  <c r="O188" i="8"/>
  <c r="O189" i="8"/>
  <c r="O190" i="8"/>
  <c r="O191" i="8"/>
  <c r="O192" i="8"/>
  <c r="O193" i="8"/>
  <c r="O194" i="8"/>
  <c r="O195" i="8"/>
  <c r="O196" i="8"/>
  <c r="O197" i="8"/>
  <c r="O198" i="8"/>
  <c r="O199" i="8"/>
  <c r="O200" i="8"/>
  <c r="O201" i="8"/>
  <c r="O202" i="8"/>
  <c r="O203" i="8"/>
  <c r="O204" i="8"/>
  <c r="O205" i="8"/>
  <c r="O206" i="8"/>
  <c r="O207" i="8"/>
  <c r="O208" i="8"/>
  <c r="O209" i="8"/>
  <c r="O210" i="8"/>
  <c r="O211" i="8"/>
  <c r="O212" i="8"/>
  <c r="O213" i="8"/>
  <c r="O214" i="8"/>
  <c r="O215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O231" i="8"/>
  <c r="O232" i="8"/>
  <c r="O233" i="8"/>
  <c r="O234" i="8"/>
  <c r="O235" i="8"/>
  <c r="O236" i="8"/>
  <c r="O237" i="8"/>
  <c r="O238" i="8"/>
  <c r="O239" i="8"/>
  <c r="O240" i="8"/>
  <c r="O241" i="8"/>
  <c r="O242" i="8"/>
  <c r="O243" i="8"/>
  <c r="O244" i="8"/>
  <c r="O245" i="8"/>
  <c r="O246" i="8"/>
  <c r="O247" i="8"/>
  <c r="O248" i="8"/>
  <c r="O249" i="8"/>
  <c r="O250" i="8"/>
  <c r="O251" i="8"/>
  <c r="O252" i="8"/>
  <c r="O253" i="8"/>
  <c r="O254" i="8"/>
  <c r="O255" i="8"/>
  <c r="O256" i="8"/>
  <c r="O257" i="8"/>
  <c r="O258" i="8"/>
  <c r="O259" i="8"/>
  <c r="O260" i="8"/>
  <c r="O261" i="8"/>
  <c r="O262" i="8"/>
  <c r="O263" i="8"/>
  <c r="O264" i="8"/>
  <c r="O265" i="8"/>
  <c r="O266" i="8"/>
  <c r="O267" i="8"/>
  <c r="O268" i="8"/>
  <c r="O269" i="8"/>
  <c r="O270" i="8"/>
  <c r="O271" i="8"/>
  <c r="O272" i="8"/>
  <c r="O273" i="8"/>
  <c r="O274" i="8"/>
  <c r="O275" i="8"/>
  <c r="O276" i="8"/>
  <c r="O277" i="8"/>
  <c r="O278" i="8"/>
  <c r="O279" i="8"/>
  <c r="O280" i="8"/>
  <c r="O281" i="8"/>
  <c r="O282" i="8"/>
  <c r="O283" i="8"/>
  <c r="O284" i="8"/>
  <c r="O285" i="8"/>
  <c r="O286" i="8"/>
  <c r="O287" i="8"/>
  <c r="O288" i="8"/>
  <c r="O289" i="8"/>
  <c r="O290" i="8"/>
  <c r="O291" i="8"/>
  <c r="O292" i="8"/>
  <c r="O293" i="8"/>
  <c r="O294" i="8"/>
  <c r="O295" i="8"/>
  <c r="O296" i="8"/>
  <c r="O297" i="8"/>
  <c r="O298" i="8"/>
  <c r="O299" i="8"/>
  <c r="O300" i="8"/>
  <c r="O301" i="8"/>
  <c r="O302" i="8"/>
  <c r="O303" i="8"/>
  <c r="O304" i="8"/>
  <c r="O305" i="8"/>
  <c r="O306" i="8"/>
  <c r="O307" i="8"/>
  <c r="O308" i="8"/>
  <c r="O309" i="8"/>
  <c r="O310" i="8"/>
  <c r="O311" i="8"/>
  <c r="O312" i="8"/>
  <c r="O313" i="8"/>
  <c r="O314" i="8"/>
  <c r="O315" i="8"/>
  <c r="O316" i="8"/>
  <c r="O317" i="8"/>
  <c r="O318" i="8"/>
  <c r="O319" i="8"/>
  <c r="O320" i="8"/>
  <c r="O321" i="8"/>
  <c r="O322" i="8"/>
  <c r="O323" i="8"/>
  <c r="O324" i="8"/>
  <c r="O325" i="8"/>
  <c r="O326" i="8"/>
  <c r="O327" i="8"/>
  <c r="O328" i="8"/>
  <c r="O329" i="8"/>
  <c r="O330" i="8"/>
  <c r="O331" i="8"/>
  <c r="O332" i="8"/>
  <c r="O333" i="8"/>
  <c r="O334" i="8"/>
  <c r="O335" i="8"/>
  <c r="O336" i="8"/>
  <c r="O337" i="8"/>
  <c r="O338" i="8"/>
  <c r="O339" i="8"/>
  <c r="O340" i="8"/>
  <c r="O341" i="8"/>
  <c r="O342" i="8"/>
  <c r="O343" i="8"/>
  <c r="O344" i="8"/>
  <c r="O345" i="8"/>
  <c r="O346" i="8"/>
  <c r="O347" i="8"/>
  <c r="O348" i="8"/>
  <c r="O349" i="8"/>
  <c r="O350" i="8"/>
  <c r="O351" i="8"/>
  <c r="O352" i="8"/>
  <c r="O353" i="8"/>
  <c r="O354" i="8"/>
  <c r="O355" i="8"/>
  <c r="O356" i="8"/>
  <c r="O357" i="8"/>
  <c r="O358" i="8"/>
  <c r="O359" i="8"/>
  <c r="O360" i="8"/>
  <c r="O361" i="8"/>
  <c r="O362" i="8"/>
  <c r="O363" i="8"/>
  <c r="O364" i="8"/>
  <c r="O365" i="8"/>
  <c r="O366" i="8"/>
  <c r="O367" i="8"/>
  <c r="O368" i="8"/>
  <c r="O369" i="8"/>
  <c r="O370" i="8"/>
  <c r="O371" i="8"/>
  <c r="O372" i="8"/>
  <c r="O373" i="8"/>
  <c r="O374" i="8"/>
  <c r="O375" i="8"/>
  <c r="O376" i="8"/>
  <c r="O377" i="8"/>
  <c r="O378" i="8"/>
  <c r="O379" i="8"/>
  <c r="O380" i="8"/>
  <c r="O381" i="8"/>
  <c r="O382" i="8"/>
  <c r="O383" i="8"/>
  <c r="O384" i="8"/>
  <c r="O385" i="8"/>
  <c r="O386" i="8"/>
  <c r="O387" i="8"/>
  <c r="O388" i="8"/>
  <c r="O389" i="8"/>
  <c r="O390" i="8"/>
  <c r="O391" i="8"/>
  <c r="O392" i="8"/>
  <c r="O393" i="8"/>
  <c r="O394" i="8"/>
  <c r="O395" i="8"/>
  <c r="O396" i="8"/>
  <c r="O397" i="8"/>
  <c r="O398" i="8"/>
  <c r="O399" i="8"/>
  <c r="O400" i="8"/>
  <c r="O401" i="8"/>
  <c r="O402" i="8"/>
  <c r="O403" i="8"/>
  <c r="O404" i="8"/>
  <c r="O405" i="8"/>
  <c r="O406" i="8"/>
  <c r="O407" i="8"/>
  <c r="O408" i="8"/>
  <c r="O409" i="8"/>
  <c r="O410" i="8"/>
  <c r="O411" i="8"/>
  <c r="O412" i="8"/>
  <c r="O413" i="8"/>
  <c r="O414" i="8"/>
  <c r="O415" i="8"/>
  <c r="O416" i="8"/>
  <c r="O417" i="8"/>
  <c r="O418" i="8"/>
  <c r="O419" i="8"/>
  <c r="O420" i="8"/>
  <c r="O421" i="8"/>
  <c r="O422" i="8"/>
  <c r="O423" i="8"/>
  <c r="O424" i="8"/>
  <c r="O425" i="8"/>
  <c r="O426" i="8"/>
  <c r="O427" i="8"/>
  <c r="O428" i="8"/>
  <c r="O429" i="8"/>
  <c r="O430" i="8"/>
  <c r="O431" i="8"/>
  <c r="O432" i="8"/>
  <c r="O433" i="8"/>
  <c r="O434" i="8"/>
  <c r="O435" i="8"/>
  <c r="O436" i="8"/>
  <c r="O437" i="8"/>
  <c r="O438" i="8"/>
  <c r="O439" i="8"/>
  <c r="O440" i="8"/>
  <c r="O441" i="8"/>
  <c r="O442" i="8"/>
  <c r="O443" i="8"/>
  <c r="O444" i="8"/>
  <c r="O445" i="8"/>
  <c r="O446" i="8"/>
  <c r="O447" i="8"/>
  <c r="O448" i="8"/>
  <c r="O449" i="8"/>
  <c r="O450" i="8"/>
  <c r="O451" i="8"/>
  <c r="O452" i="8"/>
  <c r="O453" i="8"/>
  <c r="O454" i="8"/>
  <c r="O455" i="8"/>
  <c r="O456" i="8"/>
  <c r="O457" i="8"/>
  <c r="O458" i="8"/>
  <c r="O459" i="8"/>
  <c r="O460" i="8"/>
  <c r="O461" i="8"/>
  <c r="O462" i="8"/>
  <c r="O463" i="8"/>
  <c r="O464" i="8"/>
  <c r="O465" i="8"/>
  <c r="O466" i="8"/>
  <c r="O467" i="8"/>
  <c r="O468" i="8"/>
  <c r="O469" i="8"/>
  <c r="O470" i="8"/>
  <c r="O473" i="8"/>
  <c r="O474" i="8"/>
  <c r="O475" i="8"/>
  <c r="O476" i="8"/>
  <c r="O477" i="8"/>
  <c r="O478" i="8"/>
  <c r="O479" i="8"/>
  <c r="O480" i="8"/>
  <c r="O481" i="8"/>
  <c r="O482" i="8"/>
  <c r="O483" i="8"/>
  <c r="O484" i="8"/>
  <c r="O485" i="8"/>
  <c r="O486" i="8"/>
  <c r="O487" i="8"/>
  <c r="O488" i="8"/>
  <c r="O489" i="8"/>
  <c r="O490" i="8"/>
  <c r="O491" i="8"/>
  <c r="O493" i="8"/>
  <c r="O494" i="8"/>
  <c r="O495" i="8"/>
  <c r="O496" i="8"/>
  <c r="O497" i="8"/>
  <c r="O498" i="8"/>
  <c r="O499" i="8"/>
  <c r="O500" i="8"/>
  <c r="O501" i="8"/>
  <c r="O502" i="8"/>
  <c r="O503" i="8"/>
  <c r="O504" i="8"/>
  <c r="O505" i="8"/>
  <c r="O506" i="8"/>
  <c r="O507" i="8"/>
  <c r="O508" i="8"/>
  <c r="O509" i="8"/>
  <c r="O510" i="8"/>
  <c r="O511" i="8"/>
  <c r="O512" i="8"/>
  <c r="O513" i="8"/>
  <c r="O514" i="8"/>
  <c r="O515" i="8"/>
  <c r="O516" i="8"/>
  <c r="O517" i="8"/>
  <c r="O518" i="8"/>
  <c r="O519" i="8"/>
  <c r="O520" i="8"/>
  <c r="O521" i="8"/>
  <c r="O522" i="8"/>
  <c r="O523" i="8"/>
  <c r="O524" i="8"/>
  <c r="O525" i="8"/>
  <c r="O526" i="8"/>
  <c r="O527" i="8"/>
  <c r="O528" i="8"/>
  <c r="O529" i="8"/>
  <c r="O530" i="8"/>
  <c r="O531" i="8"/>
  <c r="O532" i="8"/>
  <c r="O533" i="8"/>
  <c r="O534" i="8"/>
  <c r="O535" i="8"/>
  <c r="O536" i="8"/>
  <c r="O537" i="8"/>
  <c r="O538" i="8"/>
  <c r="O539" i="8"/>
  <c r="O540" i="8"/>
  <c r="O541" i="8"/>
  <c r="O542" i="8"/>
  <c r="O543" i="8"/>
  <c r="O544" i="8"/>
  <c r="O545" i="8"/>
  <c r="O546" i="8"/>
  <c r="O547" i="8"/>
  <c r="O548" i="8"/>
  <c r="O549" i="8"/>
  <c r="O550" i="8"/>
  <c r="O551" i="8"/>
  <c r="O552" i="8"/>
  <c r="O553" i="8"/>
  <c r="O554" i="8"/>
  <c r="O555" i="8"/>
  <c r="O556" i="8"/>
  <c r="O557" i="8"/>
  <c r="O558" i="8"/>
  <c r="O559" i="8"/>
  <c r="O560" i="8"/>
  <c r="O561" i="8"/>
  <c r="O562" i="8"/>
  <c r="O563" i="8"/>
  <c r="O564" i="8"/>
  <c r="O565" i="8"/>
  <c r="O566" i="8"/>
  <c r="O567" i="8"/>
  <c r="O568" i="8"/>
  <c r="O569" i="8"/>
  <c r="O570" i="8"/>
  <c r="O571" i="8"/>
  <c r="O572" i="8"/>
  <c r="O573" i="8"/>
  <c r="O574" i="8"/>
  <c r="O575" i="8"/>
  <c r="O576" i="8"/>
  <c r="O577" i="8"/>
  <c r="O578" i="8"/>
  <c r="O579" i="8"/>
  <c r="O580" i="8"/>
  <c r="O581" i="8"/>
  <c r="O582" i="8"/>
  <c r="O583" i="8"/>
  <c r="O584" i="8"/>
  <c r="O585" i="8"/>
  <c r="O586" i="8"/>
  <c r="O587" i="8"/>
  <c r="O588" i="8"/>
  <c r="O589" i="8"/>
  <c r="O590" i="8"/>
  <c r="O591" i="8"/>
  <c r="O592" i="8"/>
  <c r="O593" i="8"/>
  <c r="O594" i="8"/>
  <c r="O595" i="8"/>
  <c r="O596" i="8"/>
  <c r="O597" i="8"/>
  <c r="O598" i="8"/>
  <c r="O599" i="8"/>
  <c r="O600" i="8"/>
  <c r="O601" i="8"/>
  <c r="O602" i="8"/>
  <c r="O603" i="8"/>
  <c r="O604" i="8"/>
  <c r="O605" i="8"/>
  <c r="O606" i="8"/>
  <c r="O607" i="8"/>
  <c r="O608" i="8"/>
  <c r="O609" i="8"/>
  <c r="O610" i="8"/>
  <c r="O611" i="8"/>
  <c r="O612" i="8"/>
  <c r="O613" i="8"/>
  <c r="O614" i="8"/>
  <c r="O615" i="8"/>
  <c r="O616" i="8"/>
  <c r="O617" i="8"/>
  <c r="O618" i="8"/>
  <c r="O619" i="8"/>
  <c r="O620" i="8"/>
  <c r="O621" i="8"/>
  <c r="O622" i="8"/>
  <c r="O623" i="8"/>
  <c r="O624" i="8"/>
  <c r="O625" i="8"/>
  <c r="O626" i="8"/>
  <c r="O627" i="8"/>
  <c r="O628" i="8"/>
  <c r="O629" i="8"/>
  <c r="O630" i="8"/>
  <c r="O631" i="8"/>
  <c r="O632" i="8"/>
  <c r="O633" i="8"/>
  <c r="O634" i="8"/>
  <c r="O635" i="8"/>
  <c r="O636" i="8"/>
  <c r="O637" i="8"/>
  <c r="O638" i="8"/>
  <c r="O639" i="8"/>
  <c r="O640" i="8"/>
  <c r="O641" i="8"/>
  <c r="O642" i="8"/>
  <c r="O643" i="8"/>
  <c r="O644" i="8"/>
  <c r="O645" i="8"/>
  <c r="O646" i="8"/>
  <c r="O647" i="8"/>
  <c r="O648" i="8"/>
  <c r="O649" i="8"/>
  <c r="O650" i="8"/>
  <c r="O651" i="8"/>
  <c r="O652" i="8"/>
  <c r="O653" i="8"/>
  <c r="O654" i="8"/>
  <c r="O655" i="8"/>
  <c r="O656" i="8"/>
  <c r="O657" i="8"/>
  <c r="O658" i="8"/>
  <c r="O659" i="8"/>
  <c r="O660" i="8"/>
  <c r="O661" i="8"/>
  <c r="O662" i="8"/>
  <c r="O663" i="8"/>
  <c r="O664" i="8"/>
  <c r="O665" i="8"/>
  <c r="O666" i="8"/>
  <c r="O667" i="8"/>
  <c r="O668" i="8"/>
  <c r="O669" i="8"/>
  <c r="O670" i="8"/>
  <c r="O671" i="8"/>
  <c r="O672" i="8"/>
  <c r="O673" i="8"/>
  <c r="O674" i="8"/>
  <c r="O675" i="8"/>
  <c r="O676" i="8"/>
  <c r="O677" i="8"/>
  <c r="O678" i="8"/>
  <c r="O679" i="8"/>
  <c r="O680" i="8"/>
  <c r="O681" i="8"/>
  <c r="O682" i="8"/>
  <c r="O683" i="8"/>
  <c r="O684" i="8"/>
  <c r="O685" i="8"/>
  <c r="O686" i="8"/>
  <c r="O687" i="8"/>
  <c r="O688" i="8"/>
  <c r="O689" i="8"/>
  <c r="O690" i="8"/>
  <c r="O691" i="8"/>
  <c r="O692" i="8"/>
  <c r="O693" i="8"/>
  <c r="O694" i="8"/>
  <c r="O695" i="8"/>
  <c r="O696" i="8"/>
  <c r="O697" i="8"/>
  <c r="O698" i="8"/>
  <c r="O699" i="8"/>
  <c r="O700" i="8"/>
  <c r="O701" i="8"/>
  <c r="O702" i="8"/>
  <c r="O703" i="8"/>
  <c r="O704" i="8"/>
  <c r="O705" i="8"/>
  <c r="O706" i="8"/>
  <c r="O707" i="8"/>
  <c r="O708" i="8"/>
  <c r="O709" i="8"/>
  <c r="O710" i="8"/>
  <c r="O711" i="8"/>
  <c r="O712" i="8"/>
  <c r="O713" i="8"/>
  <c r="O714" i="8"/>
  <c r="O715" i="8"/>
  <c r="O716" i="8"/>
  <c r="O717" i="8"/>
  <c r="O718" i="8"/>
  <c r="O719" i="8"/>
  <c r="O720" i="8"/>
  <c r="O721" i="8"/>
  <c r="O722" i="8"/>
  <c r="O723" i="8"/>
  <c r="O724" i="8"/>
  <c r="O725" i="8"/>
  <c r="O726" i="8"/>
  <c r="O727" i="8"/>
  <c r="O728" i="8"/>
  <c r="O729" i="8"/>
  <c r="O730" i="8"/>
  <c r="O731" i="8"/>
  <c r="O732" i="8"/>
  <c r="O733" i="8"/>
  <c r="O734" i="8"/>
  <c r="O735" i="8"/>
  <c r="O736" i="8"/>
  <c r="O737" i="8"/>
  <c r="O738" i="8"/>
  <c r="O739" i="8"/>
  <c r="O740" i="8"/>
  <c r="O741" i="8"/>
  <c r="O742" i="8"/>
  <c r="O743" i="8"/>
  <c r="O744" i="8"/>
  <c r="O745" i="8"/>
  <c r="O746" i="8"/>
  <c r="O747" i="8"/>
  <c r="O748" i="8"/>
  <c r="O749" i="8"/>
  <c r="O750" i="8"/>
  <c r="O751" i="8"/>
  <c r="O752" i="8"/>
  <c r="O753" i="8"/>
  <c r="O754" i="8"/>
  <c r="O755" i="8"/>
  <c r="O756" i="8"/>
  <c r="O757" i="8"/>
  <c r="O758" i="8"/>
  <c r="O759" i="8"/>
  <c r="O760" i="8"/>
  <c r="O761" i="8"/>
  <c r="O762" i="8"/>
  <c r="O763" i="8"/>
  <c r="O764" i="8"/>
  <c r="O765" i="8"/>
  <c r="O766" i="8"/>
  <c r="O767" i="8"/>
  <c r="O768" i="8"/>
  <c r="O769" i="8"/>
  <c r="O770" i="8"/>
  <c r="O771" i="8"/>
  <c r="O772" i="8"/>
  <c r="O773" i="8"/>
  <c r="O774" i="8"/>
  <c r="O775" i="8"/>
  <c r="O776" i="8"/>
  <c r="O777" i="8"/>
  <c r="O778" i="8"/>
  <c r="O779" i="8"/>
  <c r="O780" i="8"/>
  <c r="O781" i="8"/>
  <c r="O782" i="8"/>
  <c r="O783" i="8"/>
  <c r="O784" i="8"/>
  <c r="O785" i="8"/>
  <c r="O786" i="8"/>
  <c r="O787" i="8"/>
  <c r="O788" i="8"/>
  <c r="O789" i="8"/>
  <c r="O790" i="8"/>
  <c r="O791" i="8"/>
  <c r="O792" i="8"/>
  <c r="O793" i="8"/>
  <c r="O794" i="8"/>
  <c r="O795" i="8"/>
  <c r="O796" i="8"/>
  <c r="O797" i="8"/>
  <c r="O798" i="8"/>
  <c r="O799" i="8"/>
  <c r="O800" i="8"/>
  <c r="O801" i="8"/>
  <c r="O802" i="8"/>
  <c r="O803" i="8"/>
  <c r="O804" i="8"/>
  <c r="O805" i="8"/>
  <c r="O806" i="8"/>
  <c r="O807" i="8"/>
  <c r="O808" i="8"/>
  <c r="O809" i="8"/>
  <c r="O810" i="8"/>
  <c r="O811" i="8"/>
  <c r="O812" i="8"/>
  <c r="O813" i="8"/>
  <c r="O814" i="8"/>
  <c r="O815" i="8"/>
  <c r="O816" i="8"/>
  <c r="O817" i="8"/>
  <c r="O818" i="8"/>
  <c r="O819" i="8"/>
  <c r="O820" i="8"/>
  <c r="O821" i="8"/>
  <c r="O822" i="8"/>
  <c r="O823" i="8"/>
  <c r="O824" i="8"/>
  <c r="O825" i="8"/>
  <c r="O826" i="8"/>
  <c r="O827" i="8"/>
  <c r="O828" i="8"/>
  <c r="O829" i="8"/>
  <c r="O830" i="8"/>
  <c r="O831" i="8"/>
  <c r="O832" i="8"/>
  <c r="O833" i="8"/>
  <c r="O834" i="8"/>
  <c r="O835" i="8"/>
  <c r="O836" i="8"/>
  <c r="O837" i="8"/>
  <c r="O838" i="8"/>
  <c r="O839" i="8"/>
  <c r="O840" i="8"/>
  <c r="O841" i="8"/>
  <c r="O842" i="8"/>
  <c r="O843" i="8"/>
  <c r="O844" i="8"/>
  <c r="O845" i="8"/>
  <c r="O846" i="8"/>
  <c r="O847" i="8"/>
  <c r="O848" i="8"/>
  <c r="O849" i="8"/>
  <c r="O850" i="8"/>
  <c r="O851" i="8"/>
  <c r="O852" i="8"/>
  <c r="O853" i="8"/>
  <c r="O854" i="8"/>
  <c r="O855" i="8"/>
  <c r="O856" i="8"/>
  <c r="O857" i="8"/>
  <c r="O858" i="8"/>
  <c r="O859" i="8"/>
  <c r="O860" i="8"/>
  <c r="O861" i="8"/>
  <c r="O862" i="8"/>
  <c r="O863" i="8"/>
  <c r="O864" i="8"/>
  <c r="O865" i="8"/>
  <c r="O866" i="8"/>
  <c r="O867" i="8"/>
  <c r="O868" i="8"/>
  <c r="O869" i="8"/>
  <c r="O870" i="8"/>
  <c r="O871" i="8"/>
  <c r="O872" i="8"/>
  <c r="O873" i="8"/>
  <c r="O874" i="8"/>
  <c r="O875" i="8"/>
  <c r="O876" i="8"/>
  <c r="O877" i="8"/>
  <c r="O878" i="8"/>
  <c r="O879" i="8"/>
  <c r="O880" i="8"/>
  <c r="O881" i="8"/>
  <c r="O882" i="8"/>
  <c r="O883" i="8"/>
  <c r="O884" i="8"/>
  <c r="O885" i="8"/>
  <c r="O886" i="8"/>
  <c r="O887" i="8"/>
  <c r="O888" i="8"/>
  <c r="O889" i="8"/>
  <c r="O890" i="8"/>
  <c r="O891" i="8"/>
  <c r="O892" i="8"/>
  <c r="O893" i="8"/>
  <c r="O894" i="8"/>
  <c r="O895" i="8"/>
  <c r="O896" i="8"/>
  <c r="O897" i="8"/>
  <c r="O898" i="8"/>
  <c r="O899" i="8"/>
  <c r="O900" i="8"/>
  <c r="O901" i="8"/>
  <c r="O902" i="8"/>
  <c r="O903" i="8"/>
  <c r="O904" i="8"/>
  <c r="O905" i="8"/>
  <c r="O906" i="8"/>
  <c r="O907" i="8"/>
  <c r="O908" i="8"/>
  <c r="O909" i="8"/>
  <c r="O910" i="8"/>
  <c r="O911" i="8"/>
  <c r="O55" i="8"/>
  <c r="AE111" i="18" l="1"/>
  <c r="AH111" i="18"/>
  <c r="AB111" i="18" s="1"/>
  <c r="AL111" i="18"/>
  <c r="Y111" i="18" l="1"/>
  <c r="AM111" i="18"/>
  <c r="AN111" i="18" s="1"/>
  <c r="AL138" i="18"/>
  <c r="AH138" i="18"/>
  <c r="AE138" i="18"/>
  <c r="AB138" i="18"/>
  <c r="Y138" i="18" l="1"/>
  <c r="AM138" i="18"/>
  <c r="AN138" i="18" s="1"/>
  <c r="F374" i="8" l="1"/>
  <c r="I369" i="8" l="1"/>
  <c r="T7" i="1" l="1"/>
  <c r="T8" i="1"/>
  <c r="T9" i="1"/>
  <c r="T10" i="1"/>
  <c r="T11" i="1"/>
  <c r="T12" i="1"/>
  <c r="T13" i="1"/>
  <c r="T14" i="1"/>
  <c r="T18" i="1"/>
  <c r="T19" i="1"/>
  <c r="T21" i="1"/>
  <c r="T22" i="1"/>
  <c r="T23" i="1"/>
  <c r="T24" i="1"/>
  <c r="T25" i="1"/>
  <c r="T26" i="1"/>
  <c r="T27" i="1"/>
  <c r="T28" i="1"/>
  <c r="T29" i="1"/>
  <c r="T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6" i="1"/>
  <c r="AH61" i="18" l="1"/>
  <c r="AH62" i="18"/>
  <c r="AH63" i="18"/>
  <c r="AH64" i="18"/>
  <c r="AH65" i="18"/>
  <c r="AH66" i="18"/>
  <c r="F342" i="8" l="1"/>
  <c r="F333" i="8" l="1"/>
  <c r="AH141" i="18" l="1"/>
  <c r="AB141" i="18"/>
  <c r="AE141" i="18"/>
  <c r="AL141" i="18"/>
  <c r="F328" i="8"/>
  <c r="Y141" i="18" l="1"/>
  <c r="AM141" i="18" s="1"/>
  <c r="AN141" i="18" s="1"/>
  <c r="U320" i="8"/>
  <c r="Q320" i="8"/>
  <c r="P320" i="8" l="1"/>
  <c r="J326" i="8"/>
  <c r="F325" i="8" l="1"/>
  <c r="AL64" i="18" l="1"/>
  <c r="F320" i="8" l="1"/>
  <c r="C319" i="8" l="1"/>
  <c r="F312" i="8" l="1"/>
  <c r="F306" i="8" l="1"/>
  <c r="F295" i="8" l="1"/>
  <c r="AH121" i="18" l="1"/>
  <c r="AE121" i="18"/>
  <c r="AB121" i="18"/>
  <c r="AJ122" i="18"/>
  <c r="AL121" i="18"/>
  <c r="AH28" i="18"/>
  <c r="AE28" i="18"/>
  <c r="AB28" i="18"/>
  <c r="AJ29" i="18"/>
  <c r="AL28" i="18"/>
  <c r="Y121" i="18" l="1"/>
  <c r="AM121" i="18"/>
  <c r="AN121" i="18" s="1"/>
  <c r="Y28" i="18"/>
  <c r="AM28" i="18" s="1"/>
  <c r="AN28" i="18" s="1"/>
  <c r="F276" i="8" l="1"/>
  <c r="M269" i="8" l="1"/>
  <c r="AL137" i="18" l="1"/>
  <c r="AH137" i="18"/>
  <c r="AE137" i="18"/>
  <c r="AB137" i="18"/>
  <c r="AL136" i="18"/>
  <c r="AH136" i="18"/>
  <c r="AE136" i="18"/>
  <c r="AL133" i="18"/>
  <c r="AH133" i="18"/>
  <c r="AE133" i="18"/>
  <c r="AB133" i="18"/>
  <c r="AL132" i="18"/>
  <c r="AH132" i="18"/>
  <c r="AE132" i="18"/>
  <c r="AB132" i="18"/>
  <c r="AL131" i="18"/>
  <c r="AH131" i="18"/>
  <c r="AE131" i="18"/>
  <c r="AB131" i="18"/>
  <c r="AL130" i="18"/>
  <c r="AH130" i="18"/>
  <c r="AE130" i="18"/>
  <c r="AB130" i="18"/>
  <c r="AL135" i="18"/>
  <c r="AH135" i="18"/>
  <c r="AE135" i="18"/>
  <c r="AB135" i="18"/>
  <c r="AL134" i="18"/>
  <c r="AH134" i="18"/>
  <c r="AE134" i="18"/>
  <c r="AB134" i="18"/>
  <c r="AL147" i="18"/>
  <c r="AH147" i="18"/>
  <c r="AE147" i="18"/>
  <c r="AB147" i="18"/>
  <c r="AJ105" i="18"/>
  <c r="AB99" i="18"/>
  <c r="AB100" i="18"/>
  <c r="AE99" i="18"/>
  <c r="AE100" i="18"/>
  <c r="AH99" i="18"/>
  <c r="AH100" i="18"/>
  <c r="AL99" i="18"/>
  <c r="AL100" i="18"/>
  <c r="AM100" i="18"/>
  <c r="AN100" i="18" s="1"/>
  <c r="AM99" i="18"/>
  <c r="AN99" i="18" s="1"/>
  <c r="AL101" i="18"/>
  <c r="AH101" i="18"/>
  <c r="AE101" i="18"/>
  <c r="AB101" i="18"/>
  <c r="AH98" i="18"/>
  <c r="AE98" i="18" s="1"/>
  <c r="AL98" i="18"/>
  <c r="AB136" i="18" l="1"/>
  <c r="Y136" i="18" s="1"/>
  <c r="AM136" i="18" s="1"/>
  <c r="AN136" i="18" s="1"/>
  <c r="Y133" i="18"/>
  <c r="AM133" i="18" s="1"/>
  <c r="AN133" i="18" s="1"/>
  <c r="Y130" i="18"/>
  <c r="AM130" i="18" s="1"/>
  <c r="AN130" i="18" s="1"/>
  <c r="Y100" i="18"/>
  <c r="Y132" i="18"/>
  <c r="AM132" i="18" s="1"/>
  <c r="AN132" i="18" s="1"/>
  <c r="AB98" i="18"/>
  <c r="Y131" i="18"/>
  <c r="AM131" i="18" s="1"/>
  <c r="AN131" i="18" s="1"/>
  <c r="Y137" i="18"/>
  <c r="AM137" i="18" s="1"/>
  <c r="AN137" i="18" s="1"/>
  <c r="Y101" i="18"/>
  <c r="AM101" i="18" s="1"/>
  <c r="AN101" i="18" s="1"/>
  <c r="Y99" i="18"/>
  <c r="Y147" i="18"/>
  <c r="AM147" i="18" s="1"/>
  <c r="AN147" i="18" s="1"/>
  <c r="Y135" i="18"/>
  <c r="AM135" i="18" s="1"/>
  <c r="AN135" i="18" s="1"/>
  <c r="Y134" i="18"/>
  <c r="AM134" i="18" s="1"/>
  <c r="AN134" i="18" s="1"/>
  <c r="P258" i="8"/>
  <c r="Y98" i="18" l="1"/>
  <c r="AM98" i="18" s="1"/>
  <c r="AN98" i="18" s="1"/>
  <c r="AL43" i="18"/>
  <c r="AH43" i="18"/>
  <c r="AE43" i="18"/>
  <c r="AB43" i="18"/>
  <c r="Y43" i="18" l="1"/>
  <c r="AM43" i="18" s="1"/>
  <c r="AN43" i="18" s="1"/>
  <c r="H141" i="17" l="1"/>
  <c r="H140" i="17"/>
  <c r="H139" i="17"/>
  <c r="H138" i="17"/>
  <c r="H137" i="17"/>
  <c r="H136" i="17"/>
  <c r="H135" i="17"/>
  <c r="H134" i="17"/>
  <c r="H133" i="17"/>
  <c r="H142" i="17" l="1"/>
  <c r="AL117" i="18" l="1"/>
  <c r="AL118" i="18"/>
  <c r="AH117" i="18"/>
  <c r="AH118" i="18"/>
  <c r="AE117" i="18"/>
  <c r="AE118" i="18"/>
  <c r="AB118" i="18" l="1"/>
  <c r="Y118" i="18" s="1"/>
  <c r="AM118" i="18" s="1"/>
  <c r="AN118" i="18" s="1"/>
  <c r="AB117" i="18"/>
  <c r="Y117" i="18" s="1"/>
  <c r="AM117" i="18" s="1"/>
  <c r="AN117" i="18" s="1"/>
  <c r="AH129" i="18" l="1"/>
  <c r="AE129" i="18" s="1"/>
  <c r="AB129" i="18" s="1"/>
  <c r="Y129" i="18" s="1"/>
  <c r="AJ148" i="18"/>
  <c r="S220" i="18" s="1"/>
  <c r="AL129" i="18"/>
  <c r="AM129" i="18" l="1"/>
  <c r="AN129" i="18" s="1"/>
  <c r="F251" i="8"/>
  <c r="AJ71" i="18" l="1"/>
  <c r="H126" i="17" l="1"/>
  <c r="H125" i="17"/>
  <c r="H124" i="17"/>
  <c r="H123" i="17"/>
  <c r="H122" i="17"/>
  <c r="H121" i="17"/>
  <c r="H120" i="17"/>
  <c r="H119" i="17"/>
  <c r="H118" i="17"/>
  <c r="H127" i="17" l="1"/>
  <c r="AM79" i="18"/>
  <c r="AM81" i="18"/>
  <c r="AM45" i="18"/>
  <c r="AM51" i="18"/>
  <c r="AM65" i="18"/>
  <c r="AM69" i="18"/>
  <c r="AM33" i="18"/>
  <c r="AM10" i="18"/>
  <c r="AN10" i="18" s="1"/>
  <c r="AM18" i="18"/>
  <c r="AN18" i="18" s="1"/>
  <c r="AM19" i="18"/>
  <c r="AN19" i="18" s="1"/>
  <c r="AL9" i="18"/>
  <c r="AH5" i="18" l="1"/>
  <c r="AH6" i="18"/>
  <c r="AH7" i="18"/>
  <c r="AH8" i="18"/>
  <c r="AH9" i="18"/>
  <c r="AH10" i="18"/>
  <c r="AH11" i="18"/>
  <c r="AE11" i="18" s="1"/>
  <c r="AH12" i="18"/>
  <c r="AH13" i="18"/>
  <c r="AE13" i="18" s="1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4" i="18"/>
  <c r="AE17" i="18"/>
  <c r="AE18" i="18"/>
  <c r="AE19" i="18"/>
  <c r="AE20" i="18"/>
  <c r="AE21" i="18"/>
  <c r="AB10" i="18"/>
  <c r="AB18" i="18"/>
  <c r="AB19" i="18"/>
  <c r="AB20" i="18"/>
  <c r="AB21" i="18"/>
  <c r="Y10" i="18"/>
  <c r="Y18" i="18"/>
  <c r="Y19" i="18"/>
  <c r="AH4" i="18"/>
  <c r="AH34" i="18"/>
  <c r="AH35" i="18"/>
  <c r="AH36" i="18"/>
  <c r="AH37" i="18"/>
  <c r="AH38" i="18"/>
  <c r="AH39" i="18"/>
  <c r="AH40" i="18"/>
  <c r="AH41" i="18"/>
  <c r="AH42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H67" i="18"/>
  <c r="AH68" i="18"/>
  <c r="AH69" i="18"/>
  <c r="AH70" i="18"/>
  <c r="AE39" i="18"/>
  <c r="AE41" i="18"/>
  <c r="AE45" i="18"/>
  <c r="AE46" i="18"/>
  <c r="AE47" i="18"/>
  <c r="AE50" i="18"/>
  <c r="AE51" i="18"/>
  <c r="AE53" i="18"/>
  <c r="AE54" i="18"/>
  <c r="AE57" i="18"/>
  <c r="AE58" i="18"/>
  <c r="AE60" i="18"/>
  <c r="AE61" i="18"/>
  <c r="AE62" i="18"/>
  <c r="AE63" i="18"/>
  <c r="AE64" i="18"/>
  <c r="AE65" i="18"/>
  <c r="AE69" i="18"/>
  <c r="AE70" i="18"/>
  <c r="AB39" i="18"/>
  <c r="AB41" i="18"/>
  <c r="AB45" i="18"/>
  <c r="AB46" i="18"/>
  <c r="AB47" i="18"/>
  <c r="AB51" i="18"/>
  <c r="AB53" i="18"/>
  <c r="AB54" i="18"/>
  <c r="AB57" i="18"/>
  <c r="AB58" i="18"/>
  <c r="AB60" i="18"/>
  <c r="AB61" i="18"/>
  <c r="AB62" i="18"/>
  <c r="AB63" i="18"/>
  <c r="AB64" i="18"/>
  <c r="AB65" i="18"/>
  <c r="AB69" i="18"/>
  <c r="AB70" i="18"/>
  <c r="Y45" i="18"/>
  <c r="Y51" i="18"/>
  <c r="Y69" i="18"/>
  <c r="AH33" i="18"/>
  <c r="AE33" i="18"/>
  <c r="AB33" i="18"/>
  <c r="Y33" i="18"/>
  <c r="AH83" i="18"/>
  <c r="Y79" i="18"/>
  <c r="Y81" i="18"/>
  <c r="Y88" i="18"/>
  <c r="Y90" i="18"/>
  <c r="AB79" i="18"/>
  <c r="AB80" i="18"/>
  <c r="AB81" i="18"/>
  <c r="AB84" i="18"/>
  <c r="AB86" i="18"/>
  <c r="AB88" i="18"/>
  <c r="AB89" i="18"/>
  <c r="AB90" i="18"/>
  <c r="AB96" i="18"/>
  <c r="AE79" i="18"/>
  <c r="AE80" i="18"/>
  <c r="AE81" i="18"/>
  <c r="AE82" i="18"/>
  <c r="AE84" i="18"/>
  <c r="AE86" i="18"/>
  <c r="AE88" i="18"/>
  <c r="AE89" i="18"/>
  <c r="AE90" i="18"/>
  <c r="AE91" i="18"/>
  <c r="AE92" i="18"/>
  <c r="AE96" i="18"/>
  <c r="AH76" i="18"/>
  <c r="AH77" i="18"/>
  <c r="AH78" i="18"/>
  <c r="AH79" i="18"/>
  <c r="AH80" i="18"/>
  <c r="AH81" i="18"/>
  <c r="AH82" i="18"/>
  <c r="AH84" i="18"/>
  <c r="AH85" i="18"/>
  <c r="AH86" i="18"/>
  <c r="AH87" i="18"/>
  <c r="AH88" i="18"/>
  <c r="AH89" i="18"/>
  <c r="AH90" i="18"/>
  <c r="AM90" i="18" s="1"/>
  <c r="AH91" i="18"/>
  <c r="AB91" i="18" s="1"/>
  <c r="AH92" i="18"/>
  <c r="AH93" i="18"/>
  <c r="AH94" i="18"/>
  <c r="AH95" i="18"/>
  <c r="AH96" i="18"/>
  <c r="Y96" i="18" s="1"/>
  <c r="AH104" i="18"/>
  <c r="AH75" i="18"/>
  <c r="AH110" i="18"/>
  <c r="AH112" i="18"/>
  <c r="AH113" i="18"/>
  <c r="AH114" i="18"/>
  <c r="AH115" i="18"/>
  <c r="AH116" i="18"/>
  <c r="AH120" i="18"/>
  <c r="AE120" i="18" s="1"/>
  <c r="AB120" i="18" s="1"/>
  <c r="AE110" i="18"/>
  <c r="AE114" i="18"/>
  <c r="AB110" i="18"/>
  <c r="AH109" i="18"/>
  <c r="AB126" i="18"/>
  <c r="AE126" i="18"/>
  <c r="AE127" i="18"/>
  <c r="AH126" i="18"/>
  <c r="AH127" i="18"/>
  <c r="AH128" i="18"/>
  <c r="AE128" i="18" s="1"/>
  <c r="Y62" i="18" l="1"/>
  <c r="AB82" i="18"/>
  <c r="AB17" i="18"/>
  <c r="Y17" i="18" s="1"/>
  <c r="AM17" i="18" s="1"/>
  <c r="AN17" i="18" s="1"/>
  <c r="Y20" i="18"/>
  <c r="AM20" i="18"/>
  <c r="AN20" i="18" s="1"/>
  <c r="Y70" i="18"/>
  <c r="AM62" i="18"/>
  <c r="Y80" i="18"/>
  <c r="AM80" i="18"/>
  <c r="Y58" i="18"/>
  <c r="Y61" i="18"/>
  <c r="AM61" i="18" s="1"/>
  <c r="Y47" i="18"/>
  <c r="AM47" i="18" s="1"/>
  <c r="AN47" i="18" s="1"/>
  <c r="AM96" i="18"/>
  <c r="Y60" i="18"/>
  <c r="AM60" i="18" s="1"/>
  <c r="Y39" i="18"/>
  <c r="AM39" i="18" s="1"/>
  <c r="Y57" i="18"/>
  <c r="Y89" i="18"/>
  <c r="AM89" i="18" s="1"/>
  <c r="Y64" i="18"/>
  <c r="Y54" i="18"/>
  <c r="AM54" i="18" s="1"/>
  <c r="Y126" i="18"/>
  <c r="AM126" i="18" s="1"/>
  <c r="Y91" i="18"/>
  <c r="AM91" i="18" s="1"/>
  <c r="AM70" i="18"/>
  <c r="AM88" i="18"/>
  <c r="Y84" i="18"/>
  <c r="Y82" i="18"/>
  <c r="AM82" i="18" s="1"/>
  <c r="Y21" i="18"/>
  <c r="AM58" i="18"/>
  <c r="AM64" i="18"/>
  <c r="AM57" i="18"/>
  <c r="AM84" i="18"/>
  <c r="AM21" i="18"/>
  <c r="AN21" i="18" s="1"/>
  <c r="Y86" i="18"/>
  <c r="AM86" i="18"/>
  <c r="AB128" i="18"/>
  <c r="Y128" i="18" s="1"/>
  <c r="Y53" i="18"/>
  <c r="Y65" i="18"/>
  <c r="Y41" i="18"/>
  <c r="AM41" i="18" s="1"/>
  <c r="Y120" i="18"/>
  <c r="AM120" i="18" s="1"/>
  <c r="AB114" i="18"/>
  <c r="Y114" i="18" s="1"/>
  <c r="AM114" i="18" s="1"/>
  <c r="AE83" i="18"/>
  <c r="AB83" i="18" s="1"/>
  <c r="Y83" i="18" s="1"/>
  <c r="AM83" i="18" s="1"/>
  <c r="AE49" i="18"/>
  <c r="AM53" i="18"/>
  <c r="Y46" i="18"/>
  <c r="AM46" i="18" s="1"/>
  <c r="Y63" i="18"/>
  <c r="AM63" i="18" s="1"/>
  <c r="Y110" i="18"/>
  <c r="AM110" i="18" s="1"/>
  <c r="AE9" i="18"/>
  <c r="AB9" i="18" s="1"/>
  <c r="AE77" i="18"/>
  <c r="AB77" i="18" s="1"/>
  <c r="AB50" i="18"/>
  <c r="Y50" i="18" s="1"/>
  <c r="AB127" i="18"/>
  <c r="Y127" i="18" s="1"/>
  <c r="AB49" i="18"/>
  <c r="AB14" i="18"/>
  <c r="Y14" i="18" s="1"/>
  <c r="AE95" i="18"/>
  <c r="AB95" i="18" s="1"/>
  <c r="AE87" i="18"/>
  <c r="AB87" i="18" s="1"/>
  <c r="AE78" i="18"/>
  <c r="AB78" i="18" s="1"/>
  <c r="AE109" i="18"/>
  <c r="AE94" i="18"/>
  <c r="AE76" i="18"/>
  <c r="AB76" i="18" s="1"/>
  <c r="AB92" i="18"/>
  <c r="Y92" i="18" s="1"/>
  <c r="AE104" i="18"/>
  <c r="AE93" i="18"/>
  <c r="AB93" i="18" s="1"/>
  <c r="AE85" i="18"/>
  <c r="AB85" i="18" s="1"/>
  <c r="AL128" i="18"/>
  <c r="AL127" i="18"/>
  <c r="AL126" i="18"/>
  <c r="S219" i="18"/>
  <c r="AL120" i="18"/>
  <c r="AL116" i="18"/>
  <c r="AL115" i="18"/>
  <c r="AL114" i="18"/>
  <c r="AL113" i="18"/>
  <c r="AL112" i="18"/>
  <c r="AL110" i="18"/>
  <c r="AL109" i="18"/>
  <c r="S218" i="18"/>
  <c r="AL104" i="18"/>
  <c r="AL96" i="18"/>
  <c r="AL95" i="18"/>
  <c r="AL94" i="18"/>
  <c r="AL93" i="18"/>
  <c r="AL92" i="18"/>
  <c r="AL91" i="18"/>
  <c r="AL90" i="18"/>
  <c r="AL89" i="18"/>
  <c r="AL88" i="18"/>
  <c r="AL87" i="18"/>
  <c r="AL86" i="18"/>
  <c r="AL85" i="18"/>
  <c r="AL84" i="18"/>
  <c r="AL83" i="18"/>
  <c r="AL82" i="18"/>
  <c r="AL81" i="18"/>
  <c r="AL80" i="18"/>
  <c r="AL79" i="18"/>
  <c r="AL78" i="18"/>
  <c r="AL77" i="18"/>
  <c r="AL76" i="18"/>
  <c r="AL75" i="18"/>
  <c r="AL5" i="18"/>
  <c r="AL6" i="18"/>
  <c r="AL7" i="18"/>
  <c r="AL8" i="18"/>
  <c r="AL10" i="18"/>
  <c r="AL11" i="18"/>
  <c r="AL12" i="18"/>
  <c r="AL13" i="18"/>
  <c r="AL14" i="18"/>
  <c r="AL15" i="18"/>
  <c r="AL16" i="18"/>
  <c r="AL17" i="18"/>
  <c r="AL18" i="18"/>
  <c r="AL19" i="18"/>
  <c r="AL20" i="18"/>
  <c r="AL21" i="18"/>
  <c r="AL22" i="18"/>
  <c r="AL23" i="18"/>
  <c r="AL24" i="18"/>
  <c r="AL25" i="18"/>
  <c r="AL26" i="18"/>
  <c r="AL27" i="18"/>
  <c r="AL4" i="18"/>
  <c r="AL34" i="18"/>
  <c r="AL35" i="18"/>
  <c r="AL36" i="18"/>
  <c r="AL37" i="18"/>
  <c r="AL38" i="18"/>
  <c r="AL39" i="18"/>
  <c r="AL40" i="18"/>
  <c r="AL41" i="18"/>
  <c r="AL42" i="18"/>
  <c r="AL44" i="18"/>
  <c r="AL45" i="18"/>
  <c r="AL46" i="18"/>
  <c r="AL47" i="18"/>
  <c r="AL48" i="18"/>
  <c r="AL49" i="18"/>
  <c r="AL50" i="18"/>
  <c r="AL51" i="18"/>
  <c r="AL52" i="18"/>
  <c r="AL53" i="18"/>
  <c r="AL54" i="18"/>
  <c r="AL55" i="18"/>
  <c r="AL56" i="18"/>
  <c r="AL57" i="18"/>
  <c r="AL58" i="18"/>
  <c r="AL59" i="18"/>
  <c r="AL60" i="18"/>
  <c r="AL61" i="18"/>
  <c r="AL62" i="18"/>
  <c r="AL63" i="18"/>
  <c r="AL65" i="18"/>
  <c r="AL66" i="18"/>
  <c r="AL67" i="18"/>
  <c r="AL68" i="18"/>
  <c r="AL69" i="18"/>
  <c r="AL70" i="18"/>
  <c r="AL33" i="18"/>
  <c r="S216" i="18"/>
  <c r="G33" i="18"/>
  <c r="H33" i="18" s="1"/>
  <c r="J33" i="18"/>
  <c r="J17" i="18"/>
  <c r="G17" i="18"/>
  <c r="AM92" i="18" l="1"/>
  <c r="AN92" i="18" s="1"/>
  <c r="AM128" i="18"/>
  <c r="AN128" i="18" s="1"/>
  <c r="Y49" i="18"/>
  <c r="AM127" i="18"/>
  <c r="AN127" i="18" s="1"/>
  <c r="AM49" i="18"/>
  <c r="AN49" i="18" s="1"/>
  <c r="AM50" i="18"/>
  <c r="AN50" i="18" s="1"/>
  <c r="Y77" i="18"/>
  <c r="AM77" i="18" s="1"/>
  <c r="AN77" i="18" s="1"/>
  <c r="AB109" i="18"/>
  <c r="AM14" i="18"/>
  <c r="AN14" i="18" s="1"/>
  <c r="Y93" i="18"/>
  <c r="AM93" i="18" s="1"/>
  <c r="AN93" i="18" s="1"/>
  <c r="Y78" i="18"/>
  <c r="AM78" i="18" s="1"/>
  <c r="AN78" i="18" s="1"/>
  <c r="Y85" i="18"/>
  <c r="AM85" i="18" s="1"/>
  <c r="AN85" i="18" s="1"/>
  <c r="Y87" i="18"/>
  <c r="Y95" i="18"/>
  <c r="AM95" i="18" s="1"/>
  <c r="AN95" i="18" s="1"/>
  <c r="AB94" i="18"/>
  <c r="AB104" i="18"/>
  <c r="Y104" i="18" s="1"/>
  <c r="Y76" i="18"/>
  <c r="S217" i="18"/>
  <c r="S222" i="18" s="1"/>
  <c r="AN126" i="18"/>
  <c r="AN114" i="18"/>
  <c r="AN110" i="18"/>
  <c r="AN120" i="18"/>
  <c r="AN83" i="18"/>
  <c r="AN84" i="18"/>
  <c r="AN86" i="18"/>
  <c r="AN90" i="18"/>
  <c r="AN79" i="18"/>
  <c r="AN89" i="18"/>
  <c r="AN82" i="18"/>
  <c r="AN88" i="18"/>
  <c r="AN96" i="18"/>
  <c r="AN91" i="18"/>
  <c r="AN80" i="18"/>
  <c r="AN81" i="18"/>
  <c r="AN69" i="18"/>
  <c r="AN64" i="18"/>
  <c r="AN70" i="18"/>
  <c r="AN65" i="18"/>
  <c r="AN62" i="18"/>
  <c r="AN57" i="18"/>
  <c r="AN58" i="18"/>
  <c r="AN61" i="18"/>
  <c r="AN63" i="18"/>
  <c r="AN60" i="18"/>
  <c r="AN41" i="18"/>
  <c r="AN53" i="18"/>
  <c r="AN54" i="18"/>
  <c r="AN46" i="18"/>
  <c r="AN45" i="18"/>
  <c r="AN39" i="18"/>
  <c r="AN51" i="18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AM104" i="18" l="1"/>
  <c r="AN104" i="18" s="1"/>
  <c r="AN148" i="18"/>
  <c r="AM87" i="18"/>
  <c r="AN87" i="18" s="1"/>
  <c r="AM76" i="18"/>
  <c r="Y109" i="18"/>
  <c r="AM109" i="18" s="1"/>
  <c r="AN109" i="18" s="1"/>
  <c r="Y94" i="18"/>
  <c r="AN33" i="18"/>
  <c r="F215" i="8"/>
  <c r="AM94" i="18" l="1"/>
  <c r="AN94" i="18" s="1"/>
  <c r="U220" i="18"/>
  <c r="AN216" i="18" s="1"/>
  <c r="AN76" i="18"/>
  <c r="AM148" i="18"/>
  <c r="T220" i="18" s="1"/>
  <c r="AO148" i="18" l="1"/>
  <c r="V220" i="18" s="1"/>
  <c r="C206" i="8" l="1"/>
  <c r="F194" i="8" l="1"/>
  <c r="H63" i="17" l="1"/>
  <c r="H62" i="17"/>
  <c r="H61" i="17"/>
  <c r="H60" i="17"/>
  <c r="H59" i="17"/>
  <c r="H58" i="17"/>
  <c r="H57" i="17"/>
  <c r="H56" i="17"/>
  <c r="H55" i="17"/>
  <c r="H54" i="17"/>
  <c r="H64" i="17" l="1"/>
  <c r="G14" i="18" l="1"/>
  <c r="J14" i="18"/>
  <c r="H14" i="18" l="1"/>
  <c r="K14" i="18"/>
  <c r="G34" i="18" l="1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4" i="18"/>
  <c r="H44" i="18" s="1"/>
  <c r="G45" i="18"/>
  <c r="H45" i="18" s="1"/>
  <c r="G46" i="18"/>
  <c r="H46" i="18" s="1"/>
  <c r="G47" i="18"/>
  <c r="H47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6" i="18"/>
  <c r="H56" i="18" s="1"/>
  <c r="G57" i="18"/>
  <c r="H57" i="18" s="1"/>
  <c r="G59" i="18"/>
  <c r="H59" i="18" s="1"/>
  <c r="G60" i="18"/>
  <c r="H60" i="18" s="1"/>
  <c r="G61" i="18"/>
  <c r="H61" i="18" s="1"/>
  <c r="G62" i="18"/>
  <c r="H62" i="18" s="1"/>
  <c r="G63" i="18"/>
  <c r="H63" i="18" s="1"/>
  <c r="G32" i="18"/>
  <c r="H32" i="18" s="1"/>
  <c r="J34" i="18"/>
  <c r="J35" i="18"/>
  <c r="J36" i="18"/>
  <c r="J37" i="18"/>
  <c r="J38" i="18"/>
  <c r="J39" i="18"/>
  <c r="J40" i="18"/>
  <c r="J41" i="18"/>
  <c r="J42" i="18"/>
  <c r="J44" i="18"/>
  <c r="J45" i="18"/>
  <c r="J46" i="18"/>
  <c r="J47" i="18"/>
  <c r="J49" i="18"/>
  <c r="J50" i="18"/>
  <c r="J51" i="18"/>
  <c r="J52" i="18"/>
  <c r="J53" i="18"/>
  <c r="J54" i="18"/>
  <c r="J55" i="18"/>
  <c r="J56" i="18"/>
  <c r="J57" i="18"/>
  <c r="J59" i="18"/>
  <c r="J60" i="18"/>
  <c r="J61" i="18"/>
  <c r="J62" i="18"/>
  <c r="J63" i="18"/>
  <c r="J32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F145" i="8" l="1"/>
  <c r="F144" i="8"/>
  <c r="C96" i="1"/>
  <c r="F141" i="8" l="1"/>
  <c r="F139" i="8" l="1"/>
  <c r="F138" i="8" l="1"/>
  <c r="J229" i="3"/>
  <c r="J230" i="3"/>
  <c r="J231" i="3"/>
  <c r="J232" i="3"/>
  <c r="J233" i="3"/>
  <c r="J234" i="3"/>
  <c r="F137" i="8" l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G70" i="17"/>
  <c r="H70" i="17" s="1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H80" i="17"/>
  <c r="H16" i="17"/>
  <c r="H32" i="17"/>
  <c r="H48" i="17"/>
  <c r="H112" i="17"/>
  <c r="M134" i="8"/>
  <c r="M132" i="8"/>
  <c r="F134" i="8"/>
  <c r="C134" i="8"/>
  <c r="J132" i="8"/>
  <c r="L132" i="8"/>
  <c r="I132" i="8"/>
  <c r="L131" i="8" l="1"/>
  <c r="J131" i="8"/>
  <c r="M131" i="8"/>
  <c r="I131" i="8"/>
  <c r="C131" i="8"/>
  <c r="J130" i="8" l="1"/>
  <c r="L130" i="8"/>
  <c r="M130" i="8"/>
  <c r="I130" i="8"/>
  <c r="C130" i="8"/>
  <c r="J129" i="8" l="1"/>
  <c r="H129" i="8"/>
  <c r="M129" i="8"/>
  <c r="I129" i="8"/>
  <c r="C129" i="8"/>
  <c r="J127" i="8" l="1"/>
  <c r="M127" i="8"/>
  <c r="I127" i="8"/>
  <c r="C127" i="8"/>
  <c r="J126" i="8" l="1"/>
  <c r="L126" i="8"/>
  <c r="M126" i="8"/>
  <c r="N125" i="8" l="1"/>
  <c r="I125" i="8"/>
  <c r="J125" i="8"/>
  <c r="L125" i="8"/>
  <c r="C125" i="8"/>
  <c r="C97" i="1"/>
  <c r="J5" i="1" l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78" i="1"/>
  <c r="J86" i="1"/>
  <c r="J7" i="1"/>
  <c r="J15" i="1"/>
  <c r="J23" i="1"/>
  <c r="J31" i="1"/>
  <c r="J39" i="1"/>
  <c r="J47" i="1"/>
  <c r="J55" i="1"/>
  <c r="J63" i="1"/>
  <c r="J71" i="1"/>
  <c r="J79" i="1"/>
  <c r="J87" i="1"/>
  <c r="J8" i="1"/>
  <c r="J16" i="1"/>
  <c r="J24" i="1"/>
  <c r="J32" i="1"/>
  <c r="J40" i="1"/>
  <c r="J48" i="1"/>
  <c r="J56" i="1"/>
  <c r="J64" i="1"/>
  <c r="J72" i="1"/>
  <c r="J80" i="1"/>
  <c r="J88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82" i="1"/>
  <c r="J90" i="1"/>
  <c r="J11" i="1"/>
  <c r="J19" i="1"/>
  <c r="J27" i="1"/>
  <c r="J35" i="1"/>
  <c r="J43" i="1"/>
  <c r="J51" i="1"/>
  <c r="J59" i="1"/>
  <c r="J67" i="1"/>
  <c r="J75" i="1"/>
  <c r="J83" i="1"/>
  <c r="J91" i="1"/>
  <c r="J12" i="1"/>
  <c r="J20" i="1"/>
  <c r="J28" i="1"/>
  <c r="J36" i="1"/>
  <c r="J44" i="1"/>
  <c r="J52" i="1"/>
  <c r="J60" i="1"/>
  <c r="J68" i="1"/>
  <c r="J76" i="1"/>
  <c r="J84" i="1"/>
  <c r="J92" i="1"/>
  <c r="N124" i="8"/>
  <c r="L124" i="8"/>
  <c r="J124" i="8"/>
  <c r="I124" i="8"/>
  <c r="M124" i="8"/>
  <c r="C124" i="8"/>
  <c r="B24" i="1"/>
  <c r="B20" i="1"/>
  <c r="B61" i="1" l="1"/>
  <c r="B44" i="1"/>
  <c r="B15" i="1"/>
  <c r="B65" i="1"/>
  <c r="I120" i="8" l="1"/>
  <c r="J120" i="8"/>
  <c r="M120" i="8"/>
  <c r="NR102" i="3"/>
  <c r="OC24" i="3"/>
  <c r="NQ102" i="3" l="1"/>
  <c r="M119" i="8"/>
  <c r="NQ101" i="3"/>
  <c r="C119" i="8"/>
  <c r="J119" i="8"/>
  <c r="N119" i="8"/>
  <c r="I119" i="8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N118" i="8"/>
  <c r="J118" i="8"/>
  <c r="L118" i="8"/>
  <c r="C118" i="8"/>
  <c r="M118" i="8"/>
  <c r="I118" i="8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F117" i="8"/>
  <c r="J116" i="8"/>
  <c r="J117" i="8"/>
  <c r="M117" i="8"/>
  <c r="L117" i="8"/>
  <c r="I117" i="8"/>
  <c r="M116" i="8" l="1"/>
  <c r="L116" i="8"/>
  <c r="I116" i="8"/>
  <c r="N116" i="8"/>
  <c r="G116" i="8"/>
  <c r="H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M115" i="8"/>
  <c r="I115" i="8"/>
  <c r="C115" i="8"/>
  <c r="H115" i="8"/>
  <c r="L115" i="8"/>
  <c r="J115" i="8"/>
  <c r="ND8" i="3"/>
  <c r="NE8" i="3" s="1"/>
  <c r="M113" i="8"/>
  <c r="G113" i="8"/>
  <c r="L113" i="8"/>
  <c r="J113" i="8"/>
  <c r="C113" i="8"/>
  <c r="I113" i="8"/>
  <c r="N113" i="8"/>
  <c r="G112" i="8"/>
  <c r="L112" i="8"/>
  <c r="M112" i="8"/>
  <c r="I112" i="8"/>
  <c r="J112" i="8"/>
  <c r="M111" i="8"/>
  <c r="H111" i="8"/>
  <c r="N111" i="8"/>
  <c r="J111" i="8"/>
  <c r="I111" i="8"/>
  <c r="MT102" i="3"/>
  <c r="MS102" i="3"/>
  <c r="N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J110" i="8"/>
  <c r="M110" i="8"/>
  <c r="I110" i="8"/>
  <c r="C109" i="8"/>
  <c r="L109" i="8"/>
  <c r="J109" i="8"/>
  <c r="N109" i="8"/>
  <c r="M109" i="8"/>
  <c r="I109" i="8"/>
  <c r="L108" i="8"/>
  <c r="M108" i="8"/>
  <c r="I108" i="8"/>
  <c r="N108" i="8"/>
  <c r="J108" i="8"/>
  <c r="L106" i="8"/>
  <c r="J106" i="8"/>
  <c r="G106" i="8"/>
  <c r="I106" i="8"/>
  <c r="M106" i="8"/>
  <c r="C106" i="8"/>
  <c r="M105" i="8"/>
  <c r="I105" i="8"/>
  <c r="I104" i="8"/>
  <c r="M104" i="8"/>
  <c r="MR101" i="3"/>
  <c r="J103" i="8"/>
  <c r="M103" i="8"/>
  <c r="I103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I102" i="8"/>
  <c r="L102" i="8"/>
  <c r="J102" i="8"/>
  <c r="M102" i="8"/>
  <c r="F102" i="8"/>
  <c r="M101" i="8"/>
  <c r="N101" i="8"/>
  <c r="F101" i="8"/>
  <c r="H101" i="8"/>
  <c r="I101" i="8"/>
  <c r="J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G99" i="8"/>
  <c r="M99" i="8"/>
  <c r="MD102" i="3"/>
  <c r="J99" i="8"/>
  <c r="L99" i="8"/>
  <c r="I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F98" i="8"/>
  <c r="M84" i="8"/>
  <c r="I84" i="8"/>
  <c r="Z228" i="3"/>
  <c r="AL228" i="3" s="1"/>
  <c r="I98" i="8"/>
  <c r="H98" i="8"/>
  <c r="J98" i="8"/>
  <c r="M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M96" i="8"/>
  <c r="M97" i="8"/>
  <c r="F97" i="8"/>
  <c r="N97" i="8"/>
  <c r="I97" i="8"/>
  <c r="J96" i="8"/>
  <c r="G96" i="8"/>
  <c r="L96" i="8"/>
  <c r="N96" i="8"/>
  <c r="I96" i="8"/>
  <c r="M95" i="8"/>
  <c r="G95" i="8"/>
  <c r="C95" i="8"/>
  <c r="J95" i="8"/>
  <c r="L95" i="8"/>
  <c r="I95" i="8"/>
  <c r="N95" i="8"/>
  <c r="C94" i="8"/>
  <c r="J91" i="8"/>
  <c r="J92" i="8"/>
  <c r="K91" i="8"/>
  <c r="L91" i="8"/>
  <c r="N91" i="8"/>
  <c r="M91" i="8"/>
  <c r="H91" i="8"/>
  <c r="I91" i="8"/>
  <c r="LQ101" i="3"/>
  <c r="LV101" i="3"/>
  <c r="N90" i="8"/>
  <c r="H90" i="8"/>
  <c r="L90" i="8"/>
  <c r="I90" i="8"/>
  <c r="M90" i="8"/>
  <c r="J87" i="8"/>
  <c r="M87" i="8"/>
  <c r="I87" i="8"/>
  <c r="M94" i="8"/>
  <c r="N94" i="8"/>
  <c r="J94" i="8"/>
  <c r="I94" i="8"/>
  <c r="L94" i="8"/>
  <c r="G94" i="8"/>
  <c r="H94" i="8"/>
  <c r="O252" i="3"/>
  <c r="O251" i="3"/>
  <c r="LW101" i="3"/>
  <c r="L92" i="8"/>
  <c r="G92" i="8"/>
  <c r="H92" i="8"/>
  <c r="I92" i="8"/>
  <c r="M92" i="8"/>
  <c r="LW102" i="3"/>
  <c r="LU101" i="3"/>
  <c r="LX101" i="3"/>
  <c r="LY101" i="3"/>
  <c r="LZ101" i="3"/>
  <c r="MA101" i="3"/>
  <c r="MB101" i="3"/>
  <c r="MF74" i="3"/>
  <c r="L89" i="8"/>
  <c r="G89" i="8"/>
  <c r="J89" i="8"/>
  <c r="I89" i="8"/>
  <c r="M89" i="8"/>
  <c r="LT101" i="3"/>
  <c r="M88" i="8"/>
  <c r="I88" i="8"/>
  <c r="LS101" i="3"/>
  <c r="LR101" i="3"/>
  <c r="LR102" i="3"/>
  <c r="G85" i="8"/>
  <c r="I85" i="8"/>
  <c r="L85" i="8"/>
  <c r="J85" i="8"/>
  <c r="M85" i="8"/>
  <c r="LP101" i="3"/>
  <c r="KF102" i="3"/>
  <c r="KT102" i="3"/>
  <c r="LG102" i="3"/>
  <c r="C84" i="8"/>
  <c r="L84" i="8"/>
  <c r="LE101" i="3"/>
  <c r="H83" i="8"/>
  <c r="M83" i="8"/>
  <c r="J83" i="8"/>
  <c r="I83" i="8"/>
  <c r="F83" i="8"/>
  <c r="M82" i="8"/>
  <c r="J82" i="8"/>
  <c r="G82" i="8"/>
  <c r="I82" i="8"/>
  <c r="L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OD9" i="3" l="1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AC181" i="3"/>
  <c r="MF92" i="3"/>
  <c r="AH192" i="3" s="1"/>
  <c r="AC192" i="3"/>
  <c r="AH173" i="3"/>
  <c r="NE102" i="3"/>
  <c r="AH185" i="3"/>
  <c r="AC188" i="3"/>
  <c r="AC180" i="3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MF80" i="3"/>
  <c r="AH180" i="3" s="1"/>
  <c r="AH174" i="3"/>
  <c r="NE101" i="3"/>
  <c r="AH186" i="3"/>
  <c r="AH178" i="3"/>
  <c r="AH122" i="3"/>
  <c r="AH130" i="3"/>
  <c r="AH138" i="3"/>
  <c r="AH146" i="3"/>
  <c r="AH170" i="3"/>
  <c r="AC187" i="3"/>
  <c r="AC179" i="3"/>
  <c r="AH166" i="3"/>
  <c r="AC184" i="3"/>
  <c r="MF79" i="3"/>
  <c r="AH179" i="3" s="1"/>
  <c r="MF89" i="3"/>
  <c r="AH189" i="3" s="1"/>
  <c r="AC182" i="3"/>
  <c r="AC134" i="3"/>
  <c r="AH115" i="3"/>
  <c r="MF87" i="3"/>
  <c r="AH187" i="3" s="1"/>
  <c r="AC178" i="3"/>
  <c r="AC176" i="3"/>
  <c r="AH113" i="3"/>
  <c r="AH121" i="3"/>
  <c r="AH129" i="3"/>
  <c r="AH137" i="3"/>
  <c r="AH145" i="3"/>
  <c r="AH161" i="3"/>
  <c r="AC186" i="3"/>
  <c r="AH176" i="3"/>
  <c r="AC183" i="3"/>
  <c r="AH154" i="3"/>
  <c r="AH177" i="3"/>
  <c r="AC190" i="3"/>
  <c r="AH117" i="3"/>
  <c r="AH184" i="3"/>
  <c r="MF81" i="3"/>
  <c r="AH181" i="3" s="1"/>
  <c r="AH111" i="3"/>
  <c r="AH119" i="3"/>
  <c r="AH127" i="3"/>
  <c r="AH135" i="3"/>
  <c r="AH143" i="3"/>
  <c r="AH159" i="3"/>
  <c r="AH167" i="3"/>
  <c r="AH175" i="3"/>
  <c r="AH112" i="3"/>
  <c r="AH120" i="3"/>
  <c r="AH128" i="3"/>
  <c r="AH136" i="3"/>
  <c r="AH144" i="3"/>
  <c r="AH152" i="3"/>
  <c r="AH160" i="3"/>
  <c r="AH168" i="3"/>
  <c r="AH162" i="3"/>
  <c r="AH123" i="3"/>
  <c r="AH131" i="3"/>
  <c r="AH139" i="3"/>
  <c r="AH147" i="3"/>
  <c r="AH163" i="3"/>
  <c r="AH171" i="3"/>
  <c r="AC185" i="3"/>
  <c r="AC177" i="3"/>
  <c r="AH108" i="3"/>
  <c r="AH116" i="3"/>
  <c r="AH124" i="3"/>
  <c r="AH132" i="3"/>
  <c r="AH140" i="3"/>
  <c r="AH148" i="3"/>
  <c r="AH172" i="3"/>
  <c r="AH109" i="3"/>
  <c r="AH125" i="3"/>
  <c r="AH133" i="3"/>
  <c r="AH141" i="3"/>
  <c r="AH149" i="3"/>
  <c r="AH157" i="3"/>
  <c r="AH165" i="3"/>
  <c r="AH110" i="3"/>
  <c r="AH126" i="3"/>
  <c r="AH134" i="3"/>
  <c r="AH142" i="3"/>
  <c r="AH150" i="3"/>
  <c r="AH158" i="3"/>
  <c r="AC173" i="3"/>
  <c r="AC147" i="3"/>
  <c r="AC172" i="3"/>
  <c r="AC171" i="3"/>
  <c r="AC138" i="3"/>
  <c r="AC175" i="3"/>
  <c r="AC174" i="3"/>
  <c r="AC163" i="3"/>
  <c r="AC154" i="3"/>
  <c r="AC170" i="3"/>
  <c r="AC166" i="3"/>
  <c r="AC162" i="3"/>
  <c r="AC158" i="3"/>
  <c r="AC153" i="3"/>
  <c r="AC146" i="3"/>
  <c r="AC142" i="3"/>
  <c r="AC137" i="3"/>
  <c r="AC133" i="3"/>
  <c r="AC129" i="3"/>
  <c r="AC125" i="3"/>
  <c r="AC116" i="3"/>
  <c r="AC111" i="3"/>
  <c r="AC169" i="3"/>
  <c r="AC165" i="3"/>
  <c r="AC161" i="3"/>
  <c r="AC157" i="3"/>
  <c r="AC150" i="3"/>
  <c r="AC145" i="3"/>
  <c r="AC141" i="3"/>
  <c r="AC136" i="3"/>
  <c r="AC132" i="3"/>
  <c r="AC128" i="3"/>
  <c r="AC124" i="3"/>
  <c r="AC115" i="3"/>
  <c r="AC168" i="3"/>
  <c r="AC164" i="3"/>
  <c r="AC160" i="3"/>
  <c r="AC155" i="3"/>
  <c r="AC148" i="3"/>
  <c r="AC144" i="3"/>
  <c r="AC140" i="3"/>
  <c r="AC135" i="3"/>
  <c r="AC131" i="3"/>
  <c r="AC127" i="3"/>
  <c r="AC123" i="3"/>
  <c r="AC114" i="3"/>
  <c r="AC167" i="3"/>
  <c r="AC159" i="3"/>
  <c r="AC143" i="3"/>
  <c r="AC130" i="3"/>
  <c r="AC126" i="3"/>
  <c r="AC122" i="3"/>
  <c r="AC113" i="3"/>
  <c r="AC120" i="3"/>
  <c r="AC108" i="3"/>
  <c r="AC139" i="3"/>
  <c r="AH151" i="3"/>
  <c r="AC151" i="3"/>
  <c r="AC112" i="3"/>
  <c r="AC118" i="3"/>
  <c r="AC156" i="3"/>
  <c r="AC152" i="3"/>
  <c r="AC149" i="3"/>
  <c r="AC119" i="3"/>
  <c r="AC117" i="3"/>
  <c r="AC110" i="3"/>
  <c r="AC109" i="3"/>
  <c r="AC121" i="3"/>
  <c r="MF18" i="3"/>
  <c r="AH118" i="3" s="1"/>
  <c r="MF102" i="3"/>
  <c r="AC202" i="3" s="1"/>
  <c r="MF90" i="3"/>
  <c r="AH190" i="3" s="1"/>
  <c r="MF14" i="3"/>
  <c r="AH114" i="3" s="1"/>
  <c r="Y202" i="3"/>
  <c r="MF56" i="3"/>
  <c r="AH156" i="3" s="1"/>
  <c r="MF64" i="3"/>
  <c r="AH164" i="3" s="1"/>
  <c r="MF88" i="3"/>
  <c r="AH188" i="3" s="1"/>
  <c r="MF55" i="3"/>
  <c r="AH155" i="3" s="1"/>
  <c r="MF69" i="3"/>
  <c r="AH169" i="3" s="1"/>
  <c r="MF83" i="3"/>
  <c r="AH183" i="3" s="1"/>
  <c r="MF53" i="3"/>
  <c r="AH153" i="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M81" i="8"/>
  <c r="I81" i="8"/>
  <c r="G81" i="8"/>
  <c r="C80" i="8"/>
  <c r="I80" i="8"/>
  <c r="J80" i="8"/>
  <c r="L80" i="8"/>
  <c r="M80" i="8"/>
  <c r="H80" i="8"/>
  <c r="KP101" i="3"/>
  <c r="KQ101" i="3"/>
  <c r="KR101" i="3"/>
  <c r="KO101" i="3"/>
  <c r="F77" i="8"/>
  <c r="L78" i="8"/>
  <c r="J78" i="8"/>
  <c r="I78" i="8"/>
  <c r="M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L77" i="8"/>
  <c r="I77" i="8"/>
  <c r="J77" i="8"/>
  <c r="M77" i="8"/>
  <c r="C77" i="8"/>
  <c r="KC101" i="3"/>
  <c r="J76" i="8"/>
  <c r="I76" i="8"/>
  <c r="M76" i="8"/>
  <c r="C76" i="8"/>
  <c r="KB101" i="3"/>
  <c r="AP194" i="3" l="1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AP196" i="3"/>
  <c r="AP197" i="3"/>
  <c r="AN191" i="3"/>
  <c r="M324" i="3" s="1"/>
  <c r="N324" i="3" s="1"/>
  <c r="O324" i="3" s="1"/>
  <c r="OD101" i="3"/>
  <c r="AN192" i="3"/>
  <c r="M325" i="3" s="1"/>
  <c r="AJ201" i="3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KT11" i="3"/>
  <c r="KT15" i="3"/>
  <c r="KT19" i="3"/>
  <c r="M75" i="8"/>
  <c r="L75" i="8"/>
  <c r="J75" i="8"/>
  <c r="KA101" i="3"/>
  <c r="I75" i="8"/>
  <c r="C75" i="8"/>
  <c r="I68" i="8"/>
  <c r="C73" i="1" l="1"/>
  <c r="C25" i="1"/>
  <c r="P313" i="3"/>
  <c r="P308" i="3"/>
  <c r="Q308" i="3" s="1"/>
  <c r="P310" i="3"/>
  <c r="Q310" i="3" s="1"/>
  <c r="P312" i="3"/>
  <c r="P306" i="3"/>
  <c r="Q306" i="3" s="1"/>
  <c r="P301" i="3"/>
  <c r="Q301" i="3" s="1"/>
  <c r="P303" i="3"/>
  <c r="Q303" i="3" s="1"/>
  <c r="P307" i="3"/>
  <c r="Q307" i="3" s="1"/>
  <c r="P309" i="3"/>
  <c r="Q309" i="3" s="1"/>
  <c r="P311" i="3"/>
  <c r="AB291" i="3"/>
  <c r="AC291" i="3" s="1"/>
  <c r="P305" i="3"/>
  <c r="Q305" i="3" s="1"/>
  <c r="P300" i="3"/>
  <c r="P304" i="3"/>
  <c r="Q304" i="3" s="1"/>
  <c r="LG101" i="3"/>
  <c r="KT101" i="3"/>
  <c r="I74" i="8"/>
  <c r="G74" i="8"/>
  <c r="M74" i="8"/>
  <c r="L74" i="8"/>
  <c r="C74" i="8"/>
  <c r="AE291" i="3" l="1"/>
  <c r="P302" i="3"/>
  <c r="Q302" i="3" s="1"/>
  <c r="N325" i="3"/>
  <c r="R303" i="3"/>
  <c r="R308" i="3"/>
  <c r="R306" i="3"/>
  <c r="R304" i="3"/>
  <c r="R307" i="3"/>
  <c r="R310" i="3"/>
  <c r="R309" i="3"/>
  <c r="R305" i="3"/>
  <c r="R301" i="3"/>
  <c r="C68" i="1"/>
  <c r="C84" i="1"/>
  <c r="C6" i="1"/>
  <c r="C7" i="1"/>
  <c r="C83" i="1"/>
  <c r="C69" i="1"/>
  <c r="C87" i="1"/>
  <c r="C32" i="1"/>
  <c r="C40" i="1"/>
  <c r="C8" i="1"/>
  <c r="C73" i="8"/>
  <c r="J73" i="8"/>
  <c r="M73" i="8"/>
  <c r="L73" i="8"/>
  <c r="I73" i="8"/>
  <c r="G73" i="8"/>
  <c r="JY101" i="3"/>
  <c r="I71" i="8"/>
  <c r="L71" i="8"/>
  <c r="M71" i="8"/>
  <c r="M70" i="8"/>
  <c r="C71" i="8"/>
  <c r="G70" i="8"/>
  <c r="R302" i="3" l="1"/>
  <c r="C85" i="1"/>
  <c r="O325" i="3"/>
  <c r="C26" i="1"/>
  <c r="M69" i="8"/>
  <c r="C69" i="8"/>
  <c r="F69" i="8"/>
  <c r="M68" i="8"/>
  <c r="L68" i="8"/>
  <c r="I175" i="3"/>
  <c r="K175" i="3"/>
  <c r="M175" i="3"/>
  <c r="O175" i="3"/>
  <c r="Q175" i="3"/>
  <c r="S175" i="3"/>
  <c r="U175" i="3"/>
  <c r="W175" i="3"/>
  <c r="KF75" i="3"/>
  <c r="AA175" i="3" s="1"/>
  <c r="O299" i="3"/>
  <c r="M67" i="8"/>
  <c r="L67" i="8"/>
  <c r="I67" i="8"/>
  <c r="H67" i="8"/>
  <c r="C67" i="8"/>
  <c r="I174" i="3"/>
  <c r="K174" i="3"/>
  <c r="M174" i="3"/>
  <c r="O174" i="3"/>
  <c r="Q174" i="3"/>
  <c r="S174" i="3"/>
  <c r="U174" i="3"/>
  <c r="W174" i="3"/>
  <c r="KF74" i="3"/>
  <c r="AA174" i="3" s="1"/>
  <c r="M62" i="8"/>
  <c r="AN175" i="3" l="1"/>
  <c r="P299" i="3" s="1"/>
  <c r="AP174" i="3"/>
  <c r="AN174" i="3"/>
  <c r="AP175" i="3"/>
  <c r="O326" i="3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I63" i="8"/>
  <c r="M63" i="8"/>
  <c r="C63" i="8"/>
  <c r="KF42" i="3"/>
  <c r="KF69" i="3"/>
  <c r="JN101" i="3"/>
  <c r="I62" i="8"/>
  <c r="C62" i="8"/>
  <c r="H61" i="8"/>
  <c r="I61" i="8"/>
  <c r="M61" i="8"/>
  <c r="L61" i="8"/>
  <c r="J61" i="8"/>
  <c r="C61" i="8"/>
  <c r="C60" i="8"/>
  <c r="I60" i="8"/>
  <c r="M60" i="8"/>
  <c r="JK101" i="3"/>
  <c r="JJ101" i="3"/>
  <c r="JL101" i="3"/>
  <c r="JM101" i="3"/>
  <c r="I59" i="8"/>
  <c r="C59" i="8"/>
  <c r="J59" i="8"/>
  <c r="M59" i="8"/>
  <c r="J57" i="8"/>
  <c r="I57" i="8"/>
  <c r="M57" i="8"/>
  <c r="JI101" i="3"/>
  <c r="IY8" i="3"/>
  <c r="Y108" i="3" s="1"/>
  <c r="IM8" i="3"/>
  <c r="M56" i="8"/>
  <c r="C56" i="8"/>
  <c r="J55" i="8"/>
  <c r="M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IZ33" i="3" l="1"/>
  <c r="AA133" i="3" s="1"/>
  <c r="IZ57" i="3"/>
  <c r="AA157" i="3" s="1"/>
  <c r="IZ8" i="3"/>
  <c r="AA108" i="3" s="1"/>
  <c r="IZ9" i="3"/>
  <c r="AA109" i="3" s="1"/>
  <c r="IZ34" i="3"/>
  <c r="AA134" i="3" s="1"/>
  <c r="IZ58" i="3"/>
  <c r="AA158" i="3" s="1"/>
  <c r="IZ26" i="3"/>
  <c r="AA126" i="3" s="1"/>
  <c r="IZ50" i="3"/>
  <c r="AA150" i="3" s="1"/>
  <c r="IZ11" i="3"/>
  <c r="AA111" i="3" s="1"/>
  <c r="IZ27" i="3"/>
  <c r="IZ59" i="3"/>
  <c r="AA159" i="3" s="1"/>
  <c r="IZ36" i="3"/>
  <c r="AA136" i="3" s="1"/>
  <c r="IZ60" i="3"/>
  <c r="AA160" i="3" s="1"/>
  <c r="IZ49" i="3"/>
  <c r="AA149" i="3" s="1"/>
  <c r="IZ18" i="3"/>
  <c r="AA118" i="3" s="1"/>
  <c r="IZ42" i="3"/>
  <c r="AA142" i="3" s="1"/>
  <c r="IZ12" i="3"/>
  <c r="AA112" i="3" s="1"/>
  <c r="IZ28" i="3"/>
  <c r="AA128" i="3" s="1"/>
  <c r="IZ52" i="3"/>
  <c r="AA152" i="3" s="1"/>
  <c r="IZ25" i="3"/>
  <c r="AA125" i="3" s="1"/>
  <c r="IZ73" i="3"/>
  <c r="AA173" i="3" s="1"/>
  <c r="IZ13" i="3"/>
  <c r="AA113" i="3" s="1"/>
  <c r="IZ29" i="3"/>
  <c r="AA129" i="3" s="1"/>
  <c r="IZ45" i="3"/>
  <c r="AA145" i="3" s="1"/>
  <c r="IZ69" i="3"/>
  <c r="AA169" i="3" s="1"/>
  <c r="IZ30" i="3"/>
  <c r="AA130" i="3" s="1"/>
  <c r="IZ38" i="3"/>
  <c r="AA138" i="3" s="1"/>
  <c r="IZ46" i="3"/>
  <c r="AA146" i="3" s="1"/>
  <c r="IZ62" i="3"/>
  <c r="AA162" i="3" s="1"/>
  <c r="IZ70" i="3"/>
  <c r="AA170" i="3" s="1"/>
  <c r="IZ17" i="3"/>
  <c r="AA117" i="3" s="1"/>
  <c r="IZ65" i="3"/>
  <c r="AA165" i="3" s="1"/>
  <c r="IZ19" i="3"/>
  <c r="AA119" i="3" s="1"/>
  <c r="IZ35" i="3"/>
  <c r="AA135" i="3" s="1"/>
  <c r="IZ51" i="3"/>
  <c r="AA151" i="3" s="1"/>
  <c r="IZ67" i="3"/>
  <c r="AA167" i="3" s="1"/>
  <c r="IZ20" i="3"/>
  <c r="AA120" i="3" s="1"/>
  <c r="IZ44" i="3"/>
  <c r="AA144" i="3" s="1"/>
  <c r="IZ68" i="3"/>
  <c r="AA168" i="3" s="1"/>
  <c r="IZ21" i="3"/>
  <c r="AA121" i="3" s="1"/>
  <c r="IZ37" i="3"/>
  <c r="AA137" i="3" s="1"/>
  <c r="IZ53" i="3"/>
  <c r="AA153" i="3" s="1"/>
  <c r="IZ61" i="3"/>
  <c r="AA161" i="3" s="1"/>
  <c r="IZ14" i="3"/>
  <c r="AA114" i="3" s="1"/>
  <c r="IZ15" i="3"/>
  <c r="AA115" i="3" s="1"/>
  <c r="IZ23" i="3"/>
  <c r="AA123" i="3" s="1"/>
  <c r="IZ31" i="3"/>
  <c r="AA131" i="3" s="1"/>
  <c r="IZ39" i="3"/>
  <c r="AA139" i="3" s="1"/>
  <c r="IZ47" i="3"/>
  <c r="AA147" i="3" s="1"/>
  <c r="IZ55" i="3"/>
  <c r="AA155" i="3" s="1"/>
  <c r="IZ63" i="3"/>
  <c r="AA163" i="3" s="1"/>
  <c r="IZ71" i="3"/>
  <c r="AA171" i="3" s="1"/>
  <c r="IZ41" i="3"/>
  <c r="AA141" i="3" s="1"/>
  <c r="IZ16" i="3"/>
  <c r="AA116" i="3" s="1"/>
  <c r="IZ24" i="3"/>
  <c r="AA124" i="3" s="1"/>
  <c r="IZ32" i="3"/>
  <c r="AA132" i="3" s="1"/>
  <c r="IZ40" i="3"/>
  <c r="AA140" i="3" s="1"/>
  <c r="IZ48" i="3"/>
  <c r="AA148" i="3" s="1"/>
  <c r="IZ56" i="3"/>
  <c r="AA156" i="3" s="1"/>
  <c r="IZ64" i="3"/>
  <c r="AA164" i="3" s="1"/>
  <c r="IZ72" i="3"/>
  <c r="AA172" i="3" s="1"/>
  <c r="AM234" i="3"/>
  <c r="AN234" i="3" s="1"/>
  <c r="Q299" i="3"/>
  <c r="IZ10" i="3"/>
  <c r="AA110" i="3" s="1"/>
  <c r="IZ54" i="3"/>
  <c r="AA154" i="3" s="1"/>
  <c r="KF27" i="3"/>
  <c r="KF101" i="3" s="1"/>
  <c r="IZ43" i="3"/>
  <c r="AA143" i="3" s="1"/>
  <c r="IZ22" i="3"/>
  <c r="AA122" i="3" s="1"/>
  <c r="IZ66" i="3"/>
  <c r="AA166" i="3" s="1"/>
  <c r="C52" i="8"/>
  <c r="I54" i="8"/>
  <c r="M54" i="8"/>
  <c r="J54" i="8"/>
  <c r="G54" i="8"/>
  <c r="C54" i="8"/>
  <c r="M53" i="8"/>
  <c r="L53" i="8"/>
  <c r="C53" i="8"/>
  <c r="L52" i="8"/>
  <c r="M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F52" i="8"/>
  <c r="O52" i="8" s="1"/>
  <c r="AO234" i="3" l="1"/>
  <c r="R299" i="3"/>
  <c r="C39" i="1"/>
  <c r="AA127" i="3"/>
  <c r="C20" i="1"/>
  <c r="IZ101" i="3"/>
  <c r="L50" i="8"/>
  <c r="M50" i="8"/>
  <c r="J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M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F49" i="8"/>
  <c r="J48" i="8"/>
  <c r="M48" i="8"/>
  <c r="C48" i="8"/>
  <c r="HV101" i="3"/>
  <c r="F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I47" i="8"/>
  <c r="L47" i="8"/>
  <c r="J47" i="8"/>
  <c r="M47" i="8"/>
  <c r="C47" i="8"/>
  <c r="L46" i="8"/>
  <c r="I46" i="8"/>
  <c r="C46" i="8"/>
  <c r="M46" i="8"/>
  <c r="M45" i="8"/>
  <c r="J45" i="8"/>
  <c r="O45" i="8" s="1"/>
  <c r="L45" i="8"/>
  <c r="M43" i="8"/>
  <c r="I43" i="8"/>
  <c r="O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M42" i="8"/>
  <c r="L42" i="8"/>
  <c r="J42" i="8"/>
  <c r="I42" i="8"/>
  <c r="C42" i="8"/>
  <c r="I41" i="8"/>
  <c r="M41" i="8"/>
  <c r="L41" i="8"/>
  <c r="J41" i="8"/>
  <c r="O44" i="8"/>
  <c r="O49" i="8"/>
  <c r="O50" i="8"/>
  <c r="O51" i="8"/>
  <c r="O53" i="8"/>
  <c r="O54" i="8"/>
  <c r="I40" i="8"/>
  <c r="J40" i="8"/>
  <c r="M40" i="8"/>
  <c r="L318" i="3"/>
  <c r="I173" i="3"/>
  <c r="K173" i="3"/>
  <c r="M173" i="3"/>
  <c r="O173" i="3"/>
  <c r="Q173" i="3"/>
  <c r="S173" i="3"/>
  <c r="HL73" i="3"/>
  <c r="M39" i="8"/>
  <c r="H39" i="8"/>
  <c r="L39" i="8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M38" i="8"/>
  <c r="I38" i="8"/>
  <c r="J38" i="8"/>
  <c r="M36" i="8"/>
  <c r="I36" i="8"/>
  <c r="O36" i="8" s="1"/>
  <c r="M35" i="8"/>
  <c r="J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I35" i="8"/>
  <c r="C35" i="8"/>
  <c r="O30" i="8"/>
  <c r="M34" i="8"/>
  <c r="O34" i="8" s="1"/>
  <c r="C34" i="8"/>
  <c r="I33" i="8"/>
  <c r="M33" i="8"/>
  <c r="J33" i="8"/>
  <c r="C33" i="8"/>
  <c r="G32" i="8"/>
  <c r="J32" i="8"/>
  <c r="I32" i="8"/>
  <c r="M32" i="8"/>
  <c r="C32" i="8"/>
  <c r="M31" i="8"/>
  <c r="I31" i="8"/>
  <c r="C31" i="8"/>
  <c r="J29" i="8"/>
  <c r="C29" i="8"/>
  <c r="I29" i="8"/>
  <c r="L29" i="8"/>
  <c r="M29" i="8"/>
  <c r="M28" i="8"/>
  <c r="G28" i="8"/>
  <c r="J27" i="8"/>
  <c r="O27" i="8" s="1"/>
  <c r="I26" i="8"/>
  <c r="O26" i="8" s="1"/>
  <c r="C26" i="8"/>
  <c r="M25" i="8"/>
  <c r="I25" i="8"/>
  <c r="C25" i="8"/>
  <c r="J24" i="8"/>
  <c r="O24" i="8" s="1"/>
  <c r="I24" i="8"/>
  <c r="C24" i="8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M22" i="8"/>
  <c r="O22" i="8" s="1"/>
  <c r="C22" i="8"/>
  <c r="L21" i="8"/>
  <c r="J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I20" i="8"/>
  <c r="O20" i="8" s="1"/>
  <c r="L240" i="3"/>
  <c r="L241" i="3"/>
  <c r="L242" i="3"/>
  <c r="L243" i="3"/>
  <c r="L244" i="3"/>
  <c r="L239" i="3"/>
  <c r="M19" i="8"/>
  <c r="C19" i="8"/>
  <c r="I18" i="8"/>
  <c r="L18" i="8"/>
  <c r="J18" i="8"/>
  <c r="M18" i="8"/>
  <c r="J17" i="8"/>
  <c r="C17" i="8"/>
  <c r="M17" i="8"/>
  <c r="L15" i="8"/>
  <c r="I15" i="8"/>
  <c r="J15" i="8"/>
  <c r="M15" i="8"/>
  <c r="I13" i="8"/>
  <c r="J13" i="8"/>
  <c r="C13" i="8"/>
  <c r="M13" i="8"/>
  <c r="O298" i="3"/>
  <c r="O297" i="3"/>
  <c r="I172" i="3"/>
  <c r="K172" i="3"/>
  <c r="M172" i="3"/>
  <c r="O172" i="3"/>
  <c r="M12" i="8"/>
  <c r="J12" i="8"/>
  <c r="J11" i="8"/>
  <c r="C11" i="8"/>
  <c r="I11" i="8"/>
  <c r="M10" i="8"/>
  <c r="O10" i="8" s="1"/>
  <c r="O9" i="8"/>
  <c r="O14" i="8"/>
  <c r="O16" i="8"/>
  <c r="O23" i="8"/>
  <c r="O37" i="8"/>
  <c r="M8" i="8"/>
  <c r="M7" i="8"/>
  <c r="G5" i="8"/>
  <c r="M5" i="8"/>
  <c r="M6" i="8"/>
  <c r="J6" i="8"/>
  <c r="I6" i="8"/>
  <c r="H6" i="8"/>
  <c r="O38" i="8" l="1"/>
  <c r="O40" i="8"/>
  <c r="O28" i="8"/>
  <c r="O13" i="8"/>
  <c r="O41" i="8"/>
  <c r="O5" i="8"/>
  <c r="O39" i="8"/>
  <c r="O12" i="8"/>
  <c r="O19" i="8"/>
  <c r="O25" i="8"/>
  <c r="O29" i="8"/>
  <c r="O32" i="8"/>
  <c r="O33" i="8"/>
  <c r="O42" i="8"/>
  <c r="O46" i="8"/>
  <c r="O47" i="8"/>
  <c r="O21" i="8"/>
  <c r="O11" i="8"/>
  <c r="O15" i="8"/>
  <c r="O18" i="8"/>
  <c r="O31" i="8"/>
  <c r="C98" i="1"/>
  <c r="K4" i="1" s="1"/>
  <c r="X164" i="12"/>
  <c r="L237" i="12" s="1"/>
  <c r="M237" i="12" s="1"/>
  <c r="N237" i="12" s="1"/>
  <c r="O6" i="8"/>
  <c r="U173" i="3"/>
  <c r="AN173" i="3" s="1"/>
  <c r="U109" i="3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O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O35" i="8"/>
  <c r="O17" i="8"/>
  <c r="S172" i="3"/>
  <c r="Q172" i="3"/>
  <c r="AN172" i="3" s="1"/>
  <c r="M3" i="8"/>
  <c r="C3" i="8"/>
  <c r="O4" i="8"/>
  <c r="O7" i="8"/>
  <c r="O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I165" i="3"/>
  <c r="K165" i="3"/>
  <c r="M165" i="3"/>
  <c r="O165" i="3"/>
  <c r="I149" i="3"/>
  <c r="K149" i="3"/>
  <c r="M149" i="3"/>
  <c r="O149" i="3"/>
  <c r="K169" i="3"/>
  <c r="M169" i="3"/>
  <c r="O169" i="3"/>
  <c r="I169" i="3"/>
  <c r="O2" i="8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AN129" i="3"/>
  <c r="AM232" i="3" s="1"/>
  <c r="AN232" i="3" s="1"/>
  <c r="AP149" i="3"/>
  <c r="AP165" i="3"/>
  <c r="AP169" i="3"/>
  <c r="AP126" i="3"/>
  <c r="P298" i="3"/>
  <c r="Q298" i="3" s="1"/>
  <c r="AM231" i="3"/>
  <c r="AN231" i="3" s="1"/>
  <c r="M318" i="3"/>
  <c r="N318" i="3" s="1"/>
  <c r="C43" i="1" s="1"/>
  <c r="W135" i="3"/>
  <c r="W110" i="3"/>
  <c r="W118" i="3"/>
  <c r="N275" i="12"/>
  <c r="X202" i="12"/>
  <c r="HX101" i="3"/>
  <c r="GR101" i="3"/>
  <c r="Q108" i="3"/>
  <c r="EP8" i="3"/>
  <c r="S108" i="3" s="1"/>
  <c r="Q161" i="3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O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O232" i="3" l="1"/>
  <c r="AO231" i="3"/>
  <c r="I170" i="3"/>
  <c r="I142" i="3"/>
  <c r="I135" i="3"/>
  <c r="U201" i="3"/>
  <c r="I140" i="3"/>
  <c r="R298" i="3"/>
  <c r="O318" i="3"/>
  <c r="I123" i="3"/>
  <c r="I159" i="3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AP150" i="3"/>
  <c r="AP151" i="3"/>
  <c r="AP124" i="3"/>
  <c r="AP119" i="3"/>
  <c r="AN139" i="3"/>
  <c r="AB259" i="3" s="1"/>
  <c r="AC259" i="3" s="1"/>
  <c r="AN121" i="3"/>
  <c r="AM225" i="3" s="1"/>
  <c r="AN225" i="3" s="1"/>
  <c r="AN162" i="3"/>
  <c r="AN153" i="3"/>
  <c r="AN138" i="3"/>
  <c r="M244" i="3" s="1"/>
  <c r="N244" i="3" s="1"/>
  <c r="AN118" i="3"/>
  <c r="AM222" i="3" s="1"/>
  <c r="AN222" i="3" s="1"/>
  <c r="AP135" i="3"/>
  <c r="AP153" i="3"/>
  <c r="AN111" i="3"/>
  <c r="AM215" i="3" s="1"/>
  <c r="AN215" i="3" s="1"/>
  <c r="AN120" i="3"/>
  <c r="AN108" i="3"/>
  <c r="AM212" i="3" s="1"/>
  <c r="AN212" i="3" s="1"/>
  <c r="AP170" i="3"/>
  <c r="AN150" i="3"/>
  <c r="AP112" i="3"/>
  <c r="AN131" i="3"/>
  <c r="M239" i="3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AO230" i="3"/>
  <c r="AE289" i="3"/>
  <c r="AO229" i="3"/>
  <c r="AE269" i="3"/>
  <c r="AE285" i="3"/>
  <c r="AM223" i="3"/>
  <c r="AN223" i="3" s="1"/>
  <c r="O319" i="3"/>
  <c r="AB278" i="3"/>
  <c r="AC278" i="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C33" i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N101" i="3"/>
  <c r="BQ101" i="3"/>
  <c r="AN201" i="3" l="1"/>
  <c r="AE290" i="3"/>
  <c r="AE287" i="3"/>
  <c r="AO221" i="3"/>
  <c r="AE280" i="3"/>
  <c r="AO226" i="3"/>
  <c r="AE266" i="3"/>
  <c r="AE261" i="3"/>
  <c r="AO222" i="3"/>
  <c r="AE275" i="3"/>
  <c r="AE273" i="3"/>
  <c r="AE271" i="3"/>
  <c r="AO233" i="3"/>
  <c r="AE284" i="3"/>
  <c r="AE282" i="3"/>
  <c r="AE274" i="3"/>
  <c r="AE272" i="3"/>
  <c r="AE283" i="3"/>
  <c r="AO215" i="3"/>
  <c r="AE286" i="3"/>
  <c r="AE260" i="3"/>
  <c r="AE268" i="3"/>
  <c r="AO223" i="3"/>
  <c r="AO219" i="3"/>
  <c r="AE279" i="3"/>
  <c r="AO220" i="3"/>
  <c r="AE263" i="3"/>
  <c r="AE276" i="3"/>
  <c r="AO228" i="3"/>
  <c r="AO225" i="3"/>
  <c r="AO218" i="3"/>
  <c r="AE288" i="3"/>
  <c r="AO216" i="3"/>
  <c r="AE265" i="3"/>
  <c r="AO227" i="3"/>
  <c r="AE262" i="3"/>
  <c r="AE259" i="3"/>
  <c r="AO217" i="3"/>
  <c r="AO224" i="3"/>
  <c r="AE277" i="3"/>
  <c r="AE281" i="3"/>
  <c r="AE270" i="3"/>
  <c r="AE278" i="3"/>
  <c r="AO212" i="3"/>
  <c r="AO214" i="3"/>
  <c r="O242" i="3"/>
  <c r="O244" i="3"/>
  <c r="O241" i="3"/>
  <c r="O240" i="3"/>
  <c r="Q311" i="3"/>
  <c r="O243" i="3"/>
  <c r="Q313" i="3"/>
  <c r="AB267" i="3"/>
  <c r="AC267" i="3" s="1"/>
  <c r="Q300" i="3"/>
  <c r="AN213" i="3"/>
  <c r="M201" i="3"/>
  <c r="C78" i="1"/>
  <c r="Q297" i="3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AB264" i="3"/>
  <c r="AC264" i="3" s="1"/>
  <c r="Q252" i="3"/>
  <c r="N239" i="3"/>
  <c r="AE264" i="3" l="1"/>
  <c r="AE267" i="3"/>
  <c r="AO213" i="3"/>
  <c r="R297" i="3"/>
  <c r="R311" i="3"/>
  <c r="R313" i="3"/>
  <c r="R300" i="3"/>
  <c r="C12" i="1"/>
  <c r="R252" i="3"/>
  <c r="O239" i="3"/>
  <c r="C67" i="1"/>
  <c r="Q312" i="3"/>
  <c r="C41" i="1"/>
  <c r="C66" i="1"/>
  <c r="C24" i="1"/>
  <c r="C22" i="1"/>
  <c r="C76" i="1"/>
  <c r="R251" i="3"/>
  <c r="C38" i="1"/>
  <c r="C75" i="1"/>
  <c r="C82" i="1"/>
  <c r="C60" i="1"/>
  <c r="C80" i="1"/>
  <c r="C77" i="1"/>
  <c r="C81" i="1"/>
  <c r="AM235" i="3" l="1"/>
  <c r="R312" i="3"/>
  <c r="AE293" i="3"/>
  <c r="R253" i="3"/>
  <c r="O245" i="3"/>
  <c r="R314" i="3" l="1"/>
  <c r="HM101" i="3"/>
  <c r="AE115" i="18" l="1"/>
  <c r="AE116" i="18"/>
  <c r="AE112" i="18"/>
  <c r="AE113" i="18"/>
  <c r="AB112" i="18" l="1"/>
  <c r="Y112" i="18" s="1"/>
  <c r="AB113" i="18"/>
  <c r="Y113" i="18" s="1"/>
  <c r="AM113" i="18" s="1"/>
  <c r="AB115" i="18"/>
  <c r="AB116" i="18"/>
  <c r="Y116" i="18" s="1"/>
  <c r="AM116" i="18" l="1"/>
  <c r="AM112" i="18"/>
  <c r="AN112" i="18" s="1"/>
  <c r="Y115" i="18"/>
  <c r="AM115" i="18" s="1"/>
  <c r="AN113" i="18"/>
  <c r="AN116" i="18" l="1"/>
  <c r="AM122" i="18"/>
  <c r="T219" i="18" s="1"/>
  <c r="AN115" i="18"/>
  <c r="AE75" i="18"/>
  <c r="AN122" i="18" l="1"/>
  <c r="U219" i="18" s="1"/>
  <c r="AM216" i="18" s="1"/>
  <c r="AB75" i="18"/>
  <c r="Y75" i="18" s="1"/>
  <c r="AM75" i="18" l="1"/>
  <c r="AM105" i="18" s="1"/>
  <c r="T218" i="18" s="1"/>
  <c r="AO122" i="18"/>
  <c r="V219" i="18" s="1"/>
  <c r="AN75" i="18" l="1"/>
  <c r="AN105" i="18" s="1"/>
  <c r="U218" i="18" s="1"/>
  <c r="AL216" i="18" s="1"/>
  <c r="AE34" i="18"/>
  <c r="AB34" i="18" s="1"/>
  <c r="AE42" i="18"/>
  <c r="AE59" i="18"/>
  <c r="AE35" i="18"/>
  <c r="AE48" i="18"/>
  <c r="AE56" i="18"/>
  <c r="AE36" i="18"/>
  <c r="AB36" i="18" s="1"/>
  <c r="AE37" i="18"/>
  <c r="AE44" i="18"/>
  <c r="AE55" i="18"/>
  <c r="AE67" i="18"/>
  <c r="AE68" i="18"/>
  <c r="AE40" i="18"/>
  <c r="AE66" i="18"/>
  <c r="AE52" i="18"/>
  <c r="AB52" i="18" s="1"/>
  <c r="Y52" i="18" s="1"/>
  <c r="AB59" i="18"/>
  <c r="AE38" i="18"/>
  <c r="AB56" i="18"/>
  <c r="AB42" i="18"/>
  <c r="AB44" i="18" l="1"/>
  <c r="Y44" i="18" s="1"/>
  <c r="AM44" i="18"/>
  <c r="AN44" i="18" s="1"/>
  <c r="AO105" i="18"/>
  <c r="V218" i="18" s="1"/>
  <c r="AB38" i="18"/>
  <c r="Y38" i="18" s="1"/>
  <c r="Y34" i="18"/>
  <c r="AM34" i="18" s="1"/>
  <c r="AN34" i="18" s="1"/>
  <c r="AB68" i="18"/>
  <c r="Y68" i="18" s="1"/>
  <c r="Y36" i="18"/>
  <c r="AM36" i="18" s="1"/>
  <c r="AN36" i="18" s="1"/>
  <c r="AM52" i="18"/>
  <c r="AN52" i="18" s="1"/>
  <c r="AB67" i="18"/>
  <c r="Y67" i="18" s="1"/>
  <c r="AB48" i="18"/>
  <c r="Y48" i="18" s="1"/>
  <c r="AM48" i="18" s="1"/>
  <c r="AN48" i="18" s="1"/>
  <c r="AB35" i="18"/>
  <c r="Y35" i="18" s="1"/>
  <c r="Y56" i="18"/>
  <c r="AM56" i="18" s="1"/>
  <c r="AN56" i="18" s="1"/>
  <c r="Y42" i="18"/>
  <c r="AM42" i="18" s="1"/>
  <c r="AN42" i="18" s="1"/>
  <c r="AB55" i="18"/>
  <c r="Y55" i="18" s="1"/>
  <c r="AB66" i="18"/>
  <c r="Y66" i="18" s="1"/>
  <c r="AB37" i="18"/>
  <c r="Y37" i="18" s="1"/>
  <c r="AB40" i="18"/>
  <c r="Y40" i="18" s="1"/>
  <c r="Y59" i="18"/>
  <c r="AM59" i="18" l="1"/>
  <c r="AN59" i="18" s="1"/>
  <c r="AM38" i="18"/>
  <c r="AN38" i="18" s="1"/>
  <c r="AM68" i="18"/>
  <c r="AN68" i="18" s="1"/>
  <c r="AM67" i="18"/>
  <c r="AN67" i="18" s="1"/>
  <c r="AM35" i="18"/>
  <c r="AN35" i="18" s="1"/>
  <c r="AM55" i="18"/>
  <c r="AN55" i="18" s="1"/>
  <c r="AM40" i="18"/>
  <c r="AM66" i="18"/>
  <c r="AN66" i="18" s="1"/>
  <c r="AM37" i="18"/>
  <c r="AN37" i="18" s="1"/>
  <c r="AN40" i="18" l="1"/>
  <c r="AN71" i="18" s="1"/>
  <c r="U217" i="18" s="1"/>
  <c r="AM71" i="18"/>
  <c r="T217" i="18" s="1"/>
  <c r="AE4" i="18"/>
  <c r="AO71" i="18" l="1"/>
  <c r="V217" i="18" s="1"/>
  <c r="AK216" i="18"/>
  <c r="AB4" i="18"/>
  <c r="Y4" i="18" s="1"/>
  <c r="AM4" i="18" l="1"/>
  <c r="AN4" i="18" s="1"/>
  <c r="AE5" i="18"/>
  <c r="AE25" i="18"/>
  <c r="AE24" i="18"/>
  <c r="AE22" i="18"/>
  <c r="AE16" i="18"/>
  <c r="AB16" i="18" s="1"/>
  <c r="AE15" i="18"/>
  <c r="AB15" i="18" s="1"/>
  <c r="AE27" i="18"/>
  <c r="AE23" i="18"/>
  <c r="AE6" i="18"/>
  <c r="AE7" i="18"/>
  <c r="AE12" i="18"/>
  <c r="AB12" i="18" s="1"/>
  <c r="AE26" i="18"/>
  <c r="AE8" i="18"/>
  <c r="AB11" i="18"/>
  <c r="Y11" i="18" s="1"/>
  <c r="AM11" i="18" s="1"/>
  <c r="AN11" i="18" s="1"/>
  <c r="AB13" i="18"/>
  <c r="Y13" i="18" s="1"/>
  <c r="AM13" i="18" s="1"/>
  <c r="AN13" i="18" s="1"/>
  <c r="AB24" i="18" l="1"/>
  <c r="Y24" i="18" s="1"/>
  <c r="AB27" i="18"/>
  <c r="Y27" i="18" s="1"/>
  <c r="AB5" i="18"/>
  <c r="Y5" i="18" s="1"/>
  <c r="AM5" i="18" s="1"/>
  <c r="AN5" i="18" s="1"/>
  <c r="AB26" i="18"/>
  <c r="Y26" i="18" s="1"/>
  <c r="AM26" i="18" s="1"/>
  <c r="AN26" i="18" s="1"/>
  <c r="AB6" i="18"/>
  <c r="Y6" i="18" s="1"/>
  <c r="AM6" i="18" s="1"/>
  <c r="AB8" i="18"/>
  <c r="Y8" i="18" s="1"/>
  <c r="AM8" i="18" s="1"/>
  <c r="AN8" i="18" s="1"/>
  <c r="Y15" i="18"/>
  <c r="AM15" i="18" s="1"/>
  <c r="AN15" i="18" s="1"/>
  <c r="Y12" i="18"/>
  <c r="AM12" i="18" s="1"/>
  <c r="AN12" i="18" s="1"/>
  <c r="AB25" i="18"/>
  <c r="Y25" i="18" s="1"/>
  <c r="AB23" i="18"/>
  <c r="Y16" i="18"/>
  <c r="AM16" i="18" s="1"/>
  <c r="AN16" i="18" s="1"/>
  <c r="Y9" i="18"/>
  <c r="AM9" i="18" s="1"/>
  <c r="AN9" i="18" s="1"/>
  <c r="AB22" i="18"/>
  <c r="Y22" i="18" s="1"/>
  <c r="AB7" i="18"/>
  <c r="Y7" i="18" s="1"/>
  <c r="AM24" i="18" l="1"/>
  <c r="AN24" i="18" s="1"/>
  <c r="AN6" i="18"/>
  <c r="AM27" i="18"/>
  <c r="AN27" i="18" s="1"/>
  <c r="AM25" i="18"/>
  <c r="AN25" i="18" s="1"/>
  <c r="AM7" i="18"/>
  <c r="AN7" i="18" s="1"/>
  <c r="AM22" i="18"/>
  <c r="AN22" i="18" s="1"/>
  <c r="Y23" i="18"/>
  <c r="AM23" i="18" s="1"/>
  <c r="AN23" i="18" s="1"/>
  <c r="AM29" i="18" l="1"/>
  <c r="T216" i="18" s="1"/>
  <c r="T222" i="18" s="1"/>
  <c r="AN29" i="18"/>
  <c r="U216" i="18" s="1"/>
  <c r="U222" i="18" l="1"/>
  <c r="AO29" i="18"/>
  <c r="V216" i="18" s="1"/>
  <c r="V222" i="18" l="1"/>
  <c r="AI216" i="18"/>
  <c r="AJ216" i="18"/>
  <c r="AN202" i="3"/>
</calcChain>
</file>

<file path=xl/sharedStrings.xml><?xml version="1.0" encoding="utf-8"?>
<sst xmlns="http://schemas.openxmlformats.org/spreadsheetml/2006/main" count="4104" uniqueCount="792">
  <si>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</si>
  <si>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</si>
  <si>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</si>
  <si>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</si>
  <si>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</si>
  <si>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</si>
  <si>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</si>
  <si>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</si>
  <si>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</si>
  <si>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</si>
  <si>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</si>
  <si>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</si>
  <si>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</si>
  <si>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</si>
  <si>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</si>
  <si>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</si>
  <si>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</si>
  <si>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</si>
  <si>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</si>
  <si>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</si>
  <si>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</si>
  <si>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</si>
  <si>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</si>
  <si>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</si>
  <si>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</si>
  <si>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</si>
  <si>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</si>
  <si>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</si>
  <si>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</si>
  <si>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</si>
  <si>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</si>
  <si>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</si>
  <si>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</si>
  <si>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</si>
  <si>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</si>
  <si>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</si>
  <si>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</si>
  <si>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</si>
  <si>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</si>
  <si>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</si>
  <si>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</si>
  <si>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</si>
  <si>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</si>
  <si>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</si>
  <si>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</si>
  <si>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</si>
  <si>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</si>
  <si>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</si>
  <si>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</si>
  <si>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</si>
  <si>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</si>
  <si>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</si>
  <si>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</si>
  <si>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</si>
  <si>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</si>
  <si>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</si>
  <si>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</si>
  <si>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</si>
  <si>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</si>
  <si>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</si>
  <si>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</si>
  <si>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</si>
  <si>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</si>
  <si>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</si>
  <si>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</si>
  <si>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</si>
  <si>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</si>
  <si>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</si>
  <si>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</si>
  <si>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</si>
  <si>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</si>
  <si>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</si>
  <si>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</si>
  <si>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</si>
  <si>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</si>
  <si>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</si>
  <si>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</si>
  <si>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</si>
  <si>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</si>
  <si>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</si>
  <si>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</si>
  <si>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</si>
  <si>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</si>
  <si>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</si>
  <si>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</si>
  <si>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</si>
  <si>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CANTIDAD VENDIDA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</si>
  <si>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</si>
  <si>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</si>
  <si>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</si>
  <si>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</si>
  <si>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</si>
  <si>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</si>
  <si>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</si>
  <si>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</si>
  <si>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</si>
  <si>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</si>
  <si>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</si>
  <si>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</si>
  <si>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</si>
  <si>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</si>
  <si>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</si>
  <si>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</si>
  <si>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</si>
  <si>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</si>
  <si>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</si>
  <si>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</si>
  <si>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</si>
  <si>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</si>
  <si>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</si>
  <si>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</si>
  <si>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CREDITO MIGUELITO</t>
  </si>
  <si>
    <t>01/07 - 10-07</t>
  </si>
  <si>
    <t>AQUAFLEX TECHO MAXI GL GRIS</t>
  </si>
  <si>
    <t>KERACOLOR FF 132 BEIGE BOLSA 2KG</t>
  </si>
  <si>
    <t>KERACOLOR FF 112 GRIS MEDIO BOLSA 2KG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</si>
  <si>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</si>
  <si>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</si>
  <si>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</si>
  <si>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</si>
  <si>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</si>
  <si>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</si>
  <si>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</si>
  <si>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</si>
  <si>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</si>
  <si>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</si>
  <si>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</si>
  <si>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</si>
  <si>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</si>
  <si>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</si>
  <si>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</si>
  <si>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</si>
  <si>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</si>
  <si>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</si>
  <si>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</si>
  <si>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</si>
  <si>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</si>
  <si>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</si>
  <si>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</si>
  <si>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</si>
  <si>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</si>
  <si>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</si>
  <si>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</si>
  <si>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</si>
  <si>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</si>
  <si>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</si>
  <si>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</si>
  <si>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</si>
  <si>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</si>
  <si>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</si>
  <si>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</si>
  <si>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</si>
  <si>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</si>
  <si>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</si>
  <si>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</si>
  <si>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</si>
  <si>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</si>
  <si>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</si>
  <si>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</si>
  <si>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</si>
  <si>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</si>
  <si>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</si>
  <si>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</si>
  <si>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</si>
  <si>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</si>
  <si>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</si>
  <si>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</si>
  <si>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</si>
  <si>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</si>
  <si>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CODO 3X45 TUBRICA</t>
  </si>
  <si>
    <t>CODO 4X45 BETAPLAST</t>
  </si>
  <si>
    <t>TEE 3X2 UNIPLAST</t>
  </si>
  <si>
    <t>TEE 4X3 PAVCO</t>
  </si>
  <si>
    <t>YEE 2 IMPLAVEN</t>
  </si>
  <si>
    <t>SIFON CORTO 3" DERIVADO</t>
  </si>
  <si>
    <t>SIFON 4 CORTO DERIVADOS</t>
  </si>
  <si>
    <t>SIFON 4 COMPLETO BETAPLAST</t>
  </si>
  <si>
    <t>TUBO RECT 2X1</t>
  </si>
  <si>
    <t>RONALD (ABRAHAM)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</si>
  <si>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</si>
  <si>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</si>
  <si>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</si>
  <si>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</si>
  <si>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</si>
  <si>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</si>
  <si>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</si>
  <si>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</si>
  <si>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</si>
  <si>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</si>
  <si>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</si>
  <si>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</si>
  <si>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</si>
  <si>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</si>
  <si>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</si>
  <si>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</si>
  <si>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</si>
  <si>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</si>
  <si>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</si>
  <si>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</si>
  <si>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</si>
  <si>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</si>
  <si>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</si>
  <si>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</si>
  <si>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</si>
  <si>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</si>
  <si>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</si>
  <si>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</si>
  <si>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</si>
  <si>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</si>
  <si>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</si>
  <si>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</si>
  <si>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</si>
  <si>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</si>
  <si>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</si>
  <si>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</si>
  <si>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</si>
  <si>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</si>
  <si>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</si>
  <si>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</si>
  <si>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</si>
  <si>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</si>
  <si>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</si>
  <si>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</si>
  <si>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</si>
  <si>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</si>
  <si>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</si>
  <si>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JOSE FARIA ($EF)</t>
  </si>
  <si>
    <t>01/08 - 02/08</t>
  </si>
  <si>
    <t>ALBA (BS EF)</t>
  </si>
  <si>
    <t>TORRE EMPR($ZELLE)</t>
  </si>
  <si>
    <t>POS CAM</t>
  </si>
  <si>
    <t>ALBA VAZQUEZ ($ EF)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</si>
  <si>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</si>
  <si>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</si>
  <si>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</si>
  <si>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</si>
  <si>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</si>
  <si>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</si>
  <si>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</si>
  <si>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</si>
  <si>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</si>
  <si>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03/08 - 23/08</t>
  </si>
  <si>
    <t>24/08 -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</si>
  <si>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</si>
  <si>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</si>
  <si>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</si>
  <si>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</si>
  <si>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</si>
  <si>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</si>
  <si>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</si>
  <si>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</si>
  <si>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</si>
  <si>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</si>
  <si>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</si>
  <si>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</si>
  <si>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</si>
  <si>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</si>
  <si>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</si>
  <si>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</si>
  <si>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</si>
  <si>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</si>
  <si>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ARIANA PEÑA ($ EF)</t>
  </si>
  <si>
    <t>DESCUENTOS</t>
  </si>
  <si>
    <t>28/09 - 30/09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</si>
  <si>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</si>
  <si>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</si>
  <si>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JAIME ($ EF)</t>
  </si>
  <si>
    <t>CARLOS DEW(ZELLE)</t>
  </si>
  <si>
    <t>OMAR CASTILLO (ZELLE)</t>
  </si>
  <si>
    <t>HIERROS</t>
  </si>
  <si>
    <t>ROGER (ZELLE), JESUS VILL (PUNTO), JAIME ($EF)</t>
  </si>
  <si>
    <t>01/10 - 15/10</t>
  </si>
  <si>
    <t>ROGER ($ EF), JAIME (NOMINA), PASCUAL (GASTO)</t>
  </si>
  <si>
    <t>JESUS VILLARUEL (PUNTO)</t>
  </si>
  <si>
    <t>CEMENTO PLASTICO SPRAY FLAMINGO</t>
  </si>
  <si>
    <t>CINTA REPARADORA TECHOS 5CM X 2,5M</t>
  </si>
  <si>
    <t>ROLLO POLIESTER 10M REFUERZO P/ AQUAFLEX</t>
  </si>
  <si>
    <t>FERRETERIA MIGUELITO</t>
  </si>
  <si>
    <t>FRANCISCO PUENTE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</si>
  <si>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</si>
  <si>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</si>
  <si>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</si>
  <si>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</si>
  <si>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</si>
  <si>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</si>
  <si>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PRIMER BIDON</t>
  </si>
  <si>
    <t>17/10 - 31/10</t>
  </si>
  <si>
    <t xml:space="preserve">01/11 - 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</si>
  <si>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</si>
  <si>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</si>
  <si>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ARIANA PEÑA (CRUCE)</t>
  </si>
  <si>
    <t>FRANCISCO JESUS PUENTE</t>
  </si>
  <si>
    <t>EUDO MONTIEL</t>
  </si>
  <si>
    <t>ROGER($530 ZELLE + $100 EF)</t>
  </si>
  <si>
    <t>PRIMA RUBEN PAZ ($215 EF)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</si>
  <si>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</si>
  <si>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</si>
  <si>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</si>
  <si>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</si>
  <si>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</si>
  <si>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</si>
  <si>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</si>
  <si>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</si>
  <si>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</si>
  <si>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</si>
  <si>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</si>
  <si>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</si>
  <si>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</si>
  <si>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</si>
  <si>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</si>
  <si>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</si>
  <si>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</si>
  <si>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</si>
  <si>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</si>
  <si>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</si>
  <si>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</si>
  <si>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</si>
  <si>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</si>
  <si>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</si>
  <si>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</si>
  <si>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</si>
  <si>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</si>
  <si>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</si>
  <si>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</si>
  <si>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</si>
  <si>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</si>
  <si>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</si>
  <si>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JOSE BOSCAN ($ZELLE)</t>
  </si>
  <si>
    <t>CARLOS QUINTERO (ZELLE), ABRAHAM ($EF)</t>
  </si>
  <si>
    <t>NELSON ZAMBRANO ($EF)</t>
  </si>
  <si>
    <t>ROGER ($EF)</t>
  </si>
  <si>
    <t>JISSEL</t>
  </si>
  <si>
    <t>GERARDO GONZALEZ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</si>
  <si>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</si>
  <si>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</si>
  <si>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</si>
  <si>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</si>
  <si>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</si>
  <si>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</si>
  <si>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</si>
  <si>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</si>
  <si>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</si>
  <si>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</si>
  <si>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</si>
  <si>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</si>
  <si>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MAPEI UNO 4KG</t>
  </si>
  <si>
    <t>DOUGLAS (PUNTO=</t>
  </si>
  <si>
    <t>LAGO COUNTRY III ($EF)</t>
  </si>
  <si>
    <t>DOUGLAS (PUNTO)</t>
  </si>
  <si>
    <t>YEIKEL (PAGO MOVIL)</t>
  </si>
  <si>
    <t>JAIME (NOMINA)</t>
  </si>
  <si>
    <t>LUIS RODRIGUEZ</t>
  </si>
  <si>
    <t>TELEFONO</t>
  </si>
  <si>
    <t>N° NOTA</t>
  </si>
  <si>
    <t>NOTAS</t>
  </si>
  <si>
    <t>PENDIENTE</t>
  </si>
  <si>
    <t>AUTORIZADOR</t>
  </si>
  <si>
    <t>RUBEN PAZ</t>
  </si>
  <si>
    <t xml:space="preserve">MERCANCIA  </t>
  </si>
  <si>
    <t>METODO DE PAGO</t>
  </si>
  <si>
    <t>TIPO DE OPERACIÓN</t>
  </si>
  <si>
    <t>APERTURA DE CREDITO</t>
  </si>
  <si>
    <t>CIERRE DE CREDITO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</si>
  <si>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</si>
  <si>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</si>
  <si>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</si>
  <si>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</si>
  <si>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</si>
  <si>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</si>
  <si>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</si>
  <si>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</si>
  <si>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</si>
  <si>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</si>
  <si>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</si>
  <si>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</si>
  <si>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</si>
  <si>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</si>
  <si>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</si>
  <si>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</si>
  <si>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</si>
  <si>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</si>
  <si>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</si>
  <si>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</si>
  <si>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</si>
  <si>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</si>
  <si>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</si>
  <si>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</si>
  <si>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</si>
  <si>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</si>
  <si>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</si>
  <si>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</si>
  <si>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</si>
  <si>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</si>
  <si>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</si>
  <si>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</si>
  <si>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</si>
  <si>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</si>
  <si>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</si>
  <si>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</si>
  <si>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</si>
  <si>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</si>
  <si>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</si>
  <si>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</si>
  <si>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</si>
  <si>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</si>
  <si>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</si>
  <si>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</si>
  <si>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</si>
  <si>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</si>
  <si>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</si>
  <si>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</si>
  <si>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</si>
  <si>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</si>
  <si>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</si>
  <si>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</si>
  <si>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</si>
  <si>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</si>
  <si>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</si>
  <si>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</si>
  <si>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</si>
  <si>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</si>
  <si>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</si>
  <si>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</si>
  <si>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</si>
  <si>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</si>
  <si>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</si>
  <si>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</si>
  <si>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</si>
  <si>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</si>
  <si>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</si>
  <si>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</si>
  <si>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</si>
  <si>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</si>
  <si>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</si>
  <si>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</si>
  <si>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</si>
  <si>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</si>
  <si>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</si>
  <si>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</si>
  <si>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</si>
  <si>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</si>
  <si>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</si>
  <si>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</si>
  <si>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</si>
  <si>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</si>
  <si>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</si>
  <si>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</si>
  <si>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</si>
  <si>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</si>
  <si>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</si>
  <si>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</si>
  <si>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</si>
  <si>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</si>
  <si>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</si>
  <si>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</si>
  <si>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</si>
  <si>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</si>
  <si>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</si>
  <si>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</si>
  <si>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GERARDO GONZALEZ ($10 EF)</t>
  </si>
  <si>
    <t>LUIS RODRIGUEZ (ZELLE)</t>
  </si>
  <si>
    <t>CARLOS VILLARRUEL</t>
  </si>
  <si>
    <t>JOSE BOSCAN ($ EF)</t>
  </si>
  <si>
    <t>GANANCIA BITUPLAST</t>
  </si>
  <si>
    <t>GANANCIA MAPEI</t>
  </si>
  <si>
    <t>GANANCIA HERRERIA</t>
  </si>
  <si>
    <t>GANANCIA TANQUES</t>
  </si>
  <si>
    <t>GANANCIA FERRETERIA</t>
  </si>
  <si>
    <t>GANANCIA TOTAL</t>
  </si>
  <si>
    <t>ANA KARINA ($EF)</t>
  </si>
  <si>
    <t>TUBO 1X1</t>
  </si>
  <si>
    <t>ANG 1"</t>
  </si>
  <si>
    <t>ROGER BRICEÑO</t>
  </si>
  <si>
    <t>ROGER BRICEÑO ($EF), GERARDO GONZALEZ ($EF)</t>
  </si>
  <si>
    <t>BOMBA 1/2 HP GEOSTAR</t>
  </si>
  <si>
    <t>OSCAR CABRITA</t>
  </si>
  <si>
    <t>TAN QT CIL 700</t>
  </si>
  <si>
    <t>TAN QT CIL 900</t>
  </si>
  <si>
    <t>ROGER BRICEÑO $EF</t>
  </si>
  <si>
    <t>TANQUE 1000L TUVENCA</t>
  </si>
  <si>
    <t>KER 100 5KG</t>
  </si>
  <si>
    <t>LUIS ROD ($EF)</t>
  </si>
  <si>
    <t>TUBO 1 1/2 X 1 1/2 0,90</t>
  </si>
  <si>
    <t>TUBO 3 X 1 1/2 0,90</t>
  </si>
  <si>
    <t>TUBO 1 X 1 1/2 0,90</t>
  </si>
  <si>
    <t>LOSACERO 0,70 X 740 X 6100</t>
  </si>
  <si>
    <t>FUNDA P/M 9"</t>
  </si>
  <si>
    <t>CINTA MULTIUSO 2" X 9M</t>
  </si>
  <si>
    <t>RODILLO CHASIS MET. 9"</t>
  </si>
  <si>
    <t>BANDEJA C/RODILLO 9"</t>
  </si>
  <si>
    <t>BROCHA 2"</t>
  </si>
  <si>
    <t>BROCHA 4"</t>
  </si>
  <si>
    <t>ESP PLAST 4"</t>
  </si>
  <si>
    <t>HARAGAN 13"</t>
  </si>
  <si>
    <t>ROGER BRICEÑO ($EF-CRUCE), OSCAR ($EF-NOM), GERARDO ($EF-NOM)</t>
  </si>
  <si>
    <t>TAN T/V SOL 5500</t>
  </si>
  <si>
    <t>ENTREGADO</t>
  </si>
  <si>
    <t>FRANCISCO PUENTE SR</t>
  </si>
  <si>
    <t>DON JUAN ($EF)</t>
  </si>
  <si>
    <t>OSCAR ($EF)</t>
  </si>
  <si>
    <t>DON JUAN ($ EF), FCO PUENTE SR ($EF)</t>
  </si>
  <si>
    <t>MADERAS ARAGUANEY</t>
  </si>
  <si>
    <t>ARIANA PEÑA</t>
  </si>
  <si>
    <t>GERARDO $EF, OSCAR $EF, ARIANA $EF</t>
  </si>
  <si>
    <t>OSCAR $EF</t>
  </si>
  <si>
    <t>ROGER $EF</t>
  </si>
  <si>
    <t>DON JUAN $EF</t>
  </si>
  <si>
    <t>JAIME PUENTE</t>
  </si>
  <si>
    <t>NULFO RAMOS</t>
  </si>
  <si>
    <t>RUBEN JR</t>
  </si>
  <si>
    <t>WILLIAM LINDARTE</t>
  </si>
  <si>
    <t>ARAGUANEY $EF</t>
  </si>
  <si>
    <t>CARLOS VILLARRUEL $ZELLE</t>
  </si>
  <si>
    <t>VLADIMIR ATENCIO</t>
  </si>
  <si>
    <t xml:space="preserve">HECTOR GARCIA </t>
  </si>
  <si>
    <t>LINDARTE BS.PUNTO, VHECTOR $EF</t>
  </si>
  <si>
    <t>PUNTO</t>
  </si>
  <si>
    <t>MAURICIO ZELLE</t>
  </si>
  <si>
    <t>RESIDENCIAS ATLANTIS</t>
  </si>
  <si>
    <t>ATLANTIS $ZELLE</t>
  </si>
  <si>
    <t>DON JUAN $EF, MAURICIO $EF</t>
  </si>
  <si>
    <t>RESIDENCIAS VISTALAGO</t>
  </si>
  <si>
    <t>TRANSF BS</t>
  </si>
  <si>
    <t>JAIME $EF, VISTALAGO BS TRANS</t>
  </si>
  <si>
    <t>PRIMER 4G</t>
  </si>
  <si>
    <t>ATLANTIS $ZELLE, ROGER $ZELLE</t>
  </si>
  <si>
    <t>CANTIDAD MAYOR</t>
  </si>
  <si>
    <t>PRECIO MAYOR</t>
  </si>
  <si>
    <t>ASF LIQ 4G</t>
  </si>
  <si>
    <t>ASF LIQ G</t>
  </si>
  <si>
    <t>ASF PLAST 1/4G</t>
  </si>
  <si>
    <t>ASF SOL OXI CART</t>
  </si>
  <si>
    <t>CEM PLAST 1/4G</t>
  </si>
  <si>
    <t>MAN A.A 2.2MM X METRO</t>
  </si>
  <si>
    <t>MAN LIQ ROJO 4G</t>
  </si>
  <si>
    <t>MANTO 3.2MM X METRO</t>
  </si>
  <si>
    <t>MANTO A.A. 2.2MM</t>
  </si>
  <si>
    <t>MANTO ALUM 3MM</t>
  </si>
  <si>
    <t>PRIMER 12G</t>
  </si>
  <si>
    <t>REPARAMANTO 4G</t>
  </si>
  <si>
    <t>SELLADOR CAPA 4G</t>
  </si>
  <si>
    <t>BAND C/R 9"</t>
  </si>
  <si>
    <t>CHASIS MET ROD 9"</t>
  </si>
  <si>
    <t>CINTA MULTI 2" X 9M</t>
  </si>
  <si>
    <t>HARAGAN PLAST 13"</t>
  </si>
  <si>
    <t>SOPLETE P/MANTO CORTO</t>
  </si>
  <si>
    <t>ANG  1 X 1/8</t>
  </si>
  <si>
    <t>ANG 1-1/2 X 3/16</t>
  </si>
  <si>
    <t>ANG 1-1/4 X 3/16</t>
  </si>
  <si>
    <t>LAM ZINC 12 CUAD</t>
  </si>
  <si>
    <t>LOS 0,70 X 740 X 6100</t>
  </si>
  <si>
    <t>PLE 1-1/2 X 3/16 6MTS</t>
  </si>
  <si>
    <t>TUB 1 1/2 X 1 1/2 0,90</t>
  </si>
  <si>
    <t>TUB 1 X 1 1/2 0,90</t>
  </si>
  <si>
    <t>TUB 1X1 0,90</t>
  </si>
  <si>
    <t>TUB 3 X 1 1/2 1,50</t>
  </si>
  <si>
    <t>TUB 3/4X3/4 0,90</t>
  </si>
  <si>
    <t>TUB GALV 2X2 0,90</t>
  </si>
  <si>
    <t>TUB GALV 3X1 0,90</t>
  </si>
  <si>
    <t>TUBO GALV 2X1 0,90</t>
  </si>
  <si>
    <t>BRONCOPOL PROMO</t>
  </si>
  <si>
    <t>PROMO MS45 BLANCO</t>
  </si>
  <si>
    <t>PROMO MS45 NEGRO</t>
  </si>
  <si>
    <t>PROMO MS45 TRANSP</t>
  </si>
  <si>
    <t>TAN QT CIL 700L</t>
  </si>
  <si>
    <t>TAN QT CIL 900L</t>
  </si>
  <si>
    <t>TAN QT T/V 600</t>
  </si>
  <si>
    <t>SOPLETE CORTO P/ MANTO</t>
  </si>
  <si>
    <t>ALBA VASQUEZ $EF, SR TANQUES $EF</t>
  </si>
  <si>
    <t>JONATHAN PARRA</t>
  </si>
  <si>
    <t>JONATHAN PARRA (FERRE EXPRESS)</t>
  </si>
  <si>
    <t>MANUEL MALDONADO</t>
  </si>
  <si>
    <t>MANUEL $EF, ANA KARINA $EF</t>
  </si>
  <si>
    <t>MELIDA DANTE $EF</t>
  </si>
  <si>
    <t>ROGER</t>
  </si>
  <si>
    <t>AMABLE RODRIGUEZ</t>
  </si>
  <si>
    <t>MELIDA ADANTE $EF</t>
  </si>
  <si>
    <t>ANA KARINA PUNTO</t>
  </si>
  <si>
    <t>CARLOS VILLARUEL (ZELLE), AMABLE ($EF)</t>
  </si>
  <si>
    <t>JAISEL MORA</t>
  </si>
  <si>
    <t>DR LUIS RODRIGUEZ PUNTO FERRE</t>
  </si>
  <si>
    <t>MANTO 2.2M ADHESIVO BITUPLAST</t>
  </si>
  <si>
    <t>PRECIO NUEVO</t>
  </si>
  <si>
    <t>PRECIO GRAN MAYOR</t>
  </si>
  <si>
    <t>PRECIO NORMAL</t>
  </si>
  <si>
    <t>CANTIDAD GRAN MAYOR</t>
  </si>
  <si>
    <t>PAGO EN DIVISA + NOTA DE ENTREGA + CONTADO</t>
  </si>
  <si>
    <t>13$ (vale Andres Quintero)</t>
  </si>
  <si>
    <t>7$ flete diferencia del dia</t>
  </si>
  <si>
    <t>ATLANTIS (TRANS BS)</t>
  </si>
  <si>
    <t>RADIADORES CLEAN</t>
  </si>
  <si>
    <t>NELSON VILLASMIL</t>
  </si>
  <si>
    <t>$190 CAMBIO 2 TANQUES TUVENCA X 2 TANQUES Q TANQUE</t>
  </si>
  <si>
    <t>PAGO MOVIL</t>
  </si>
  <si>
    <t>RADIADORES CLEAN (PAGO MOVIL), JAIME (PUNTO)</t>
  </si>
  <si>
    <t>ANEXO A CREDITO</t>
  </si>
  <si>
    <t>NULFO RAMOS ($EF), ROGER ($EF)</t>
  </si>
  <si>
    <t>ALEXIS FERRER</t>
  </si>
  <si>
    <t>ARAGUANEY($EF)</t>
  </si>
  <si>
    <t>ROD + FUN 9</t>
  </si>
  <si>
    <t>MAURICIO VILLARRUEL</t>
  </si>
  <si>
    <t>VALERIA GRATEROL</t>
  </si>
  <si>
    <t>PAGO MIGUELITO</t>
  </si>
  <si>
    <t>PAGOS DE CREDITO</t>
  </si>
  <si>
    <t>}</t>
  </si>
  <si>
    <t>MAURICIO $EF</t>
  </si>
  <si>
    <t>MELIDA DANTE</t>
  </si>
  <si>
    <t>EL CREDITO ORIGINAL DE ALEXIS ERA POR 86, CON DCTO LLEGO A 82, A EFECTOS DE CERRAR EL CREDITO SE PONDRA 86 EN DETALLE DE CREDITOS</t>
  </si>
  <si>
    <t>ALEXIS FERRER (ZELLE), VISTALAGO (TRANSF BS)</t>
  </si>
  <si>
    <t>VALERIA ZELLE</t>
  </si>
  <si>
    <t>VALERIA $EF, ATLANTIS ZELLE</t>
  </si>
  <si>
    <t>COSTO -10%</t>
  </si>
  <si>
    <t>PRECIO ST</t>
  </si>
  <si>
    <t>% GANANCIA DIVISA</t>
  </si>
  <si>
    <t>% GANANCIA BS</t>
  </si>
  <si>
    <t>PRECIO TENTATIVO</t>
  </si>
  <si>
    <t>COSTO -15%</t>
  </si>
  <si>
    <t>MELIDA ($EF)</t>
  </si>
  <si>
    <t>TUBO GALV 2X1 6MTS 1,50</t>
  </si>
  <si>
    <t>NELSON VILL (PM), ARAGUANEY ($EF)</t>
  </si>
  <si>
    <t>FACTURA DE ATLANTIS DEL DIA 12 DE 439 SE DEVOLVIERON 2 GALONES DE PRIMER, SE QUEDARON A FAVOR DE ELLOS $28 Y SE ANOTO PARA ESTE DIA LOS $410 QUE FUERON DEFINITIVOS</t>
  </si>
  <si>
    <t>VALERIA $EF</t>
  </si>
  <si>
    <t>EN EL PAPEL FISICO EXISTE UN CREDITO DE 99, ES UN VALE PENDIENTE DEBIDO A LA DEVOLUCION DE UN AQUAFLEX ($100)</t>
  </si>
  <si>
    <t>CARLOS B. (PUNTO), CARLOS VILLARRUEL (ZELLE)</t>
  </si>
  <si>
    <t>JAISEL $EF, ALEXIS $EF, VLADIMIR $EF</t>
  </si>
  <si>
    <t>EN EL PAPEL FISICO EXISTE UN CREDITO DE $100, ES UNA DEVOLUCION DE UN TANQUE TUVENCA DE 1400, CAMBIO POR UN TANQUE SOLINCA DE 1100 LTS, MARY MONTERO</t>
  </si>
  <si>
    <t>ANA KARINA $EF, AMABLE (ZELLE)</t>
  </si>
  <si>
    <t>ABRAHAM BURGUER</t>
  </si>
  <si>
    <t>CRUCE</t>
  </si>
  <si>
    <t>CERCHA 10</t>
  </si>
  <si>
    <t>CERCHA 15</t>
  </si>
  <si>
    <t>FCO JESUS</t>
  </si>
  <si>
    <t>PRECIO UNITARIO $</t>
  </si>
  <si>
    <t>PRECIO TOTAL $</t>
  </si>
  <si>
    <t>REPARAMANTO CUÑETE</t>
  </si>
  <si>
    <t>AQUAFLEX CUÑETE</t>
  </si>
  <si>
    <t>CEMENTO PLASTICO GALON</t>
  </si>
  <si>
    <t>PRIMER CUÑETE</t>
  </si>
  <si>
    <t>Nota: Los precios pueden variar sin previo aviso. No incluye transporte ni IVA.</t>
  </si>
  <si>
    <t>JULIO TORESCA</t>
  </si>
  <si>
    <t>CARLOS BELLERA</t>
  </si>
  <si>
    <t>PINTURAS</t>
  </si>
  <si>
    <t>PIN ALUM MG 1/4</t>
  </si>
  <si>
    <t>ESM ROJO BR MG G</t>
  </si>
  <si>
    <t>ESM GRIS CEM BR MG G</t>
  </si>
  <si>
    <t>ESM BLA BR MG G</t>
  </si>
  <si>
    <t>ESM NEGRO MATE MG G</t>
  </si>
  <si>
    <t>FON HER BLA MG G</t>
  </si>
  <si>
    <t>FON HER NEGRO MG G</t>
  </si>
  <si>
    <t>PIN EPO BLA MG G</t>
  </si>
  <si>
    <t>CAU BLAN B MG G</t>
  </si>
  <si>
    <t>FON ALC MG G</t>
  </si>
  <si>
    <t>CAU BLAN A MG G</t>
  </si>
  <si>
    <t>CAUCHO MARF RAF A MG G</t>
  </si>
  <si>
    <t>SAT BLAN A MG G</t>
  </si>
  <si>
    <t>SAT VAI A MG G</t>
  </si>
  <si>
    <t>CAU BLANC C MG G</t>
  </si>
  <si>
    <t>CAU BLAN OST MG G</t>
  </si>
  <si>
    <t>CAU MARF C MG G</t>
  </si>
  <si>
    <t>CAU MELO C  MG G</t>
  </si>
  <si>
    <t>CAU AZUL MAR MG G</t>
  </si>
  <si>
    <t>CAU OCRE C MG G</t>
  </si>
  <si>
    <t>CAU AMA LIR MG G</t>
  </si>
  <si>
    <t>CAU TRI DOR MG G</t>
  </si>
  <si>
    <t>CAU ROJO LAD C MG G</t>
  </si>
  <si>
    <t>CAU ROS C MG G</t>
  </si>
  <si>
    <t>CAU VER MAN C MG G</t>
  </si>
  <si>
    <t>CAU TUR TRO C MG G</t>
  </si>
  <si>
    <t>CAU GRIS CEM MG G</t>
  </si>
  <si>
    <t>CAU AZUL CIE MG G</t>
  </si>
  <si>
    <t>CAU SALM C MG G</t>
  </si>
  <si>
    <t>CAU VER PRI C MG G</t>
  </si>
  <si>
    <t>CAU GUA C MG G</t>
  </si>
  <si>
    <t>CAU BLAN C MG 4G</t>
  </si>
  <si>
    <t>CAU MARF C MG 4G</t>
  </si>
  <si>
    <t>CAU BLAN B MG 4G</t>
  </si>
  <si>
    <t>ESM ROJO BR MG 1/4</t>
  </si>
  <si>
    <t>ESM MARF BR MG 1/4</t>
  </si>
  <si>
    <t>ESM GRIS CLA BR MG 1/4</t>
  </si>
  <si>
    <t>ESM VER OSC BR MG 1/4</t>
  </si>
  <si>
    <t>ESM VER TIL BR MG 1/4</t>
  </si>
  <si>
    <t>ESM AMA CAT BR MG 1/4</t>
  </si>
  <si>
    <t>ESM GRI ACE BR MG 1/4</t>
  </si>
  <si>
    <t>ESM GRIS MAC BR MG 1/4</t>
  </si>
  <si>
    <t>ESM BLA MT MG 1/4</t>
  </si>
  <si>
    <t>FON 2-1 BLAN MT MG 1/4</t>
  </si>
  <si>
    <t>FON 2-1 NEGRO MT MG 1/4</t>
  </si>
  <si>
    <t>CAU GRIS CEN C MG G</t>
  </si>
  <si>
    <t>FONDO</t>
  </si>
  <si>
    <t>EF</t>
  </si>
  <si>
    <t>JULIO</t>
  </si>
  <si>
    <t>MAURICIO $ZELLE</t>
  </si>
  <si>
    <t>GABRIEL GOMEZ</t>
  </si>
  <si>
    <t>IMP BLANCO MG G</t>
  </si>
  <si>
    <t>AMABLE ($EF), ANA ($EF)</t>
  </si>
  <si>
    <t>TRANS BS</t>
  </si>
  <si>
    <t>ABRAHAM (TRANSF BS), JAISEL ($EF)</t>
  </si>
  <si>
    <t>MILAGROS PAZ</t>
  </si>
  <si>
    <t xml:space="preserve">manto </t>
  </si>
  <si>
    <t>CLEAN RADIADORES</t>
  </si>
  <si>
    <t>BLADIMIR ATENCIO</t>
  </si>
  <si>
    <t>ESM GALON</t>
  </si>
  <si>
    <t>CLEAN $EF, MILAGROS PM, VALERIA PUNTO</t>
  </si>
  <si>
    <t>AMABLE $EF, MELIDA $EF</t>
  </si>
  <si>
    <t>DESCUENTO POR EL SR RUBEN</t>
  </si>
  <si>
    <t>MIGUELITO (CRUCE)</t>
  </si>
  <si>
    <t>CINTA TANQUES NEGRA</t>
  </si>
  <si>
    <t>CINTA TANQUES TRANSP</t>
  </si>
  <si>
    <t>TAN TUV 160</t>
  </si>
  <si>
    <t>GABRIEL $EF</t>
  </si>
  <si>
    <t>EFECTIVO NOMINA</t>
  </si>
  <si>
    <t>ANA $EF, AMABLE $EF (NOMINA)</t>
  </si>
  <si>
    <t>CC LA CASCADA</t>
  </si>
  <si>
    <t>IMP BLANCO MG 4G</t>
  </si>
  <si>
    <t>FONDO GRIS 1/4</t>
  </si>
  <si>
    <t>PROT 110V 15A</t>
  </si>
  <si>
    <t>PROT 110V 20A</t>
  </si>
  <si>
    <t>PROT 110V TRIPLE 15A</t>
  </si>
  <si>
    <t>PROT 110V 20A BORNETA</t>
  </si>
  <si>
    <t>PROT 220V 20A BORNERA</t>
  </si>
  <si>
    <t>ANA $EF</t>
  </si>
  <si>
    <t>FERRETERIA $EF</t>
  </si>
  <si>
    <t>ANTONIO CEDEÑO</t>
  </si>
  <si>
    <t>CARLOS PUNTO</t>
  </si>
  <si>
    <t>TAN T/V TUV 1200</t>
  </si>
  <si>
    <t>TAN CIL TUV 500</t>
  </si>
  <si>
    <t>ANTONIO PM</t>
  </si>
  <si>
    <t>JOSE MAVO</t>
  </si>
  <si>
    <t>AMABLE $EF NOM, ANA $EF, MAVO $EF</t>
  </si>
  <si>
    <t>MARLON ALAÑA</t>
  </si>
  <si>
    <t>CARLOS V $EF, VALERIA $EF, FERRETERIA $EF, MARLON $EF</t>
  </si>
  <si>
    <t>JAISEL $EF</t>
  </si>
  <si>
    <t>CONDOMINIO PINO PONDEROSA</t>
  </si>
  <si>
    <t>COND PINO $EF</t>
  </si>
  <si>
    <t>+</t>
  </si>
  <si>
    <t>AMABLE PUNTO</t>
  </si>
  <si>
    <t>CHEO CHOURIO</t>
  </si>
  <si>
    <t>MAYEVIDEO IMPORT</t>
  </si>
  <si>
    <t>YOHENDRY PEREZ</t>
  </si>
  <si>
    <t>FELIX PEÑA MIGUELITO</t>
  </si>
  <si>
    <t>CARLOS $EF</t>
  </si>
  <si>
    <t>LAMINAS ZINC 0.80 X 3.66M e=0,17mm</t>
  </si>
  <si>
    <t>SUBTOTAL</t>
  </si>
  <si>
    <t>KARIM SABE</t>
  </si>
  <si>
    <t>VALERIA</t>
  </si>
  <si>
    <t>FERRETERIA PUNTO</t>
  </si>
  <si>
    <t>FERRETERIA CRUCE</t>
  </si>
  <si>
    <t>SOBRANTE EFECTIVO</t>
  </si>
  <si>
    <t>CAMBIO DE MERCANCIA #6545</t>
  </si>
  <si>
    <t>VALE JAIME</t>
  </si>
  <si>
    <t>ALIMENTOS KIRI</t>
  </si>
  <si>
    <t>JOSE GONZALEZ MIGUELITO</t>
  </si>
  <si>
    <t>CONDOMINIO EL CUJI</t>
  </si>
  <si>
    <t>EL CUJI ZELLE</t>
  </si>
  <si>
    <t>JOSE GONZ MIGUELITO</t>
  </si>
  <si>
    <t>NO ENTREGADO</t>
  </si>
  <si>
    <t>EL CUJI, JAIME PUNTO</t>
  </si>
  <si>
    <t>NOMINA</t>
  </si>
  <si>
    <t>JOSE $EF, FELIX NOMINA, ABRAHAM TRANSF BS, CHEO CRUCE</t>
  </si>
  <si>
    <t>ABRAHAM BURGER</t>
  </si>
  <si>
    <t>CASCADA $EF, FERRETERIA $EF, FERRETERIA PM, ARAGUANEY PM, JULIO $EF, MAYE $EF</t>
  </si>
  <si>
    <t>512+A513:V513</t>
  </si>
  <si>
    <t>HERQUIMERO RINCON</t>
  </si>
  <si>
    <t>HILMAR BLANCO</t>
  </si>
  <si>
    <t>SRA. JACKELINE</t>
  </si>
  <si>
    <t>MIGUELITO $EF, MIGUELITO CRUCE</t>
  </si>
  <si>
    <t>ARENA BLANCA</t>
  </si>
  <si>
    <t>M3</t>
  </si>
  <si>
    <t>CEMENTO GRIS</t>
  </si>
  <si>
    <t>SACO</t>
  </si>
  <si>
    <t>MANTO 3.2MM</t>
  </si>
  <si>
    <t>ASFALTO PLASTICO</t>
  </si>
  <si>
    <t>CUÑETE</t>
  </si>
  <si>
    <t>ROLLO</t>
  </si>
  <si>
    <t>PRIMER</t>
  </si>
  <si>
    <t>PINTURA DE ALUMINIO</t>
  </si>
  <si>
    <t>UNIDAD</t>
  </si>
  <si>
    <t>YOHENDRY ZELLE</t>
  </si>
  <si>
    <t>JAISEL $EF, FERRETERIA $EF</t>
  </si>
  <si>
    <t>$21 FUERON CAMBIO DE MERCANCIA DEL DIA 09-12-23</t>
  </si>
  <si>
    <t>OBSERVACIONES</t>
  </si>
  <si>
    <t>STATUS</t>
  </si>
  <si>
    <t>NOTA</t>
  </si>
  <si>
    <t>FECHA ACTUAL</t>
  </si>
  <si>
    <t>DIAS DE CREDITO</t>
  </si>
  <si>
    <t>BIANCA RIOS</t>
  </si>
  <si>
    <t>JAIME</t>
  </si>
  <si>
    <t>BIANCA $EF</t>
  </si>
  <si>
    <t>PAGO FLETE</t>
  </si>
  <si>
    <t>ABONO JOSE</t>
  </si>
  <si>
    <t>PRESTADO MIGUELITO</t>
  </si>
  <si>
    <t>JOSE G $EF, FERRE PUNTO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</si>
</sst>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$-540A]#,##0.00"/>
    <numFmt numFmtId="165" formatCode="[$$-2C0A]\ #,##0.00"/>
    <numFmt numFmtId="166" formatCode="#,##0.00\ _€"/>
    <numFmt numFmtId="167" formatCode="[$$-540A]#,##0"/>
  </numFmts>
  <fonts count="4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871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5" xfId="0" applyFont="1" applyFill="1" applyBorder="1" applyAlignment="1">
      <alignment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2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 wrapText="1"/>
    </xf>
    <xf numFmtId="0" fontId="5" fillId="2" borderId="0" xfId="0" applyFont="1" applyFill="1"/>
    <xf numFmtId="2" fontId="1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16" fontId="0" fillId="6" borderId="1" xfId="0" applyNumberFormat="1" applyFill="1" applyBorder="1" applyAlignment="1">
      <alignment horizontal="center" vertical="center"/>
    </xf>
    <xf numFmtId="2" fontId="22" fillId="4" borderId="1" xfId="0" applyNumberFormat="1" applyFont="1" applyFill="1" applyBorder="1" applyAlignment="1">
      <alignment horizontal="center" vertical="center"/>
    </xf>
    <xf numFmtId="2" fontId="22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29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2" fontId="7" fillId="4" borderId="29" xfId="0" applyNumberFormat="1" applyFont="1" applyFill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2" fontId="22" fillId="4" borderId="29" xfId="0" applyNumberFormat="1" applyFont="1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14" fillId="4" borderId="42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 wrapText="1"/>
    </xf>
    <xf numFmtId="0" fontId="21" fillId="4" borderId="41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 wrapText="1"/>
    </xf>
    <xf numFmtId="0" fontId="5" fillId="4" borderId="47" xfId="0" applyFont="1" applyFill="1" applyBorder="1" applyAlignment="1">
      <alignment horizontal="center" vertical="center" wrapText="1"/>
    </xf>
    <xf numFmtId="0" fontId="14" fillId="4" borderId="33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1" fillId="4" borderId="2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0" fontId="26" fillId="4" borderId="31" xfId="0" applyFont="1" applyFill="1" applyBorder="1" applyAlignment="1">
      <alignment horizontal="center" vertical="center"/>
    </xf>
    <xf numFmtId="2" fontId="26" fillId="4" borderId="14" xfId="0" applyNumberFormat="1" applyFont="1" applyFill="1" applyBorder="1" applyAlignment="1">
      <alignment horizontal="center" vertical="center"/>
    </xf>
    <xf numFmtId="2" fontId="26" fillId="4" borderId="16" xfId="0" applyNumberFormat="1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/>
    </xf>
    <xf numFmtId="0" fontId="15" fillId="4" borderId="3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5" xfId="0" applyFont="1" applyFill="1" applyBorder="1" applyAlignment="1">
      <alignment horizontal="center" vertical="center"/>
    </xf>
    <xf numFmtId="0" fontId="10" fillId="4" borderId="55" xfId="0" applyFont="1" applyFill="1" applyBorder="1" applyAlignment="1">
      <alignment horizontal="center" vertical="center"/>
    </xf>
    <xf numFmtId="0" fontId="15" fillId="4" borderId="39" xfId="0" applyFont="1" applyFill="1" applyBorder="1" applyAlignment="1">
      <alignment horizontal="center" vertical="center"/>
    </xf>
    <xf numFmtId="0" fontId="22" fillId="4" borderId="32" xfId="0" applyFont="1" applyFill="1" applyBorder="1" applyAlignment="1">
      <alignment horizontal="center" vertical="center"/>
    </xf>
    <xf numFmtId="0" fontId="22" fillId="4" borderId="51" xfId="0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0" fillId="17" borderId="0" xfId="0" applyFill="1"/>
    <xf numFmtId="0" fontId="0" fillId="17" borderId="1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/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14" fontId="0" fillId="2" borderId="34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0" fillId="0" borderId="0" xfId="0" applyFont="1" applyFill="1" applyAlignment="1">
      <alignment horizontal="left"/>
    </xf>
    <xf numFmtId="0" fontId="30" fillId="0" borderId="0" xfId="0" applyFont="1" applyFill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1" fillId="0" borderId="57" xfId="0" applyFont="1" applyBorder="1" applyAlignment="1">
      <alignment horizontal="center" vertical="center" wrapText="1"/>
    </xf>
    <xf numFmtId="0" fontId="31" fillId="2" borderId="58" xfId="0" applyFont="1" applyFill="1" applyBorder="1" applyAlignment="1">
      <alignment horizontal="center" vertical="center" wrapText="1"/>
    </xf>
    <xf numFmtId="0" fontId="5" fillId="10" borderId="58" xfId="0" applyFont="1" applyFill="1" applyBorder="1" applyAlignment="1">
      <alignment horizontal="center" vertical="center" wrapText="1"/>
    </xf>
    <xf numFmtId="0" fontId="31" fillId="2" borderId="59" xfId="0" applyFont="1" applyFill="1" applyBorder="1" applyAlignment="1">
      <alignment horizontal="center" vertical="center" wrapText="1"/>
    </xf>
    <xf numFmtId="0" fontId="31" fillId="2" borderId="60" xfId="0" applyFont="1" applyFill="1" applyBorder="1" applyAlignment="1">
      <alignment horizontal="center" vertical="center" wrapText="1"/>
    </xf>
    <xf numFmtId="2" fontId="31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1" fillId="2" borderId="61" xfId="0" applyNumberFormat="1" applyFont="1" applyFill="1" applyBorder="1" applyAlignment="1">
      <alignment horizontal="center" vertical="center" wrapText="1"/>
    </xf>
    <xf numFmtId="0" fontId="31" fillId="0" borderId="60" xfId="0" applyFont="1" applyBorder="1" applyAlignment="1">
      <alignment horizontal="center" vertical="center" wrapText="1"/>
    </xf>
    <xf numFmtId="2" fontId="31" fillId="0" borderId="1" xfId="0" applyNumberFormat="1" applyFont="1" applyBorder="1" applyAlignment="1">
      <alignment horizontal="center" vertical="center" wrapText="1"/>
    </xf>
    <xf numFmtId="0" fontId="5" fillId="2" borderId="60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2" fillId="0" borderId="61" xfId="0" applyNumberFormat="1" applyFont="1" applyBorder="1" applyAlignment="1">
      <alignment horizontal="center" vertical="center"/>
    </xf>
    <xf numFmtId="2" fontId="28" fillId="0" borderId="0" xfId="0" applyNumberFormat="1" applyFont="1" applyBorder="1" applyAlignment="1">
      <alignment horizontal="center"/>
    </xf>
    <xf numFmtId="2" fontId="28" fillId="0" borderId="65" xfId="0" applyNumberFormat="1" applyFont="1" applyFill="1" applyBorder="1" applyAlignment="1">
      <alignment horizontal="center"/>
    </xf>
    <xf numFmtId="2" fontId="28" fillId="0" borderId="0" xfId="0" applyNumberFormat="1" applyFont="1" applyFill="1" applyBorder="1" applyAlignment="1">
      <alignment horizontal="center"/>
    </xf>
    <xf numFmtId="2" fontId="27" fillId="0" borderId="65" xfId="0" applyNumberFormat="1" applyFont="1" applyFill="1" applyBorder="1" applyAlignment="1">
      <alignment vertical="center"/>
    </xf>
    <xf numFmtId="10" fontId="27" fillId="0" borderId="66" xfId="0" applyNumberFormat="1" applyFont="1" applyFill="1" applyBorder="1" applyAlignment="1">
      <alignment vertical="center"/>
    </xf>
    <xf numFmtId="2" fontId="27" fillId="0" borderId="0" xfId="0" applyNumberFormat="1" applyFont="1" applyFill="1" applyBorder="1" applyAlignment="1">
      <alignment vertical="center"/>
    </xf>
    <xf numFmtId="10" fontId="27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19" borderId="1" xfId="0" applyFont="1" applyFill="1" applyBorder="1" applyAlignment="1">
      <alignment horizontal="center" vertical="center"/>
    </xf>
    <xf numFmtId="0" fontId="17" fillId="20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/>
    </xf>
    <xf numFmtId="2" fontId="27" fillId="5" borderId="1" xfId="0" applyNumberFormat="1" applyFont="1" applyFill="1" applyBorder="1" applyAlignment="1">
      <alignment vertical="center"/>
    </xf>
    <xf numFmtId="10" fontId="27" fillId="5" borderId="1" xfId="0" applyNumberFormat="1" applyFont="1" applyFill="1" applyBorder="1" applyAlignment="1">
      <alignment vertical="center"/>
    </xf>
    <xf numFmtId="2" fontId="27" fillId="5" borderId="1" xfId="0" applyNumberFormat="1" applyFont="1" applyFill="1" applyBorder="1" applyAlignment="1">
      <alignment horizontal="center" vertical="center"/>
    </xf>
    <xf numFmtId="10" fontId="27" fillId="5" borderId="1" xfId="0" applyNumberFormat="1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19" borderId="34" xfId="0" applyFont="1" applyFill="1" applyBorder="1" applyAlignment="1">
      <alignment horizontal="center" vertical="center" wrapText="1"/>
    </xf>
    <xf numFmtId="0" fontId="1" fillId="19" borderId="0" xfId="0" applyFont="1" applyFill="1"/>
    <xf numFmtId="0" fontId="1" fillId="19" borderId="0" xfId="0" quotePrefix="1" applyFont="1" applyFill="1"/>
    <xf numFmtId="0" fontId="1" fillId="19" borderId="0" xfId="0" applyFont="1" applyFill="1" applyAlignment="1">
      <alignment horizontal="left" vertical="center"/>
    </xf>
    <xf numFmtId="164" fontId="1" fillId="19" borderId="1" xfId="0" applyNumberFormat="1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1" fillId="19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1" fillId="14" borderId="1" xfId="0" applyNumberFormat="1" applyFont="1" applyFill="1" applyBorder="1" applyAlignment="1">
      <alignment horizontal="center" vertical="center"/>
    </xf>
    <xf numFmtId="164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Fill="1" applyBorder="1" applyAlignment="1">
      <alignment horizontal="center" vertical="center"/>
    </xf>
    <xf numFmtId="0" fontId="0" fillId="14" borderId="1" xfId="0" applyFill="1" applyBorder="1"/>
    <xf numFmtId="0" fontId="1" fillId="1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 wrapText="1"/>
    </xf>
    <xf numFmtId="2" fontId="28" fillId="0" borderId="29" xfId="0" applyNumberFormat="1" applyFont="1" applyBorder="1" applyAlignment="1">
      <alignment horizontal="center"/>
    </xf>
    <xf numFmtId="2" fontId="27" fillId="5" borderId="29" xfId="0" applyNumberFormat="1" applyFont="1" applyFill="1" applyBorder="1" applyAlignment="1">
      <alignment horizontal="center" vertical="center"/>
    </xf>
    <xf numFmtId="10" fontId="27" fillId="5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2" fontId="1" fillId="0" borderId="0" xfId="0" applyNumberFormat="1" applyFont="1" applyFill="1" applyBorder="1" applyAlignment="1">
      <alignment horizontal="center"/>
    </xf>
    <xf numFmtId="9" fontId="0" fillId="0" borderId="0" xfId="0" applyNumberFormat="1" applyFill="1" applyBorder="1"/>
    <xf numFmtId="0" fontId="0" fillId="0" borderId="0" xfId="0" applyFill="1" applyBorder="1" applyAlignment="1">
      <alignment wrapText="1"/>
    </xf>
    <xf numFmtId="0" fontId="6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top" wrapText="1"/>
    </xf>
    <xf numFmtId="0" fontId="35" fillId="0" borderId="1" xfId="0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wrapText="1"/>
    </xf>
    <xf numFmtId="0" fontId="36" fillId="21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left" vertical="center"/>
    </xf>
    <xf numFmtId="4" fontId="35" fillId="0" borderId="1" xfId="0" applyNumberFormat="1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vertical="center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21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16" fillId="18" borderId="1" xfId="0" applyFont="1" applyFill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35" fillId="0" borderId="1" xfId="0" applyFont="1" applyFill="1" applyBorder="1" applyAlignment="1">
      <alignment horizontal="center" vertical="center" wrapText="1"/>
    </xf>
    <xf numFmtId="2" fontId="35" fillId="0" borderId="1" xfId="0" applyNumberFormat="1" applyFont="1" applyFill="1" applyBorder="1" applyAlignment="1">
      <alignment horizontal="center" vertical="center"/>
    </xf>
    <xf numFmtId="4" fontId="35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66" fontId="1" fillId="0" borderId="0" xfId="0" applyNumberFormat="1" applyFont="1"/>
    <xf numFmtId="14" fontId="1" fillId="0" borderId="0" xfId="0" applyNumberFormat="1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14" borderId="0" xfId="0" applyFill="1"/>
    <xf numFmtId="0" fontId="1" fillId="14" borderId="0" xfId="0" applyFont="1" applyFill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NumberFormat="1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67" xfId="0" applyFill="1" applyBorder="1" applyAlignment="1">
      <alignment horizontal="center" vertical="center" wrapText="1"/>
    </xf>
    <xf numFmtId="0" fontId="0" fillId="0" borderId="68" xfId="0" applyFill="1" applyBorder="1" applyAlignment="1">
      <alignment horizontal="center" vertical="center" wrapText="1"/>
    </xf>
    <xf numFmtId="2" fontId="0" fillId="0" borderId="69" xfId="0" applyNumberFormat="1" applyFill="1" applyBorder="1" applyAlignment="1">
      <alignment horizontal="center" vertical="center"/>
    </xf>
    <xf numFmtId="2" fontId="0" fillId="0" borderId="70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7" fillId="0" borderId="71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 wrapText="1"/>
    </xf>
    <xf numFmtId="0" fontId="37" fillId="0" borderId="72" xfId="0" applyFont="1" applyBorder="1" applyAlignment="1">
      <alignment horizontal="center" vertical="center"/>
    </xf>
    <xf numFmtId="0" fontId="37" fillId="22" borderId="39" xfId="0" applyFont="1" applyFill="1" applyBorder="1" applyAlignment="1">
      <alignment horizontal="center" vertical="center"/>
    </xf>
    <xf numFmtId="0" fontId="37" fillId="0" borderId="39" xfId="0" applyFont="1" applyBorder="1" applyAlignment="1">
      <alignment horizontal="center" vertical="center"/>
    </xf>
    <xf numFmtId="0" fontId="37" fillId="22" borderId="73" xfId="0" applyFont="1" applyFill="1" applyBorder="1" applyAlignment="1">
      <alignment vertical="center" wrapText="1"/>
    </xf>
    <xf numFmtId="0" fontId="38" fillId="0" borderId="39" xfId="0" applyFont="1" applyBorder="1" applyAlignment="1">
      <alignment horizontal="center" vertical="center"/>
    </xf>
    <xf numFmtId="0" fontId="37" fillId="0" borderId="3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2" fontId="17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165" fontId="0" fillId="14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9" fillId="0" borderId="40" xfId="0" applyFont="1" applyBorder="1" applyAlignment="1">
      <alignment horizontal="center" vertical="center"/>
    </xf>
    <xf numFmtId="0" fontId="39" fillId="0" borderId="8" xfId="0" applyFont="1" applyBorder="1" applyAlignment="1">
      <alignment horizontal="center" vertical="center"/>
    </xf>
    <xf numFmtId="0" fontId="39" fillId="0" borderId="45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9" fillId="0" borderId="0" xfId="0" applyFont="1" applyBorder="1" applyAlignment="1">
      <alignment vertical="center" wrapText="1"/>
    </xf>
    <xf numFmtId="167" fontId="39" fillId="0" borderId="40" xfId="0" applyNumberFormat="1" applyFont="1" applyBorder="1" applyAlignment="1">
      <alignment horizontal="center" vertical="center"/>
    </xf>
    <xf numFmtId="167" fontId="39" fillId="0" borderId="8" xfId="0" quotePrefix="1" applyNumberFormat="1" applyFont="1" applyBorder="1" applyAlignment="1">
      <alignment horizontal="center" vertical="center"/>
    </xf>
    <xf numFmtId="167" fontId="39" fillId="0" borderId="3" xfId="0" quotePrefix="1" applyNumberFormat="1" applyFont="1" applyBorder="1" applyAlignment="1">
      <alignment horizontal="center" vertical="center"/>
    </xf>
    <xf numFmtId="0" fontId="21" fillId="0" borderId="8" xfId="0" applyFont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14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14" borderId="1" xfId="0" applyFont="1" applyFill="1" applyBorder="1"/>
    <xf numFmtId="0" fontId="0" fillId="14" borderId="0" xfId="0" applyFont="1" applyFill="1"/>
    <xf numFmtId="0" fontId="0" fillId="0" borderId="1" xfId="0" applyFont="1" applyFill="1" applyBorder="1" applyAlignment="1">
      <alignment horizontal="center" vertical="center"/>
    </xf>
    <xf numFmtId="0" fontId="0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39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14" fontId="1" fillId="17" borderId="1" xfId="0" applyNumberFormat="1" applyFont="1" applyFill="1" applyBorder="1" applyAlignment="1">
      <alignment horizontal="center" vertical="center"/>
    </xf>
    <xf numFmtId="166" fontId="1" fillId="17" borderId="1" xfId="0" applyNumberFormat="1" applyFont="1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14" fontId="0" fillId="0" borderId="0" xfId="0" applyNumberFormat="1"/>
    <xf numFmtId="14" fontId="0" fillId="0" borderId="10" xfId="0" applyNumberFormat="1" applyFill="1" applyBorder="1" applyAlignment="1">
      <alignment horizontal="center" vertical="center"/>
    </xf>
    <xf numFmtId="0" fontId="1" fillId="17" borderId="10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/>
    <xf numFmtId="0" fontId="0" fillId="2" borderId="34" xfId="0" applyFill="1" applyBorder="1" applyAlignment="1">
      <alignment horizontal="center" vertical="center"/>
    </xf>
    <xf numFmtId="0" fontId="0" fillId="2" borderId="10" xfId="0" applyNumberFormat="1" applyFill="1" applyBorder="1" applyAlignment="1">
      <alignment horizontal="center" vertical="center"/>
    </xf>
    <xf numFmtId="14" fontId="0" fillId="2" borderId="36" xfId="0" applyNumberForma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14" fontId="1" fillId="6" borderId="1" xfId="0" applyNumberFormat="1" applyFont="1" applyFill="1" applyBorder="1" applyAlignment="1">
      <alignment horizontal="center" vertical="center"/>
    </xf>
    <xf numFmtId="14" fontId="0" fillId="2" borderId="2" xfId="0" applyNumberFormat="1" applyFill="1" applyBorder="1" applyAlignment="1">
      <alignment horizontal="center" vertical="center"/>
    </xf>
    <xf numFmtId="14" fontId="1" fillId="17" borderId="10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14" fontId="1" fillId="17" borderId="7" xfId="0" applyNumberFormat="1" applyFon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5" borderId="9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7" fillId="0" borderId="35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3" fillId="2" borderId="43" xfId="0" quotePrefix="1" applyFont="1" applyFill="1" applyBorder="1" applyAlignment="1">
      <alignment horizontal="center" vertical="center"/>
    </xf>
    <xf numFmtId="0" fontId="23" fillId="2" borderId="44" xfId="0" quotePrefix="1" applyFont="1" applyFill="1" applyBorder="1" applyAlignment="1">
      <alignment horizontal="center" vertical="center"/>
    </xf>
    <xf numFmtId="0" fontId="23" fillId="2" borderId="45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" fontId="2" fillId="0" borderId="1" xfId="0" quotePrefix="1" applyNumberFormat="1" applyFont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3" fillId="2" borderId="51" xfId="0" applyFont="1" applyFill="1" applyBorder="1" applyAlignment="1">
      <alignment horizontal="center" vertical="center"/>
    </xf>
    <xf numFmtId="0" fontId="23" fillId="2" borderId="49" xfId="0" applyFont="1" applyFill="1" applyBorder="1" applyAlignment="1">
      <alignment horizontal="center" vertical="center"/>
    </xf>
    <xf numFmtId="0" fontId="23" fillId="2" borderId="52" xfId="0" applyFont="1" applyFill="1" applyBorder="1" applyAlignment="1">
      <alignment horizontal="center" vertical="center"/>
    </xf>
    <xf numFmtId="0" fontId="2" fillId="2" borderId="41" xfId="0" quotePrefix="1" applyFont="1" applyFill="1" applyBorder="1" applyAlignment="1">
      <alignment horizontal="center" vertical="center"/>
    </xf>
    <xf numFmtId="0" fontId="2" fillId="2" borderId="27" xfId="0" quotePrefix="1" applyFont="1" applyFill="1" applyBorder="1" applyAlignment="1">
      <alignment horizontal="center" vertical="center"/>
    </xf>
    <xf numFmtId="0" fontId="2" fillId="2" borderId="42" xfId="0" quotePrefix="1" applyFont="1" applyFill="1" applyBorder="1" applyAlignment="1">
      <alignment horizontal="center" vertical="center"/>
    </xf>
    <xf numFmtId="0" fontId="23" fillId="2" borderId="48" xfId="0" quotePrefix="1" applyFont="1" applyFill="1" applyBorder="1" applyAlignment="1">
      <alignment horizontal="center" vertical="center"/>
    </xf>
    <xf numFmtId="0" fontId="23" fillId="2" borderId="49" xfId="0" quotePrefix="1" applyFont="1" applyFill="1" applyBorder="1" applyAlignment="1">
      <alignment horizontal="center" vertical="center"/>
    </xf>
    <xf numFmtId="0" fontId="23" fillId="2" borderId="50" xfId="0" quotePrefix="1" applyFont="1" applyFill="1" applyBorder="1" applyAlignment="1">
      <alignment horizontal="center" vertical="center"/>
    </xf>
    <xf numFmtId="0" fontId="24" fillId="10" borderId="41" xfId="0" applyFont="1" applyFill="1" applyBorder="1" applyAlignment="1">
      <alignment horizontal="center" vertical="center"/>
    </xf>
    <xf numFmtId="0" fontId="24" fillId="10" borderId="27" xfId="0" applyFont="1" applyFill="1" applyBorder="1" applyAlignment="1">
      <alignment horizontal="center" vertical="center"/>
    </xf>
    <xf numFmtId="0" fontId="24" fillId="10" borderId="28" xfId="0" applyFont="1" applyFill="1" applyBorder="1" applyAlignment="1">
      <alignment horizontal="center" vertical="center"/>
    </xf>
    <xf numFmtId="0" fontId="25" fillId="10" borderId="48" xfId="0" applyFont="1" applyFill="1" applyBorder="1" applyAlignment="1">
      <alignment horizontal="center" vertical="center"/>
    </xf>
    <xf numFmtId="0" fontId="25" fillId="10" borderId="49" xfId="0" applyFont="1" applyFill="1" applyBorder="1" applyAlignment="1">
      <alignment horizontal="center" vertical="center"/>
    </xf>
    <xf numFmtId="0" fontId="25" fillId="10" borderId="52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5" borderId="1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7" fillId="5" borderId="8" xfId="0" quotePrefix="1" applyFont="1" applyFill="1" applyBorder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12" fillId="8" borderId="0" xfId="0" applyFont="1" applyFill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6" fillId="2" borderId="21" xfId="0" quotePrefix="1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21" fillId="2" borderId="26" xfId="0" applyFont="1" applyFill="1" applyBorder="1" applyAlignment="1">
      <alignment horizontal="center"/>
    </xf>
    <xf numFmtId="0" fontId="21" fillId="2" borderId="27" xfId="0" applyFont="1" applyFill="1" applyBorder="1" applyAlignment="1">
      <alignment horizontal="center"/>
    </xf>
    <xf numFmtId="0" fontId="21" fillId="2" borderId="46" xfId="0" applyFont="1" applyFill="1" applyBorder="1" applyAlignment="1">
      <alignment horizontal="center"/>
    </xf>
    <xf numFmtId="0" fontId="21" fillId="2" borderId="42" xfId="0" applyFont="1" applyFill="1" applyBorder="1" applyAlignment="1">
      <alignment horizontal="center"/>
    </xf>
    <xf numFmtId="0" fontId="21" fillId="2" borderId="53" xfId="0" applyFont="1" applyFill="1" applyBorder="1" applyAlignment="1">
      <alignment horizontal="center"/>
    </xf>
    <xf numFmtId="0" fontId="21" fillId="2" borderId="54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23" fillId="2" borderId="48" xfId="0" applyFont="1" applyFill="1" applyBorder="1" applyAlignment="1">
      <alignment horizontal="center" vertical="center"/>
    </xf>
    <xf numFmtId="0" fontId="23" fillId="2" borderId="50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7" fillId="5" borderId="25" xfId="0" quotePrefix="1" applyFont="1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23" fillId="2" borderId="37" xfId="0" applyFont="1" applyFill="1" applyBorder="1" applyAlignment="1">
      <alignment horizontal="center" vertical="center"/>
    </xf>
    <xf numFmtId="0" fontId="23" fillId="2" borderId="38" xfId="0" applyFont="1" applyFill="1" applyBorder="1" applyAlignment="1">
      <alignment horizontal="center" vertical="center"/>
    </xf>
    <xf numFmtId="0" fontId="23" fillId="2" borderId="3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29" xfId="0" applyFill="1" applyBorder="1" applyAlignment="1">
      <alignment horizontal="left"/>
    </xf>
    <xf numFmtId="0" fontId="7" fillId="2" borderId="14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 vertical="center"/>
    </xf>
    <xf numFmtId="2" fontId="1" fillId="5" borderId="1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2" fontId="1" fillId="5" borderId="7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/>
    </xf>
    <xf numFmtId="0" fontId="0" fillId="0" borderId="0" xfId="0" applyAlignment="1">
      <alignment horizontal="center" wrapText="1"/>
    </xf>
    <xf numFmtId="16" fontId="33" fillId="2" borderId="3" xfId="0" quotePrefix="1" applyNumberFormat="1" applyFont="1" applyFill="1" applyBorder="1" applyAlignment="1">
      <alignment horizontal="left" vertical="top" wrapText="1"/>
    </xf>
    <xf numFmtId="0" fontId="5" fillId="2" borderId="62" xfId="0" applyFont="1" applyFill="1" applyBorder="1" applyAlignment="1">
      <alignment horizontal="center" vertical="center" wrapText="1"/>
    </xf>
    <xf numFmtId="0" fontId="5" fillId="2" borderId="64" xfId="0" applyFont="1" applyFill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center" vertical="center" wrapText="1"/>
    </xf>
    <xf numFmtId="167" fontId="39" fillId="0" borderId="43" xfId="0" quotePrefix="1" applyNumberFormat="1" applyFont="1" applyBorder="1" applyAlignment="1">
      <alignment horizontal="center" vertical="center"/>
    </xf>
    <xf numFmtId="167" fontId="39" fillId="0" borderId="44" xfId="0" quotePrefix="1" applyNumberFormat="1" applyFont="1" applyBorder="1" applyAlignment="1">
      <alignment horizontal="center" vertical="center"/>
    </xf>
    <xf numFmtId="167" fontId="40" fillId="0" borderId="0" xfId="0" applyNumberFormat="1" applyFont="1" applyBorder="1" applyAlignment="1">
      <alignment horizontal="center" vertical="center" wrapText="1"/>
    </xf>
    <xf numFmtId="164" fontId="1" fillId="19" borderId="10" xfId="0" applyNumberFormat="1" applyFont="1" applyFill="1" applyBorder="1" applyAlignment="1">
      <alignment horizontal="center" vertical="center"/>
    </xf>
    <xf numFmtId="164" fontId="1" fillId="19" borderId="34" xfId="0" applyNumberFormat="1" applyFont="1" applyFill="1" applyBorder="1" applyAlignment="1">
      <alignment horizontal="center" vertical="center"/>
    </xf>
    <xf numFmtId="164" fontId="1" fillId="19" borderId="29" xfId="0" applyNumberFormat="1" applyFont="1" applyFill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34" xfId="0" applyNumberFormat="1" applyBorder="1" applyAlignment="1">
      <alignment horizontal="center" vertical="center"/>
    </xf>
    <xf numFmtId="164" fontId="0" fillId="0" borderId="29" xfId="0" applyNumberFormat="1" applyBorder="1" applyAlignment="1">
      <alignment horizontal="center" vertical="center"/>
    </xf>
    <xf numFmtId="165" fontId="0" fillId="0" borderId="10" xfId="0" applyNumberFormat="1" applyFill="1" applyBorder="1" applyAlignment="1">
      <alignment horizontal="center" vertical="center"/>
    </xf>
    <xf numFmtId="165" fontId="0" fillId="0" borderId="34" xfId="0" applyNumberFormat="1" applyFill="1" applyBorder="1" applyAlignment="1">
      <alignment horizontal="center" vertical="center"/>
    </xf>
    <xf numFmtId="165" fontId="0" fillId="0" borderId="29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13" borderId="36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4" xfId="0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34" xfId="0" applyFont="1" applyFill="1" applyBorder="1" applyAlignment="1">
      <alignment horizontal="center" vertical="center"/>
    </xf>
    <xf numFmtId="0" fontId="1" fillId="0" borderId="29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 wrapText="1"/>
    </xf>
    <xf numFmtId="0" fontId="0" fillId="0" borderId="34" xfId="0" applyFill="1" applyBorder="1" applyAlignment="1">
      <alignment horizontal="center" vertical="center" wrapText="1"/>
    </xf>
    <xf numFmtId="0" fontId="0" fillId="0" borderId="29" xfId="0" applyFill="1" applyBorder="1" applyAlignment="1">
      <alignment horizontal="center" vertical="center" wrapText="1"/>
    </xf>
    <xf numFmtId="0" fontId="0" fillId="0" borderId="34" xfId="0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2" fontId="0" fillId="2" borderId="10" xfId="0" applyNumberFormat="1" applyFill="1" applyBorder="1" applyAlignment="1">
      <alignment horizontal="center" vertical="center"/>
    </xf>
    <xf numFmtId="2" fontId="0" fillId="2" borderId="34" xfId="0" applyNumberFormat="1" applyFill="1" applyBorder="1" applyAlignment="1">
      <alignment horizontal="center" vertical="center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34" xfId="0" applyNumberFormat="1" applyFont="1" applyFill="1" applyBorder="1" applyAlignment="1">
      <alignment horizontal="center" vertical="center"/>
    </xf>
    <xf numFmtId="2" fontId="1" fillId="0" borderId="10" xfId="0" applyNumberFormat="1" applyFont="1" applyFill="1" applyBorder="1" applyAlignment="1">
      <alignment horizontal="center" vertical="center"/>
    </xf>
    <xf numFmtId="2" fontId="1" fillId="0" borderId="34" xfId="0" applyNumberFormat="1" applyFont="1" applyFill="1" applyBorder="1" applyAlignment="1">
      <alignment horizontal="center" vertical="center"/>
    </xf>
    <xf numFmtId="2" fontId="1" fillId="0" borderId="29" xfId="0" applyNumberFormat="1" applyFont="1" applyFill="1" applyBorder="1" applyAlignment="1">
      <alignment horizontal="center" vertical="center"/>
    </xf>
    <xf numFmtId="16" fontId="0" fillId="0" borderId="1" xfId="0" applyNumberFormat="1" applyFill="1" applyBorder="1" applyAlignment="1">
      <alignment horizontal="center" vertical="center" wrapText="1"/>
    </xf>
    <xf numFmtId="0" fontId="1" fillId="17" borderId="56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" fillId="17" borderId="9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2" fontId="0" fillId="0" borderId="10" xfId="0" applyNumberFormat="1" applyFill="1" applyBorder="1" applyAlignment="1">
      <alignment horizontal="center" vertical="center"/>
    </xf>
    <xf numFmtId="2" fontId="0" fillId="0" borderId="34" xfId="0" applyNumberFormat="1" applyFill="1" applyBorder="1" applyAlignment="1">
      <alignment horizontal="center" vertical="center"/>
    </xf>
    <xf numFmtId="2" fontId="0" fillId="0" borderId="29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14" fontId="0" fillId="17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14" fontId="0" fillId="18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</cellXfs>
  <cellStyles count="1">
    <cellStyle name="Normal" xfId="0" builtinId="0"/>
  </cellStyles>
  <dxfs count="206"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F4EE7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J255"/>
  <sheetViews>
    <sheetView zoomScaleNormal="100" workbookViewId="0">
      <pane ySplit="4" topLeftCell="A101" activePane="bottomLeft" state="frozen"/>
      <selection activeCell="AE129" sqref="AE129"/>
      <selection pane="bottomLeft" activeCell="E124" sqref="E124"/>
    </sheetView>
  </sheetViews>
  <sheetFormatPr baseColWidth="10" defaultRowHeight="15" x14ac:dyDescent="0.25"/>
  <cols>
    <col min="2" max="2" width="11.140625" customWidth="1"/>
    <col min="3" max="3" width="35.42578125" customWidth="1"/>
    <col min="4" max="4" width="12.140625" customWidth="1"/>
    <col min="5" max="5" width="32.5703125" customWidth="1"/>
    <col min="6" max="6" width="11.42578125" customWidth="1"/>
    <col min="7" max="7" width="13.28515625" customWidth="1"/>
    <col min="8" max="8" width="11.7109375" customWidth="1"/>
    <col min="9" max="9" width="7.42578125" hidden="1" customWidth="1"/>
    <col min="11" max="11" width="13.140625" customWidth="1"/>
    <col min="13" max="13" width="35.140625" customWidth="1"/>
    <col min="14" max="16" width="14.28515625" hidden="1" customWidth="1"/>
    <col min="17" max="20" width="14.28515625" customWidth="1"/>
    <col min="25" max="25" width="8.7109375" customWidth="1"/>
    <col min="26" max="26" width="9.5703125" customWidth="1"/>
    <col min="31" max="31" width="13.28515625" customWidth="1"/>
  </cols>
  <sheetData>
    <row r="1" spans="1:36" ht="14.45" customHeight="1" x14ac:dyDescent="0.25">
      <c r="A1" s="632" t="s">
        <v>0</v>
      </c>
      <c r="B1" s="632"/>
      <c r="C1" s="632"/>
      <c r="D1" s="632"/>
      <c r="E1" s="632"/>
      <c r="F1" s="632"/>
      <c r="G1" s="632"/>
      <c r="H1" s="632"/>
      <c r="I1" s="632"/>
      <c r="J1" s="632"/>
      <c r="K1" s="632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6" ht="14.45" customHeight="1" x14ac:dyDescent="0.25">
      <c r="A2" s="632"/>
      <c r="B2" s="632"/>
      <c r="C2" s="632"/>
      <c r="D2" s="632"/>
      <c r="E2" s="632"/>
      <c r="F2" s="632"/>
      <c r="G2" s="632"/>
      <c r="H2" s="632"/>
      <c r="I2" s="632"/>
      <c r="J2" s="632"/>
      <c r="K2" s="63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6" ht="14.45" customHeight="1" x14ac:dyDescent="0.25">
      <c r="A3" s="632"/>
      <c r="B3" s="632"/>
      <c r="C3" s="632"/>
      <c r="D3" s="632"/>
      <c r="E3" s="632"/>
      <c r="F3" s="632"/>
      <c r="G3" s="632"/>
      <c r="H3" s="632"/>
      <c r="I3" s="632"/>
      <c r="J3" s="632"/>
      <c r="K3" s="632"/>
      <c r="M3" t="s">
        <v>698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6" ht="30" x14ac:dyDescent="0.25">
      <c r="A4" s="86" t="s">
        <v>95</v>
      </c>
      <c r="B4" s="86" t="s">
        <v>88</v>
      </c>
      <c r="C4" s="87" t="s">
        <v>97</v>
      </c>
      <c r="D4" s="633" t="s">
        <v>2</v>
      </c>
      <c r="E4" s="633"/>
      <c r="F4" s="633"/>
      <c r="G4" s="633"/>
      <c r="H4" s="633"/>
      <c r="I4" s="633"/>
      <c r="J4" s="86" t="s">
        <v>3</v>
      </c>
      <c r="K4" s="283" t="str">
        <f>CONCATENATE(C98,"%")</f>
        <v>10%</v>
      </c>
      <c r="L4" s="6"/>
      <c r="M4" s="6"/>
      <c r="N4" s="469"/>
      <c r="O4" s="469"/>
      <c r="P4" s="469"/>
      <c r="Q4" s="605" t="s">
        <v>586</v>
      </c>
      <c r="R4" s="606"/>
      <c r="S4" s="607"/>
      <c r="T4" s="496"/>
      <c r="U4" s="10"/>
      <c r="X4" s="189"/>
      <c r="Y4" s="189"/>
      <c r="Z4" s="10"/>
      <c r="AA4" s="227"/>
      <c r="AB4" s="10"/>
      <c r="AC4" s="10"/>
      <c r="AD4" s="10"/>
      <c r="AE4" s="10"/>
    </row>
    <row r="5" spans="1:36" ht="38.25" x14ac:dyDescent="0.25">
      <c r="A5" s="72"/>
      <c r="B5" s="72">
        <v>1</v>
      </c>
      <c r="C5" s="72">
        <f>'DETALLE DE VENTAS'!AC281-A5-B5</f>
        <v>0</v>
      </c>
      <c r="D5" s="608" t="s">
        <v>40</v>
      </c>
      <c r="E5" s="609"/>
      <c r="F5" s="609"/>
      <c r="G5" s="609"/>
      <c r="H5" s="610"/>
      <c r="I5" s="241"/>
      <c r="J5" s="236">
        <f>K5/$C$97</f>
        <v>100</v>
      </c>
      <c r="K5" s="236">
        <v>90</v>
      </c>
      <c r="M5" s="455" t="s">
        <v>2</v>
      </c>
      <c r="N5" s="455" t="s">
        <v>87</v>
      </c>
      <c r="O5" s="470" t="s">
        <v>582</v>
      </c>
      <c r="P5" s="470" t="s">
        <v>584</v>
      </c>
      <c r="Q5" s="470" t="s">
        <v>584</v>
      </c>
      <c r="R5" s="470" t="s">
        <v>527</v>
      </c>
      <c r="S5" s="470"/>
      <c r="T5" s="470" t="s">
        <v>583</v>
      </c>
      <c r="U5" s="470"/>
      <c r="V5" s="455"/>
      <c r="W5" s="456" t="s">
        <v>526</v>
      </c>
      <c r="X5" s="457" t="s">
        <v>585</v>
      </c>
      <c r="Y5" s="308"/>
      <c r="Z5" s="308"/>
      <c r="AA5" s="428"/>
      <c r="AB5" s="429"/>
      <c r="AC5" s="451"/>
      <c r="AD5" s="443"/>
      <c r="AE5" s="443"/>
      <c r="AF5" s="443"/>
      <c r="AG5" s="308"/>
      <c r="AH5" s="308"/>
      <c r="AJ5" s="103"/>
    </row>
    <row r="6" spans="1:36" x14ac:dyDescent="0.25">
      <c r="A6" s="242"/>
      <c r="B6" s="242">
        <v>6</v>
      </c>
      <c r="C6" s="242">
        <f>'DETALLE DE VENTAS'!Q306-B6-A6</f>
        <v>0</v>
      </c>
      <c r="D6" s="629" t="s">
        <v>253</v>
      </c>
      <c r="E6" s="630"/>
      <c r="F6" s="630"/>
      <c r="G6" s="630"/>
      <c r="H6" s="631"/>
      <c r="I6" s="243"/>
      <c r="J6" s="271">
        <f t="shared" ref="J6:J36" si="0">K6/$C$97</f>
        <v>17.777777777777779</v>
      </c>
      <c r="K6" s="271">
        <v>16</v>
      </c>
      <c r="M6" s="458" t="s">
        <v>528</v>
      </c>
      <c r="N6" s="455">
        <v>27.9</v>
      </c>
      <c r="O6" s="471">
        <f>N6*1.0625</f>
        <v>29.643749999999997</v>
      </c>
      <c r="P6" s="471">
        <v>25</v>
      </c>
      <c r="Q6" s="471">
        <v>30</v>
      </c>
      <c r="R6" s="471">
        <v>28</v>
      </c>
      <c r="S6" s="471">
        <f>Q6/0.92</f>
        <v>32.608695652173914</v>
      </c>
      <c r="T6" s="471">
        <f>Q6*0.9</f>
        <v>27</v>
      </c>
      <c r="U6" s="471"/>
      <c r="V6" s="459"/>
      <c r="W6" s="460">
        <v>6</v>
      </c>
      <c r="X6" s="460">
        <v>20</v>
      </c>
      <c r="Y6" s="308"/>
      <c r="Z6" s="308"/>
      <c r="AA6" s="428"/>
      <c r="AB6" s="429"/>
      <c r="AC6" s="451"/>
      <c r="AD6" s="443"/>
      <c r="AE6" s="443"/>
      <c r="AF6" s="443"/>
      <c r="AG6" s="308"/>
      <c r="AH6" s="308"/>
    </row>
    <row r="7" spans="1:36" x14ac:dyDescent="0.25">
      <c r="A7" s="242"/>
      <c r="B7" s="242">
        <v>8</v>
      </c>
      <c r="C7" s="242">
        <f>'DETALLE DE VENTAS'!Q307-B7-A7</f>
        <v>0</v>
      </c>
      <c r="D7" s="629" t="s">
        <v>248</v>
      </c>
      <c r="E7" s="630"/>
      <c r="F7" s="630"/>
      <c r="G7" s="630"/>
      <c r="H7" s="631"/>
      <c r="I7" s="243"/>
      <c r="J7" s="271">
        <f t="shared" si="0"/>
        <v>18.888888888888889</v>
      </c>
      <c r="K7" s="271">
        <v>17</v>
      </c>
      <c r="M7" s="458" t="s">
        <v>529</v>
      </c>
      <c r="N7" s="455">
        <v>12.53</v>
      </c>
      <c r="O7" s="471">
        <f t="shared" ref="O7:O29" si="1">N7*1.0625</f>
        <v>13.313124999999999</v>
      </c>
      <c r="P7" s="471">
        <v>13</v>
      </c>
      <c r="Q7" s="471">
        <v>14</v>
      </c>
      <c r="R7" s="471">
        <v>12.5</v>
      </c>
      <c r="S7" s="471">
        <f t="shared" ref="S7:S29" si="2">Q7/0.92</f>
        <v>15.217391304347826</v>
      </c>
      <c r="T7" s="471">
        <f t="shared" ref="T7:T29" si="3">Q7*0.9</f>
        <v>12.6</v>
      </c>
      <c r="U7" s="471"/>
      <c r="V7" s="459"/>
      <c r="W7" s="460">
        <v>12</v>
      </c>
      <c r="X7" s="460">
        <v>40</v>
      </c>
      <c r="Y7" s="308"/>
      <c r="Z7" s="308"/>
      <c r="AA7" s="428"/>
      <c r="AB7" s="429"/>
      <c r="AC7" s="451"/>
      <c r="AD7" s="443"/>
      <c r="AE7" s="443"/>
      <c r="AF7" s="443"/>
      <c r="AG7" s="308"/>
      <c r="AH7" s="308"/>
    </row>
    <row r="8" spans="1:36" x14ac:dyDescent="0.25">
      <c r="A8" s="242"/>
      <c r="B8" s="242">
        <v>6</v>
      </c>
      <c r="C8" s="242">
        <f>'DETALLE DE VENTAS'!Q308-B8-A8</f>
        <v>0</v>
      </c>
      <c r="D8" s="629" t="s">
        <v>254</v>
      </c>
      <c r="E8" s="630"/>
      <c r="F8" s="630"/>
      <c r="G8" s="630"/>
      <c r="H8" s="630"/>
      <c r="I8" s="244"/>
      <c r="J8" s="271">
        <f t="shared" si="0"/>
        <v>37.777777777777779</v>
      </c>
      <c r="K8" s="271">
        <v>34</v>
      </c>
      <c r="M8" s="458" t="s">
        <v>530</v>
      </c>
      <c r="N8" s="455">
        <v>7.04</v>
      </c>
      <c r="O8" s="471">
        <f t="shared" si="1"/>
        <v>7.48</v>
      </c>
      <c r="P8" s="471">
        <v>7</v>
      </c>
      <c r="Q8" s="471">
        <v>8</v>
      </c>
      <c r="R8" s="471">
        <v>7</v>
      </c>
      <c r="S8" s="471">
        <f t="shared" si="2"/>
        <v>8.695652173913043</v>
      </c>
      <c r="T8" s="471">
        <f t="shared" si="3"/>
        <v>7.2</v>
      </c>
      <c r="U8" s="471"/>
      <c r="V8" s="459"/>
      <c r="W8" s="460">
        <v>12</v>
      </c>
      <c r="X8" s="460">
        <v>40</v>
      </c>
      <c r="Y8" s="308"/>
      <c r="Z8" s="308"/>
      <c r="AA8" s="428"/>
      <c r="AB8" s="429"/>
      <c r="AC8" s="451"/>
      <c r="AD8" s="443"/>
      <c r="AE8" s="443"/>
      <c r="AF8" s="443"/>
      <c r="AG8" s="308"/>
      <c r="AH8" s="308"/>
      <c r="AI8" s="8"/>
      <c r="AJ8" s="8"/>
    </row>
    <row r="9" spans="1:36" x14ac:dyDescent="0.25">
      <c r="A9" s="72"/>
      <c r="B9" s="72">
        <v>0</v>
      </c>
      <c r="C9" s="72">
        <f>'DETALLE DE VENTAS'!AC266-A9-B9</f>
        <v>0</v>
      </c>
      <c r="D9" s="608" t="s">
        <v>27</v>
      </c>
      <c r="E9" s="609"/>
      <c r="F9" s="609"/>
      <c r="G9" s="609"/>
      <c r="H9" s="609"/>
      <c r="I9" s="235"/>
      <c r="J9" s="236">
        <f t="shared" si="0"/>
        <v>144.44444444444443</v>
      </c>
      <c r="K9" s="236">
        <v>130</v>
      </c>
      <c r="M9" s="458" t="s">
        <v>306</v>
      </c>
      <c r="N9" s="455">
        <v>32.22</v>
      </c>
      <c r="O9" s="471">
        <f t="shared" si="1"/>
        <v>34.233750000000001</v>
      </c>
      <c r="P9" s="471">
        <v>30</v>
      </c>
      <c r="Q9" s="471">
        <v>34</v>
      </c>
      <c r="R9" s="471">
        <v>32</v>
      </c>
      <c r="S9" s="471">
        <f t="shared" si="2"/>
        <v>36.95652173913043</v>
      </c>
      <c r="T9" s="471">
        <f t="shared" si="3"/>
        <v>30.6</v>
      </c>
      <c r="U9" s="471"/>
      <c r="V9" s="459"/>
      <c r="W9" s="460">
        <v>6</v>
      </c>
      <c r="X9" s="460">
        <v>20</v>
      </c>
      <c r="Y9" s="308"/>
      <c r="Z9" s="308"/>
      <c r="AA9" s="428"/>
      <c r="AB9" s="429"/>
      <c r="AC9" s="451"/>
      <c r="AD9" s="443"/>
      <c r="AE9" s="443"/>
      <c r="AF9" s="443"/>
      <c r="AG9" s="308"/>
      <c r="AH9" s="308"/>
      <c r="AI9" s="8"/>
      <c r="AJ9" s="8"/>
    </row>
    <row r="10" spans="1:36" x14ac:dyDescent="0.25">
      <c r="A10" s="72"/>
      <c r="B10" s="72">
        <v>5</v>
      </c>
      <c r="C10" s="72">
        <f>'DETALLE DE VENTAS'!AC268-A10-B10</f>
        <v>0</v>
      </c>
      <c r="D10" s="608" t="s">
        <v>29</v>
      </c>
      <c r="E10" s="609"/>
      <c r="F10" s="609"/>
      <c r="G10" s="609"/>
      <c r="H10" s="609"/>
      <c r="I10" s="235"/>
      <c r="J10" s="236">
        <f t="shared" si="0"/>
        <v>144.44444444444443</v>
      </c>
      <c r="K10" s="236">
        <v>130</v>
      </c>
      <c r="M10" s="458" t="s">
        <v>315</v>
      </c>
      <c r="N10" s="455">
        <v>10.81</v>
      </c>
      <c r="O10" s="471">
        <f t="shared" si="1"/>
        <v>11.485625000000001</v>
      </c>
      <c r="P10" s="471">
        <v>11</v>
      </c>
      <c r="Q10" s="471">
        <v>12</v>
      </c>
      <c r="R10" s="471">
        <v>11</v>
      </c>
      <c r="S10" s="471">
        <f t="shared" si="2"/>
        <v>13.043478260869565</v>
      </c>
      <c r="T10" s="471">
        <f t="shared" si="3"/>
        <v>10.8</v>
      </c>
      <c r="U10" s="471"/>
      <c r="V10" s="459"/>
      <c r="W10" s="460">
        <v>12</v>
      </c>
      <c r="X10" s="460">
        <v>40</v>
      </c>
      <c r="Y10" s="308"/>
      <c r="Z10" s="308"/>
      <c r="AA10" s="308"/>
      <c r="AB10" s="429"/>
      <c r="AC10" s="427"/>
      <c r="AD10" s="427"/>
      <c r="AE10" s="427"/>
      <c r="AF10" s="427"/>
      <c r="AG10" s="427"/>
      <c r="AH10" s="427"/>
      <c r="AI10" s="436">
        <v>100</v>
      </c>
      <c r="AJ10" s="8"/>
    </row>
    <row r="11" spans="1:36" x14ac:dyDescent="0.25">
      <c r="A11" s="72"/>
      <c r="B11" s="72">
        <v>6</v>
      </c>
      <c r="C11" s="72">
        <f>'DETALLE DE VENTAS'!AC270-A11-B11</f>
        <v>0</v>
      </c>
      <c r="D11" s="608" t="s">
        <v>30</v>
      </c>
      <c r="E11" s="609"/>
      <c r="F11" s="609"/>
      <c r="G11" s="609"/>
      <c r="H11" s="610"/>
      <c r="I11" s="237"/>
      <c r="J11" s="236">
        <f t="shared" si="0"/>
        <v>144.44444444444443</v>
      </c>
      <c r="K11" s="236">
        <v>130</v>
      </c>
      <c r="M11" s="458" t="s">
        <v>531</v>
      </c>
      <c r="N11" s="455">
        <v>39.99</v>
      </c>
      <c r="O11" s="471">
        <f t="shared" si="1"/>
        <v>42.489375000000003</v>
      </c>
      <c r="P11" s="471">
        <v>42</v>
      </c>
      <c r="Q11" s="471">
        <v>40</v>
      </c>
      <c r="R11" s="471">
        <v>40</v>
      </c>
      <c r="S11" s="471">
        <f t="shared" si="2"/>
        <v>43.478260869565219</v>
      </c>
      <c r="T11" s="471">
        <f t="shared" si="3"/>
        <v>36</v>
      </c>
      <c r="U11" s="471"/>
      <c r="V11" s="459"/>
      <c r="W11" s="460">
        <v>6</v>
      </c>
      <c r="X11" s="460">
        <v>20</v>
      </c>
      <c r="Y11" s="308"/>
      <c r="Z11" s="308"/>
      <c r="AA11" s="308"/>
      <c r="AB11" s="429"/>
      <c r="AC11" s="427"/>
      <c r="AD11" s="427"/>
      <c r="AE11" s="427"/>
      <c r="AF11" s="427"/>
      <c r="AG11" s="427"/>
      <c r="AH11" s="427"/>
      <c r="AI11" s="436">
        <v>300</v>
      </c>
      <c r="AJ11" s="8"/>
    </row>
    <row r="12" spans="1:36" x14ac:dyDescent="0.25">
      <c r="A12" s="72"/>
      <c r="B12" s="72">
        <v>8</v>
      </c>
      <c r="C12" s="72">
        <f>'DETALLE DE VENTAS'!AC267-A12-B12</f>
        <v>0</v>
      </c>
      <c r="D12" s="608" t="s">
        <v>28</v>
      </c>
      <c r="E12" s="609"/>
      <c r="F12" s="609"/>
      <c r="G12" s="609"/>
      <c r="H12" s="610"/>
      <c r="I12" s="237"/>
      <c r="J12" s="236">
        <f t="shared" si="0"/>
        <v>33.333333333333336</v>
      </c>
      <c r="K12" s="236">
        <v>30</v>
      </c>
      <c r="M12" s="458" t="s">
        <v>53</v>
      </c>
      <c r="N12" s="455">
        <v>26.1</v>
      </c>
      <c r="O12" s="471">
        <f t="shared" si="1"/>
        <v>27.731250000000003</v>
      </c>
      <c r="P12" s="471">
        <v>25</v>
      </c>
      <c r="Q12" s="471">
        <v>28</v>
      </c>
      <c r="R12" s="471">
        <v>26</v>
      </c>
      <c r="S12" s="471">
        <f t="shared" si="2"/>
        <v>30.434782608695652</v>
      </c>
      <c r="T12" s="471">
        <f t="shared" si="3"/>
        <v>25.2</v>
      </c>
      <c r="U12" s="471"/>
      <c r="V12" s="459"/>
      <c r="W12" s="460" t="s">
        <v>336</v>
      </c>
      <c r="X12" s="460"/>
      <c r="Y12" s="308"/>
      <c r="Z12" s="308"/>
      <c r="AA12" s="308"/>
      <c r="AB12" s="429"/>
      <c r="AC12" s="427"/>
      <c r="AD12" s="427"/>
      <c r="AE12" s="427"/>
      <c r="AF12" s="427"/>
      <c r="AG12" s="427"/>
      <c r="AH12" s="427"/>
      <c r="AI12" s="436">
        <v>100</v>
      </c>
      <c r="AJ12" s="8"/>
    </row>
    <row r="13" spans="1:36" x14ac:dyDescent="0.25">
      <c r="A13" s="72"/>
      <c r="B13" s="72">
        <v>9</v>
      </c>
      <c r="C13" s="72">
        <f>'DETALLE DE VENTAS'!AC269-A13-B13</f>
        <v>0</v>
      </c>
      <c r="D13" s="608" t="s">
        <v>113</v>
      </c>
      <c r="E13" s="609"/>
      <c r="F13" s="609"/>
      <c r="G13" s="609"/>
      <c r="H13" s="610"/>
      <c r="I13" s="237"/>
      <c r="J13" s="236">
        <f t="shared" si="0"/>
        <v>33.333333333333336</v>
      </c>
      <c r="K13" s="236">
        <v>30</v>
      </c>
      <c r="M13" s="458" t="s">
        <v>532</v>
      </c>
      <c r="N13" s="455">
        <v>7.43</v>
      </c>
      <c r="O13" s="471">
        <f t="shared" si="1"/>
        <v>7.8943750000000001</v>
      </c>
      <c r="P13" s="471">
        <v>8</v>
      </c>
      <c r="Q13" s="471">
        <v>8</v>
      </c>
      <c r="R13" s="471">
        <v>7.5</v>
      </c>
      <c r="S13" s="471">
        <f t="shared" si="2"/>
        <v>8.695652173913043</v>
      </c>
      <c r="T13" s="471">
        <f t="shared" si="3"/>
        <v>7.2</v>
      </c>
      <c r="U13" s="471"/>
      <c r="V13" s="459"/>
      <c r="W13" s="460">
        <v>12</v>
      </c>
      <c r="X13" s="460">
        <v>40</v>
      </c>
      <c r="Y13" s="308"/>
      <c r="Z13" s="308"/>
      <c r="AA13" s="308"/>
      <c r="AB13" s="429"/>
      <c r="AC13" s="427"/>
      <c r="AD13" s="427"/>
      <c r="AE13" s="427"/>
      <c r="AF13" s="427"/>
      <c r="AG13" s="427"/>
      <c r="AH13" s="427"/>
      <c r="AI13" s="436">
        <v>60</v>
      </c>
      <c r="AJ13" s="8"/>
    </row>
    <row r="14" spans="1:36" x14ac:dyDescent="0.25">
      <c r="A14" s="72"/>
      <c r="B14" s="72">
        <v>0</v>
      </c>
      <c r="C14" s="72">
        <f>'DETALLE DE VENTAS'!AC271-A14-B14</f>
        <v>0</v>
      </c>
      <c r="D14" s="608" t="s">
        <v>31</v>
      </c>
      <c r="E14" s="609"/>
      <c r="F14" s="609"/>
      <c r="G14" s="609"/>
      <c r="H14" s="610"/>
      <c r="I14" s="237"/>
      <c r="J14" s="236">
        <f t="shared" si="0"/>
        <v>33.333333333333336</v>
      </c>
      <c r="K14" s="236">
        <v>30</v>
      </c>
      <c r="M14" s="458" t="s">
        <v>307</v>
      </c>
      <c r="N14" s="455">
        <v>39.57</v>
      </c>
      <c r="O14" s="471">
        <f t="shared" si="1"/>
        <v>42.043125000000003</v>
      </c>
      <c r="P14" s="471">
        <v>38</v>
      </c>
      <c r="Q14" s="471">
        <v>42</v>
      </c>
      <c r="R14" s="471">
        <v>39</v>
      </c>
      <c r="S14" s="471">
        <f t="shared" si="2"/>
        <v>45.652173913043477</v>
      </c>
      <c r="T14" s="471">
        <f t="shared" si="3"/>
        <v>37.800000000000004</v>
      </c>
      <c r="U14" s="471"/>
      <c r="V14" s="472"/>
      <c r="W14" s="460">
        <v>6</v>
      </c>
      <c r="X14" s="460">
        <v>20</v>
      </c>
      <c r="Y14" s="433"/>
      <c r="Z14" s="308"/>
      <c r="AA14" s="443"/>
      <c r="AB14" s="443"/>
      <c r="AC14" s="427"/>
      <c r="AD14" s="427"/>
      <c r="AE14" s="427"/>
      <c r="AF14" s="427"/>
      <c r="AG14" s="427"/>
      <c r="AH14" s="427"/>
      <c r="AI14" s="436">
        <v>80</v>
      </c>
      <c r="AJ14" s="8"/>
    </row>
    <row r="15" spans="1:36" x14ac:dyDescent="0.25">
      <c r="A15" s="229"/>
      <c r="B15" s="229">
        <f>-3</f>
        <v>-3</v>
      </c>
      <c r="C15" s="230">
        <f>'DETALLE DE VENTAS'!AN216 -B15-A15</f>
        <v>0</v>
      </c>
      <c r="D15" s="617" t="s">
        <v>49</v>
      </c>
      <c r="E15" s="618"/>
      <c r="F15" s="618"/>
      <c r="G15" s="618"/>
      <c r="H15" s="619"/>
      <c r="I15" s="231"/>
      <c r="J15" s="269">
        <f t="shared" si="0"/>
        <v>31.111111111111111</v>
      </c>
      <c r="K15" s="269">
        <v>28</v>
      </c>
      <c r="M15" s="458" t="s">
        <v>302</v>
      </c>
      <c r="N15" s="455">
        <v>14.75</v>
      </c>
      <c r="O15" s="471">
        <f t="shared" si="1"/>
        <v>15.671875</v>
      </c>
      <c r="P15" s="471">
        <v>15</v>
      </c>
      <c r="Q15" s="471">
        <v>15</v>
      </c>
      <c r="R15" s="471">
        <v>14.5</v>
      </c>
      <c r="S15" s="471">
        <f t="shared" si="2"/>
        <v>16.304347826086957</v>
      </c>
      <c r="T15" s="471">
        <v>14</v>
      </c>
      <c r="U15" s="471"/>
      <c r="V15" s="472"/>
      <c r="W15" s="460">
        <v>12</v>
      </c>
      <c r="X15" s="460">
        <v>40</v>
      </c>
      <c r="Y15" s="433"/>
      <c r="Z15" s="308"/>
      <c r="AA15" s="443"/>
      <c r="AB15" s="443"/>
      <c r="AC15" s="427"/>
      <c r="AD15" s="427"/>
      <c r="AE15" s="427"/>
      <c r="AF15" s="427"/>
      <c r="AG15" s="427"/>
      <c r="AH15" s="427"/>
      <c r="AI15" s="436">
        <v>20</v>
      </c>
      <c r="AJ15" s="8"/>
    </row>
    <row r="16" spans="1:36" x14ac:dyDescent="0.25">
      <c r="A16" s="229"/>
      <c r="B16" s="229">
        <v>46</v>
      </c>
      <c r="C16" s="230">
        <f>'DETALLE DE VENTAS'!AN215 -B16-A16</f>
        <v>0</v>
      </c>
      <c r="D16" s="617" t="s">
        <v>56</v>
      </c>
      <c r="E16" s="618"/>
      <c r="F16" s="618"/>
      <c r="G16" s="618"/>
      <c r="H16" s="619"/>
      <c r="I16" s="231"/>
      <c r="J16" s="269">
        <f t="shared" si="0"/>
        <v>13.888888888888889</v>
      </c>
      <c r="K16" s="269">
        <v>12.5</v>
      </c>
      <c r="M16" s="458" t="s">
        <v>533</v>
      </c>
      <c r="N16" s="455"/>
      <c r="O16" s="471">
        <f t="shared" si="1"/>
        <v>0</v>
      </c>
      <c r="P16" s="471">
        <v>10</v>
      </c>
      <c r="Q16" s="471">
        <v>12</v>
      </c>
      <c r="R16" s="471">
        <v>12</v>
      </c>
      <c r="S16" s="471">
        <f t="shared" si="2"/>
        <v>13.043478260869565</v>
      </c>
      <c r="T16" s="471">
        <v>12</v>
      </c>
      <c r="U16" s="471"/>
      <c r="V16" s="472"/>
      <c r="W16" s="460" t="s">
        <v>336</v>
      </c>
      <c r="X16" s="460"/>
      <c r="Y16" s="433"/>
      <c r="Z16" s="428"/>
      <c r="AA16" s="443"/>
      <c r="AB16" s="443"/>
      <c r="AC16" s="427"/>
      <c r="AD16" s="427"/>
      <c r="AE16" s="427"/>
      <c r="AF16" s="427"/>
      <c r="AG16" s="427"/>
      <c r="AH16" s="427"/>
      <c r="AI16" s="436">
        <v>100</v>
      </c>
      <c r="AJ16" s="8"/>
    </row>
    <row r="17" spans="1:36" x14ac:dyDescent="0.25">
      <c r="A17" s="229"/>
      <c r="B17" s="229">
        <v>27</v>
      </c>
      <c r="C17" s="230">
        <f>'DETALLE DE VENTAS'!AN217 -B17-A17</f>
        <v>0</v>
      </c>
      <c r="D17" s="617" t="s">
        <v>50</v>
      </c>
      <c r="E17" s="618"/>
      <c r="F17" s="618"/>
      <c r="G17" s="618"/>
      <c r="H17" s="618"/>
      <c r="I17" s="232"/>
      <c r="J17" s="269">
        <f t="shared" si="0"/>
        <v>7.7777777777777777</v>
      </c>
      <c r="K17" s="269">
        <v>7</v>
      </c>
      <c r="M17" s="458" t="s">
        <v>534</v>
      </c>
      <c r="N17" s="455">
        <v>100</v>
      </c>
      <c r="O17" s="471">
        <f t="shared" si="1"/>
        <v>106.25</v>
      </c>
      <c r="P17" s="471">
        <f>-P1</f>
        <v>0</v>
      </c>
      <c r="Q17" s="471">
        <v>100</v>
      </c>
      <c r="R17" s="471">
        <v>100</v>
      </c>
      <c r="S17" s="471">
        <f t="shared" si="2"/>
        <v>108.69565217391303</v>
      </c>
      <c r="T17" s="471">
        <v>100</v>
      </c>
      <c r="U17" s="471"/>
      <c r="V17" s="472"/>
      <c r="W17" s="460" t="s">
        <v>336</v>
      </c>
      <c r="X17" s="460"/>
      <c r="Y17" s="433"/>
      <c r="Z17" s="427"/>
      <c r="AA17" s="443"/>
      <c r="AB17" s="443"/>
      <c r="AC17" s="427"/>
      <c r="AD17" s="427"/>
      <c r="AE17" s="427"/>
      <c r="AF17" s="427"/>
      <c r="AG17" s="427"/>
      <c r="AH17" s="427"/>
      <c r="AI17" s="438">
        <v>60</v>
      </c>
      <c r="AJ17" s="3"/>
    </row>
    <row r="18" spans="1:36" x14ac:dyDescent="0.25">
      <c r="A18" s="229"/>
      <c r="B18" s="229">
        <v>11</v>
      </c>
      <c r="C18" s="230">
        <f>'DETALLE DE VENTAS'!AN219 -B18-A18</f>
        <v>0</v>
      </c>
      <c r="D18" s="617" t="s">
        <v>7</v>
      </c>
      <c r="E18" s="618"/>
      <c r="F18" s="618"/>
      <c r="G18" s="618"/>
      <c r="H18" s="618"/>
      <c r="I18" s="233"/>
      <c r="J18" s="269">
        <f t="shared" si="0"/>
        <v>35.555555555555557</v>
      </c>
      <c r="K18" s="269">
        <v>32</v>
      </c>
      <c r="M18" s="458" t="s">
        <v>12</v>
      </c>
      <c r="N18" s="455">
        <v>33.46</v>
      </c>
      <c r="O18" s="471">
        <f t="shared" si="1"/>
        <v>35.551250000000003</v>
      </c>
      <c r="P18" s="471">
        <v>31</v>
      </c>
      <c r="Q18" s="471">
        <v>34</v>
      </c>
      <c r="R18" s="471">
        <v>33</v>
      </c>
      <c r="S18" s="471">
        <f t="shared" si="2"/>
        <v>36.95652173913043</v>
      </c>
      <c r="T18" s="471">
        <f t="shared" si="3"/>
        <v>30.6</v>
      </c>
      <c r="U18" s="471"/>
      <c r="V18" s="472"/>
      <c r="W18" s="460">
        <v>10</v>
      </c>
      <c r="X18" s="460">
        <v>40</v>
      </c>
      <c r="Y18" s="433"/>
      <c r="Z18" s="428"/>
      <c r="AA18" s="443"/>
      <c r="AB18" s="443"/>
      <c r="AC18" s="427"/>
      <c r="AD18" s="427"/>
      <c r="AE18" s="427"/>
      <c r="AF18" s="427"/>
      <c r="AG18" s="427"/>
      <c r="AH18" s="427"/>
      <c r="AI18" s="438">
        <v>60</v>
      </c>
      <c r="AJ18" s="8"/>
    </row>
    <row r="19" spans="1:36" x14ac:dyDescent="0.25">
      <c r="A19" s="229"/>
      <c r="B19" s="229">
        <v>19</v>
      </c>
      <c r="C19" s="230">
        <f>'DETALLE DE VENTAS'!AN218 -B19-A19</f>
        <v>0</v>
      </c>
      <c r="D19" s="617" t="s">
        <v>6</v>
      </c>
      <c r="E19" s="618"/>
      <c r="F19" s="618"/>
      <c r="G19" s="618"/>
      <c r="H19" s="618"/>
      <c r="I19" s="233"/>
      <c r="J19" s="269">
        <f t="shared" si="0"/>
        <v>12.222222222222221</v>
      </c>
      <c r="K19" s="269">
        <v>11</v>
      </c>
      <c r="M19" s="458" t="s">
        <v>204</v>
      </c>
      <c r="N19" s="455">
        <v>35.770000000000003</v>
      </c>
      <c r="O19" s="471">
        <f t="shared" si="1"/>
        <v>38.005625000000002</v>
      </c>
      <c r="P19" s="471">
        <v>33</v>
      </c>
      <c r="Q19" s="471">
        <v>36</v>
      </c>
      <c r="R19" s="471">
        <v>35</v>
      </c>
      <c r="S19" s="471">
        <f t="shared" si="2"/>
        <v>39.130434782608695</v>
      </c>
      <c r="T19" s="471">
        <f t="shared" si="3"/>
        <v>32.4</v>
      </c>
      <c r="U19" s="471"/>
      <c r="V19" s="472"/>
      <c r="W19" s="460">
        <v>10</v>
      </c>
      <c r="X19" s="460">
        <v>40</v>
      </c>
      <c r="Y19" s="433"/>
      <c r="Z19" s="428"/>
      <c r="AA19" s="443"/>
      <c r="AB19" s="443"/>
      <c r="AC19" s="427"/>
      <c r="AD19" s="427"/>
      <c r="AE19" s="427"/>
      <c r="AF19" s="427"/>
      <c r="AG19" s="427"/>
      <c r="AH19" s="427"/>
      <c r="AI19" s="438">
        <v>10</v>
      </c>
      <c r="AJ19" s="8"/>
    </row>
    <row r="20" spans="1:36" x14ac:dyDescent="0.25">
      <c r="A20" s="229"/>
      <c r="B20" s="229">
        <f>-1</f>
        <v>-1</v>
      </c>
      <c r="C20" s="229">
        <f>'DETALLE DE VENTAS'!AN234-INVENTARIO!A20-INVENTARIO!B20</f>
        <v>0</v>
      </c>
      <c r="D20" s="617" t="s">
        <v>232</v>
      </c>
      <c r="E20" s="618"/>
      <c r="F20" s="618"/>
      <c r="G20" s="618"/>
      <c r="H20" s="619"/>
      <c r="I20" s="231"/>
      <c r="J20" s="269">
        <f t="shared" si="0"/>
        <v>44.444444444444443</v>
      </c>
      <c r="K20" s="269">
        <v>40</v>
      </c>
      <c r="M20" s="458" t="s">
        <v>535</v>
      </c>
      <c r="N20" s="455">
        <v>5</v>
      </c>
      <c r="O20" s="471">
        <f t="shared" si="1"/>
        <v>5.3125</v>
      </c>
      <c r="P20" s="471">
        <v>5</v>
      </c>
      <c r="Q20" s="471">
        <v>5</v>
      </c>
      <c r="R20" s="471">
        <v>5</v>
      </c>
      <c r="S20" s="471">
        <f t="shared" si="2"/>
        <v>5.4347826086956523</v>
      </c>
      <c r="T20" s="471">
        <v>5</v>
      </c>
      <c r="U20" s="471"/>
      <c r="V20" s="472"/>
      <c r="W20" s="460" t="s">
        <v>336</v>
      </c>
      <c r="X20" s="460"/>
      <c r="Y20" s="308"/>
      <c r="Z20" s="308"/>
      <c r="AA20" s="428"/>
      <c r="AB20" s="429"/>
      <c r="AC20" s="427"/>
      <c r="AD20" s="427"/>
      <c r="AE20" s="427"/>
      <c r="AF20" s="427"/>
      <c r="AG20" s="427"/>
      <c r="AH20" s="427"/>
      <c r="AI20" s="438">
        <v>40</v>
      </c>
      <c r="AJ20" s="8"/>
    </row>
    <row r="21" spans="1:36" x14ac:dyDescent="0.25">
      <c r="A21" s="229"/>
      <c r="B21" s="229">
        <v>1</v>
      </c>
      <c r="C21" s="230">
        <f>'DETALLE DE VENTAS'!AN233 -B21-A21</f>
        <v>0</v>
      </c>
      <c r="D21" s="617" t="s">
        <v>53</v>
      </c>
      <c r="E21" s="618"/>
      <c r="F21" s="618"/>
      <c r="G21" s="618"/>
      <c r="H21" s="619"/>
      <c r="I21" s="231"/>
      <c r="J21" s="269">
        <f t="shared" si="0"/>
        <v>28.888888888888889</v>
      </c>
      <c r="K21" s="269">
        <v>26</v>
      </c>
      <c r="M21" s="458" t="s">
        <v>536</v>
      </c>
      <c r="N21" s="455">
        <v>88.09</v>
      </c>
      <c r="O21" s="471">
        <f t="shared" si="1"/>
        <v>93.595624999999998</v>
      </c>
      <c r="P21" s="471">
        <v>85</v>
      </c>
      <c r="Q21" s="471">
        <v>90</v>
      </c>
      <c r="R21" s="471">
        <v>88</v>
      </c>
      <c r="S21" s="471">
        <f t="shared" si="2"/>
        <v>97.826086956521735</v>
      </c>
      <c r="T21" s="471">
        <f t="shared" si="3"/>
        <v>81</v>
      </c>
      <c r="U21" s="471"/>
      <c r="V21" s="472"/>
      <c r="W21" s="460">
        <v>10</v>
      </c>
      <c r="X21" s="460">
        <v>40</v>
      </c>
      <c r="Y21" s="332"/>
      <c r="Z21" s="332"/>
      <c r="AA21" s="428"/>
      <c r="AB21" s="429"/>
      <c r="AC21" s="427"/>
      <c r="AD21" s="427"/>
      <c r="AE21" s="427"/>
      <c r="AF21" s="427"/>
      <c r="AG21" s="427"/>
      <c r="AH21" s="427"/>
      <c r="AI21" s="438">
        <v>15</v>
      </c>
      <c r="AJ21" s="8"/>
    </row>
    <row r="22" spans="1:36" x14ac:dyDescent="0.25">
      <c r="A22" s="229"/>
      <c r="B22" s="229">
        <v>1</v>
      </c>
      <c r="C22" s="230">
        <f>'DETALLE DE VENTAS'!AN212 -B22-A22</f>
        <v>0</v>
      </c>
      <c r="D22" s="617" t="s">
        <v>55</v>
      </c>
      <c r="E22" s="618"/>
      <c r="F22" s="618"/>
      <c r="G22" s="618"/>
      <c r="H22" s="619"/>
      <c r="I22" s="232"/>
      <c r="J22" s="269">
        <f t="shared" si="0"/>
        <v>8.3333333333333339</v>
      </c>
      <c r="K22" s="269">
        <v>7.5</v>
      </c>
      <c r="M22" s="458" t="s">
        <v>537</v>
      </c>
      <c r="N22" s="455">
        <v>59.95</v>
      </c>
      <c r="O22" s="471">
        <f t="shared" si="1"/>
        <v>63.696875000000006</v>
      </c>
      <c r="P22" s="471">
        <v>60</v>
      </c>
      <c r="Q22" s="471">
        <v>60</v>
      </c>
      <c r="R22" s="471">
        <v>60</v>
      </c>
      <c r="S22" s="471">
        <f t="shared" si="2"/>
        <v>65.217391304347828</v>
      </c>
      <c r="T22" s="471">
        <f t="shared" si="3"/>
        <v>54</v>
      </c>
      <c r="U22" s="471"/>
      <c r="V22" s="459"/>
      <c r="W22" s="460">
        <v>10</v>
      </c>
      <c r="X22" s="460">
        <v>40</v>
      </c>
      <c r="Y22" s="332"/>
      <c r="Z22" s="332"/>
      <c r="AA22" s="428"/>
      <c r="AB22" s="429"/>
      <c r="AC22" s="427"/>
      <c r="AD22" s="427"/>
      <c r="AE22" s="427"/>
      <c r="AF22" s="427"/>
      <c r="AG22" s="427"/>
      <c r="AH22" s="427"/>
      <c r="AI22" s="438">
        <v>5</v>
      </c>
      <c r="AJ22" s="3"/>
    </row>
    <row r="23" spans="1:36" x14ac:dyDescent="0.25">
      <c r="A23" s="229"/>
      <c r="B23" s="229">
        <v>14</v>
      </c>
      <c r="C23" s="230">
        <f>'DETALLE DE VENTAS'!AN214 -B23-A23</f>
        <v>0</v>
      </c>
      <c r="D23" s="617" t="s">
        <v>5</v>
      </c>
      <c r="E23" s="618"/>
      <c r="F23" s="618"/>
      <c r="G23" s="618"/>
      <c r="H23" s="619"/>
      <c r="I23" s="232"/>
      <c r="J23" s="269">
        <f t="shared" si="0"/>
        <v>43.333333333333336</v>
      </c>
      <c r="K23" s="269">
        <v>39</v>
      </c>
      <c r="M23" s="458" t="s">
        <v>301</v>
      </c>
      <c r="N23" s="455">
        <v>118.63</v>
      </c>
      <c r="O23" s="471">
        <f t="shared" si="1"/>
        <v>126.044375</v>
      </c>
      <c r="P23" s="471">
        <v>105</v>
      </c>
      <c r="Q23" s="471">
        <v>120</v>
      </c>
      <c r="R23" s="471">
        <v>115</v>
      </c>
      <c r="S23" s="471">
        <f t="shared" si="2"/>
        <v>130.43478260869566</v>
      </c>
      <c r="T23" s="471">
        <f t="shared" si="3"/>
        <v>108</v>
      </c>
      <c r="U23" s="471"/>
      <c r="V23" s="459"/>
      <c r="W23" s="460">
        <v>6</v>
      </c>
      <c r="X23" s="460">
        <v>20</v>
      </c>
      <c r="Y23" s="332"/>
      <c r="Z23" s="332"/>
      <c r="AA23" s="428"/>
      <c r="AB23" s="429"/>
      <c r="AC23" s="427"/>
      <c r="AD23" s="427"/>
      <c r="AE23" s="427"/>
      <c r="AF23" s="427"/>
      <c r="AG23" s="427"/>
      <c r="AH23" s="427"/>
      <c r="AI23" s="438">
        <v>40</v>
      </c>
      <c r="AJ23" s="3"/>
    </row>
    <row r="24" spans="1:36" x14ac:dyDescent="0.25">
      <c r="A24" s="229"/>
      <c r="B24" s="229">
        <f>-2</f>
        <v>-2</v>
      </c>
      <c r="C24" s="230">
        <f>'DETALLE DE VENTAS'!AN213 -B24-A24</f>
        <v>0</v>
      </c>
      <c r="D24" s="617" t="s">
        <v>4</v>
      </c>
      <c r="E24" s="618"/>
      <c r="F24" s="618"/>
      <c r="G24" s="618"/>
      <c r="H24" s="619"/>
      <c r="I24" s="232"/>
      <c r="J24" s="269">
        <f t="shared" si="0"/>
        <v>16.666666666666668</v>
      </c>
      <c r="K24" s="269">
        <v>15</v>
      </c>
      <c r="M24" s="458" t="s">
        <v>313</v>
      </c>
      <c r="N24" s="455">
        <v>32.6</v>
      </c>
      <c r="O24" s="471">
        <f t="shared" si="1"/>
        <v>34.637500000000003</v>
      </c>
      <c r="P24" s="471">
        <v>30</v>
      </c>
      <c r="Q24" s="471">
        <v>35</v>
      </c>
      <c r="R24" s="471">
        <v>32</v>
      </c>
      <c r="S24" s="471">
        <f t="shared" si="2"/>
        <v>38.043478260869563</v>
      </c>
      <c r="T24" s="471">
        <f t="shared" si="3"/>
        <v>31.5</v>
      </c>
      <c r="U24" s="471"/>
      <c r="V24" s="459"/>
      <c r="W24" s="460">
        <v>12</v>
      </c>
      <c r="X24" s="460">
        <v>40</v>
      </c>
      <c r="Y24" s="332"/>
      <c r="Z24" s="332"/>
      <c r="AA24" s="428"/>
      <c r="AB24" s="429"/>
      <c r="AC24" s="427"/>
      <c r="AD24" s="427"/>
      <c r="AE24" s="427"/>
      <c r="AF24" s="427"/>
      <c r="AG24" s="427"/>
      <c r="AH24" s="427"/>
      <c r="AI24" s="438">
        <v>20</v>
      </c>
      <c r="AJ24" s="3"/>
    </row>
    <row r="25" spans="1:36" x14ac:dyDescent="0.25">
      <c r="A25" s="234"/>
      <c r="B25" s="234">
        <v>1</v>
      </c>
      <c r="C25" s="229">
        <f>'DETALLE DE VENTAS'!N324-B25-A25</f>
        <v>0</v>
      </c>
      <c r="D25" s="620" t="s">
        <v>274</v>
      </c>
      <c r="E25" s="621"/>
      <c r="F25" s="621"/>
      <c r="G25" s="621"/>
      <c r="H25" s="622"/>
      <c r="I25" s="232"/>
      <c r="J25" s="269">
        <f t="shared" si="0"/>
        <v>5.5555555555555554</v>
      </c>
      <c r="K25" s="269">
        <v>5</v>
      </c>
      <c r="M25" s="458" t="s">
        <v>538</v>
      </c>
      <c r="N25" s="455">
        <v>0</v>
      </c>
      <c r="O25" s="471">
        <f t="shared" si="1"/>
        <v>0</v>
      </c>
      <c r="P25" s="471">
        <v>0</v>
      </c>
      <c r="Q25" s="471">
        <v>32</v>
      </c>
      <c r="R25" s="471"/>
      <c r="S25" s="471">
        <f t="shared" si="2"/>
        <v>34.782608695652172</v>
      </c>
      <c r="T25" s="471">
        <f t="shared" si="3"/>
        <v>28.8</v>
      </c>
      <c r="U25" s="471"/>
      <c r="V25" s="459"/>
      <c r="W25" s="460" t="s">
        <v>336</v>
      </c>
      <c r="X25" s="460"/>
      <c r="Y25" s="332"/>
      <c r="Z25" s="332"/>
      <c r="AA25" s="428"/>
      <c r="AB25" s="429"/>
      <c r="AC25" s="427"/>
      <c r="AD25" s="427"/>
      <c r="AE25" s="427"/>
      <c r="AF25" s="427"/>
      <c r="AG25" s="427"/>
      <c r="AH25" s="427"/>
      <c r="AI25" s="438">
        <v>40</v>
      </c>
      <c r="AJ25" s="3"/>
    </row>
    <row r="26" spans="1:36" x14ac:dyDescent="0.25">
      <c r="A26" s="234"/>
      <c r="B26" s="234">
        <v>0</v>
      </c>
      <c r="C26" s="229">
        <f>'DETALLE DE VENTAS'!N325-B26-A26</f>
        <v>0</v>
      </c>
      <c r="D26" s="620" t="s">
        <v>275</v>
      </c>
      <c r="E26" s="621"/>
      <c r="F26" s="621"/>
      <c r="G26" s="621"/>
      <c r="H26" s="621"/>
      <c r="I26" s="233"/>
      <c r="J26" s="269">
        <f t="shared" si="0"/>
        <v>5.5555555555555554</v>
      </c>
      <c r="K26" s="269">
        <v>5</v>
      </c>
      <c r="M26" s="458" t="s">
        <v>524</v>
      </c>
      <c r="N26" s="455">
        <v>31.96</v>
      </c>
      <c r="O26" s="471">
        <f t="shared" si="1"/>
        <v>33.957500000000003</v>
      </c>
      <c r="P26" s="471">
        <v>35</v>
      </c>
      <c r="Q26" s="471">
        <v>32</v>
      </c>
      <c r="R26" s="471">
        <v>32</v>
      </c>
      <c r="S26" s="471">
        <f t="shared" si="2"/>
        <v>34.782608695652172</v>
      </c>
      <c r="T26" s="471">
        <f t="shared" si="3"/>
        <v>28.8</v>
      </c>
      <c r="U26" s="471"/>
      <c r="V26" s="459"/>
      <c r="W26" s="460">
        <v>6</v>
      </c>
      <c r="X26" s="460">
        <v>20</v>
      </c>
      <c r="Y26" s="332"/>
      <c r="Z26" s="332"/>
      <c r="AA26" s="428"/>
      <c r="AB26" s="429"/>
      <c r="AC26" s="427"/>
      <c r="AD26" s="427"/>
      <c r="AE26" s="427"/>
      <c r="AF26" s="427"/>
      <c r="AG26" s="427"/>
      <c r="AH26" s="427"/>
      <c r="AI26" s="438">
        <v>20</v>
      </c>
      <c r="AJ26" s="8"/>
    </row>
    <row r="27" spans="1:36" x14ac:dyDescent="0.25">
      <c r="A27" s="72"/>
      <c r="B27" s="72">
        <v>1</v>
      </c>
      <c r="C27" s="72">
        <f>'DETALLE DE VENTAS'!AC280-A27-B27</f>
        <v>0</v>
      </c>
      <c r="D27" s="608" t="s">
        <v>48</v>
      </c>
      <c r="E27" s="609"/>
      <c r="F27" s="609"/>
      <c r="G27" s="609"/>
      <c r="H27" s="610"/>
      <c r="I27" s="237"/>
      <c r="J27" s="236">
        <f t="shared" si="0"/>
        <v>111.11111111111111</v>
      </c>
      <c r="K27" s="236">
        <v>100</v>
      </c>
      <c r="M27" s="458" t="s">
        <v>312</v>
      </c>
      <c r="N27" s="455">
        <v>13.75</v>
      </c>
      <c r="O27" s="471">
        <f t="shared" si="1"/>
        <v>14.609375</v>
      </c>
      <c r="P27" s="471">
        <v>14</v>
      </c>
      <c r="Q27" s="471">
        <v>15</v>
      </c>
      <c r="R27" s="471">
        <v>14</v>
      </c>
      <c r="S27" s="471">
        <f t="shared" si="2"/>
        <v>16.304347826086957</v>
      </c>
      <c r="T27" s="471">
        <f t="shared" si="3"/>
        <v>13.5</v>
      </c>
      <c r="U27" s="471"/>
      <c r="V27" s="459"/>
      <c r="W27" s="460">
        <v>12</v>
      </c>
      <c r="X27" s="460">
        <v>40</v>
      </c>
      <c r="Y27" s="332"/>
      <c r="Z27" s="332"/>
      <c r="AA27" s="428"/>
      <c r="AB27" s="429"/>
      <c r="AC27" s="427"/>
      <c r="AD27" s="427"/>
      <c r="AE27" s="427"/>
      <c r="AF27" s="427"/>
      <c r="AG27" s="427"/>
      <c r="AH27" s="427"/>
      <c r="AI27" s="438"/>
    </row>
    <row r="28" spans="1:36" x14ac:dyDescent="0.25">
      <c r="A28" s="72"/>
      <c r="B28" s="72">
        <v>29</v>
      </c>
      <c r="C28" s="72">
        <f>'DETALLE DE VENTAS'!AC282-A28-B28</f>
        <v>0</v>
      </c>
      <c r="D28" s="608" t="s">
        <v>41</v>
      </c>
      <c r="E28" s="609"/>
      <c r="F28" s="609"/>
      <c r="G28" s="609"/>
      <c r="H28" s="610"/>
      <c r="I28" s="237"/>
      <c r="J28" s="236">
        <f t="shared" si="0"/>
        <v>10</v>
      </c>
      <c r="K28" s="236">
        <v>9</v>
      </c>
      <c r="M28" s="458" t="s">
        <v>539</v>
      </c>
      <c r="N28" s="455">
        <v>52.45</v>
      </c>
      <c r="O28" s="471">
        <f t="shared" si="1"/>
        <v>55.728125000000006</v>
      </c>
      <c r="P28" s="471">
        <v>48</v>
      </c>
      <c r="Q28" s="471">
        <v>55</v>
      </c>
      <c r="R28" s="471">
        <v>52</v>
      </c>
      <c r="S28" s="471">
        <f t="shared" si="2"/>
        <v>59.782608695652172</v>
      </c>
      <c r="T28" s="471">
        <f t="shared" si="3"/>
        <v>49.5</v>
      </c>
      <c r="U28" s="471"/>
      <c r="V28" s="459"/>
      <c r="W28" s="460">
        <v>6</v>
      </c>
      <c r="X28" s="460">
        <v>20</v>
      </c>
      <c r="Y28" s="332"/>
      <c r="Z28" s="332"/>
      <c r="AA28" s="428"/>
      <c r="AB28" s="429"/>
      <c r="AC28" s="427"/>
      <c r="AD28" s="427"/>
      <c r="AE28" s="427"/>
      <c r="AF28" s="427"/>
      <c r="AG28" s="427"/>
      <c r="AH28" s="427"/>
      <c r="AI28" s="438"/>
    </row>
    <row r="29" spans="1:36" x14ac:dyDescent="0.25">
      <c r="A29" s="72"/>
      <c r="B29" s="72">
        <v>10</v>
      </c>
      <c r="C29" s="72">
        <f>'DETALLE DE VENTAS'!AC285-A29-B29</f>
        <v>0</v>
      </c>
      <c r="D29" s="608" t="s">
        <v>115</v>
      </c>
      <c r="E29" s="609"/>
      <c r="F29" s="609"/>
      <c r="G29" s="609"/>
      <c r="H29" s="610"/>
      <c r="I29" s="237"/>
      <c r="J29" s="236">
        <f t="shared" si="0"/>
        <v>10</v>
      </c>
      <c r="K29" s="236">
        <v>9</v>
      </c>
      <c r="M29" s="458" t="s">
        <v>540</v>
      </c>
      <c r="N29" s="455">
        <v>49.44</v>
      </c>
      <c r="O29" s="471">
        <f t="shared" si="1"/>
        <v>52.53</v>
      </c>
      <c r="P29" s="471">
        <v>45</v>
      </c>
      <c r="Q29" s="471">
        <v>52</v>
      </c>
      <c r="R29" s="471">
        <v>50</v>
      </c>
      <c r="S29" s="471">
        <f t="shared" si="2"/>
        <v>56.521739130434781</v>
      </c>
      <c r="T29" s="471">
        <f t="shared" si="3"/>
        <v>46.800000000000004</v>
      </c>
      <c r="U29" s="471"/>
      <c r="V29" s="459"/>
      <c r="W29" s="460">
        <v>6</v>
      </c>
      <c r="X29" s="460">
        <v>20</v>
      </c>
      <c r="Y29" s="332"/>
      <c r="Z29" s="332"/>
      <c r="AA29" s="429"/>
      <c r="AB29" s="429"/>
      <c r="AC29" s="308"/>
      <c r="AD29" s="308"/>
      <c r="AE29" s="308"/>
      <c r="AF29" s="308"/>
      <c r="AG29" s="308"/>
      <c r="AH29" s="308"/>
    </row>
    <row r="30" spans="1:36" x14ac:dyDescent="0.25">
      <c r="A30" s="72"/>
      <c r="B30" s="72">
        <v>1</v>
      </c>
      <c r="C30" s="72">
        <f>'DETALLE DE VENTAS'!AC284-A30-B30</f>
        <v>0</v>
      </c>
      <c r="D30" s="608" t="s">
        <v>45</v>
      </c>
      <c r="E30" s="609"/>
      <c r="F30" s="609"/>
      <c r="G30" s="609"/>
      <c r="H30" s="610"/>
      <c r="I30" s="237"/>
      <c r="J30" s="236">
        <f t="shared" si="0"/>
        <v>18.888888888888889</v>
      </c>
      <c r="K30" s="236">
        <v>17</v>
      </c>
      <c r="M30" s="461"/>
      <c r="N30" s="461"/>
      <c r="O30" s="461"/>
      <c r="P30" s="461"/>
      <c r="Q30" s="461"/>
      <c r="R30" s="461"/>
      <c r="S30" s="461"/>
      <c r="T30" s="461"/>
      <c r="U30" s="462"/>
      <c r="V30" s="439"/>
      <c r="W30" s="439"/>
      <c r="X30" s="433"/>
      <c r="Y30" s="433"/>
      <c r="Z30" s="429"/>
      <c r="AA30" s="429"/>
      <c r="AB30" s="308"/>
      <c r="AC30" s="308"/>
      <c r="AD30" s="308"/>
      <c r="AE30" s="308"/>
      <c r="AF30" s="308"/>
      <c r="AG30" s="308"/>
    </row>
    <row r="31" spans="1:36" ht="26.25" x14ac:dyDescent="0.25">
      <c r="A31" s="72"/>
      <c r="B31" s="72">
        <v>4</v>
      </c>
      <c r="C31" s="72">
        <f>'DETALLE DE VENTAS'!AC283-A31-B31</f>
        <v>0</v>
      </c>
      <c r="D31" s="608" t="s">
        <v>42</v>
      </c>
      <c r="E31" s="609"/>
      <c r="F31" s="609"/>
      <c r="G31" s="609"/>
      <c r="H31" s="610"/>
      <c r="I31" s="237"/>
      <c r="J31" s="236">
        <f t="shared" si="0"/>
        <v>10</v>
      </c>
      <c r="K31" s="236">
        <v>9</v>
      </c>
      <c r="M31" s="455" t="s">
        <v>2</v>
      </c>
      <c r="N31" s="455"/>
      <c r="O31" s="455"/>
      <c r="P31" s="455"/>
      <c r="Q31" s="455"/>
      <c r="R31" s="455"/>
      <c r="S31" s="455"/>
      <c r="T31" s="455"/>
      <c r="U31" s="455" t="s">
        <v>299</v>
      </c>
      <c r="V31" s="456" t="s">
        <v>526</v>
      </c>
      <c r="W31" s="457" t="s">
        <v>527</v>
      </c>
      <c r="X31" s="332"/>
      <c r="Y31" s="332"/>
      <c r="Z31" s="429"/>
      <c r="AA31" s="429"/>
      <c r="AB31" s="308"/>
      <c r="AC31" s="308"/>
      <c r="AD31" s="308"/>
      <c r="AE31" s="308"/>
      <c r="AF31" s="308"/>
      <c r="AG31" s="308"/>
    </row>
    <row r="32" spans="1:36" x14ac:dyDescent="0.25">
      <c r="A32" s="72"/>
      <c r="B32" s="72">
        <v>15</v>
      </c>
      <c r="C32" s="72">
        <f>'DETALLE DE VENTAS'!AC291-B32-A32</f>
        <v>0</v>
      </c>
      <c r="D32" s="608" t="s">
        <v>245</v>
      </c>
      <c r="E32" s="609"/>
      <c r="F32" s="609"/>
      <c r="G32" s="609"/>
      <c r="H32" s="610"/>
      <c r="I32" s="237"/>
      <c r="J32" s="236">
        <f t="shared" si="0"/>
        <v>10</v>
      </c>
      <c r="K32" s="236">
        <v>9</v>
      </c>
      <c r="M32" s="458" t="s">
        <v>541</v>
      </c>
      <c r="N32" s="458"/>
      <c r="O32" s="458"/>
      <c r="P32" s="458"/>
      <c r="Q32" s="458"/>
      <c r="R32" s="458"/>
      <c r="S32" s="458"/>
      <c r="T32" s="458"/>
      <c r="U32" s="459">
        <v>7</v>
      </c>
      <c r="V32" s="463" t="s">
        <v>336</v>
      </c>
      <c r="W32" s="463" t="s">
        <v>336</v>
      </c>
      <c r="X32" s="332"/>
      <c r="Y32" s="332"/>
      <c r="Z32" s="429"/>
      <c r="AA32" s="429"/>
      <c r="AB32" s="308"/>
      <c r="AC32" s="308"/>
      <c r="AD32" s="308"/>
      <c r="AE32" s="308"/>
      <c r="AF32" s="308"/>
      <c r="AG32" s="308"/>
    </row>
    <row r="33" spans="1:33" x14ac:dyDescent="0.25">
      <c r="A33" s="72"/>
      <c r="B33" s="72">
        <v>2</v>
      </c>
      <c r="C33" s="72">
        <f>'DETALLE DE VENTAS'!AC289-A33-B33</f>
        <v>0</v>
      </c>
      <c r="D33" s="608" t="s">
        <v>114</v>
      </c>
      <c r="E33" s="609"/>
      <c r="F33" s="609"/>
      <c r="G33" s="609"/>
      <c r="H33" s="610"/>
      <c r="I33" s="235"/>
      <c r="J33" s="236">
        <f t="shared" si="0"/>
        <v>10</v>
      </c>
      <c r="K33" s="236">
        <v>9</v>
      </c>
      <c r="M33" s="458" t="s">
        <v>490</v>
      </c>
      <c r="N33" s="458"/>
      <c r="O33" s="458"/>
      <c r="P33" s="458"/>
      <c r="Q33" s="458"/>
      <c r="R33" s="458"/>
      <c r="S33" s="458"/>
      <c r="T33" s="458"/>
      <c r="U33" s="459">
        <v>1</v>
      </c>
      <c r="V33" s="463" t="s">
        <v>336</v>
      </c>
      <c r="W33" s="463" t="s">
        <v>336</v>
      </c>
      <c r="X33" s="433"/>
      <c r="Y33" s="433"/>
      <c r="Z33" s="429"/>
      <c r="AA33" s="429"/>
      <c r="AB33" s="308"/>
      <c r="AC33" s="308"/>
      <c r="AD33" s="308"/>
      <c r="AE33" s="308"/>
      <c r="AF33" s="308"/>
      <c r="AG33" s="308"/>
    </row>
    <row r="34" spans="1:33" x14ac:dyDescent="0.25">
      <c r="A34" s="72"/>
      <c r="B34" s="72">
        <v>1</v>
      </c>
      <c r="C34" s="72">
        <f>'DETALLE DE VENTAS'!AC290-A34-B34</f>
        <v>0</v>
      </c>
      <c r="D34" s="608" t="s">
        <v>47</v>
      </c>
      <c r="E34" s="609"/>
      <c r="F34" s="609"/>
      <c r="G34" s="609"/>
      <c r="H34" s="610"/>
      <c r="I34" s="237"/>
      <c r="J34" s="236">
        <f t="shared" si="0"/>
        <v>18.888888888888889</v>
      </c>
      <c r="K34" s="236">
        <v>17</v>
      </c>
      <c r="M34" s="458" t="s">
        <v>491</v>
      </c>
      <c r="N34" s="458"/>
      <c r="O34" s="458"/>
      <c r="P34" s="458"/>
      <c r="Q34" s="458"/>
      <c r="R34" s="458"/>
      <c r="S34" s="458"/>
      <c r="T34" s="458"/>
      <c r="U34" s="459">
        <v>3</v>
      </c>
      <c r="V34" s="463" t="s">
        <v>336</v>
      </c>
      <c r="W34" s="463" t="s">
        <v>336</v>
      </c>
      <c r="X34" s="332"/>
      <c r="Y34" s="332"/>
      <c r="Z34" s="429"/>
      <c r="AA34" s="429"/>
      <c r="AB34" s="429"/>
      <c r="AC34" s="308"/>
      <c r="AD34" s="308"/>
      <c r="AE34" s="308"/>
      <c r="AF34" s="308"/>
      <c r="AG34" s="308"/>
    </row>
    <row r="35" spans="1:33" x14ac:dyDescent="0.25">
      <c r="A35" s="72"/>
      <c r="B35" s="72">
        <v>3</v>
      </c>
      <c r="C35" s="72">
        <f>'DETALLE DE VENTAS'!AC286-A35-B35</f>
        <v>0</v>
      </c>
      <c r="D35" s="608" t="s">
        <v>43</v>
      </c>
      <c r="E35" s="609"/>
      <c r="F35" s="609"/>
      <c r="G35" s="609"/>
      <c r="H35" s="610"/>
      <c r="I35" s="237"/>
      <c r="J35" s="236">
        <f t="shared" si="0"/>
        <v>10</v>
      </c>
      <c r="K35" s="236">
        <v>9</v>
      </c>
      <c r="M35" s="458" t="s">
        <v>454</v>
      </c>
      <c r="N35" s="458"/>
      <c r="O35" s="458"/>
      <c r="P35" s="458"/>
      <c r="Q35" s="458"/>
      <c r="R35" s="458"/>
      <c r="S35" s="458"/>
      <c r="T35" s="458"/>
      <c r="U35" s="459">
        <v>5</v>
      </c>
      <c r="V35" s="463" t="s">
        <v>336</v>
      </c>
      <c r="W35" s="463" t="s">
        <v>336</v>
      </c>
      <c r="X35" s="332"/>
      <c r="Y35" s="332"/>
      <c r="Z35" s="429"/>
      <c r="AA35" s="429"/>
      <c r="AB35" s="429"/>
      <c r="AC35" s="308"/>
      <c r="AD35" s="308"/>
      <c r="AE35" s="308"/>
      <c r="AF35" s="308"/>
      <c r="AG35" s="308"/>
    </row>
    <row r="36" spans="1:33" x14ac:dyDescent="0.25">
      <c r="A36" s="72"/>
      <c r="B36" s="72">
        <v>1</v>
      </c>
      <c r="C36" s="72">
        <f>'DETALLE DE VENTAS'!AC287-A36-B36</f>
        <v>0</v>
      </c>
      <c r="D36" s="608" t="s">
        <v>46</v>
      </c>
      <c r="E36" s="609"/>
      <c r="F36" s="609"/>
      <c r="G36" s="609"/>
      <c r="H36" s="610"/>
      <c r="I36" s="237"/>
      <c r="J36" s="236">
        <f t="shared" si="0"/>
        <v>18.888888888888889</v>
      </c>
      <c r="K36" s="236">
        <v>17</v>
      </c>
      <c r="M36" s="458" t="s">
        <v>542</v>
      </c>
      <c r="N36" s="458"/>
      <c r="O36" s="458"/>
      <c r="P36" s="458"/>
      <c r="Q36" s="458"/>
      <c r="R36" s="458"/>
      <c r="S36" s="458"/>
      <c r="T36" s="458"/>
      <c r="U36" s="459">
        <v>3</v>
      </c>
      <c r="V36" s="463" t="s">
        <v>336</v>
      </c>
      <c r="W36" s="463" t="s">
        <v>336</v>
      </c>
      <c r="X36" s="332"/>
      <c r="Y36" s="332"/>
      <c r="Z36" s="429"/>
      <c r="AA36" s="429"/>
      <c r="AB36" s="429"/>
      <c r="AC36" s="308"/>
      <c r="AD36" s="308"/>
      <c r="AE36" s="308"/>
      <c r="AF36" s="308"/>
      <c r="AG36" s="308"/>
    </row>
    <row r="37" spans="1:33" x14ac:dyDescent="0.25">
      <c r="A37" s="72"/>
      <c r="B37" s="72">
        <v>2</v>
      </c>
      <c r="C37" s="72">
        <f>'DETALLE DE VENTAS'!AC288-A37-B37</f>
        <v>0</v>
      </c>
      <c r="D37" s="608" t="s">
        <v>219</v>
      </c>
      <c r="E37" s="609"/>
      <c r="F37" s="609"/>
      <c r="G37" s="609"/>
      <c r="H37" s="610"/>
      <c r="I37" s="237"/>
      <c r="J37" s="236">
        <f t="shared" ref="J37:J68" si="4">K37/$C$97</f>
        <v>10</v>
      </c>
      <c r="K37" s="236">
        <v>9</v>
      </c>
      <c r="M37" s="458" t="s">
        <v>455</v>
      </c>
      <c r="N37" s="458"/>
      <c r="O37" s="458"/>
      <c r="P37" s="458"/>
      <c r="Q37" s="458"/>
      <c r="R37" s="458"/>
      <c r="S37" s="458"/>
      <c r="T37" s="458"/>
      <c r="U37" s="459">
        <v>6</v>
      </c>
      <c r="V37" s="463" t="s">
        <v>336</v>
      </c>
      <c r="W37" s="463" t="s">
        <v>336</v>
      </c>
      <c r="X37" s="332"/>
      <c r="Y37" s="332"/>
      <c r="Z37" s="428"/>
      <c r="AA37" s="429"/>
      <c r="AB37" s="429"/>
      <c r="AC37" s="308"/>
      <c r="AD37" s="308"/>
      <c r="AE37" s="308"/>
      <c r="AF37" s="308"/>
      <c r="AG37" s="308"/>
    </row>
    <row r="38" spans="1:33" x14ac:dyDescent="0.25">
      <c r="A38" s="243"/>
      <c r="B38" s="242">
        <v>52</v>
      </c>
      <c r="C38" s="242">
        <f>'DETALLE DE VENTAS'!Q297-A38-B38</f>
        <v>0</v>
      </c>
      <c r="D38" s="623" t="s">
        <v>83</v>
      </c>
      <c r="E38" s="624"/>
      <c r="F38" s="624"/>
      <c r="G38" s="624"/>
      <c r="H38" s="625"/>
      <c r="I38" s="243"/>
      <c r="J38" s="271">
        <f t="shared" si="4"/>
        <v>31.111111111111111</v>
      </c>
      <c r="K38" s="271">
        <v>28</v>
      </c>
      <c r="M38" s="458" t="s">
        <v>456</v>
      </c>
      <c r="N38" s="458"/>
      <c r="O38" s="458"/>
      <c r="P38" s="458"/>
      <c r="Q38" s="458"/>
      <c r="R38" s="458"/>
      <c r="S38" s="458"/>
      <c r="T38" s="458"/>
      <c r="U38" s="459">
        <v>13</v>
      </c>
      <c r="V38" s="463" t="s">
        <v>336</v>
      </c>
      <c r="W38" s="463" t="s">
        <v>336</v>
      </c>
      <c r="X38" s="332"/>
      <c r="Y38" s="332"/>
      <c r="Z38" s="429"/>
      <c r="AA38" s="429"/>
      <c r="AB38" s="429"/>
      <c r="AC38" s="308"/>
      <c r="AD38" s="308"/>
      <c r="AE38" s="308"/>
      <c r="AF38" s="308"/>
      <c r="AG38" s="308"/>
    </row>
    <row r="39" spans="1:33" x14ac:dyDescent="0.25">
      <c r="A39" s="242"/>
      <c r="B39" s="242">
        <v>16</v>
      </c>
      <c r="C39" s="242">
        <f>'DETALLE DE VENTAS'!Q299-INVENTARIO!A39-INVENTARIO!B39</f>
        <v>0</v>
      </c>
      <c r="D39" s="623" t="s">
        <v>321</v>
      </c>
      <c r="E39" s="624"/>
      <c r="F39" s="624"/>
      <c r="G39" s="624"/>
      <c r="H39" s="625"/>
      <c r="I39" s="243"/>
      <c r="J39" s="271">
        <f t="shared" si="4"/>
        <v>16.666666666666668</v>
      </c>
      <c r="K39" s="271">
        <v>15</v>
      </c>
      <c r="M39" s="458" t="s">
        <v>543</v>
      </c>
      <c r="N39" s="458"/>
      <c r="O39" s="458"/>
      <c r="P39" s="458"/>
      <c r="Q39" s="458"/>
      <c r="R39" s="458"/>
      <c r="S39" s="458"/>
      <c r="T39" s="458"/>
      <c r="U39" s="459">
        <v>7</v>
      </c>
      <c r="V39" s="463" t="s">
        <v>336</v>
      </c>
      <c r="W39" s="463" t="s">
        <v>336</v>
      </c>
      <c r="X39" s="433"/>
      <c r="Y39" s="429"/>
      <c r="Z39" s="308"/>
      <c r="AA39" s="429"/>
      <c r="AB39" s="429"/>
      <c r="AC39" s="308"/>
      <c r="AD39" s="308"/>
      <c r="AE39" s="308"/>
      <c r="AF39" s="308"/>
      <c r="AG39" s="308"/>
    </row>
    <row r="40" spans="1:33" x14ac:dyDescent="0.25">
      <c r="A40" s="242"/>
      <c r="B40" s="242">
        <v>12</v>
      </c>
      <c r="C40" s="242">
        <f>'DETALLE DE VENTAS'!Q301-B40-A40</f>
        <v>0</v>
      </c>
      <c r="D40" s="623" t="s">
        <v>322</v>
      </c>
      <c r="E40" s="624"/>
      <c r="F40" s="624"/>
      <c r="G40" s="624"/>
      <c r="H40" s="625"/>
      <c r="I40" s="243"/>
      <c r="J40" s="271">
        <f t="shared" si="4"/>
        <v>11.111111111111111</v>
      </c>
      <c r="K40" s="271">
        <v>10</v>
      </c>
      <c r="M40" s="458" t="s">
        <v>457</v>
      </c>
      <c r="N40" s="458"/>
      <c r="O40" s="458"/>
      <c r="P40" s="458"/>
      <c r="Q40" s="458"/>
      <c r="R40" s="458"/>
      <c r="S40" s="458"/>
      <c r="T40" s="458"/>
      <c r="U40" s="459">
        <v>5</v>
      </c>
      <c r="V40" s="463" t="s">
        <v>336</v>
      </c>
      <c r="W40" s="463" t="s">
        <v>336</v>
      </c>
      <c r="X40" s="332"/>
      <c r="Y40" s="429"/>
      <c r="Z40" s="308"/>
      <c r="AA40" s="429"/>
      <c r="AB40" s="429"/>
      <c r="AC40" s="308"/>
      <c r="AD40" s="308"/>
      <c r="AE40" s="308"/>
      <c r="AF40" s="308"/>
      <c r="AG40" s="308"/>
    </row>
    <row r="41" spans="1:33" x14ac:dyDescent="0.25">
      <c r="A41" s="242"/>
      <c r="B41" s="242">
        <v>15</v>
      </c>
      <c r="C41" s="242">
        <f>'DETALLE DE VENTAS'!Q300-B41-A41</f>
        <v>0</v>
      </c>
      <c r="D41" s="623" t="s">
        <v>323</v>
      </c>
      <c r="E41" s="624"/>
      <c r="F41" s="624"/>
      <c r="G41" s="624"/>
      <c r="H41" s="625"/>
      <c r="I41" s="243"/>
      <c r="J41" s="271">
        <f t="shared" si="4"/>
        <v>14.444444444444445</v>
      </c>
      <c r="K41" s="271">
        <v>13</v>
      </c>
      <c r="M41" s="458" t="s">
        <v>492</v>
      </c>
      <c r="N41" s="458"/>
      <c r="O41" s="458"/>
      <c r="P41" s="458"/>
      <c r="Q41" s="458"/>
      <c r="R41" s="458"/>
      <c r="S41" s="458"/>
      <c r="T41" s="458"/>
      <c r="U41" s="459">
        <v>1</v>
      </c>
      <c r="V41" s="463" t="s">
        <v>336</v>
      </c>
      <c r="W41" s="463" t="s">
        <v>336</v>
      </c>
      <c r="X41" s="332"/>
      <c r="Y41" s="429"/>
      <c r="Z41" s="308"/>
      <c r="AA41" s="429"/>
      <c r="AB41" s="429"/>
      <c r="AC41" s="308"/>
      <c r="AD41" s="308"/>
      <c r="AE41" s="308"/>
      <c r="AF41" s="308"/>
      <c r="AG41" s="308"/>
    </row>
    <row r="42" spans="1:33" x14ac:dyDescent="0.25">
      <c r="A42" s="229"/>
      <c r="B42" s="229">
        <v>0</v>
      </c>
      <c r="C42" s="230">
        <f>'DETALLE DE VENTAS'!AN227 -B42-A42</f>
        <v>0</v>
      </c>
      <c r="D42" s="617" t="s">
        <v>12</v>
      </c>
      <c r="E42" s="618"/>
      <c r="F42" s="618"/>
      <c r="G42" s="618"/>
      <c r="H42" s="619"/>
      <c r="I42" s="231"/>
      <c r="J42" s="269">
        <f t="shared" si="4"/>
        <v>36.666666666666664</v>
      </c>
      <c r="K42" s="269">
        <v>33</v>
      </c>
      <c r="M42" s="458" t="s">
        <v>486</v>
      </c>
      <c r="N42" s="458"/>
      <c r="O42" s="458"/>
      <c r="P42" s="458"/>
      <c r="Q42" s="458"/>
      <c r="R42" s="458"/>
      <c r="S42" s="458"/>
      <c r="T42" s="458"/>
      <c r="U42" s="459">
        <v>2</v>
      </c>
      <c r="V42" s="463" t="s">
        <v>336</v>
      </c>
      <c r="W42" s="463" t="s">
        <v>336</v>
      </c>
      <c r="X42" s="433"/>
      <c r="Y42" s="429"/>
      <c r="Z42" s="308"/>
      <c r="AA42" s="429"/>
      <c r="AB42" s="429"/>
      <c r="AC42" s="308"/>
      <c r="AD42" s="308"/>
      <c r="AE42" s="308"/>
      <c r="AF42" s="308"/>
      <c r="AG42" s="308"/>
    </row>
    <row r="43" spans="1:33" x14ac:dyDescent="0.25">
      <c r="A43" s="231"/>
      <c r="B43" s="229">
        <v>0</v>
      </c>
      <c r="C43" s="229">
        <f>'DETALLE DE VENTAS'!N318-A43-B43</f>
        <v>0</v>
      </c>
      <c r="D43" s="617" t="s">
        <v>581</v>
      </c>
      <c r="E43" s="618"/>
      <c r="F43" s="618"/>
      <c r="G43" s="618"/>
      <c r="H43" s="619"/>
      <c r="I43" s="231"/>
      <c r="J43" s="269">
        <f t="shared" si="4"/>
        <v>94.444444444444443</v>
      </c>
      <c r="K43" s="269">
        <v>85</v>
      </c>
      <c r="M43" s="458" t="s">
        <v>544</v>
      </c>
      <c r="N43" s="458"/>
      <c r="O43" s="458"/>
      <c r="P43" s="458"/>
      <c r="Q43" s="458"/>
      <c r="R43" s="458"/>
      <c r="S43" s="458"/>
      <c r="T43" s="458"/>
      <c r="U43" s="459">
        <v>2</v>
      </c>
      <c r="V43" s="463" t="s">
        <v>336</v>
      </c>
      <c r="W43" s="463" t="s">
        <v>336</v>
      </c>
      <c r="X43" s="433"/>
      <c r="Y43" s="429"/>
      <c r="Z43" s="308"/>
      <c r="AA43" s="429"/>
      <c r="AB43" s="429"/>
      <c r="AC43" s="308"/>
      <c r="AD43" s="308"/>
      <c r="AE43" s="308"/>
      <c r="AF43" s="308"/>
      <c r="AG43" s="308"/>
    </row>
    <row r="44" spans="1:33" x14ac:dyDescent="0.25">
      <c r="A44" s="229"/>
      <c r="B44" s="229">
        <f>-7</f>
        <v>-7</v>
      </c>
      <c r="C44" s="230">
        <f>'DETALLE DE VENTAS'!AN228 -B44-A44</f>
        <v>0</v>
      </c>
      <c r="D44" s="617" t="s">
        <v>204</v>
      </c>
      <c r="E44" s="618"/>
      <c r="F44" s="618"/>
      <c r="G44" s="618"/>
      <c r="H44" s="619"/>
      <c r="I44" s="231"/>
      <c r="J44" s="269">
        <f t="shared" si="4"/>
        <v>38.888888888888886</v>
      </c>
      <c r="K44" s="269">
        <v>35</v>
      </c>
      <c r="M44" s="458" t="s">
        <v>545</v>
      </c>
      <c r="N44" s="458"/>
      <c r="O44" s="458"/>
      <c r="P44" s="458"/>
      <c r="Q44" s="458"/>
      <c r="R44" s="458"/>
      <c r="S44" s="458"/>
      <c r="T44" s="458"/>
      <c r="U44" s="459">
        <v>40</v>
      </c>
      <c r="V44" s="463" t="s">
        <v>336</v>
      </c>
      <c r="W44" s="463" t="s">
        <v>336</v>
      </c>
      <c r="X44" s="433"/>
      <c r="Y44" s="429"/>
      <c r="Z44" s="308"/>
      <c r="AA44" s="429"/>
      <c r="AB44" s="429"/>
      <c r="AC44" s="308"/>
      <c r="AD44" s="308"/>
      <c r="AE44" s="308"/>
      <c r="AF44" s="308"/>
      <c r="AG44" s="308"/>
    </row>
    <row r="45" spans="1:33" x14ac:dyDescent="0.25">
      <c r="A45" s="229"/>
      <c r="B45" s="229">
        <v>15</v>
      </c>
      <c r="C45" s="230">
        <f>'DETALLE DE VENTAS'!AN226 -B45-A45</f>
        <v>0</v>
      </c>
      <c r="D45" s="617" t="s">
        <v>52</v>
      </c>
      <c r="E45" s="618"/>
      <c r="F45" s="618"/>
      <c r="G45" s="618"/>
      <c r="H45" s="619"/>
      <c r="I45" s="231"/>
      <c r="J45" s="269">
        <f t="shared" si="4"/>
        <v>66.666666666666671</v>
      </c>
      <c r="K45" s="269">
        <v>60</v>
      </c>
      <c r="M45" s="461"/>
      <c r="N45" s="461"/>
      <c r="O45" s="461"/>
      <c r="P45" s="461"/>
      <c r="Q45" s="461"/>
      <c r="R45" s="461"/>
      <c r="S45" s="461"/>
      <c r="T45" s="461"/>
      <c r="U45" s="462"/>
      <c r="V45" s="439"/>
      <c r="W45" s="439"/>
      <c r="X45" s="433"/>
      <c r="Y45" s="429"/>
      <c r="Z45" s="308"/>
      <c r="AA45" s="429"/>
      <c r="AB45" s="429"/>
      <c r="AC45" s="308"/>
      <c r="AD45" s="308"/>
      <c r="AE45" s="308"/>
      <c r="AF45" s="308"/>
      <c r="AG45" s="308"/>
    </row>
    <row r="46" spans="1:33" x14ac:dyDescent="0.25">
      <c r="A46" s="229"/>
      <c r="B46" s="229">
        <v>3</v>
      </c>
      <c r="C46" s="230">
        <f>'DETALLE DE VENTAS'!AN230 -B46-A46</f>
        <v>0</v>
      </c>
      <c r="D46" s="617" t="s">
        <v>99</v>
      </c>
      <c r="E46" s="618"/>
      <c r="F46" s="618"/>
      <c r="G46" s="618"/>
      <c r="H46" s="619"/>
      <c r="I46" s="231"/>
      <c r="J46" s="269">
        <f t="shared" si="4"/>
        <v>138.88888888888889</v>
      </c>
      <c r="K46" s="269">
        <v>125</v>
      </c>
      <c r="M46" s="461"/>
      <c r="N46" s="461"/>
      <c r="O46" s="461"/>
      <c r="P46" s="461"/>
      <c r="Q46" s="461"/>
      <c r="R46" s="461"/>
      <c r="S46" s="461"/>
      <c r="T46" s="461"/>
      <c r="U46" s="462"/>
      <c r="V46" s="439"/>
      <c r="W46" s="439"/>
      <c r="X46" s="433"/>
      <c r="Y46" s="429"/>
      <c r="Z46" s="308"/>
      <c r="AA46" s="429"/>
      <c r="AB46" s="429"/>
      <c r="AC46" s="308"/>
      <c r="AD46" s="308"/>
      <c r="AE46" s="308"/>
      <c r="AF46" s="308"/>
      <c r="AG46" s="308"/>
    </row>
    <row r="47" spans="1:33" ht="26.25" x14ac:dyDescent="0.25">
      <c r="A47" s="229"/>
      <c r="B47" s="229">
        <v>0</v>
      </c>
      <c r="C47" s="230">
        <f>'DETALLE DE VENTAS'!AN231 -B47-A47</f>
        <v>0</v>
      </c>
      <c r="D47" s="617" t="s">
        <v>100</v>
      </c>
      <c r="E47" s="618"/>
      <c r="F47" s="618"/>
      <c r="G47" s="618"/>
      <c r="H47" s="619"/>
      <c r="I47" s="231"/>
      <c r="J47" s="269">
        <f t="shared" si="4"/>
        <v>133.33333333333334</v>
      </c>
      <c r="K47" s="269">
        <v>120</v>
      </c>
      <c r="M47" s="455" t="s">
        <v>2</v>
      </c>
      <c r="N47" s="455"/>
      <c r="O47" s="455"/>
      <c r="P47" s="455"/>
      <c r="Q47" s="455"/>
      <c r="R47" s="455"/>
      <c r="S47" s="455"/>
      <c r="T47" s="455"/>
      <c r="U47" s="455" t="s">
        <v>299</v>
      </c>
      <c r="V47" s="456" t="s">
        <v>526</v>
      </c>
      <c r="W47" s="457" t="s">
        <v>527</v>
      </c>
      <c r="X47" s="433"/>
      <c r="Y47" s="429"/>
      <c r="Z47" s="308"/>
      <c r="AA47" s="429"/>
      <c r="AB47" s="429"/>
      <c r="AC47" s="308"/>
      <c r="AD47" s="308"/>
      <c r="AE47" s="308"/>
      <c r="AF47" s="308"/>
      <c r="AG47" s="308"/>
    </row>
    <row r="48" spans="1:33" x14ac:dyDescent="0.25">
      <c r="A48" s="229"/>
      <c r="B48" s="229">
        <v>5</v>
      </c>
      <c r="C48" s="230">
        <f>'DETALLE DE VENTAS'!AN229 -B48-A48</f>
        <v>0</v>
      </c>
      <c r="D48" s="617" t="s">
        <v>98</v>
      </c>
      <c r="E48" s="618"/>
      <c r="F48" s="618"/>
      <c r="G48" s="618"/>
      <c r="H48" s="619"/>
      <c r="I48" s="231"/>
      <c r="J48" s="269">
        <f t="shared" si="4"/>
        <v>127.77777777777777</v>
      </c>
      <c r="K48" s="269">
        <v>115</v>
      </c>
      <c r="M48" s="458" t="s">
        <v>546</v>
      </c>
      <c r="N48" s="458"/>
      <c r="O48" s="458"/>
      <c r="P48" s="458"/>
      <c r="Q48" s="458"/>
      <c r="R48" s="458"/>
      <c r="S48" s="458"/>
      <c r="T48" s="458"/>
      <c r="U48" s="459">
        <v>13</v>
      </c>
      <c r="V48" s="464">
        <v>5</v>
      </c>
      <c r="W48" s="464">
        <v>12</v>
      </c>
      <c r="X48" s="433"/>
      <c r="Y48" s="429"/>
      <c r="Z48" s="308"/>
      <c r="AA48" s="429"/>
      <c r="AB48" s="429"/>
      <c r="AC48" s="308"/>
      <c r="AD48" s="308"/>
      <c r="AE48" s="308"/>
      <c r="AF48" s="308"/>
      <c r="AG48" s="308"/>
    </row>
    <row r="49" spans="1:33" x14ac:dyDescent="0.25">
      <c r="A49" s="229"/>
      <c r="B49" s="229">
        <v>3</v>
      </c>
      <c r="C49" s="230">
        <f>'DETALLE DE VENTAS'!AN232 -B49-A49</f>
        <v>0</v>
      </c>
      <c r="D49" s="617" t="s">
        <v>101</v>
      </c>
      <c r="E49" s="618"/>
      <c r="F49" s="618"/>
      <c r="G49" s="618"/>
      <c r="H49" s="619"/>
      <c r="I49" s="231"/>
      <c r="J49" s="269">
        <f t="shared" si="4"/>
        <v>127.77777777777777</v>
      </c>
      <c r="K49" s="269">
        <v>115</v>
      </c>
      <c r="M49" s="458" t="s">
        <v>547</v>
      </c>
      <c r="N49" s="458"/>
      <c r="O49" s="458"/>
      <c r="P49" s="458"/>
      <c r="Q49" s="458"/>
      <c r="R49" s="458"/>
      <c r="S49" s="458"/>
      <c r="T49" s="458"/>
      <c r="U49" s="459">
        <v>34</v>
      </c>
      <c r="V49" s="464">
        <v>5</v>
      </c>
      <c r="W49" s="464">
        <v>32</v>
      </c>
      <c r="X49" s="433"/>
      <c r="Y49" s="429"/>
      <c r="Z49" s="308"/>
      <c r="AA49" s="429"/>
      <c r="AB49" s="429"/>
      <c r="AC49" s="308"/>
      <c r="AD49" s="308"/>
      <c r="AE49" s="308"/>
      <c r="AF49" s="308"/>
      <c r="AG49" s="308"/>
    </row>
    <row r="50" spans="1:33" x14ac:dyDescent="0.25">
      <c r="A50" s="72"/>
      <c r="B50" s="72">
        <v>0</v>
      </c>
      <c r="C50" s="72">
        <f>'DETALLE DE VENTAS'!AC265-A50-B50</f>
        <v>0</v>
      </c>
      <c r="D50" s="608" t="s">
        <v>26</v>
      </c>
      <c r="E50" s="609"/>
      <c r="F50" s="609"/>
      <c r="G50" s="609"/>
      <c r="H50" s="610"/>
      <c r="I50" s="237"/>
      <c r="J50" s="236">
        <f t="shared" si="4"/>
        <v>44.444444444444443</v>
      </c>
      <c r="K50" s="236">
        <v>40</v>
      </c>
      <c r="M50" s="458" t="s">
        <v>548</v>
      </c>
      <c r="N50" s="458"/>
      <c r="O50" s="458"/>
      <c r="P50" s="458"/>
      <c r="Q50" s="458"/>
      <c r="R50" s="458"/>
      <c r="S50" s="458"/>
      <c r="T50" s="458"/>
      <c r="U50" s="459">
        <v>19</v>
      </c>
      <c r="V50" s="464">
        <v>5</v>
      </c>
      <c r="W50" s="464">
        <v>18</v>
      </c>
      <c r="X50" s="433"/>
      <c r="Y50" s="429"/>
      <c r="Z50" s="308"/>
      <c r="AA50" s="429"/>
      <c r="AB50" s="429"/>
      <c r="AC50" s="308"/>
      <c r="AD50" s="308"/>
      <c r="AE50" s="308"/>
      <c r="AF50" s="308"/>
      <c r="AG50" s="308"/>
    </row>
    <row r="51" spans="1:33" x14ac:dyDescent="0.25">
      <c r="A51" s="72"/>
      <c r="B51" s="72">
        <v>9</v>
      </c>
      <c r="C51" s="72">
        <f>'DETALLE DE VENTAS'!AC275-A51-B51</f>
        <v>0</v>
      </c>
      <c r="D51" s="608" t="s">
        <v>35</v>
      </c>
      <c r="E51" s="609"/>
      <c r="F51" s="609"/>
      <c r="G51" s="609"/>
      <c r="H51" s="610"/>
      <c r="I51" s="237"/>
      <c r="J51" s="236">
        <f t="shared" si="4"/>
        <v>7.7777777777777777</v>
      </c>
      <c r="K51" s="236">
        <v>7</v>
      </c>
      <c r="M51" s="458" t="s">
        <v>424</v>
      </c>
      <c r="N51" s="458"/>
      <c r="O51" s="458"/>
      <c r="P51" s="458"/>
      <c r="Q51" s="458"/>
      <c r="R51" s="458"/>
      <c r="S51" s="458"/>
      <c r="T51" s="458"/>
      <c r="U51" s="459">
        <v>18</v>
      </c>
      <c r="V51" s="464">
        <v>5</v>
      </c>
      <c r="W51" s="464">
        <v>17</v>
      </c>
      <c r="X51" s="433"/>
      <c r="Y51" s="429"/>
      <c r="Z51" s="308"/>
      <c r="AA51" s="429"/>
      <c r="AB51" s="429"/>
      <c r="AC51" s="308"/>
      <c r="AD51" s="308"/>
      <c r="AE51" s="308"/>
      <c r="AF51" s="308"/>
      <c r="AG51" s="308"/>
    </row>
    <row r="52" spans="1:33" x14ac:dyDescent="0.25">
      <c r="A52" s="72"/>
      <c r="B52" s="72">
        <v>2</v>
      </c>
      <c r="C52" s="72">
        <f>'DETALLE DE VENTAS'!AC273-A52-B52</f>
        <v>0</v>
      </c>
      <c r="D52" s="608" t="s">
        <v>33</v>
      </c>
      <c r="E52" s="609"/>
      <c r="F52" s="609"/>
      <c r="G52" s="609"/>
      <c r="H52" s="610"/>
      <c r="I52" s="237"/>
      <c r="J52" s="236">
        <f t="shared" si="4"/>
        <v>16.666666666666668</v>
      </c>
      <c r="K52" s="236">
        <v>15</v>
      </c>
      <c r="M52" s="458" t="s">
        <v>425</v>
      </c>
      <c r="N52" s="458"/>
      <c r="O52" s="458"/>
      <c r="P52" s="458"/>
      <c r="Q52" s="458"/>
      <c r="R52" s="458"/>
      <c r="S52" s="458"/>
      <c r="T52" s="458"/>
      <c r="U52" s="459">
        <v>20</v>
      </c>
      <c r="V52" s="463" t="s">
        <v>336</v>
      </c>
      <c r="W52" s="463" t="s">
        <v>336</v>
      </c>
      <c r="X52" s="433"/>
      <c r="Y52" s="429"/>
      <c r="Z52" s="308"/>
      <c r="AA52" s="429"/>
      <c r="AB52" s="429"/>
      <c r="AC52" s="308"/>
      <c r="AD52" s="308"/>
      <c r="AE52" s="308"/>
      <c r="AF52" s="308"/>
      <c r="AG52" s="308"/>
    </row>
    <row r="53" spans="1:33" x14ac:dyDescent="0.25">
      <c r="A53" s="72"/>
      <c r="B53" s="72">
        <v>2</v>
      </c>
      <c r="C53" s="72">
        <f>'DETALLE DE VENTAS'!AC274-A53-B53</f>
        <v>0</v>
      </c>
      <c r="D53" s="608" t="s">
        <v>34</v>
      </c>
      <c r="E53" s="609"/>
      <c r="F53" s="609"/>
      <c r="G53" s="609"/>
      <c r="H53" s="610"/>
      <c r="I53" s="237"/>
      <c r="J53" s="236">
        <f t="shared" si="4"/>
        <v>16.666666666666668</v>
      </c>
      <c r="K53" s="236">
        <v>15</v>
      </c>
      <c r="M53" s="458" t="s">
        <v>426</v>
      </c>
      <c r="N53" s="458"/>
      <c r="O53" s="458"/>
      <c r="P53" s="458"/>
      <c r="Q53" s="458"/>
      <c r="R53" s="458"/>
      <c r="S53" s="458"/>
      <c r="T53" s="458"/>
      <c r="U53" s="459">
        <v>21</v>
      </c>
      <c r="V53" s="463" t="s">
        <v>336</v>
      </c>
      <c r="W53" s="463" t="s">
        <v>336</v>
      </c>
      <c r="X53" s="433"/>
      <c r="Y53" s="429"/>
      <c r="Z53" s="308"/>
      <c r="AA53" s="429"/>
      <c r="AB53" s="429"/>
      <c r="AC53" s="308"/>
      <c r="AD53" s="308"/>
      <c r="AE53" s="308"/>
      <c r="AF53" s="308"/>
      <c r="AG53" s="308"/>
    </row>
    <row r="54" spans="1:33" x14ac:dyDescent="0.25">
      <c r="A54" s="72"/>
      <c r="B54" s="72">
        <v>4</v>
      </c>
      <c r="C54" s="72">
        <f>'DETALLE DE VENTAS'!AC272-A54-B54</f>
        <v>0</v>
      </c>
      <c r="D54" s="608" t="s">
        <v>32</v>
      </c>
      <c r="E54" s="609"/>
      <c r="F54" s="609"/>
      <c r="G54" s="609"/>
      <c r="H54" s="610"/>
      <c r="I54" s="237"/>
      <c r="J54" s="236">
        <f t="shared" si="4"/>
        <v>16.666666666666668</v>
      </c>
      <c r="K54" s="236">
        <v>15</v>
      </c>
      <c r="M54" s="458" t="s">
        <v>427</v>
      </c>
      <c r="N54" s="458"/>
      <c r="O54" s="458"/>
      <c r="P54" s="458"/>
      <c r="Q54" s="458"/>
      <c r="R54" s="458"/>
      <c r="S54" s="458"/>
      <c r="T54" s="458"/>
      <c r="U54" s="459">
        <v>23</v>
      </c>
      <c r="V54" s="463" t="s">
        <v>336</v>
      </c>
      <c r="W54" s="463" t="s">
        <v>336</v>
      </c>
      <c r="X54" s="433"/>
      <c r="Y54" s="429"/>
      <c r="Z54" s="308"/>
      <c r="AA54" s="429"/>
      <c r="AB54" s="429"/>
      <c r="AC54" s="308"/>
      <c r="AD54" s="308"/>
      <c r="AE54" s="308"/>
      <c r="AF54" s="308"/>
      <c r="AG54" s="308"/>
    </row>
    <row r="55" spans="1:33" x14ac:dyDescent="0.25">
      <c r="A55" s="72"/>
      <c r="B55" s="72">
        <v>39</v>
      </c>
      <c r="C55" s="72">
        <f>'DETALLE DE VENTAS'!AC259-A55-B55</f>
        <v>0</v>
      </c>
      <c r="D55" s="608" t="s">
        <v>20</v>
      </c>
      <c r="E55" s="609"/>
      <c r="F55" s="609"/>
      <c r="G55" s="609"/>
      <c r="H55" s="610"/>
      <c r="I55" s="237"/>
      <c r="J55" s="236">
        <f t="shared" si="4"/>
        <v>5.5555555555555554</v>
      </c>
      <c r="K55" s="236">
        <v>5</v>
      </c>
      <c r="M55" s="458" t="s">
        <v>428</v>
      </c>
      <c r="N55" s="458"/>
      <c r="O55" s="458"/>
      <c r="P55" s="458"/>
      <c r="Q55" s="458"/>
      <c r="R55" s="458"/>
      <c r="S55" s="458"/>
      <c r="T55" s="458"/>
      <c r="U55" s="459">
        <v>15</v>
      </c>
      <c r="V55" s="463" t="s">
        <v>336</v>
      </c>
      <c r="W55" s="463" t="s">
        <v>336</v>
      </c>
      <c r="X55" s="433"/>
      <c r="Y55" s="429"/>
      <c r="Z55" s="308"/>
      <c r="AA55" s="429"/>
      <c r="AB55" s="429"/>
      <c r="AC55" s="308"/>
      <c r="AD55" s="308"/>
      <c r="AE55" s="308"/>
      <c r="AF55" s="308"/>
      <c r="AG55" s="308"/>
    </row>
    <row r="56" spans="1:33" x14ac:dyDescent="0.25">
      <c r="A56" s="72"/>
      <c r="B56" s="72">
        <v>8</v>
      </c>
      <c r="C56" s="72">
        <f>'DETALLE DE VENTAS'!AC260-A56-B56</f>
        <v>0</v>
      </c>
      <c r="D56" s="608" t="s">
        <v>21</v>
      </c>
      <c r="E56" s="609"/>
      <c r="F56" s="609"/>
      <c r="G56" s="609"/>
      <c r="H56" s="610"/>
      <c r="I56" s="237"/>
      <c r="J56" s="236">
        <f t="shared" si="4"/>
        <v>12.222222222222221</v>
      </c>
      <c r="K56" s="236">
        <v>11</v>
      </c>
      <c r="M56" s="458" t="s">
        <v>429</v>
      </c>
      <c r="N56" s="458"/>
      <c r="O56" s="458"/>
      <c r="P56" s="458"/>
      <c r="Q56" s="458"/>
      <c r="R56" s="458"/>
      <c r="S56" s="458"/>
      <c r="T56" s="458"/>
      <c r="U56" s="459">
        <v>28</v>
      </c>
      <c r="V56" s="463" t="s">
        <v>336</v>
      </c>
      <c r="W56" s="463" t="s">
        <v>336</v>
      </c>
      <c r="X56" s="427"/>
      <c r="Y56" s="427"/>
      <c r="Z56" s="452"/>
      <c r="AA56" s="429"/>
      <c r="AB56" s="427"/>
      <c r="AC56" s="427"/>
      <c r="AD56" s="427"/>
      <c r="AE56" s="427"/>
      <c r="AF56" s="427"/>
      <c r="AG56" s="308"/>
    </row>
    <row r="57" spans="1:33" x14ac:dyDescent="0.25">
      <c r="A57" s="72"/>
      <c r="B57" s="72">
        <v>10</v>
      </c>
      <c r="C57" s="72">
        <f>'DETALLE DE VENTAS'!AC261-A57-B57</f>
        <v>0</v>
      </c>
      <c r="D57" s="608" t="s">
        <v>22</v>
      </c>
      <c r="E57" s="609"/>
      <c r="F57" s="609"/>
      <c r="G57" s="609"/>
      <c r="H57" s="610"/>
      <c r="I57" s="237"/>
      <c r="J57" s="236">
        <f t="shared" si="4"/>
        <v>12.222222222222221</v>
      </c>
      <c r="K57" s="236">
        <v>11</v>
      </c>
      <c r="M57" s="458" t="s">
        <v>430</v>
      </c>
      <c r="N57" s="458"/>
      <c r="O57" s="458"/>
      <c r="P57" s="458"/>
      <c r="Q57" s="458"/>
      <c r="R57" s="458"/>
      <c r="S57" s="458"/>
      <c r="T57" s="458"/>
      <c r="U57" s="459">
        <v>10</v>
      </c>
      <c r="V57" s="463" t="s">
        <v>336</v>
      </c>
      <c r="W57" s="463" t="s">
        <v>336</v>
      </c>
      <c r="X57" s="433"/>
      <c r="Y57" s="429"/>
      <c r="Z57" s="452"/>
      <c r="AA57" s="429"/>
      <c r="AB57" s="429"/>
      <c r="AC57" s="442"/>
      <c r="AD57" s="442"/>
      <c r="AE57" s="442"/>
      <c r="AF57" s="442"/>
      <c r="AG57" s="308"/>
    </row>
    <row r="58" spans="1:33" x14ac:dyDescent="0.25">
      <c r="A58" s="72"/>
      <c r="B58" s="72">
        <v>7</v>
      </c>
      <c r="C58" s="72">
        <f>'DETALLE DE VENTAS'!AC262-A58-B58</f>
        <v>0</v>
      </c>
      <c r="D58" s="608" t="s">
        <v>23</v>
      </c>
      <c r="E58" s="609"/>
      <c r="F58" s="609"/>
      <c r="G58" s="609"/>
      <c r="H58" s="610"/>
      <c r="I58" s="237"/>
      <c r="J58" s="236">
        <f t="shared" si="4"/>
        <v>4.4444444444444446</v>
      </c>
      <c r="K58" s="236">
        <v>4</v>
      </c>
      <c r="M58" s="458" t="s">
        <v>549</v>
      </c>
      <c r="N58" s="458"/>
      <c r="O58" s="458"/>
      <c r="P58" s="458"/>
      <c r="Q58" s="458"/>
      <c r="R58" s="458"/>
      <c r="S58" s="458"/>
      <c r="T58" s="458"/>
      <c r="U58" s="459">
        <v>15</v>
      </c>
      <c r="V58" s="463" t="s">
        <v>336</v>
      </c>
      <c r="W58" s="463" t="s">
        <v>336</v>
      </c>
      <c r="X58" s="433"/>
      <c r="Y58" s="429"/>
      <c r="Z58" s="452"/>
      <c r="AA58" s="429"/>
      <c r="AB58" s="429"/>
      <c r="AC58" s="442"/>
      <c r="AD58" s="442"/>
      <c r="AE58" s="442"/>
      <c r="AF58" s="442"/>
      <c r="AG58" s="308"/>
    </row>
    <row r="59" spans="1:33" x14ac:dyDescent="0.25">
      <c r="A59" s="72"/>
      <c r="B59" s="72">
        <v>10</v>
      </c>
      <c r="C59" s="72">
        <f>'DETALLE DE VENTAS'!AC263-A59-B59</f>
        <v>0</v>
      </c>
      <c r="D59" s="608" t="s">
        <v>24</v>
      </c>
      <c r="E59" s="609"/>
      <c r="F59" s="609"/>
      <c r="G59" s="609"/>
      <c r="H59" s="610"/>
      <c r="I59" s="237"/>
      <c r="J59" s="236">
        <f t="shared" si="4"/>
        <v>8.8888888888888893</v>
      </c>
      <c r="K59" s="236">
        <v>8</v>
      </c>
      <c r="M59" s="458" t="s">
        <v>431</v>
      </c>
      <c r="N59" s="458"/>
      <c r="O59" s="458"/>
      <c r="P59" s="458"/>
      <c r="Q59" s="458"/>
      <c r="R59" s="458"/>
      <c r="S59" s="458"/>
      <c r="T59" s="458"/>
      <c r="U59" s="459">
        <v>12</v>
      </c>
      <c r="V59" s="463" t="s">
        <v>336</v>
      </c>
      <c r="W59" s="463" t="s">
        <v>336</v>
      </c>
      <c r="X59" s="433"/>
      <c r="Y59" s="429"/>
      <c r="Z59" s="452"/>
      <c r="AA59" s="429"/>
      <c r="AB59" s="429"/>
      <c r="AC59" s="442"/>
      <c r="AD59" s="442"/>
      <c r="AE59" s="442"/>
      <c r="AF59" s="442"/>
      <c r="AG59" s="308"/>
    </row>
    <row r="60" spans="1:33" x14ac:dyDescent="0.25">
      <c r="A60" s="72"/>
      <c r="B60" s="72">
        <v>0</v>
      </c>
      <c r="C60" s="72">
        <f>'DETALLE DE VENTAS'!AC264-A60-B60</f>
        <v>0</v>
      </c>
      <c r="D60" s="608" t="s">
        <v>25</v>
      </c>
      <c r="E60" s="609"/>
      <c r="F60" s="609"/>
      <c r="G60" s="609"/>
      <c r="H60" s="610"/>
      <c r="I60" s="237"/>
      <c r="J60" s="236">
        <f t="shared" si="4"/>
        <v>28.888888888888889</v>
      </c>
      <c r="K60" s="236">
        <v>26</v>
      </c>
      <c r="M60" s="458" t="s">
        <v>432</v>
      </c>
      <c r="N60" s="458"/>
      <c r="O60" s="458"/>
      <c r="P60" s="458"/>
      <c r="Q60" s="458"/>
      <c r="R60" s="458"/>
      <c r="S60" s="458"/>
      <c r="T60" s="458"/>
      <c r="U60" s="459">
        <v>9</v>
      </c>
      <c r="V60" s="463" t="s">
        <v>336</v>
      </c>
      <c r="W60" s="463" t="s">
        <v>336</v>
      </c>
      <c r="X60" s="433"/>
      <c r="Y60" s="429"/>
      <c r="Z60" s="452"/>
      <c r="AA60" s="429"/>
      <c r="AB60" s="429"/>
      <c r="AC60" s="442"/>
      <c r="AD60" s="442"/>
      <c r="AE60" s="442"/>
      <c r="AF60" s="442"/>
      <c r="AG60" s="308"/>
    </row>
    <row r="61" spans="1:33" x14ac:dyDescent="0.25">
      <c r="A61" s="72"/>
      <c r="B61" s="72">
        <f>-4</f>
        <v>-4</v>
      </c>
      <c r="C61" s="72">
        <f>'DETALLE DE VENTAS'!AC276-A61-B61</f>
        <v>0</v>
      </c>
      <c r="D61" s="608" t="s">
        <v>36</v>
      </c>
      <c r="E61" s="609"/>
      <c r="F61" s="609"/>
      <c r="G61" s="609"/>
      <c r="H61" s="610"/>
      <c r="I61" s="237"/>
      <c r="J61" s="236">
        <f t="shared" si="4"/>
        <v>7.7777777777777777</v>
      </c>
      <c r="K61" s="236">
        <v>7</v>
      </c>
      <c r="M61" s="458" t="s">
        <v>550</v>
      </c>
      <c r="N61" s="458"/>
      <c r="O61" s="458"/>
      <c r="P61" s="458"/>
      <c r="Q61" s="458"/>
      <c r="R61" s="458"/>
      <c r="S61" s="458"/>
      <c r="T61" s="458"/>
      <c r="U61" s="459">
        <v>85</v>
      </c>
      <c r="V61" s="463" t="s">
        <v>336</v>
      </c>
      <c r="W61" s="463" t="s">
        <v>336</v>
      </c>
      <c r="X61" s="433"/>
      <c r="Y61" s="429"/>
      <c r="Z61" s="452"/>
      <c r="AA61" s="429"/>
      <c r="AB61" s="429"/>
      <c r="AC61" s="442"/>
      <c r="AD61" s="442"/>
      <c r="AE61" s="442"/>
      <c r="AF61" s="442"/>
      <c r="AG61" s="308"/>
    </row>
    <row r="62" spans="1:33" x14ac:dyDescent="0.25">
      <c r="A62" s="72"/>
      <c r="B62" s="72">
        <v>2</v>
      </c>
      <c r="C62" s="72">
        <f>'DETALLE DE VENTAS'!AC278-A62-B62</f>
        <v>0</v>
      </c>
      <c r="D62" s="608" t="s">
        <v>38</v>
      </c>
      <c r="E62" s="609"/>
      <c r="F62" s="609"/>
      <c r="G62" s="609"/>
      <c r="H62" s="610"/>
      <c r="I62" s="237"/>
      <c r="J62" s="236">
        <f t="shared" si="4"/>
        <v>14.444444444444445</v>
      </c>
      <c r="K62" s="236">
        <v>13</v>
      </c>
      <c r="M62" s="458" t="s">
        <v>551</v>
      </c>
      <c r="N62" s="458"/>
      <c r="O62" s="458"/>
      <c r="P62" s="458"/>
      <c r="Q62" s="458"/>
      <c r="R62" s="458"/>
      <c r="S62" s="458"/>
      <c r="T62" s="458"/>
      <c r="U62" s="459">
        <v>20</v>
      </c>
      <c r="V62" s="463" t="s">
        <v>336</v>
      </c>
      <c r="W62" s="463" t="s">
        <v>336</v>
      </c>
      <c r="X62" s="433"/>
      <c r="Y62" s="429"/>
      <c r="Z62" s="452"/>
      <c r="AA62" s="429"/>
      <c r="AB62" s="429"/>
      <c r="AC62" s="442"/>
      <c r="AD62" s="442"/>
      <c r="AE62" s="442"/>
      <c r="AF62" s="442"/>
      <c r="AG62" s="308"/>
    </row>
    <row r="63" spans="1:33" x14ac:dyDescent="0.25">
      <c r="A63" s="72"/>
      <c r="B63" s="72">
        <v>2</v>
      </c>
      <c r="C63" s="72">
        <f>'DETALLE DE VENTAS'!AC279-A63-B63</f>
        <v>0</v>
      </c>
      <c r="D63" s="608" t="s">
        <v>39</v>
      </c>
      <c r="E63" s="609"/>
      <c r="F63" s="609"/>
      <c r="G63" s="609"/>
      <c r="H63" s="610"/>
      <c r="I63" s="237"/>
      <c r="J63" s="236">
        <f t="shared" si="4"/>
        <v>20</v>
      </c>
      <c r="K63" s="236">
        <v>18</v>
      </c>
      <c r="M63" s="458" t="s">
        <v>436</v>
      </c>
      <c r="N63" s="458"/>
      <c r="O63" s="458"/>
      <c r="P63" s="458"/>
      <c r="Q63" s="458"/>
      <c r="R63" s="458"/>
      <c r="S63" s="458"/>
      <c r="T63" s="458"/>
      <c r="U63" s="459">
        <v>17</v>
      </c>
      <c r="V63" s="463" t="s">
        <v>336</v>
      </c>
      <c r="W63" s="463" t="s">
        <v>336</v>
      </c>
      <c r="X63" s="433"/>
      <c r="Y63" s="429"/>
      <c r="Z63" s="452"/>
      <c r="AA63" s="429"/>
      <c r="AB63" s="429"/>
      <c r="AC63" s="442"/>
      <c r="AD63" s="442"/>
      <c r="AE63" s="442"/>
      <c r="AF63" s="442"/>
      <c r="AG63" s="308"/>
    </row>
    <row r="64" spans="1:33" x14ac:dyDescent="0.25">
      <c r="A64" s="229"/>
      <c r="B64" s="229">
        <v>0</v>
      </c>
      <c r="C64" s="230">
        <f>'DETALLE DE VENTAS'!AN223 -B64-A64</f>
        <v>0</v>
      </c>
      <c r="D64" s="626" t="s">
        <v>11</v>
      </c>
      <c r="E64" s="627"/>
      <c r="F64" s="627"/>
      <c r="G64" s="627"/>
      <c r="H64" s="628"/>
      <c r="I64" s="78"/>
      <c r="J64" s="269">
        <f t="shared" si="4"/>
        <v>115.55555555555556</v>
      </c>
      <c r="K64" s="269">
        <v>104</v>
      </c>
      <c r="M64" s="458" t="s">
        <v>437</v>
      </c>
      <c r="N64" s="458"/>
      <c r="O64" s="458"/>
      <c r="P64" s="458"/>
      <c r="Q64" s="458"/>
      <c r="R64" s="458"/>
      <c r="S64" s="458"/>
      <c r="T64" s="458"/>
      <c r="U64" s="459">
        <v>14</v>
      </c>
      <c r="V64" s="463" t="s">
        <v>336</v>
      </c>
      <c r="W64" s="463" t="s">
        <v>336</v>
      </c>
      <c r="X64" s="433"/>
      <c r="Y64" s="429"/>
      <c r="Z64" s="452"/>
      <c r="AA64" s="429"/>
      <c r="AB64" s="429"/>
      <c r="AC64" s="442"/>
      <c r="AD64" s="442"/>
      <c r="AE64" s="442"/>
      <c r="AF64" s="442"/>
      <c r="AG64" s="308"/>
    </row>
    <row r="65" spans="1:33" x14ac:dyDescent="0.25">
      <c r="A65" s="229"/>
      <c r="B65" s="229">
        <f>-3</f>
        <v>-3</v>
      </c>
      <c r="C65" s="230">
        <f>'DETALLE DE VENTAS'!AN222 -B65-A65</f>
        <v>0</v>
      </c>
      <c r="D65" s="626" t="s">
        <v>10</v>
      </c>
      <c r="E65" s="627"/>
      <c r="F65" s="627"/>
      <c r="G65" s="627"/>
      <c r="H65" s="628"/>
      <c r="I65" s="78"/>
      <c r="J65" s="269">
        <f t="shared" si="4"/>
        <v>33.333333333333336</v>
      </c>
      <c r="K65" s="269">
        <v>30</v>
      </c>
      <c r="M65" s="458" t="s">
        <v>438</v>
      </c>
      <c r="N65" s="458"/>
      <c r="O65" s="458"/>
      <c r="P65" s="458"/>
      <c r="Q65" s="458"/>
      <c r="R65" s="458"/>
      <c r="S65" s="458"/>
      <c r="T65" s="458"/>
      <c r="U65" s="459">
        <v>11</v>
      </c>
      <c r="V65" s="463" t="s">
        <v>336</v>
      </c>
      <c r="W65" s="463" t="s">
        <v>336</v>
      </c>
      <c r="X65" s="433"/>
      <c r="Y65" s="429"/>
      <c r="Z65" s="452"/>
      <c r="AA65" s="429"/>
      <c r="AB65" s="429"/>
      <c r="AC65" s="442"/>
      <c r="AD65" s="442"/>
      <c r="AE65" s="442"/>
      <c r="AF65" s="442"/>
      <c r="AG65" s="308"/>
    </row>
    <row r="66" spans="1:33" x14ac:dyDescent="0.25">
      <c r="A66" s="242"/>
      <c r="B66" s="242">
        <v>10</v>
      </c>
      <c r="C66" s="242">
        <f>'DETALLE DE VENTAS'!Q311-B66-A66</f>
        <v>0</v>
      </c>
      <c r="D66" s="623" t="s">
        <v>257</v>
      </c>
      <c r="E66" s="624"/>
      <c r="F66" s="624"/>
      <c r="G66" s="624"/>
      <c r="H66" s="625"/>
      <c r="I66" s="243"/>
      <c r="J66" s="271">
        <f t="shared" si="4"/>
        <v>16.666666666666668</v>
      </c>
      <c r="K66" s="271">
        <v>15</v>
      </c>
      <c r="M66" s="458" t="s">
        <v>552</v>
      </c>
      <c r="N66" s="458"/>
      <c r="O66" s="458"/>
      <c r="P66" s="458"/>
      <c r="Q66" s="458"/>
      <c r="R66" s="458"/>
      <c r="S66" s="458"/>
      <c r="T66" s="458"/>
      <c r="U66" s="459">
        <v>16</v>
      </c>
      <c r="V66" s="463" t="s">
        <v>336</v>
      </c>
      <c r="W66" s="463" t="s">
        <v>336</v>
      </c>
      <c r="X66" s="433"/>
      <c r="Y66" s="429"/>
      <c r="Z66" s="452"/>
      <c r="AA66" s="429"/>
      <c r="AB66" s="429"/>
      <c r="AC66" s="442"/>
      <c r="AD66" s="442"/>
      <c r="AE66" s="442"/>
      <c r="AF66" s="442"/>
      <c r="AG66" s="308"/>
    </row>
    <row r="67" spans="1:33" x14ac:dyDescent="0.25">
      <c r="A67" s="245"/>
      <c r="B67" s="245">
        <v>10</v>
      </c>
      <c r="C67" s="242">
        <f>'DETALLE DE VENTAS'!Q313-B67-A67</f>
        <v>0</v>
      </c>
      <c r="D67" s="623" t="s">
        <v>259</v>
      </c>
      <c r="E67" s="624"/>
      <c r="F67" s="624"/>
      <c r="G67" s="624"/>
      <c r="H67" s="625"/>
      <c r="I67" s="243"/>
      <c r="J67" s="271">
        <f t="shared" si="4"/>
        <v>18.888888888888889</v>
      </c>
      <c r="K67" s="271">
        <v>17</v>
      </c>
      <c r="M67" s="458" t="s">
        <v>553</v>
      </c>
      <c r="N67" s="458"/>
      <c r="O67" s="458"/>
      <c r="P67" s="458"/>
      <c r="Q67" s="458"/>
      <c r="R67" s="458"/>
      <c r="S67" s="458"/>
      <c r="T67" s="458"/>
      <c r="U67" s="459">
        <v>13</v>
      </c>
      <c r="V67" s="463" t="s">
        <v>336</v>
      </c>
      <c r="W67" s="463" t="s">
        <v>336</v>
      </c>
      <c r="X67" s="433"/>
      <c r="Y67" s="429"/>
      <c r="Z67" s="452"/>
      <c r="AA67" s="429"/>
      <c r="AB67" s="429"/>
      <c r="AC67" s="442"/>
      <c r="AD67" s="442"/>
      <c r="AE67" s="442"/>
      <c r="AF67" s="442"/>
      <c r="AG67" s="308"/>
    </row>
    <row r="68" spans="1:33" x14ac:dyDescent="0.25">
      <c r="A68" s="242"/>
      <c r="B68" s="242">
        <v>10</v>
      </c>
      <c r="C68" s="242">
        <f>'DETALLE DE VENTAS'!Q310-B68-A68</f>
        <v>0</v>
      </c>
      <c r="D68" s="623" t="s">
        <v>256</v>
      </c>
      <c r="E68" s="624"/>
      <c r="F68" s="624"/>
      <c r="G68" s="624"/>
      <c r="H68" s="625"/>
      <c r="I68" s="243"/>
      <c r="J68" s="271">
        <f t="shared" si="4"/>
        <v>15.555555555555555</v>
      </c>
      <c r="K68" s="271">
        <v>14</v>
      </c>
      <c r="M68" s="458" t="s">
        <v>554</v>
      </c>
      <c r="N68" s="458"/>
      <c r="O68" s="458"/>
      <c r="P68" s="458"/>
      <c r="Q68" s="458"/>
      <c r="R68" s="458"/>
      <c r="S68" s="458"/>
      <c r="T68" s="458"/>
      <c r="U68" s="459">
        <v>13</v>
      </c>
      <c r="V68" s="463" t="s">
        <v>336</v>
      </c>
      <c r="W68" s="463" t="s">
        <v>336</v>
      </c>
      <c r="X68" s="433"/>
      <c r="Y68" s="429"/>
      <c r="Z68" s="452"/>
      <c r="AA68" s="429"/>
      <c r="AB68" s="429"/>
      <c r="AC68" s="442"/>
      <c r="AD68" s="442"/>
      <c r="AE68" s="442"/>
      <c r="AF68" s="442"/>
      <c r="AG68" s="308"/>
    </row>
    <row r="69" spans="1:33" x14ac:dyDescent="0.25">
      <c r="A69" s="242"/>
      <c r="B69" s="242">
        <v>10</v>
      </c>
      <c r="C69" s="242">
        <f>'DETALLE DE VENTAS'!Q309-B69-A69</f>
        <v>0</v>
      </c>
      <c r="D69" s="623" t="s">
        <v>255</v>
      </c>
      <c r="E69" s="624"/>
      <c r="F69" s="624"/>
      <c r="G69" s="624"/>
      <c r="H69" s="625"/>
      <c r="I69" s="242"/>
      <c r="J69" s="271">
        <f t="shared" ref="J69:J90" si="5">K69/$C$97</f>
        <v>12.222222222222221</v>
      </c>
      <c r="K69" s="271">
        <v>11</v>
      </c>
      <c r="M69" s="458" t="s">
        <v>555</v>
      </c>
      <c r="N69" s="458"/>
      <c r="O69" s="458"/>
      <c r="P69" s="458"/>
      <c r="Q69" s="458"/>
      <c r="R69" s="458"/>
      <c r="S69" s="458"/>
      <c r="T69" s="458"/>
      <c r="U69" s="459">
        <v>32</v>
      </c>
      <c r="V69" s="463" t="s">
        <v>336</v>
      </c>
      <c r="W69" s="463" t="s">
        <v>336</v>
      </c>
      <c r="X69" s="433"/>
      <c r="Y69" s="429"/>
      <c r="Z69" s="452"/>
      <c r="AA69" s="429"/>
      <c r="AB69" s="429"/>
      <c r="AC69" s="442"/>
      <c r="AD69" s="442"/>
      <c r="AE69" s="442"/>
      <c r="AF69" s="442"/>
      <c r="AG69" s="308"/>
    </row>
    <row r="70" spans="1:33" x14ac:dyDescent="0.25">
      <c r="A70" s="229"/>
      <c r="B70" s="229">
        <v>70</v>
      </c>
      <c r="C70" s="230">
        <f>'DETALLE DE VENTAS'!AN221 -B70-A70</f>
        <v>0</v>
      </c>
      <c r="D70" s="626" t="s">
        <v>9</v>
      </c>
      <c r="E70" s="627"/>
      <c r="F70" s="627"/>
      <c r="G70" s="627"/>
      <c r="H70" s="628"/>
      <c r="I70" s="75"/>
      <c r="J70" s="269">
        <f t="shared" si="5"/>
        <v>33.333333333333336</v>
      </c>
      <c r="K70" s="269">
        <v>30</v>
      </c>
      <c r="M70" s="458" t="s">
        <v>556</v>
      </c>
      <c r="N70" s="458"/>
      <c r="O70" s="458"/>
      <c r="P70" s="458"/>
      <c r="Q70" s="458"/>
      <c r="R70" s="458"/>
      <c r="S70" s="458"/>
      <c r="T70" s="458"/>
      <c r="U70" s="459">
        <v>10</v>
      </c>
      <c r="V70" s="463" t="s">
        <v>336</v>
      </c>
      <c r="W70" s="463" t="s">
        <v>336</v>
      </c>
      <c r="X70" s="433"/>
      <c r="Y70" s="429"/>
      <c r="Z70" s="452"/>
      <c r="AA70" s="429"/>
      <c r="AB70" s="429"/>
      <c r="AC70" s="442"/>
      <c r="AD70" s="442"/>
      <c r="AE70" s="442"/>
      <c r="AF70" s="442"/>
      <c r="AG70" s="308"/>
    </row>
    <row r="71" spans="1:33" x14ac:dyDescent="0.25">
      <c r="A71" s="229"/>
      <c r="B71" s="229">
        <v>38</v>
      </c>
      <c r="C71" s="230">
        <f>'DETALLE DE VENTAS'!AN220 -B71-A71</f>
        <v>0</v>
      </c>
      <c r="D71" s="626" t="s">
        <v>8</v>
      </c>
      <c r="E71" s="627"/>
      <c r="F71" s="627"/>
      <c r="G71" s="627"/>
      <c r="H71" s="628"/>
      <c r="I71" s="270"/>
      <c r="J71" s="269">
        <f t="shared" si="5"/>
        <v>15.555555555555555</v>
      </c>
      <c r="K71" s="269">
        <v>14</v>
      </c>
      <c r="M71" s="458" t="s">
        <v>557</v>
      </c>
      <c r="N71" s="458"/>
      <c r="O71" s="458"/>
      <c r="P71" s="458"/>
      <c r="Q71" s="458"/>
      <c r="R71" s="458"/>
      <c r="S71" s="458"/>
      <c r="T71" s="458"/>
      <c r="U71" s="459">
        <v>33</v>
      </c>
      <c r="V71" s="463" t="s">
        <v>336</v>
      </c>
      <c r="W71" s="463" t="s">
        <v>336</v>
      </c>
      <c r="X71" s="433"/>
      <c r="Y71" s="429"/>
      <c r="Z71" s="452"/>
      <c r="AA71" s="429"/>
      <c r="AB71" s="429"/>
      <c r="AC71" s="442"/>
      <c r="AD71" s="442"/>
      <c r="AE71" s="442"/>
      <c r="AF71" s="442"/>
      <c r="AG71" s="308"/>
    </row>
    <row r="72" spans="1:33" x14ac:dyDescent="0.25">
      <c r="A72" s="229"/>
      <c r="B72" s="229">
        <v>0</v>
      </c>
      <c r="C72" s="230">
        <f>'DETALLE DE VENTAS'!AN224 -B72-A72</f>
        <v>0</v>
      </c>
      <c r="D72" s="626" t="s">
        <v>57</v>
      </c>
      <c r="E72" s="627"/>
      <c r="F72" s="627"/>
      <c r="G72" s="627"/>
      <c r="H72" s="628"/>
      <c r="I72" s="268"/>
      <c r="J72" s="269">
        <f t="shared" si="5"/>
        <v>53.333333333333329</v>
      </c>
      <c r="K72" s="269">
        <v>48</v>
      </c>
      <c r="M72" s="458" t="s">
        <v>558</v>
      </c>
      <c r="N72" s="458"/>
      <c r="O72" s="458"/>
      <c r="P72" s="458"/>
      <c r="Q72" s="458"/>
      <c r="R72" s="458"/>
      <c r="S72" s="458"/>
      <c r="T72" s="458"/>
      <c r="U72" s="459">
        <v>33</v>
      </c>
      <c r="V72" s="463" t="s">
        <v>336</v>
      </c>
      <c r="W72" s="463" t="s">
        <v>336</v>
      </c>
      <c r="X72" s="433"/>
      <c r="Y72" s="429"/>
      <c r="Z72" s="452"/>
      <c r="AA72" s="429"/>
      <c r="AB72" s="429"/>
      <c r="AC72" s="442"/>
      <c r="AD72" s="442"/>
      <c r="AE72" s="442"/>
      <c r="AF72" s="442"/>
      <c r="AG72" s="308"/>
    </row>
    <row r="73" spans="1:33" x14ac:dyDescent="0.25">
      <c r="A73" s="238"/>
      <c r="B73" s="238">
        <v>31</v>
      </c>
      <c r="C73" s="72">
        <f>'DETALLE DE VENTAS'!AC292-B73-A73</f>
        <v>0</v>
      </c>
      <c r="D73" s="608" t="s">
        <v>276</v>
      </c>
      <c r="E73" s="609"/>
      <c r="F73" s="609"/>
      <c r="G73" s="609"/>
      <c r="H73" s="610"/>
      <c r="I73" s="239"/>
      <c r="J73" s="236">
        <f t="shared" si="5"/>
        <v>10</v>
      </c>
      <c r="K73" s="236">
        <v>9</v>
      </c>
      <c r="M73" s="458" t="s">
        <v>559</v>
      </c>
      <c r="N73" s="458"/>
      <c r="O73" s="458"/>
      <c r="P73" s="458"/>
      <c r="Q73" s="458"/>
      <c r="R73" s="458"/>
      <c r="S73" s="458"/>
      <c r="T73" s="458"/>
      <c r="U73" s="459">
        <v>16</v>
      </c>
      <c r="V73" s="464">
        <v>10</v>
      </c>
      <c r="W73" s="464">
        <v>15</v>
      </c>
      <c r="X73" s="433"/>
      <c r="Y73" s="429"/>
      <c r="Z73" s="452"/>
      <c r="AA73" s="429"/>
      <c r="AB73" s="429"/>
      <c r="AC73" s="442"/>
      <c r="AD73" s="442"/>
      <c r="AE73" s="442"/>
      <c r="AF73" s="442"/>
      <c r="AG73" s="308"/>
    </row>
    <row r="74" spans="1:33" x14ac:dyDescent="0.25">
      <c r="A74" s="229"/>
      <c r="B74" s="229">
        <v>11</v>
      </c>
      <c r="C74" s="230">
        <f>'DETALLE DE VENTAS'!AN225 -B74-A74</f>
        <v>0</v>
      </c>
      <c r="D74" s="626" t="s">
        <v>51</v>
      </c>
      <c r="E74" s="627"/>
      <c r="F74" s="627"/>
      <c r="G74" s="627"/>
      <c r="H74" s="628"/>
      <c r="I74" s="268"/>
      <c r="J74" s="269">
        <f t="shared" si="5"/>
        <v>50</v>
      </c>
      <c r="K74" s="269">
        <v>45</v>
      </c>
      <c r="M74" s="461"/>
      <c r="N74" s="461"/>
      <c r="O74" s="461"/>
      <c r="P74" s="461"/>
      <c r="Q74" s="461"/>
      <c r="R74" s="461"/>
      <c r="S74" s="461"/>
      <c r="T74" s="461"/>
      <c r="U74" s="462"/>
      <c r="V74" s="439"/>
      <c r="W74" s="439"/>
      <c r="X74" s="433"/>
      <c r="Y74" s="429"/>
      <c r="Z74" s="452"/>
      <c r="AA74" s="429"/>
      <c r="AB74" s="429"/>
      <c r="AC74" s="442"/>
      <c r="AD74" s="442"/>
      <c r="AE74" s="442"/>
      <c r="AF74" s="442"/>
      <c r="AG74" s="308"/>
    </row>
    <row r="75" spans="1:33" ht="17.25" customHeight="1" x14ac:dyDescent="0.25">
      <c r="A75" s="248"/>
      <c r="B75" s="248">
        <v>2</v>
      </c>
      <c r="C75" s="248">
        <f>'DETALLE DE VENTAS'!N241-A75-B75</f>
        <v>0</v>
      </c>
      <c r="D75" s="614" t="s">
        <v>279</v>
      </c>
      <c r="E75" s="615"/>
      <c r="F75" s="615"/>
      <c r="G75" s="615"/>
      <c r="H75" s="616"/>
      <c r="I75" s="249"/>
      <c r="J75" s="267">
        <f t="shared" si="5"/>
        <v>133.33333333333334</v>
      </c>
      <c r="K75" s="267">
        <v>120</v>
      </c>
      <c r="M75" s="455" t="s">
        <v>2</v>
      </c>
      <c r="N75" s="455"/>
      <c r="O75" s="455"/>
      <c r="P75" s="455"/>
      <c r="Q75" s="455"/>
      <c r="R75" s="455"/>
      <c r="S75" s="455"/>
      <c r="T75" s="455"/>
      <c r="U75" s="455" t="s">
        <v>299</v>
      </c>
      <c r="V75" s="456" t="s">
        <v>526</v>
      </c>
      <c r="W75" s="457" t="s">
        <v>527</v>
      </c>
      <c r="X75" s="433"/>
      <c r="Y75" s="429"/>
      <c r="Z75" s="452"/>
      <c r="AA75" s="429"/>
      <c r="AB75" s="429"/>
      <c r="AC75" s="442"/>
      <c r="AD75" s="442"/>
      <c r="AE75" s="442"/>
      <c r="AF75" s="442"/>
      <c r="AG75" s="308"/>
    </row>
    <row r="76" spans="1:33" x14ac:dyDescent="0.25">
      <c r="A76" s="248"/>
      <c r="B76" s="248">
        <v>3</v>
      </c>
      <c r="C76" s="248">
        <f>'DETALLE DE VENTAS'!Q251-A76-B76</f>
        <v>0</v>
      </c>
      <c r="D76" s="614" t="s">
        <v>237</v>
      </c>
      <c r="E76" s="615"/>
      <c r="F76" s="615"/>
      <c r="G76" s="615"/>
      <c r="H76" s="616"/>
      <c r="I76" s="249"/>
      <c r="J76" s="267">
        <f t="shared" si="5"/>
        <v>111.11111111111111</v>
      </c>
      <c r="K76" s="267">
        <v>100</v>
      </c>
      <c r="M76" s="458" t="s">
        <v>385</v>
      </c>
      <c r="N76" s="458"/>
      <c r="O76" s="458"/>
      <c r="P76" s="458"/>
      <c r="Q76" s="458"/>
      <c r="R76" s="458"/>
      <c r="S76" s="458"/>
      <c r="T76" s="458"/>
      <c r="U76" s="459">
        <v>80</v>
      </c>
      <c r="V76" s="463" t="s">
        <v>336</v>
      </c>
      <c r="W76" s="463" t="s">
        <v>336</v>
      </c>
      <c r="X76" s="433"/>
      <c r="Y76" s="429"/>
      <c r="Z76" s="452"/>
      <c r="AA76" s="429"/>
      <c r="AB76" s="429"/>
      <c r="AC76" s="442"/>
      <c r="AD76" s="442"/>
      <c r="AE76" s="442"/>
      <c r="AF76" s="442"/>
      <c r="AG76" s="308"/>
    </row>
    <row r="77" spans="1:33" ht="14.25" customHeight="1" x14ac:dyDescent="0.25">
      <c r="A77" s="248"/>
      <c r="B77" s="248">
        <v>1</v>
      </c>
      <c r="C77" s="248">
        <f>'DETALLE DE VENTAS'!N239-A77-B77</f>
        <v>0</v>
      </c>
      <c r="D77" s="614" t="s">
        <v>280</v>
      </c>
      <c r="E77" s="615"/>
      <c r="F77" s="615"/>
      <c r="G77" s="615"/>
      <c r="H77" s="616"/>
      <c r="I77" s="249"/>
      <c r="J77" s="267">
        <f t="shared" si="5"/>
        <v>83.333333333333329</v>
      </c>
      <c r="K77" s="267">
        <v>75</v>
      </c>
      <c r="M77" s="458" t="s">
        <v>308</v>
      </c>
      <c r="N77" s="458"/>
      <c r="O77" s="458"/>
      <c r="P77" s="458"/>
      <c r="Q77" s="458"/>
      <c r="R77" s="458"/>
      <c r="S77" s="458"/>
      <c r="T77" s="458"/>
      <c r="U77" s="459">
        <v>100</v>
      </c>
      <c r="V77" s="464" t="s">
        <v>336</v>
      </c>
      <c r="W77" s="464" t="s">
        <v>336</v>
      </c>
      <c r="X77" s="433"/>
      <c r="Y77" s="429"/>
      <c r="Z77" s="452"/>
      <c r="AA77" s="429"/>
      <c r="AB77" s="429"/>
      <c r="AC77" s="442"/>
      <c r="AD77" s="442"/>
      <c r="AE77" s="442"/>
      <c r="AF77" s="442"/>
      <c r="AG77" s="308"/>
    </row>
    <row r="78" spans="1:33" x14ac:dyDescent="0.25">
      <c r="A78" s="248"/>
      <c r="B78" s="248">
        <v>2</v>
      </c>
      <c r="C78" s="248">
        <f>'DETALLE DE VENTAS'!N240-A78-B78</f>
        <v>0</v>
      </c>
      <c r="D78" s="614" t="s">
        <v>281</v>
      </c>
      <c r="E78" s="615"/>
      <c r="F78" s="615"/>
      <c r="G78" s="615"/>
      <c r="H78" s="616"/>
      <c r="I78" s="249"/>
      <c r="J78" s="267">
        <f t="shared" si="5"/>
        <v>88.888888888888886</v>
      </c>
      <c r="K78" s="267">
        <v>80</v>
      </c>
      <c r="M78" s="458" t="s">
        <v>386</v>
      </c>
      <c r="N78" s="458"/>
      <c r="O78" s="458"/>
      <c r="P78" s="458"/>
      <c r="Q78" s="458"/>
      <c r="R78" s="458"/>
      <c r="S78" s="458"/>
      <c r="T78" s="458"/>
      <c r="U78" s="459">
        <v>25</v>
      </c>
      <c r="V78" s="463" t="s">
        <v>336</v>
      </c>
      <c r="W78" s="463" t="s">
        <v>336</v>
      </c>
      <c r="X78" s="433"/>
      <c r="Y78" s="429"/>
      <c r="Z78" s="452"/>
      <c r="AA78" s="429"/>
      <c r="AB78" s="429"/>
      <c r="AC78" s="442"/>
      <c r="AD78" s="442"/>
      <c r="AE78" s="442"/>
      <c r="AF78" s="442"/>
      <c r="AG78" s="308"/>
    </row>
    <row r="79" spans="1:33" x14ac:dyDescent="0.25">
      <c r="A79" s="248"/>
      <c r="B79" s="248">
        <v>3</v>
      </c>
      <c r="C79" s="248">
        <f>'DETALLE DE VENTAS'!N242-A79-B79</f>
        <v>0</v>
      </c>
      <c r="D79" s="614" t="s">
        <v>282</v>
      </c>
      <c r="E79" s="615"/>
      <c r="F79" s="615"/>
      <c r="G79" s="615"/>
      <c r="H79" s="616"/>
      <c r="I79" s="249"/>
      <c r="J79" s="267">
        <f t="shared" si="5"/>
        <v>133.33333333333334</v>
      </c>
      <c r="K79" s="267">
        <v>120</v>
      </c>
      <c r="M79" s="458" t="s">
        <v>387</v>
      </c>
      <c r="N79" s="458"/>
      <c r="O79" s="458"/>
      <c r="P79" s="458"/>
      <c r="Q79" s="458"/>
      <c r="R79" s="458"/>
      <c r="S79" s="458"/>
      <c r="T79" s="458"/>
      <c r="U79" s="459">
        <v>100</v>
      </c>
      <c r="V79" s="464" t="s">
        <v>336</v>
      </c>
      <c r="W79" s="464" t="s">
        <v>336</v>
      </c>
      <c r="X79" s="433"/>
      <c r="Y79" s="429"/>
      <c r="Z79" s="452"/>
      <c r="AA79" s="429"/>
      <c r="AB79" s="429"/>
      <c r="AC79" s="442"/>
      <c r="AD79" s="442"/>
      <c r="AE79" s="442"/>
      <c r="AF79" s="442"/>
      <c r="AG79" s="308"/>
    </row>
    <row r="80" spans="1:33" ht="15" customHeight="1" x14ac:dyDescent="0.25">
      <c r="A80" s="248"/>
      <c r="B80" s="248">
        <v>13</v>
      </c>
      <c r="C80" s="248">
        <f>'DETALLE DE VENTAS'!Q252-A80-B80</f>
        <v>0</v>
      </c>
      <c r="D80" s="614" t="s">
        <v>59</v>
      </c>
      <c r="E80" s="615"/>
      <c r="F80" s="615"/>
      <c r="G80" s="615"/>
      <c r="H80" s="616"/>
      <c r="I80" s="249"/>
      <c r="J80" s="267">
        <f t="shared" si="5"/>
        <v>111.11111111111111</v>
      </c>
      <c r="K80" s="267">
        <v>100</v>
      </c>
      <c r="M80" s="458" t="s">
        <v>388</v>
      </c>
      <c r="N80" s="458"/>
      <c r="O80" s="458"/>
      <c r="P80" s="458"/>
      <c r="Q80" s="458"/>
      <c r="R80" s="458"/>
      <c r="S80" s="458"/>
      <c r="T80" s="458"/>
      <c r="U80" s="459">
        <v>25</v>
      </c>
      <c r="V80" s="463" t="s">
        <v>336</v>
      </c>
      <c r="W80" s="463" t="s">
        <v>336</v>
      </c>
      <c r="X80" s="433"/>
      <c r="Y80" s="429"/>
      <c r="Z80" s="452"/>
      <c r="AA80" s="429"/>
      <c r="AB80" s="429"/>
      <c r="AC80" s="442"/>
      <c r="AD80" s="442"/>
      <c r="AE80" s="442"/>
      <c r="AF80" s="442"/>
      <c r="AG80" s="308"/>
    </row>
    <row r="81" spans="1:33" ht="15" customHeight="1" x14ac:dyDescent="0.25">
      <c r="A81" s="248"/>
      <c r="B81" s="248">
        <v>1</v>
      </c>
      <c r="C81" s="248">
        <f>'DETALLE DE VENTAS'!N243-A81-B81</f>
        <v>0</v>
      </c>
      <c r="D81" s="614" t="s">
        <v>283</v>
      </c>
      <c r="E81" s="615"/>
      <c r="F81" s="615"/>
      <c r="G81" s="615"/>
      <c r="H81" s="616"/>
      <c r="I81" s="249"/>
      <c r="J81" s="267">
        <f t="shared" si="5"/>
        <v>244.44444444444443</v>
      </c>
      <c r="K81" s="267">
        <v>220</v>
      </c>
      <c r="M81" s="458" t="s">
        <v>389</v>
      </c>
      <c r="N81" s="458"/>
      <c r="O81" s="458"/>
      <c r="P81" s="458"/>
      <c r="Q81" s="458"/>
      <c r="R81" s="458"/>
      <c r="S81" s="458"/>
      <c r="T81" s="458"/>
      <c r="U81" s="459">
        <v>100</v>
      </c>
      <c r="V81" s="464" t="s">
        <v>336</v>
      </c>
      <c r="W81" s="464" t="s">
        <v>336</v>
      </c>
      <c r="X81" s="433"/>
      <c r="Y81" s="429"/>
      <c r="Z81" s="452"/>
      <c r="AA81" s="429"/>
      <c r="AB81" s="429"/>
      <c r="AC81" s="442"/>
      <c r="AD81" s="442"/>
      <c r="AE81" s="442"/>
      <c r="AF81" s="442"/>
      <c r="AG81" s="308"/>
    </row>
    <row r="82" spans="1:33" ht="15" customHeight="1" x14ac:dyDescent="0.25">
      <c r="A82" s="248"/>
      <c r="B82" s="248">
        <v>1</v>
      </c>
      <c r="C82" s="248">
        <f>'DETALLE DE VENTAS'!N244-A82-B82</f>
        <v>0</v>
      </c>
      <c r="D82" s="614" t="s">
        <v>284</v>
      </c>
      <c r="E82" s="615"/>
      <c r="F82" s="615"/>
      <c r="G82" s="615"/>
      <c r="H82" s="616"/>
      <c r="I82" s="249"/>
      <c r="J82" s="267">
        <f t="shared" si="5"/>
        <v>277.77777777777777</v>
      </c>
      <c r="K82" s="267">
        <v>250</v>
      </c>
      <c r="M82" s="458" t="s">
        <v>390</v>
      </c>
      <c r="N82" s="458"/>
      <c r="O82" s="458"/>
      <c r="P82" s="458"/>
      <c r="Q82" s="458"/>
      <c r="R82" s="458"/>
      <c r="S82" s="458"/>
      <c r="T82" s="458"/>
      <c r="U82" s="459">
        <v>25</v>
      </c>
      <c r="V82" s="463" t="s">
        <v>336</v>
      </c>
      <c r="W82" s="463" t="s">
        <v>336</v>
      </c>
      <c r="X82" s="433"/>
      <c r="Y82" s="429"/>
      <c r="Z82" s="452"/>
      <c r="AA82" s="429"/>
      <c r="AB82" s="429"/>
      <c r="AC82" s="442"/>
      <c r="AD82" s="442"/>
      <c r="AE82" s="442"/>
      <c r="AF82" s="442"/>
      <c r="AG82" s="308"/>
    </row>
    <row r="83" spans="1:33" x14ac:dyDescent="0.25">
      <c r="A83" s="242"/>
      <c r="B83" s="242">
        <v>10</v>
      </c>
      <c r="C83" s="242">
        <f>'DETALLE DE VENTAS'!Q303-B83-A83</f>
        <v>0</v>
      </c>
      <c r="D83" s="623" t="s">
        <v>250</v>
      </c>
      <c r="E83" s="624"/>
      <c r="F83" s="624"/>
      <c r="G83" s="624"/>
      <c r="H83" s="625"/>
      <c r="I83" s="246"/>
      <c r="J83" s="271">
        <f t="shared" si="5"/>
        <v>14.444444444444445</v>
      </c>
      <c r="K83" s="271">
        <v>13</v>
      </c>
      <c r="M83" s="458" t="s">
        <v>391</v>
      </c>
      <c r="N83" s="458"/>
      <c r="O83" s="458"/>
      <c r="P83" s="458"/>
      <c r="Q83" s="458"/>
      <c r="R83" s="458"/>
      <c r="S83" s="458"/>
      <c r="T83" s="458"/>
      <c r="U83" s="459">
        <v>9</v>
      </c>
      <c r="V83" s="463" t="s">
        <v>336</v>
      </c>
      <c r="W83" s="463" t="s">
        <v>336</v>
      </c>
      <c r="X83" s="427"/>
      <c r="Y83" s="427"/>
      <c r="Z83" s="452"/>
      <c r="AA83" s="429"/>
      <c r="AB83" s="429"/>
      <c r="AC83" s="308"/>
      <c r="AD83" s="308"/>
      <c r="AE83" s="308"/>
      <c r="AF83" s="308"/>
      <c r="AG83" s="308"/>
    </row>
    <row r="84" spans="1:33" x14ac:dyDescent="0.25">
      <c r="A84" s="242"/>
      <c r="B84" s="242">
        <v>3</v>
      </c>
      <c r="C84" s="242">
        <f>'DETALLE DE VENTAS'!Q304-B84-A84</f>
        <v>0</v>
      </c>
      <c r="D84" s="623" t="s">
        <v>251</v>
      </c>
      <c r="E84" s="624"/>
      <c r="F84" s="624"/>
      <c r="G84" s="624"/>
      <c r="H84" s="625"/>
      <c r="I84" s="246"/>
      <c r="J84" s="271">
        <f t="shared" si="5"/>
        <v>10</v>
      </c>
      <c r="K84" s="271">
        <v>9</v>
      </c>
      <c r="M84" s="458" t="s">
        <v>560</v>
      </c>
      <c r="N84" s="458"/>
      <c r="O84" s="458"/>
      <c r="P84" s="458"/>
      <c r="Q84" s="458"/>
      <c r="R84" s="458"/>
      <c r="S84" s="458"/>
      <c r="T84" s="458"/>
      <c r="U84" s="459">
        <v>0</v>
      </c>
      <c r="V84" s="463" t="s">
        <v>336</v>
      </c>
      <c r="W84" s="463" t="s">
        <v>336</v>
      </c>
      <c r="X84" s="427"/>
      <c r="Y84" s="427"/>
      <c r="Z84" s="452"/>
      <c r="AA84" s="429"/>
      <c r="AB84" s="429"/>
      <c r="AC84" s="308"/>
      <c r="AD84" s="308"/>
      <c r="AE84" s="308"/>
      <c r="AF84" s="308"/>
      <c r="AG84" s="308"/>
    </row>
    <row r="85" spans="1:33" x14ac:dyDescent="0.25">
      <c r="A85" s="242"/>
      <c r="B85" s="242">
        <v>10</v>
      </c>
      <c r="C85" s="242">
        <f>'DETALLE DE VENTAS'!Q302-B85-A85</f>
        <v>0</v>
      </c>
      <c r="D85" s="623" t="s">
        <v>249</v>
      </c>
      <c r="E85" s="624"/>
      <c r="F85" s="624"/>
      <c r="G85" s="624"/>
      <c r="H85" s="625"/>
      <c r="I85" s="247"/>
      <c r="J85" s="271">
        <f t="shared" si="5"/>
        <v>36.666666666666664</v>
      </c>
      <c r="K85" s="271">
        <v>33</v>
      </c>
      <c r="M85" s="458" t="s">
        <v>392</v>
      </c>
      <c r="N85" s="458"/>
      <c r="O85" s="458"/>
      <c r="P85" s="458"/>
      <c r="Q85" s="458"/>
      <c r="R85" s="458"/>
      <c r="S85" s="458"/>
      <c r="T85" s="458"/>
      <c r="U85" s="459">
        <v>90</v>
      </c>
      <c r="V85" s="463" t="s">
        <v>336</v>
      </c>
      <c r="W85" s="463" t="s">
        <v>336</v>
      </c>
      <c r="X85" s="427"/>
      <c r="Y85" s="427"/>
      <c r="Z85" s="452"/>
      <c r="AA85" s="429"/>
      <c r="AB85" s="429"/>
      <c r="AC85" s="308"/>
      <c r="AD85" s="308"/>
      <c r="AE85" s="308"/>
      <c r="AF85" s="308"/>
      <c r="AG85" s="308"/>
    </row>
    <row r="86" spans="1:33" x14ac:dyDescent="0.25">
      <c r="A86" s="243"/>
      <c r="B86" s="242">
        <v>16</v>
      </c>
      <c r="C86" s="242">
        <f>'DETALLE DE VENTAS'!Q298-A86-B86</f>
        <v>0</v>
      </c>
      <c r="D86" s="623" t="s">
        <v>117</v>
      </c>
      <c r="E86" s="624"/>
      <c r="F86" s="624"/>
      <c r="G86" s="624"/>
      <c r="H86" s="625"/>
      <c r="I86" s="247"/>
      <c r="J86" s="271">
        <f t="shared" si="5"/>
        <v>20</v>
      </c>
      <c r="K86" s="271">
        <v>18</v>
      </c>
      <c r="M86" s="458" t="s">
        <v>393</v>
      </c>
      <c r="N86" s="458"/>
      <c r="O86" s="458"/>
      <c r="P86" s="458"/>
      <c r="Q86" s="458"/>
      <c r="R86" s="458"/>
      <c r="S86" s="458"/>
      <c r="T86" s="458"/>
      <c r="U86" s="459">
        <v>9</v>
      </c>
      <c r="V86" s="464">
        <v>6</v>
      </c>
      <c r="W86" s="464">
        <v>8.5</v>
      </c>
      <c r="X86" s="433"/>
      <c r="Y86" s="433"/>
      <c r="Z86" s="452"/>
      <c r="AA86" s="429"/>
      <c r="AB86" s="429"/>
      <c r="AC86" s="308"/>
      <c r="AD86" s="308"/>
      <c r="AE86" s="308"/>
      <c r="AF86" s="308"/>
      <c r="AG86" s="308"/>
    </row>
    <row r="87" spans="1:33" x14ac:dyDescent="0.25">
      <c r="A87" s="242"/>
      <c r="B87" s="242">
        <v>5</v>
      </c>
      <c r="C87" s="242">
        <f>'DETALLE DE VENTAS'!Q305-B87-A87</f>
        <v>0</v>
      </c>
      <c r="D87" s="623" t="s">
        <v>252</v>
      </c>
      <c r="E87" s="624"/>
      <c r="F87" s="624"/>
      <c r="G87" s="624"/>
      <c r="H87" s="625"/>
      <c r="I87" s="247"/>
      <c r="J87" s="271">
        <f t="shared" si="5"/>
        <v>36.666666666666664</v>
      </c>
      <c r="K87" s="271">
        <v>33</v>
      </c>
      <c r="M87" s="458" t="s">
        <v>480</v>
      </c>
      <c r="N87" s="458"/>
      <c r="O87" s="458"/>
      <c r="P87" s="458"/>
      <c r="Q87" s="458"/>
      <c r="R87" s="458"/>
      <c r="S87" s="458"/>
      <c r="T87" s="458"/>
      <c r="U87" s="459">
        <v>17</v>
      </c>
      <c r="V87" s="463" t="s">
        <v>336</v>
      </c>
      <c r="W87" s="463" t="s">
        <v>336</v>
      </c>
      <c r="X87" s="433"/>
      <c r="Y87" s="433"/>
      <c r="Z87" s="452"/>
      <c r="AA87" s="429"/>
      <c r="AB87" s="429"/>
      <c r="AC87" s="308"/>
      <c r="AD87" s="308"/>
      <c r="AE87" s="308"/>
      <c r="AF87" s="308"/>
      <c r="AG87" s="308"/>
    </row>
    <row r="88" spans="1:33" x14ac:dyDescent="0.25">
      <c r="A88" s="72"/>
      <c r="B88" s="72">
        <v>2</v>
      </c>
      <c r="C88" s="72">
        <f>'DETALLE DE VENTAS'!AC277-A88-B88</f>
        <v>0</v>
      </c>
      <c r="D88" s="608" t="s">
        <v>37</v>
      </c>
      <c r="E88" s="609"/>
      <c r="F88" s="609"/>
      <c r="G88" s="609"/>
      <c r="H88" s="610"/>
      <c r="I88" s="240"/>
      <c r="J88" s="236">
        <f t="shared" si="5"/>
        <v>10</v>
      </c>
      <c r="K88" s="236">
        <v>9</v>
      </c>
      <c r="M88" s="458" t="s">
        <v>394</v>
      </c>
      <c r="N88" s="458"/>
      <c r="O88" s="458"/>
      <c r="P88" s="458"/>
      <c r="Q88" s="458"/>
      <c r="R88" s="458"/>
      <c r="S88" s="458"/>
      <c r="T88" s="458"/>
      <c r="U88" s="459">
        <v>9</v>
      </c>
      <c r="V88" s="464">
        <v>6</v>
      </c>
      <c r="W88" s="464">
        <v>8.5</v>
      </c>
      <c r="X88" s="433"/>
      <c r="Y88" s="433"/>
      <c r="Z88" s="452"/>
      <c r="AA88" s="429"/>
      <c r="AB88" s="429"/>
      <c r="AC88" s="308"/>
      <c r="AD88" s="308"/>
      <c r="AE88" s="308"/>
      <c r="AF88" s="308"/>
      <c r="AG88" s="308"/>
    </row>
    <row r="89" spans="1:33" x14ac:dyDescent="0.25">
      <c r="A89" s="31"/>
      <c r="B89" s="31"/>
      <c r="C89" s="31"/>
      <c r="D89" s="611" t="s">
        <v>319</v>
      </c>
      <c r="E89" s="612"/>
      <c r="F89" s="612"/>
      <c r="G89" s="612"/>
      <c r="H89" s="613"/>
      <c r="I89" s="299"/>
      <c r="J89" s="298">
        <f t="shared" si="5"/>
        <v>6.6666666666666661</v>
      </c>
      <c r="K89" s="298">
        <v>6</v>
      </c>
      <c r="M89" s="458" t="s">
        <v>395</v>
      </c>
      <c r="N89" s="458"/>
      <c r="O89" s="458"/>
      <c r="P89" s="458"/>
      <c r="Q89" s="458"/>
      <c r="R89" s="458"/>
      <c r="S89" s="458"/>
      <c r="T89" s="458"/>
      <c r="U89" s="459">
        <v>17</v>
      </c>
      <c r="V89" s="463" t="s">
        <v>336</v>
      </c>
      <c r="W89" s="463" t="s">
        <v>336</v>
      </c>
      <c r="X89" s="433"/>
      <c r="Y89" s="433"/>
      <c r="Z89" s="452"/>
      <c r="AA89" s="429"/>
      <c r="AB89" s="429"/>
      <c r="AC89" s="308"/>
      <c r="AD89" s="308"/>
      <c r="AE89" s="308"/>
      <c r="AF89" s="308"/>
      <c r="AG89" s="308"/>
    </row>
    <row r="90" spans="1:33" ht="17.45" customHeight="1" x14ac:dyDescent="0.25">
      <c r="A90" s="31"/>
      <c r="B90" s="31"/>
      <c r="C90" s="31"/>
      <c r="D90" s="611" t="s">
        <v>320</v>
      </c>
      <c r="E90" s="612"/>
      <c r="F90" s="612"/>
      <c r="G90" s="612"/>
      <c r="H90" s="613"/>
      <c r="I90" s="299"/>
      <c r="J90" s="298">
        <f t="shared" si="5"/>
        <v>133.33333333333334</v>
      </c>
      <c r="K90" s="298">
        <v>120</v>
      </c>
      <c r="M90" s="458" t="s">
        <v>396</v>
      </c>
      <c r="N90" s="458"/>
      <c r="O90" s="458"/>
      <c r="P90" s="458"/>
      <c r="Q90" s="458"/>
      <c r="R90" s="458"/>
      <c r="S90" s="458"/>
      <c r="T90" s="458"/>
      <c r="U90" s="459">
        <v>9</v>
      </c>
      <c r="V90" s="464">
        <v>6</v>
      </c>
      <c r="W90" s="464">
        <v>8.5</v>
      </c>
      <c r="X90" s="332"/>
      <c r="Y90" s="332"/>
      <c r="Z90" s="452"/>
      <c r="AA90" s="429"/>
      <c r="AB90" s="429"/>
      <c r="AC90" s="308"/>
      <c r="AD90" s="308"/>
      <c r="AE90" s="308"/>
      <c r="AF90" s="308"/>
      <c r="AG90" s="308"/>
    </row>
    <row r="91" spans="1:33" ht="19.899999999999999" customHeight="1" x14ac:dyDescent="0.25">
      <c r="A91" s="31"/>
      <c r="B91" s="31"/>
      <c r="C91" s="31"/>
      <c r="D91" s="611" t="s">
        <v>345</v>
      </c>
      <c r="E91" s="612"/>
      <c r="F91" s="612"/>
      <c r="G91" s="612"/>
      <c r="H91" s="613"/>
      <c r="I91" s="228"/>
      <c r="J91" s="317">
        <f>K91/$C$97</f>
        <v>134.44444444444443</v>
      </c>
      <c r="K91" s="317">
        <v>121</v>
      </c>
      <c r="M91" s="458" t="s">
        <v>397</v>
      </c>
      <c r="N91" s="458"/>
      <c r="O91" s="458"/>
      <c r="P91" s="458"/>
      <c r="Q91" s="458"/>
      <c r="R91" s="458"/>
      <c r="S91" s="458"/>
      <c r="T91" s="458"/>
      <c r="U91" s="459">
        <v>9</v>
      </c>
      <c r="V91" s="464">
        <v>6</v>
      </c>
      <c r="W91" s="464">
        <v>8.5</v>
      </c>
      <c r="X91" s="332"/>
      <c r="Y91" s="332"/>
      <c r="Z91" s="452"/>
      <c r="AA91" s="429"/>
      <c r="AB91" s="429"/>
      <c r="AC91" s="308"/>
      <c r="AD91" s="308"/>
      <c r="AE91" s="308"/>
      <c r="AF91" s="308"/>
      <c r="AG91" s="308"/>
    </row>
    <row r="92" spans="1:33" x14ac:dyDescent="0.25">
      <c r="A92" s="31"/>
      <c r="B92" s="31"/>
      <c r="C92" s="31"/>
      <c r="D92" s="611"/>
      <c r="E92" s="612"/>
      <c r="F92" s="612"/>
      <c r="G92" s="612"/>
      <c r="H92" s="613"/>
      <c r="I92" s="228"/>
      <c r="J92" s="317">
        <f>K92/$C$97</f>
        <v>100</v>
      </c>
      <c r="K92" s="317">
        <v>90</v>
      </c>
      <c r="M92" s="458" t="s">
        <v>398</v>
      </c>
      <c r="N92" s="458"/>
      <c r="O92" s="458"/>
      <c r="P92" s="458"/>
      <c r="Q92" s="458"/>
      <c r="R92" s="458"/>
      <c r="S92" s="458"/>
      <c r="T92" s="458"/>
      <c r="U92" s="459">
        <v>9</v>
      </c>
      <c r="V92" s="464">
        <v>6</v>
      </c>
      <c r="W92" s="464">
        <v>8.5</v>
      </c>
      <c r="X92" s="332"/>
      <c r="Y92" s="332"/>
      <c r="Z92" s="452"/>
      <c r="AA92" s="429"/>
      <c r="AB92" s="429"/>
      <c r="AC92" s="308"/>
      <c r="AD92" s="308"/>
      <c r="AE92" s="308"/>
      <c r="AF92" s="308"/>
      <c r="AG92" s="308"/>
    </row>
    <row r="93" spans="1:33" x14ac:dyDescent="0.25">
      <c r="A93" s="12"/>
      <c r="J93" s="12"/>
      <c r="K93" s="12"/>
      <c r="L93" s="6"/>
      <c r="M93" s="458" t="s">
        <v>399</v>
      </c>
      <c r="N93" s="458"/>
      <c r="O93" s="458"/>
      <c r="P93" s="458"/>
      <c r="Q93" s="458"/>
      <c r="R93" s="458"/>
      <c r="S93" s="458"/>
      <c r="T93" s="458"/>
      <c r="U93" s="459">
        <v>9</v>
      </c>
      <c r="V93" s="464">
        <v>6</v>
      </c>
      <c r="W93" s="464">
        <v>8.5</v>
      </c>
      <c r="X93" s="433"/>
      <c r="Y93" s="433"/>
      <c r="Z93" s="452"/>
      <c r="AA93" s="429"/>
      <c r="AB93" s="429"/>
      <c r="AC93" s="308"/>
      <c r="AD93" s="308"/>
      <c r="AE93" s="308"/>
      <c r="AF93" s="308"/>
      <c r="AG93" s="308"/>
    </row>
    <row r="94" spans="1:33" x14ac:dyDescent="0.25">
      <c r="A94" s="12"/>
      <c r="B94" s="281" t="s">
        <v>199</v>
      </c>
      <c r="C94" s="281">
        <v>27.83</v>
      </c>
      <c r="J94" s="12"/>
      <c r="K94" s="12"/>
      <c r="L94" s="6"/>
      <c r="M94" s="458" t="s">
        <v>400</v>
      </c>
      <c r="N94" s="458"/>
      <c r="O94" s="458"/>
      <c r="P94" s="458"/>
      <c r="Q94" s="458"/>
      <c r="R94" s="458"/>
      <c r="S94" s="458"/>
      <c r="T94" s="458"/>
      <c r="U94" s="459">
        <v>9</v>
      </c>
      <c r="V94" s="464">
        <v>6</v>
      </c>
      <c r="W94" s="464">
        <v>8.5</v>
      </c>
      <c r="X94" s="433"/>
      <c r="Y94" s="433"/>
      <c r="Z94" s="452"/>
      <c r="AA94" s="429"/>
      <c r="AB94" s="429"/>
      <c r="AC94" s="308"/>
      <c r="AD94" s="308"/>
      <c r="AE94" s="308"/>
      <c r="AF94" s="308"/>
      <c r="AG94" s="308"/>
    </row>
    <row r="95" spans="1:33" x14ac:dyDescent="0.25">
      <c r="A95" s="12"/>
      <c r="B95" s="74" t="s">
        <v>200</v>
      </c>
      <c r="C95" s="75">
        <v>29.3</v>
      </c>
      <c r="J95" s="12"/>
      <c r="K95" s="12"/>
      <c r="L95" s="6"/>
      <c r="M95" s="458" t="s">
        <v>401</v>
      </c>
      <c r="N95" s="458"/>
      <c r="O95" s="458"/>
      <c r="P95" s="458"/>
      <c r="Q95" s="458"/>
      <c r="R95" s="458"/>
      <c r="S95" s="458"/>
      <c r="T95" s="458"/>
      <c r="U95" s="459">
        <v>17</v>
      </c>
      <c r="V95" s="463" t="s">
        <v>336</v>
      </c>
      <c r="W95" s="463" t="s">
        <v>336</v>
      </c>
      <c r="X95" s="433"/>
      <c r="Y95" s="433"/>
      <c r="Z95" s="452"/>
      <c r="AA95" s="429"/>
      <c r="AB95" s="429"/>
      <c r="AC95" s="308"/>
      <c r="AD95" s="308"/>
      <c r="AE95" s="308"/>
      <c r="AF95" s="308"/>
      <c r="AG95" s="308"/>
    </row>
    <row r="96" spans="1:33" x14ac:dyDescent="0.25">
      <c r="A96" s="12"/>
      <c r="B96" s="186" t="s">
        <v>201</v>
      </c>
      <c r="C96" s="187">
        <f>(C95-C94)/C95</f>
        <v>5.0170648464163907E-2</v>
      </c>
      <c r="J96" s="12"/>
      <c r="K96" s="12"/>
      <c r="L96" s="6"/>
      <c r="M96" s="458" t="s">
        <v>402</v>
      </c>
      <c r="N96" s="458"/>
      <c r="O96" s="458"/>
      <c r="P96" s="458"/>
      <c r="Q96" s="458"/>
      <c r="R96" s="458"/>
      <c r="S96" s="458"/>
      <c r="T96" s="458"/>
      <c r="U96" s="459">
        <v>9</v>
      </c>
      <c r="V96" s="464">
        <v>6</v>
      </c>
      <c r="W96" s="464">
        <v>8.5</v>
      </c>
      <c r="X96" s="433"/>
      <c r="Y96" s="433"/>
      <c r="Z96" s="452"/>
      <c r="AA96" s="429"/>
      <c r="AB96" s="429"/>
      <c r="AC96" s="308"/>
      <c r="AD96" s="308"/>
      <c r="AE96" s="308"/>
      <c r="AF96" s="308"/>
      <c r="AG96" s="308"/>
    </row>
    <row r="97" spans="1:33" x14ac:dyDescent="0.25">
      <c r="A97" s="12"/>
      <c r="B97" s="186" t="s">
        <v>221</v>
      </c>
      <c r="C97" s="187">
        <f>1-CEILING(C96,0.05)</f>
        <v>0.9</v>
      </c>
      <c r="J97" s="9"/>
      <c r="K97" s="9"/>
      <c r="L97" s="6"/>
      <c r="M97" s="458" t="s">
        <v>403</v>
      </c>
      <c r="N97" s="458"/>
      <c r="O97" s="458"/>
      <c r="P97" s="458"/>
      <c r="Q97" s="458"/>
      <c r="R97" s="458"/>
      <c r="S97" s="458"/>
      <c r="T97" s="458"/>
      <c r="U97" s="459">
        <v>17</v>
      </c>
      <c r="V97" s="463" t="s">
        <v>336</v>
      </c>
      <c r="W97" s="463" t="s">
        <v>336</v>
      </c>
      <c r="X97" s="433"/>
      <c r="Y97" s="433"/>
      <c r="Z97" s="452"/>
      <c r="AA97" s="429"/>
      <c r="AB97" s="429"/>
      <c r="AC97" s="308"/>
      <c r="AD97" s="308"/>
      <c r="AE97" s="308"/>
      <c r="AF97" s="308"/>
      <c r="AG97" s="308"/>
    </row>
    <row r="98" spans="1:33" x14ac:dyDescent="0.25">
      <c r="B98" s="186" t="s">
        <v>202</v>
      </c>
      <c r="C98" s="188">
        <f>(1-C97)*100</f>
        <v>9.9999999999999982</v>
      </c>
      <c r="J98" s="9"/>
      <c r="L98" s="6"/>
      <c r="M98" s="458" t="s">
        <v>404</v>
      </c>
      <c r="N98" s="458"/>
      <c r="O98" s="458"/>
      <c r="P98" s="458"/>
      <c r="Q98" s="458"/>
      <c r="R98" s="458"/>
      <c r="S98" s="458"/>
      <c r="T98" s="458"/>
      <c r="U98" s="459">
        <v>7</v>
      </c>
      <c r="V98" s="463" t="s">
        <v>336</v>
      </c>
      <c r="W98" s="463" t="s">
        <v>336</v>
      </c>
      <c r="X98" s="433"/>
      <c r="Y98" s="433"/>
      <c r="Z98" s="452"/>
      <c r="AA98" s="429"/>
      <c r="AB98" s="429"/>
      <c r="AC98" s="427"/>
      <c r="AD98" s="427"/>
      <c r="AE98" s="308"/>
      <c r="AF98" s="308"/>
      <c r="AG98" s="308"/>
    </row>
    <row r="99" spans="1:33" x14ac:dyDescent="0.25">
      <c r="B99" s="189"/>
      <c r="C99" s="189"/>
      <c r="D99" s="189"/>
      <c r="E99" s="189"/>
      <c r="F99" s="189"/>
      <c r="I99" s="10"/>
      <c r="J99" s="9"/>
      <c r="K99" s="10"/>
      <c r="L99" s="6"/>
      <c r="M99" s="458" t="s">
        <v>405</v>
      </c>
      <c r="N99" s="458"/>
      <c r="O99" s="458"/>
      <c r="P99" s="458"/>
      <c r="Q99" s="458"/>
      <c r="R99" s="458"/>
      <c r="S99" s="458"/>
      <c r="T99" s="458"/>
      <c r="U99" s="459">
        <v>10</v>
      </c>
      <c r="V99" s="463" t="s">
        <v>336</v>
      </c>
      <c r="W99" s="463" t="s">
        <v>336</v>
      </c>
      <c r="X99" s="433"/>
      <c r="Y99" s="433"/>
      <c r="Z99" s="452"/>
      <c r="AA99" s="429"/>
      <c r="AB99" s="429"/>
      <c r="AC99" s="427"/>
      <c r="AD99" s="427"/>
      <c r="AE99" s="308"/>
      <c r="AF99" s="308"/>
      <c r="AG99" s="308"/>
    </row>
    <row r="100" spans="1:33" x14ac:dyDescent="0.25">
      <c r="H100" s="144"/>
      <c r="I100" s="6"/>
      <c r="J100" s="6"/>
      <c r="K100" s="6"/>
      <c r="M100" s="458" t="s">
        <v>406</v>
      </c>
      <c r="N100" s="458"/>
      <c r="O100" s="458"/>
      <c r="P100" s="458"/>
      <c r="Q100" s="458"/>
      <c r="R100" s="458"/>
      <c r="S100" s="458"/>
      <c r="T100" s="458"/>
      <c r="U100" s="459">
        <v>40</v>
      </c>
      <c r="V100" s="463" t="s">
        <v>336</v>
      </c>
      <c r="W100" s="463" t="s">
        <v>336</v>
      </c>
      <c r="X100" s="433"/>
      <c r="Y100" s="433"/>
      <c r="Z100" s="452"/>
      <c r="AA100" s="429"/>
      <c r="AB100" s="429"/>
      <c r="AC100" s="427"/>
      <c r="AD100" s="427"/>
      <c r="AE100" s="308"/>
      <c r="AF100" s="308"/>
      <c r="AG100" s="308"/>
    </row>
    <row r="101" spans="1:33" x14ac:dyDescent="0.25">
      <c r="B101" s="6"/>
      <c r="C101" s="441"/>
      <c r="D101" s="441"/>
      <c r="E101" s="441"/>
      <c r="F101" s="441"/>
      <c r="G101" s="441"/>
      <c r="H101" s="441"/>
      <c r="I101" s="144"/>
      <c r="J101" s="12"/>
      <c r="K101" s="12"/>
      <c r="L101" s="94"/>
      <c r="M101" s="458" t="s">
        <v>409</v>
      </c>
      <c r="N101" s="458"/>
      <c r="O101" s="458"/>
      <c r="P101" s="458"/>
      <c r="Q101" s="458"/>
      <c r="R101" s="458"/>
      <c r="S101" s="458"/>
      <c r="T101" s="458"/>
      <c r="U101" s="459">
        <v>15</v>
      </c>
      <c r="V101" s="463">
        <v>12</v>
      </c>
      <c r="W101" s="464">
        <v>12</v>
      </c>
      <c r="X101" s="433"/>
      <c r="Y101" s="433"/>
      <c r="Z101" s="452"/>
      <c r="AA101" s="429"/>
      <c r="AB101" s="429"/>
      <c r="AC101" s="427"/>
      <c r="AD101" s="427"/>
      <c r="AE101" s="308"/>
      <c r="AF101" s="308"/>
      <c r="AG101" s="308"/>
    </row>
    <row r="102" spans="1:33" ht="30" x14ac:dyDescent="0.25">
      <c r="B102" s="553" t="s">
        <v>1</v>
      </c>
      <c r="C102" s="553" t="s">
        <v>2</v>
      </c>
      <c r="D102" s="553" t="s">
        <v>632</v>
      </c>
      <c r="E102" s="553" t="s">
        <v>633</v>
      </c>
      <c r="F102" s="282"/>
      <c r="G102" s="441"/>
      <c r="H102" s="441"/>
      <c r="I102" s="144"/>
      <c r="J102" s="12"/>
      <c r="K102" s="12"/>
      <c r="L102" s="12"/>
      <c r="M102" s="458" t="s">
        <v>410</v>
      </c>
      <c r="N102" s="458"/>
      <c r="O102" s="458"/>
      <c r="P102" s="458"/>
      <c r="Q102" s="458"/>
      <c r="R102" s="458"/>
      <c r="S102" s="458"/>
      <c r="T102" s="458"/>
      <c r="U102" s="459">
        <v>15</v>
      </c>
      <c r="V102" s="463">
        <v>12</v>
      </c>
      <c r="W102" s="464">
        <v>12</v>
      </c>
      <c r="X102" s="427"/>
      <c r="Y102" s="427"/>
      <c r="Z102" s="452"/>
      <c r="AA102" s="429"/>
      <c r="AB102" s="429"/>
      <c r="AC102" s="427"/>
      <c r="AD102" s="427"/>
      <c r="AE102" s="308"/>
      <c r="AF102" s="308"/>
      <c r="AG102" s="308"/>
    </row>
    <row r="103" spans="1:33" x14ac:dyDescent="0.25">
      <c r="B103" s="553">
        <v>25</v>
      </c>
      <c r="C103" s="553" t="s">
        <v>741</v>
      </c>
      <c r="D103" s="553">
        <v>10</v>
      </c>
      <c r="E103" s="553">
        <v>250</v>
      </c>
      <c r="F103" s="441"/>
      <c r="G103" s="441"/>
      <c r="H103" s="441"/>
      <c r="I103" s="144"/>
      <c r="J103" s="12"/>
      <c r="K103" s="12"/>
      <c r="L103" s="12"/>
      <c r="M103" s="458" t="s">
        <v>411</v>
      </c>
      <c r="N103" s="458"/>
      <c r="O103" s="458"/>
      <c r="P103" s="458"/>
      <c r="Q103" s="458"/>
      <c r="R103" s="458"/>
      <c r="S103" s="458"/>
      <c r="T103" s="458"/>
      <c r="U103" s="459">
        <v>15</v>
      </c>
      <c r="V103" s="463">
        <v>12</v>
      </c>
      <c r="W103" s="464">
        <v>12</v>
      </c>
      <c r="X103" s="427"/>
      <c r="Y103" s="427"/>
      <c r="Z103" s="452"/>
      <c r="AA103" s="429"/>
      <c r="AB103" s="429"/>
      <c r="AC103" s="427"/>
      <c r="AD103" s="427"/>
      <c r="AE103" s="308"/>
      <c r="AF103" s="308"/>
      <c r="AG103" s="308"/>
    </row>
    <row r="104" spans="1:33" x14ac:dyDescent="0.25">
      <c r="B104" s="553"/>
      <c r="C104" s="553"/>
      <c r="D104" s="553" t="s">
        <v>742</v>
      </c>
      <c r="E104" s="553">
        <v>250</v>
      </c>
      <c r="F104" s="437"/>
      <c r="G104" s="282"/>
      <c r="H104" s="282"/>
      <c r="I104" s="144"/>
      <c r="J104" s="12"/>
      <c r="K104" s="12"/>
      <c r="L104" s="12"/>
      <c r="M104" s="458" t="s">
        <v>412</v>
      </c>
      <c r="N104" s="458"/>
      <c r="O104" s="458"/>
      <c r="P104" s="458"/>
      <c r="Q104" s="458"/>
      <c r="R104" s="458"/>
      <c r="S104" s="458"/>
      <c r="T104" s="458"/>
      <c r="U104" s="459">
        <v>4</v>
      </c>
      <c r="V104" s="463" t="s">
        <v>336</v>
      </c>
      <c r="W104" s="463" t="s">
        <v>336</v>
      </c>
      <c r="X104" s="433"/>
      <c r="Y104" s="429"/>
      <c r="Z104" s="452"/>
      <c r="AA104" s="429"/>
      <c r="AB104" s="429"/>
      <c r="AC104" s="308"/>
      <c r="AD104" s="308"/>
      <c r="AE104" s="308"/>
      <c r="AF104" s="308"/>
      <c r="AG104" s="308"/>
    </row>
    <row r="105" spans="1:33" x14ac:dyDescent="0.25">
      <c r="A105" s="308"/>
      <c r="B105" s="466"/>
      <c r="C105" s="466"/>
      <c r="D105" s="466"/>
      <c r="E105" s="466"/>
      <c r="F105" s="428"/>
      <c r="G105" s="428"/>
      <c r="H105" s="428"/>
      <c r="I105" s="443"/>
      <c r="J105" s="429"/>
      <c r="K105" s="429"/>
      <c r="L105" s="429"/>
      <c r="M105" s="458" t="s">
        <v>413</v>
      </c>
      <c r="N105" s="458"/>
      <c r="O105" s="458"/>
      <c r="P105" s="458"/>
      <c r="Q105" s="458"/>
      <c r="R105" s="458"/>
      <c r="S105" s="458"/>
      <c r="T105" s="458"/>
      <c r="U105" s="459">
        <v>8</v>
      </c>
      <c r="V105" s="463" t="s">
        <v>336</v>
      </c>
      <c r="W105" s="463" t="s">
        <v>336</v>
      </c>
      <c r="X105" s="433"/>
      <c r="Y105" s="429"/>
      <c r="Z105" s="452"/>
      <c r="AA105" s="429"/>
      <c r="AB105" s="429"/>
      <c r="AC105" s="308"/>
      <c r="AD105" s="308"/>
      <c r="AE105" s="308"/>
      <c r="AF105" s="308"/>
      <c r="AG105" s="308"/>
    </row>
    <row r="106" spans="1:33" x14ac:dyDescent="0.25">
      <c r="A106" s="308"/>
      <c r="B106" s="428"/>
      <c r="C106" s="442"/>
      <c r="D106" s="572" t="s">
        <v>1</v>
      </c>
      <c r="E106" s="572" t="s">
        <v>2</v>
      </c>
      <c r="F106" s="572" t="s">
        <v>776</v>
      </c>
      <c r="G106" s="572" t="s">
        <v>299</v>
      </c>
      <c r="H106" s="428"/>
      <c r="I106" s="443"/>
      <c r="J106" s="429"/>
      <c r="K106" s="429"/>
      <c r="L106" s="429"/>
      <c r="M106" s="458" t="s">
        <v>414</v>
      </c>
      <c r="N106" s="458"/>
      <c r="O106" s="458"/>
      <c r="P106" s="458"/>
      <c r="Q106" s="458"/>
      <c r="R106" s="458"/>
      <c r="S106" s="458"/>
      <c r="T106" s="458"/>
      <c r="U106" s="459">
        <v>26</v>
      </c>
      <c r="V106" s="463" t="s">
        <v>336</v>
      </c>
      <c r="W106" s="463" t="s">
        <v>336</v>
      </c>
      <c r="X106" s="433"/>
      <c r="Y106" s="429"/>
      <c r="Z106" s="452"/>
      <c r="AA106" s="429"/>
      <c r="AB106" s="429"/>
      <c r="AC106" s="308"/>
      <c r="AD106" s="308"/>
      <c r="AE106" s="308"/>
      <c r="AF106" s="308"/>
      <c r="AG106" s="308"/>
    </row>
    <row r="107" spans="1:33" x14ac:dyDescent="0.25">
      <c r="A107" s="308"/>
      <c r="B107" s="428"/>
      <c r="C107" s="442"/>
      <c r="D107" s="572">
        <v>20</v>
      </c>
      <c r="E107" s="572" t="s">
        <v>766</v>
      </c>
      <c r="F107" s="572" t="s">
        <v>767</v>
      </c>
      <c r="G107" s="572">
        <v>25</v>
      </c>
      <c r="H107" s="428"/>
      <c r="I107" s="443"/>
      <c r="J107" s="429"/>
      <c r="K107" s="429"/>
      <c r="L107" s="429"/>
      <c r="M107" s="458" t="s">
        <v>415</v>
      </c>
      <c r="N107" s="458"/>
      <c r="O107" s="458"/>
      <c r="P107" s="458"/>
      <c r="Q107" s="458"/>
      <c r="R107" s="458"/>
      <c r="S107" s="458"/>
      <c r="T107" s="458"/>
      <c r="U107" s="459">
        <v>50</v>
      </c>
      <c r="V107" s="463" t="s">
        <v>336</v>
      </c>
      <c r="W107" s="463" t="s">
        <v>336</v>
      </c>
      <c r="X107" s="427"/>
      <c r="Y107" s="452"/>
      <c r="Z107" s="429"/>
      <c r="AA107" s="429"/>
      <c r="AB107" s="429"/>
      <c r="AC107" s="427"/>
      <c r="AD107" s="427"/>
      <c r="AE107" s="308"/>
      <c r="AF107" s="308"/>
      <c r="AG107" s="308"/>
    </row>
    <row r="108" spans="1:33" ht="15" hidden="1" customHeight="1" x14ac:dyDescent="0.25">
      <c r="A108" s="308"/>
      <c r="B108" s="428"/>
      <c r="C108" s="442"/>
      <c r="D108" s="572"/>
      <c r="E108" s="572"/>
      <c r="F108" s="572"/>
      <c r="G108" s="572"/>
      <c r="H108" s="428"/>
      <c r="I108" s="443"/>
      <c r="J108" s="429"/>
      <c r="K108" s="429"/>
      <c r="L108" s="429"/>
      <c r="M108" s="458" t="s">
        <v>416</v>
      </c>
      <c r="N108" s="458"/>
      <c r="O108" s="458"/>
      <c r="P108" s="458"/>
      <c r="Q108" s="458"/>
      <c r="R108" s="458"/>
      <c r="S108" s="458"/>
      <c r="T108" s="458"/>
      <c r="U108" s="459">
        <v>5</v>
      </c>
      <c r="V108" s="463" t="s">
        <v>336</v>
      </c>
      <c r="W108" s="463" t="s">
        <v>336</v>
      </c>
      <c r="X108" s="427"/>
      <c r="Y108" s="452"/>
      <c r="Z108" s="429"/>
      <c r="AA108" s="429"/>
      <c r="AB108" s="429"/>
      <c r="AC108" s="427"/>
      <c r="AD108" s="427"/>
      <c r="AE108" s="308"/>
      <c r="AF108" s="308"/>
      <c r="AG108" s="308"/>
    </row>
    <row r="109" spans="1:33" x14ac:dyDescent="0.25">
      <c r="A109" s="308"/>
      <c r="B109" s="428"/>
      <c r="C109" s="442"/>
      <c r="D109" s="572">
        <v>20</v>
      </c>
      <c r="E109" s="572" t="s">
        <v>768</v>
      </c>
      <c r="F109" s="572" t="s">
        <v>769</v>
      </c>
      <c r="G109" s="572">
        <v>6.8</v>
      </c>
      <c r="H109" s="428"/>
      <c r="I109" s="443"/>
      <c r="J109" s="429"/>
      <c r="K109" s="429"/>
      <c r="L109" s="429"/>
      <c r="M109" s="458" t="s">
        <v>417</v>
      </c>
      <c r="N109" s="458"/>
      <c r="O109" s="458"/>
      <c r="P109" s="458"/>
      <c r="Q109" s="458"/>
      <c r="R109" s="458"/>
      <c r="S109" s="458"/>
      <c r="T109" s="458"/>
      <c r="U109" s="459">
        <v>10</v>
      </c>
      <c r="V109" s="463" t="s">
        <v>336</v>
      </c>
      <c r="W109" s="463" t="s">
        <v>336</v>
      </c>
      <c r="X109" s="427"/>
      <c r="Y109" s="452"/>
      <c r="Z109" s="429"/>
      <c r="AA109" s="429"/>
      <c r="AB109" s="429"/>
      <c r="AC109" s="427"/>
      <c r="AD109" s="427"/>
      <c r="AE109" s="308"/>
      <c r="AF109" s="308"/>
      <c r="AG109" s="308"/>
    </row>
    <row r="110" spans="1:33" x14ac:dyDescent="0.25">
      <c r="A110" s="308"/>
      <c r="B110" s="428"/>
      <c r="C110" s="442"/>
      <c r="D110" s="572">
        <v>25</v>
      </c>
      <c r="E110" s="572" t="s">
        <v>770</v>
      </c>
      <c r="F110" s="572" t="s">
        <v>773</v>
      </c>
      <c r="G110" s="572">
        <v>35</v>
      </c>
      <c r="H110" s="428"/>
      <c r="I110" s="443"/>
      <c r="J110" s="429"/>
      <c r="K110" s="429"/>
      <c r="L110" s="308"/>
      <c r="M110" s="458" t="s">
        <v>345</v>
      </c>
      <c r="N110" s="458"/>
      <c r="O110" s="458"/>
      <c r="P110" s="458"/>
      <c r="Q110" s="458"/>
      <c r="R110" s="458"/>
      <c r="S110" s="458"/>
      <c r="T110" s="458"/>
      <c r="U110" s="459">
        <v>19</v>
      </c>
      <c r="V110" s="463" t="s">
        <v>336</v>
      </c>
      <c r="W110" s="463" t="s">
        <v>336</v>
      </c>
      <c r="X110" s="427"/>
      <c r="Y110" s="452"/>
      <c r="Z110" s="429"/>
      <c r="AA110" s="429"/>
      <c r="AB110" s="429"/>
      <c r="AC110" s="427"/>
      <c r="AD110" s="427"/>
      <c r="AE110" s="308"/>
      <c r="AF110" s="308"/>
      <c r="AG110" s="308"/>
    </row>
    <row r="111" spans="1:33" ht="15" hidden="1" customHeight="1" x14ac:dyDescent="0.25">
      <c r="A111" s="308"/>
      <c r="B111" s="428"/>
      <c r="C111" s="442"/>
      <c r="D111" s="572"/>
      <c r="E111" s="572"/>
      <c r="F111" s="572"/>
      <c r="G111" s="572"/>
      <c r="H111" s="428"/>
      <c r="I111" s="428"/>
      <c r="J111" s="429"/>
      <c r="K111" s="308"/>
      <c r="L111" s="308"/>
      <c r="M111" s="458" t="s">
        <v>561</v>
      </c>
      <c r="N111" s="458"/>
      <c r="O111" s="458"/>
      <c r="P111" s="458"/>
      <c r="Q111" s="458"/>
      <c r="R111" s="458"/>
      <c r="S111" s="458"/>
      <c r="T111" s="458"/>
      <c r="U111" s="459">
        <v>0</v>
      </c>
      <c r="V111" s="463" t="s">
        <v>336</v>
      </c>
      <c r="W111" s="463" t="s">
        <v>336</v>
      </c>
      <c r="X111" s="452"/>
      <c r="Y111" s="452"/>
      <c r="Z111" s="429"/>
      <c r="AA111" s="429"/>
      <c r="AB111" s="429"/>
      <c r="AC111" s="427"/>
      <c r="AD111" s="427"/>
      <c r="AE111" s="308"/>
      <c r="AF111" s="308"/>
      <c r="AG111" s="308"/>
    </row>
    <row r="112" spans="1:33" x14ac:dyDescent="0.25">
      <c r="A112" s="428"/>
      <c r="B112" s="427"/>
      <c r="C112" s="442"/>
      <c r="D112" s="572">
        <v>4</v>
      </c>
      <c r="E112" s="572" t="s">
        <v>771</v>
      </c>
      <c r="F112" s="284" t="s">
        <v>772</v>
      </c>
      <c r="G112" s="284">
        <v>32.200000000000003</v>
      </c>
      <c r="H112" s="444"/>
      <c r="I112" s="429"/>
      <c r="J112" s="429"/>
      <c r="K112" s="444"/>
      <c r="L112" s="308"/>
      <c r="M112" s="458" t="s">
        <v>562</v>
      </c>
      <c r="N112" s="458"/>
      <c r="O112" s="458"/>
      <c r="P112" s="458"/>
      <c r="Q112" s="458"/>
      <c r="R112" s="458"/>
      <c r="S112" s="458"/>
      <c r="T112" s="458"/>
      <c r="U112" s="459">
        <v>0</v>
      </c>
      <c r="V112" s="463" t="s">
        <v>336</v>
      </c>
      <c r="W112" s="463" t="s">
        <v>336</v>
      </c>
      <c r="X112" s="452"/>
      <c r="Y112" s="452"/>
      <c r="Z112" s="429"/>
      <c r="AA112" s="429"/>
      <c r="AB112" s="429"/>
      <c r="AC112" s="427"/>
      <c r="AD112" s="427"/>
      <c r="AE112" s="308"/>
      <c r="AF112" s="308"/>
      <c r="AG112" s="308"/>
    </row>
    <row r="113" spans="1:33" ht="15" hidden="1" customHeight="1" x14ac:dyDescent="0.25">
      <c r="A113" s="428"/>
      <c r="B113" s="442"/>
      <c r="C113" s="442"/>
      <c r="D113" s="572"/>
      <c r="E113" s="572"/>
      <c r="F113" s="572"/>
      <c r="G113" s="572"/>
      <c r="H113" s="443"/>
      <c r="I113" s="453"/>
      <c r="J113" s="429"/>
      <c r="K113" s="444"/>
      <c r="L113" s="308"/>
      <c r="M113" s="458" t="s">
        <v>563</v>
      </c>
      <c r="N113" s="458"/>
      <c r="O113" s="458"/>
      <c r="P113" s="458"/>
      <c r="Q113" s="458"/>
      <c r="R113" s="458"/>
      <c r="S113" s="458"/>
      <c r="T113" s="458"/>
      <c r="U113" s="459">
        <v>0</v>
      </c>
      <c r="V113" s="463" t="s">
        <v>336</v>
      </c>
      <c r="W113" s="463" t="s">
        <v>336</v>
      </c>
      <c r="X113" s="427"/>
      <c r="Y113" s="452"/>
      <c r="Z113" s="429"/>
      <c r="AA113" s="429"/>
      <c r="AB113" s="429"/>
      <c r="AC113" s="427"/>
      <c r="AD113" s="427"/>
      <c r="AE113" s="308"/>
      <c r="AF113" s="308"/>
      <c r="AG113" s="308"/>
    </row>
    <row r="114" spans="1:33" ht="15.75" hidden="1" customHeight="1" x14ac:dyDescent="0.25">
      <c r="A114" s="428"/>
      <c r="B114" s="445"/>
      <c r="C114" s="442"/>
      <c r="D114" s="572"/>
      <c r="E114" s="572"/>
      <c r="F114" s="573"/>
      <c r="G114" s="573"/>
      <c r="H114" s="453"/>
      <c r="I114" s="453"/>
      <c r="J114" s="429"/>
      <c r="K114" s="443"/>
      <c r="L114" s="308"/>
      <c r="M114" s="458" t="s">
        <v>419</v>
      </c>
      <c r="N114" s="458"/>
      <c r="O114" s="458"/>
      <c r="P114" s="458"/>
      <c r="Q114" s="458"/>
      <c r="R114" s="458"/>
      <c r="S114" s="458"/>
      <c r="T114" s="458"/>
      <c r="U114" s="459">
        <v>9</v>
      </c>
      <c r="V114" s="463" t="s">
        <v>336</v>
      </c>
      <c r="W114" s="463" t="s">
        <v>336</v>
      </c>
      <c r="X114" s="452"/>
      <c r="Y114" s="452"/>
      <c r="Z114" s="429"/>
      <c r="AA114" s="429"/>
      <c r="AB114" s="429"/>
      <c r="AC114" s="427"/>
      <c r="AD114" s="427"/>
      <c r="AE114" s="308"/>
      <c r="AF114" s="308"/>
      <c r="AG114" s="308"/>
    </row>
    <row r="115" spans="1:33" ht="15" hidden="1" customHeight="1" x14ac:dyDescent="0.25">
      <c r="A115" s="308"/>
      <c r="B115" s="427"/>
      <c r="C115" s="442"/>
      <c r="D115" s="572"/>
      <c r="E115" s="572"/>
      <c r="F115" s="284"/>
      <c r="G115" s="284"/>
      <c r="H115" s="453"/>
      <c r="I115" s="453"/>
      <c r="J115" s="429"/>
      <c r="K115" s="446"/>
      <c r="L115" s="308"/>
      <c r="M115" s="461"/>
      <c r="N115" s="461"/>
      <c r="O115" s="461"/>
      <c r="P115" s="461"/>
      <c r="Q115" s="461"/>
      <c r="R115" s="461"/>
      <c r="S115" s="461"/>
      <c r="T115" s="461"/>
      <c r="U115" s="462"/>
      <c r="V115" s="439"/>
      <c r="W115" s="439"/>
      <c r="X115" s="427"/>
      <c r="Y115" s="452"/>
      <c r="Z115" s="429"/>
      <c r="AA115" s="429"/>
      <c r="AB115" s="429"/>
      <c r="AC115" s="427"/>
      <c r="AD115" s="427"/>
      <c r="AE115" s="308"/>
      <c r="AF115" s="308"/>
      <c r="AG115" s="308"/>
    </row>
    <row r="116" spans="1:33" ht="26.25" x14ac:dyDescent="0.25">
      <c r="A116" s="428"/>
      <c r="B116" s="427"/>
      <c r="C116" s="442"/>
      <c r="D116" s="572">
        <v>5</v>
      </c>
      <c r="E116" s="572" t="s">
        <v>774</v>
      </c>
      <c r="F116" s="284" t="s">
        <v>772</v>
      </c>
      <c r="G116" s="284">
        <v>30.36</v>
      </c>
      <c r="H116" s="444"/>
      <c r="I116" s="429"/>
      <c r="J116" s="429"/>
      <c r="K116" s="308"/>
      <c r="L116" s="308"/>
      <c r="M116" s="455" t="s">
        <v>2</v>
      </c>
      <c r="N116" s="455"/>
      <c r="O116" s="455"/>
      <c r="P116" s="455"/>
      <c r="Q116" s="455"/>
      <c r="R116" s="455"/>
      <c r="S116" s="455"/>
      <c r="T116" s="455"/>
      <c r="U116" s="455" t="s">
        <v>299</v>
      </c>
      <c r="V116" s="456" t="s">
        <v>526</v>
      </c>
      <c r="W116" s="457" t="s">
        <v>527</v>
      </c>
      <c r="X116" s="427"/>
      <c r="Y116" s="452"/>
      <c r="Z116" s="429"/>
      <c r="AA116" s="429"/>
      <c r="AB116" s="429"/>
      <c r="AC116" s="308"/>
      <c r="AD116" s="308"/>
      <c r="AE116" s="308"/>
      <c r="AF116" s="308"/>
      <c r="AG116" s="308"/>
    </row>
    <row r="117" spans="1:33" x14ac:dyDescent="0.25">
      <c r="A117" s="428"/>
      <c r="B117" s="442"/>
      <c r="C117" s="442"/>
      <c r="D117" s="572">
        <v>5</v>
      </c>
      <c r="E117" s="572" t="s">
        <v>775</v>
      </c>
      <c r="F117" s="284" t="s">
        <v>772</v>
      </c>
      <c r="G117" s="572">
        <v>110.4</v>
      </c>
      <c r="H117" s="443"/>
      <c r="I117" s="453"/>
      <c r="J117" s="429"/>
      <c r="K117" s="308"/>
      <c r="L117" s="308"/>
      <c r="M117" s="458" t="s">
        <v>474</v>
      </c>
      <c r="N117" s="458"/>
      <c r="O117" s="458"/>
      <c r="P117" s="458"/>
      <c r="Q117" s="458"/>
      <c r="R117" s="458"/>
      <c r="S117" s="458"/>
      <c r="T117" s="458"/>
      <c r="U117" s="459">
        <v>30</v>
      </c>
      <c r="V117" s="463" t="s">
        <v>336</v>
      </c>
      <c r="W117" s="463" t="s">
        <v>336</v>
      </c>
      <c r="X117" s="427"/>
      <c r="Y117" s="452"/>
      <c r="Z117" s="429"/>
      <c r="AA117" s="429"/>
      <c r="AB117" s="429"/>
      <c r="AC117" s="308"/>
      <c r="AD117" s="308"/>
      <c r="AE117" s="308"/>
      <c r="AF117" s="308"/>
      <c r="AG117" s="308"/>
    </row>
    <row r="118" spans="1:33" x14ac:dyDescent="0.25">
      <c r="A118" s="428"/>
      <c r="B118" s="445"/>
      <c r="C118" s="442"/>
      <c r="D118" s="442"/>
      <c r="E118" s="442"/>
      <c r="F118" s="454" t="s">
        <v>72</v>
      </c>
      <c r="G118" s="454">
        <f>G107*D107+G109*D109+G110*D110+G112*D112+G116*D116+G117*D117</f>
        <v>2343.6</v>
      </c>
      <c r="H118" s="453"/>
      <c r="I118" s="453"/>
      <c r="J118" s="429"/>
      <c r="K118" s="308"/>
      <c r="L118" s="308"/>
      <c r="M118" s="458" t="s">
        <v>445</v>
      </c>
      <c r="N118" s="458"/>
      <c r="O118" s="458"/>
      <c r="P118" s="458"/>
      <c r="Q118" s="458"/>
      <c r="R118" s="458"/>
      <c r="S118" s="458"/>
      <c r="T118" s="458"/>
      <c r="U118" s="459">
        <v>120</v>
      </c>
      <c r="V118" s="463" t="s">
        <v>336</v>
      </c>
      <c r="W118" s="463" t="s">
        <v>336</v>
      </c>
      <c r="X118" s="427"/>
      <c r="Y118" s="429"/>
      <c r="Z118" s="429"/>
      <c r="AA118" s="429"/>
      <c r="AB118" s="429"/>
      <c r="AC118" s="308"/>
      <c r="AD118" s="308"/>
      <c r="AE118" s="308"/>
      <c r="AF118" s="308"/>
      <c r="AG118" s="308"/>
    </row>
    <row r="119" spans="1:33" x14ac:dyDescent="0.25">
      <c r="A119" s="308"/>
      <c r="B119" s="308"/>
      <c r="C119" s="442"/>
      <c r="D119" s="442"/>
      <c r="E119" s="442"/>
      <c r="F119" s="429"/>
      <c r="G119" s="453"/>
      <c r="H119" s="453"/>
      <c r="I119" s="453"/>
      <c r="J119" s="429"/>
      <c r="K119" s="443"/>
      <c r="L119" s="308"/>
      <c r="M119" s="458" t="s">
        <v>446</v>
      </c>
      <c r="N119" s="458"/>
      <c r="O119" s="458"/>
      <c r="P119" s="458"/>
      <c r="Q119" s="458"/>
      <c r="R119" s="458"/>
      <c r="S119" s="458"/>
      <c r="T119" s="458"/>
      <c r="U119" s="459">
        <v>75</v>
      </c>
      <c r="V119" s="463" t="s">
        <v>336</v>
      </c>
      <c r="W119" s="463" t="s">
        <v>336</v>
      </c>
      <c r="X119" s="429"/>
      <c r="Y119" s="429"/>
      <c r="Z119" s="308"/>
      <c r="AA119" s="429"/>
      <c r="AB119" s="429"/>
      <c r="AC119" s="427"/>
      <c r="AD119" s="427"/>
      <c r="AE119" s="308"/>
      <c r="AF119" s="308"/>
      <c r="AG119" s="308"/>
    </row>
    <row r="120" spans="1:33" x14ac:dyDescent="0.25">
      <c r="A120" s="428"/>
      <c r="B120" s="427"/>
      <c r="C120" s="442"/>
      <c r="D120" s="442"/>
      <c r="E120" s="442"/>
      <c r="F120" s="429"/>
      <c r="G120" s="429"/>
      <c r="H120" s="444"/>
      <c r="I120" s="429"/>
      <c r="J120" s="429"/>
      <c r="K120" s="443"/>
      <c r="L120" s="308"/>
      <c r="M120" s="458" t="s">
        <v>447</v>
      </c>
      <c r="N120" s="458"/>
      <c r="O120" s="458"/>
      <c r="P120" s="458"/>
      <c r="Q120" s="458"/>
      <c r="R120" s="458"/>
      <c r="S120" s="458"/>
      <c r="T120" s="458"/>
      <c r="U120" s="459">
        <v>80</v>
      </c>
      <c r="V120" s="463" t="s">
        <v>336</v>
      </c>
      <c r="W120" s="463" t="s">
        <v>336</v>
      </c>
      <c r="X120" s="429"/>
      <c r="Y120" s="429"/>
      <c r="Z120" s="308"/>
      <c r="AA120" s="429"/>
      <c r="AB120" s="429"/>
      <c r="AC120" s="427"/>
      <c r="AD120" s="427"/>
      <c r="AE120" s="308"/>
      <c r="AF120" s="308"/>
      <c r="AG120" s="308"/>
    </row>
    <row r="121" spans="1:33" x14ac:dyDescent="0.25">
      <c r="A121" s="428"/>
      <c r="B121" s="417"/>
      <c r="C121" s="417"/>
      <c r="D121" s="417"/>
      <c r="E121" s="417"/>
      <c r="F121" s="465"/>
      <c r="G121" s="417"/>
      <c r="H121" s="446"/>
      <c r="I121" s="417"/>
      <c r="J121" s="465"/>
      <c r="K121" s="308"/>
      <c r="L121" s="308"/>
      <c r="M121" s="458" t="s">
        <v>448</v>
      </c>
      <c r="N121" s="458"/>
      <c r="O121" s="458"/>
      <c r="P121" s="458"/>
      <c r="Q121" s="458"/>
      <c r="R121" s="458"/>
      <c r="S121" s="458"/>
      <c r="T121" s="458"/>
      <c r="U121" s="459">
        <v>100</v>
      </c>
      <c r="V121" s="464">
        <v>3</v>
      </c>
      <c r="W121" s="464">
        <v>95</v>
      </c>
      <c r="X121" s="429"/>
      <c r="Y121" s="429"/>
      <c r="Z121" s="308"/>
      <c r="AA121" s="429"/>
      <c r="AB121" s="429"/>
      <c r="AC121" s="427"/>
      <c r="AD121" s="427"/>
      <c r="AE121" s="308"/>
      <c r="AF121" s="308"/>
      <c r="AG121" s="308"/>
    </row>
    <row r="122" spans="1:33" ht="15" hidden="1" customHeight="1" x14ac:dyDescent="0.25">
      <c r="A122" s="428"/>
      <c r="B122" s="445"/>
      <c r="C122" s="445"/>
      <c r="D122" s="445"/>
      <c r="E122" s="445"/>
      <c r="F122" s="445"/>
      <c r="G122" s="445"/>
      <c r="H122" s="453"/>
      <c r="I122" s="453"/>
      <c r="J122" s="446"/>
      <c r="K122" s="443"/>
      <c r="L122" s="308"/>
      <c r="M122" s="458" t="s">
        <v>564</v>
      </c>
      <c r="N122" s="458"/>
      <c r="O122" s="458"/>
      <c r="P122" s="458"/>
      <c r="Q122" s="458"/>
      <c r="R122" s="458"/>
      <c r="S122" s="458"/>
      <c r="T122" s="458"/>
      <c r="U122" s="459">
        <v>110</v>
      </c>
      <c r="V122" s="463" t="s">
        <v>336</v>
      </c>
      <c r="W122" s="463" t="s">
        <v>336</v>
      </c>
      <c r="X122" s="429"/>
      <c r="Y122" s="429"/>
      <c r="Z122" s="308"/>
      <c r="AA122" s="429"/>
      <c r="AB122" s="429"/>
      <c r="AC122" s="427"/>
      <c r="AD122" s="427"/>
      <c r="AE122" s="308"/>
      <c r="AF122" s="308"/>
      <c r="AG122" s="308"/>
    </row>
    <row r="123" spans="1:33" x14ac:dyDescent="0.25">
      <c r="A123" s="308"/>
      <c r="B123" s="453"/>
      <c r="C123" s="429"/>
      <c r="D123" s="453"/>
      <c r="E123" s="453"/>
      <c r="F123" s="453"/>
      <c r="G123" s="453"/>
      <c r="H123" s="453"/>
      <c r="I123" s="453"/>
      <c r="J123" s="429"/>
      <c r="K123" s="429"/>
      <c r="L123" s="308"/>
      <c r="M123" s="458" t="s">
        <v>565</v>
      </c>
      <c r="N123" s="458"/>
      <c r="O123" s="458"/>
      <c r="P123" s="458"/>
      <c r="Q123" s="458"/>
      <c r="R123" s="458"/>
      <c r="S123" s="458"/>
      <c r="T123" s="458"/>
      <c r="U123" s="459">
        <v>120</v>
      </c>
      <c r="V123" s="463" t="s">
        <v>336</v>
      </c>
      <c r="W123" s="463" t="s">
        <v>336</v>
      </c>
      <c r="X123" s="429"/>
      <c r="Y123" s="429"/>
      <c r="Z123" s="308"/>
      <c r="AA123" s="429"/>
      <c r="AB123" s="429"/>
      <c r="AC123" s="427"/>
      <c r="AD123" s="427"/>
      <c r="AE123" s="308"/>
      <c r="AF123" s="308"/>
      <c r="AG123" s="308"/>
    </row>
    <row r="124" spans="1:33" x14ac:dyDescent="0.25">
      <c r="A124" s="428"/>
      <c r="B124" s="429"/>
      <c r="C124" s="429"/>
      <c r="D124" s="429"/>
      <c r="E124" s="453"/>
      <c r="F124" s="429"/>
      <c r="G124" s="429"/>
      <c r="H124" s="444"/>
      <c r="I124" s="429"/>
      <c r="J124" s="429"/>
      <c r="K124" s="429"/>
      <c r="L124" s="308"/>
      <c r="M124" s="458" t="s">
        <v>566</v>
      </c>
      <c r="N124" s="458"/>
      <c r="O124" s="458"/>
      <c r="P124" s="458"/>
      <c r="Q124" s="458"/>
      <c r="R124" s="458"/>
      <c r="S124" s="458"/>
      <c r="T124" s="458"/>
      <c r="U124" s="459">
        <v>80</v>
      </c>
      <c r="V124" s="463" t="s">
        <v>336</v>
      </c>
      <c r="W124" s="463" t="s">
        <v>336</v>
      </c>
      <c r="X124" s="429"/>
      <c r="Y124" s="429"/>
      <c r="Z124" s="308"/>
      <c r="AA124" s="429"/>
      <c r="AB124" s="429"/>
      <c r="AC124" s="427"/>
      <c r="AD124" s="427"/>
      <c r="AE124" s="308"/>
      <c r="AF124" s="308"/>
      <c r="AG124" s="308"/>
    </row>
    <row r="125" spans="1:33" x14ac:dyDescent="0.25">
      <c r="A125" s="428"/>
      <c r="B125" s="453"/>
      <c r="C125" s="453"/>
      <c r="D125" s="453"/>
      <c r="E125" s="453"/>
      <c r="F125" s="453"/>
      <c r="G125" s="453"/>
      <c r="H125" s="443"/>
      <c r="I125" s="453"/>
      <c r="J125" s="429"/>
      <c r="K125" s="429"/>
      <c r="L125" s="308"/>
      <c r="M125" s="458" t="s">
        <v>449</v>
      </c>
      <c r="N125" s="458"/>
      <c r="O125" s="458"/>
      <c r="P125" s="458"/>
      <c r="Q125" s="458"/>
      <c r="R125" s="458"/>
      <c r="S125" s="458"/>
      <c r="T125" s="458"/>
      <c r="U125" s="459">
        <v>120</v>
      </c>
      <c r="V125" s="463" t="s">
        <v>336</v>
      </c>
      <c r="W125" s="463" t="s">
        <v>336</v>
      </c>
      <c r="X125" s="429"/>
      <c r="Y125" s="429"/>
      <c r="Z125" s="308"/>
      <c r="AA125" s="429"/>
      <c r="AB125" s="429"/>
      <c r="AC125" s="427"/>
      <c r="AD125" s="427"/>
      <c r="AE125" s="308"/>
      <c r="AF125" s="308"/>
      <c r="AG125" s="308"/>
    </row>
    <row r="126" spans="1:33" x14ac:dyDescent="0.25">
      <c r="A126" s="428"/>
      <c r="B126" s="454"/>
      <c r="C126" s="454"/>
      <c r="D126" s="454"/>
      <c r="E126" s="453"/>
      <c r="F126" s="454"/>
      <c r="G126" s="454"/>
      <c r="H126" s="453"/>
      <c r="I126" s="453"/>
      <c r="J126" s="429"/>
      <c r="K126" s="429"/>
      <c r="L126" s="308"/>
      <c r="M126" s="458" t="s">
        <v>450</v>
      </c>
      <c r="N126" s="458"/>
      <c r="O126" s="458"/>
      <c r="P126" s="458"/>
      <c r="Q126" s="458"/>
      <c r="R126" s="458"/>
      <c r="S126" s="458"/>
      <c r="T126" s="458"/>
      <c r="U126" s="459">
        <v>220</v>
      </c>
      <c r="V126" s="463" t="s">
        <v>336</v>
      </c>
      <c r="W126" s="463" t="s">
        <v>336</v>
      </c>
      <c r="X126" s="429"/>
      <c r="Y126" s="308"/>
      <c r="Z126" s="308"/>
      <c r="AA126" s="429"/>
      <c r="AB126" s="429"/>
      <c r="AC126" s="427"/>
      <c r="AD126" s="427"/>
      <c r="AE126" s="308"/>
      <c r="AF126" s="308"/>
      <c r="AG126" s="308"/>
    </row>
    <row r="127" spans="1:33" x14ac:dyDescent="0.25">
      <c r="A127" s="308"/>
      <c r="B127" s="453"/>
      <c r="C127" s="453"/>
      <c r="D127" s="453"/>
      <c r="E127" s="453"/>
      <c r="F127" s="453"/>
      <c r="G127" s="453"/>
      <c r="H127" s="453"/>
      <c r="I127" s="453"/>
      <c r="J127" s="429"/>
      <c r="K127" s="429"/>
      <c r="L127" s="308"/>
      <c r="M127" s="458" t="s">
        <v>495</v>
      </c>
      <c r="N127" s="458"/>
      <c r="O127" s="458"/>
      <c r="P127" s="458"/>
      <c r="Q127" s="458"/>
      <c r="R127" s="458"/>
      <c r="S127" s="458"/>
      <c r="T127" s="458"/>
      <c r="U127" s="459">
        <v>475</v>
      </c>
      <c r="V127" s="463" t="s">
        <v>336</v>
      </c>
      <c r="W127" s="463" t="s">
        <v>336</v>
      </c>
      <c r="X127" s="429"/>
      <c r="Y127" s="308"/>
      <c r="Z127" s="308"/>
      <c r="AA127" s="429"/>
      <c r="AB127" s="429"/>
      <c r="AC127" s="427"/>
      <c r="AD127" s="427"/>
      <c r="AE127" s="308"/>
      <c r="AF127" s="308"/>
      <c r="AG127" s="308"/>
    </row>
    <row r="128" spans="1:33" x14ac:dyDescent="0.25">
      <c r="A128" s="308"/>
      <c r="B128" s="453"/>
      <c r="C128" s="453"/>
      <c r="D128" s="453"/>
      <c r="E128" s="453"/>
      <c r="F128" s="453"/>
      <c r="G128" s="453"/>
      <c r="H128" s="453"/>
      <c r="I128" s="453"/>
      <c r="J128" s="429"/>
      <c r="K128" s="429"/>
      <c r="L128" s="308"/>
      <c r="M128" s="458" t="s">
        <v>451</v>
      </c>
      <c r="N128" s="458"/>
      <c r="O128" s="458"/>
      <c r="P128" s="458"/>
      <c r="Q128" s="458"/>
      <c r="R128" s="458"/>
      <c r="S128" s="458"/>
      <c r="T128" s="458"/>
      <c r="U128" s="459">
        <v>100</v>
      </c>
      <c r="V128" s="464">
        <v>3</v>
      </c>
      <c r="W128" s="464">
        <v>95</v>
      </c>
      <c r="X128" s="429"/>
      <c r="Y128" s="427"/>
      <c r="Z128" s="308"/>
      <c r="AA128" s="429"/>
      <c r="AB128" s="429"/>
      <c r="AC128" s="427"/>
      <c r="AD128" s="427"/>
      <c r="AE128" s="308"/>
      <c r="AF128" s="308"/>
      <c r="AG128" s="308"/>
    </row>
    <row r="129" spans="1:36" x14ac:dyDescent="0.25">
      <c r="A129" s="308"/>
      <c r="B129" s="453"/>
      <c r="C129" s="453"/>
      <c r="D129" s="453"/>
      <c r="E129" s="453"/>
      <c r="F129" s="453"/>
      <c r="G129" s="453"/>
      <c r="H129" s="453"/>
      <c r="I129" s="453"/>
      <c r="J129" s="429"/>
      <c r="K129" s="429"/>
      <c r="L129" s="447"/>
      <c r="M129" s="458" t="s">
        <v>452</v>
      </c>
      <c r="N129" s="458"/>
      <c r="O129" s="458"/>
      <c r="P129" s="458"/>
      <c r="Q129" s="458"/>
      <c r="R129" s="458"/>
      <c r="S129" s="458"/>
      <c r="T129" s="458"/>
      <c r="U129" s="459">
        <v>250</v>
      </c>
      <c r="V129" s="463" t="s">
        <v>336</v>
      </c>
      <c r="W129" s="463" t="s">
        <v>336</v>
      </c>
      <c r="X129" s="429"/>
      <c r="Y129" s="427"/>
      <c r="Z129" s="427"/>
      <c r="AA129" s="429"/>
      <c r="AB129" s="429"/>
      <c r="AC129" s="427"/>
      <c r="AD129" s="427"/>
      <c r="AE129" s="308"/>
      <c r="AF129" s="308"/>
      <c r="AG129" s="308"/>
    </row>
    <row r="130" spans="1:36" x14ac:dyDescent="0.25">
      <c r="A130" s="308"/>
      <c r="B130" s="429"/>
      <c r="C130" s="429"/>
      <c r="D130" s="429"/>
      <c r="E130" s="453"/>
      <c r="F130" s="429"/>
      <c r="G130" s="429"/>
      <c r="H130" s="429"/>
      <c r="I130" s="429"/>
      <c r="J130" s="429"/>
      <c r="K130" s="429"/>
      <c r="L130" s="308"/>
      <c r="M130" s="427"/>
      <c r="N130" s="427"/>
      <c r="O130" s="427"/>
      <c r="P130" s="427"/>
      <c r="Q130" s="427"/>
      <c r="R130" s="427"/>
      <c r="S130" s="427"/>
      <c r="T130" s="427"/>
      <c r="U130" s="427"/>
      <c r="V130" s="427"/>
      <c r="W130" s="427"/>
      <c r="X130" s="429"/>
      <c r="Y130" s="427"/>
      <c r="Z130" s="427"/>
      <c r="AA130" s="429"/>
      <c r="AB130" s="429"/>
      <c r="AC130" s="308"/>
      <c r="AD130" s="308"/>
      <c r="AE130" s="308"/>
      <c r="AF130" s="308"/>
      <c r="AG130" s="308"/>
    </row>
    <row r="131" spans="1:36" x14ac:dyDescent="0.25">
      <c r="A131" s="428"/>
      <c r="B131" s="453"/>
      <c r="C131" s="453"/>
      <c r="D131" s="453"/>
      <c r="E131" s="453"/>
      <c r="F131" s="453"/>
      <c r="G131" s="453"/>
      <c r="H131" s="443"/>
      <c r="I131" s="453"/>
      <c r="J131" s="429"/>
      <c r="K131" s="429"/>
      <c r="L131" s="308"/>
      <c r="M131" s="427"/>
      <c r="N131" s="427"/>
      <c r="O131" s="427"/>
      <c r="P131" s="427"/>
      <c r="Q131" s="427"/>
      <c r="R131" s="427"/>
      <c r="S131" s="427"/>
      <c r="T131" s="427"/>
      <c r="U131" s="427"/>
      <c r="V131" s="427"/>
      <c r="W131" s="427"/>
      <c r="X131" s="429"/>
      <c r="Y131" s="427"/>
      <c r="Z131" s="427"/>
      <c r="AA131" s="429"/>
      <c r="AB131" s="429"/>
      <c r="AC131" s="427"/>
      <c r="AD131" s="427"/>
      <c r="AE131" s="308"/>
      <c r="AF131" s="308"/>
      <c r="AG131" s="308"/>
    </row>
    <row r="132" spans="1:36" x14ac:dyDescent="0.25">
      <c r="A132" s="428"/>
      <c r="B132" s="466"/>
      <c r="C132" s="466"/>
      <c r="D132" s="466"/>
      <c r="E132" s="453"/>
      <c r="F132" s="466"/>
      <c r="G132" s="466"/>
      <c r="H132" s="443"/>
      <c r="I132" s="453"/>
      <c r="J132" s="429"/>
      <c r="K132" s="429"/>
      <c r="L132" s="308"/>
      <c r="M132" s="427"/>
      <c r="N132" s="427"/>
      <c r="O132" s="427"/>
      <c r="P132" s="427"/>
      <c r="Q132" s="427"/>
      <c r="R132" s="427"/>
      <c r="S132" s="427"/>
      <c r="T132" s="427"/>
      <c r="U132" s="427"/>
      <c r="V132" s="427"/>
      <c r="W132" s="427"/>
      <c r="X132" s="429"/>
      <c r="Y132" s="427"/>
      <c r="Z132" s="427"/>
      <c r="AA132" s="429"/>
      <c r="AB132" s="429"/>
      <c r="AC132" s="427"/>
      <c r="AD132" s="427"/>
      <c r="AE132" s="308"/>
      <c r="AF132" s="308"/>
      <c r="AG132" s="308"/>
    </row>
    <row r="133" spans="1:36" x14ac:dyDescent="0.25">
      <c r="A133" s="428"/>
      <c r="B133" s="442"/>
      <c r="C133" s="442"/>
      <c r="D133" s="442"/>
      <c r="E133" s="442"/>
      <c r="F133" s="442"/>
      <c r="G133" s="442"/>
      <c r="H133" s="443"/>
      <c r="I133" s="308"/>
      <c r="J133" s="443"/>
      <c r="K133" s="443"/>
      <c r="L133" s="308"/>
      <c r="M133" s="308"/>
      <c r="N133" s="308"/>
      <c r="O133" s="308"/>
      <c r="P133" s="308"/>
      <c r="Q133" s="308"/>
      <c r="R133" s="308"/>
      <c r="S133" s="308"/>
      <c r="T133" s="308"/>
      <c r="U133" s="308"/>
      <c r="V133" s="427"/>
      <c r="W133" s="427"/>
      <c r="X133" s="427"/>
      <c r="Y133" s="429"/>
      <c r="Z133" s="427"/>
      <c r="AA133" s="429"/>
      <c r="AB133" s="429"/>
      <c r="AC133" s="427"/>
      <c r="AD133" s="427"/>
      <c r="AE133" s="308"/>
      <c r="AF133" s="308"/>
      <c r="AG133" s="308"/>
    </row>
    <row r="134" spans="1:36" ht="32.25" customHeight="1" x14ac:dyDescent="0.25">
      <c r="A134" s="428"/>
      <c r="B134" s="445"/>
      <c r="C134" s="445"/>
      <c r="D134" s="445"/>
      <c r="E134" s="445"/>
      <c r="F134" s="445"/>
      <c r="G134" s="445"/>
      <c r="H134" s="453"/>
      <c r="I134" s="453"/>
      <c r="J134" s="446"/>
      <c r="K134" s="443"/>
      <c r="L134" s="308"/>
      <c r="M134" s="308"/>
      <c r="N134" s="308"/>
      <c r="O134" s="308"/>
      <c r="P134" s="308"/>
      <c r="Q134" s="308"/>
      <c r="R134" s="308"/>
      <c r="S134" s="308"/>
      <c r="T134" s="308"/>
      <c r="U134" s="308"/>
      <c r="V134" s="427"/>
      <c r="W134" s="427"/>
      <c r="X134" s="427"/>
      <c r="Y134" s="429"/>
      <c r="Z134" s="308"/>
      <c r="AA134" s="429"/>
      <c r="AB134" s="429"/>
      <c r="AC134" s="427"/>
      <c r="AD134" s="427"/>
      <c r="AE134" s="308"/>
      <c r="AF134" s="308"/>
      <c r="AG134" s="308"/>
    </row>
    <row r="135" spans="1:36" x14ac:dyDescent="0.25">
      <c r="A135" s="308"/>
      <c r="B135" s="308"/>
      <c r="C135" s="308"/>
      <c r="D135" s="308"/>
      <c r="E135" s="308"/>
      <c r="F135" s="308"/>
      <c r="G135" s="308"/>
      <c r="H135" s="308"/>
      <c r="I135" s="308"/>
      <c r="J135" s="308"/>
      <c r="K135" s="443"/>
      <c r="L135" s="308"/>
      <c r="M135" s="427"/>
      <c r="N135" s="427"/>
      <c r="O135" s="427"/>
      <c r="P135" s="427"/>
      <c r="Q135" s="427"/>
      <c r="R135" s="427"/>
      <c r="S135" s="427"/>
      <c r="T135" s="427"/>
      <c r="U135" s="427"/>
      <c r="V135" s="429"/>
      <c r="W135" s="429"/>
      <c r="X135" s="429"/>
      <c r="Y135" s="429"/>
      <c r="Z135" s="308"/>
      <c r="AA135" s="429"/>
      <c r="AB135" s="429"/>
      <c r="AC135" s="427"/>
      <c r="AD135" s="427"/>
      <c r="AE135" s="308"/>
      <c r="AF135" s="308"/>
      <c r="AG135" s="308"/>
    </row>
    <row r="136" spans="1:36" ht="15.75" x14ac:dyDescent="0.25">
      <c r="A136" s="428"/>
      <c r="B136" s="442"/>
      <c r="C136" s="442"/>
      <c r="D136" s="442"/>
      <c r="E136" s="442"/>
      <c r="F136" s="442"/>
      <c r="G136" s="442"/>
      <c r="H136" s="453"/>
      <c r="I136" s="429"/>
      <c r="J136" s="429"/>
      <c r="K136" s="449"/>
      <c r="L136" s="308"/>
      <c r="M136" s="427"/>
      <c r="N136" s="427"/>
      <c r="O136" s="427"/>
      <c r="P136" s="427"/>
      <c r="Q136" s="427"/>
      <c r="R136" s="427"/>
      <c r="S136" s="427"/>
      <c r="T136" s="427"/>
      <c r="U136" s="427"/>
      <c r="V136" s="429"/>
      <c r="W136" s="429"/>
      <c r="X136" s="429"/>
      <c r="Y136" s="429"/>
      <c r="Z136" s="427"/>
      <c r="AA136" s="429"/>
      <c r="AB136" s="429"/>
      <c r="AC136" s="427"/>
      <c r="AD136" s="427"/>
      <c r="AE136" s="308"/>
      <c r="AF136" s="308"/>
      <c r="AG136" s="308"/>
    </row>
    <row r="137" spans="1:36" ht="15.75" x14ac:dyDescent="0.25">
      <c r="A137" s="429"/>
      <c r="B137" s="448"/>
      <c r="C137" s="448"/>
      <c r="D137" s="448"/>
      <c r="E137" s="448"/>
      <c r="F137" s="448"/>
      <c r="G137" s="448"/>
      <c r="H137" s="429"/>
      <c r="I137" s="429"/>
      <c r="J137" s="429"/>
      <c r="K137" s="450"/>
      <c r="L137" s="308"/>
      <c r="M137" s="427"/>
      <c r="N137" s="427"/>
      <c r="O137" s="427"/>
      <c r="P137" s="427"/>
      <c r="Q137" s="427"/>
      <c r="R137" s="427"/>
      <c r="S137" s="427"/>
      <c r="T137" s="427"/>
      <c r="U137" s="427"/>
      <c r="V137" s="429"/>
      <c r="W137" s="429"/>
      <c r="X137" s="429"/>
      <c r="Y137" s="429"/>
      <c r="Z137" s="427"/>
      <c r="AA137" s="429"/>
      <c r="AB137" s="429"/>
      <c r="AC137" s="427"/>
      <c r="AD137" s="427"/>
      <c r="AE137" s="308"/>
      <c r="AF137" s="308"/>
      <c r="AG137" s="308"/>
    </row>
    <row r="138" spans="1:36" ht="15.75" x14ac:dyDescent="0.25">
      <c r="A138" s="429"/>
      <c r="B138" s="448"/>
      <c r="C138" s="448"/>
      <c r="D138" s="448"/>
      <c r="E138" s="448"/>
      <c r="F138" s="448"/>
      <c r="G138" s="448"/>
      <c r="H138" s="429"/>
      <c r="I138" s="429"/>
      <c r="J138" s="429"/>
      <c r="K138" s="450"/>
      <c r="L138" s="308"/>
      <c r="M138" s="427"/>
      <c r="N138" s="427"/>
      <c r="O138" s="427"/>
      <c r="P138" s="427"/>
      <c r="Q138" s="427"/>
      <c r="R138" s="427"/>
      <c r="S138" s="427"/>
      <c r="T138" s="427"/>
      <c r="U138" s="427"/>
      <c r="V138" s="429"/>
      <c r="W138" s="429"/>
      <c r="X138" s="429"/>
      <c r="Y138" s="429"/>
      <c r="Z138" s="427"/>
      <c r="AA138" s="429"/>
      <c r="AB138" s="429"/>
      <c r="AC138" s="427"/>
      <c r="AD138" s="427"/>
      <c r="AE138" s="308"/>
      <c r="AF138" s="308"/>
      <c r="AG138" s="308"/>
    </row>
    <row r="139" spans="1:36" ht="16.5" thickBot="1" x14ac:dyDescent="0.3">
      <c r="A139" s="429"/>
      <c r="B139" s="448"/>
      <c r="C139" s="448"/>
      <c r="D139" s="448"/>
      <c r="E139" s="448"/>
      <c r="F139" s="448"/>
      <c r="G139" s="448"/>
      <c r="H139" s="429"/>
      <c r="I139" s="429"/>
      <c r="J139" s="429"/>
      <c r="K139" s="450"/>
      <c r="L139" s="308"/>
      <c r="M139" s="427"/>
      <c r="N139" s="427"/>
      <c r="O139" s="427"/>
      <c r="P139" s="427"/>
      <c r="Q139" s="427"/>
      <c r="R139" s="427"/>
      <c r="S139" s="427"/>
      <c r="T139" s="427"/>
      <c r="U139" s="427"/>
      <c r="V139" s="427"/>
      <c r="W139" s="427"/>
      <c r="X139" s="427"/>
      <c r="Y139" s="427"/>
      <c r="Z139" s="427"/>
      <c r="AA139" s="429"/>
      <c r="AB139" s="429"/>
      <c r="AC139" s="427"/>
      <c r="AD139" s="427"/>
      <c r="AE139" s="308"/>
      <c r="AF139" s="308"/>
      <c r="AG139" s="308"/>
    </row>
    <row r="140" spans="1:36" ht="45" x14ac:dyDescent="0.25">
      <c r="A140" s="308"/>
      <c r="B140" s="427"/>
      <c r="C140" s="427"/>
      <c r="D140" s="308"/>
      <c r="E140" s="308"/>
      <c r="F140" s="308"/>
      <c r="G140" s="308"/>
      <c r="H140" s="429"/>
      <c r="I140" s="429"/>
      <c r="J140" s="429"/>
      <c r="K140" s="429"/>
      <c r="L140" s="308"/>
      <c r="M140" s="427"/>
      <c r="N140" s="427"/>
      <c r="O140" s="427"/>
      <c r="P140" s="429" t="s">
        <v>87</v>
      </c>
      <c r="Q140" s="429" t="s">
        <v>611</v>
      </c>
      <c r="R140" s="429" t="s">
        <v>616</v>
      </c>
      <c r="S140" s="429" t="s">
        <v>612</v>
      </c>
      <c r="T140" s="444" t="s">
        <v>615</v>
      </c>
      <c r="U140" s="497" t="s">
        <v>613</v>
      </c>
      <c r="V140" s="498" t="s">
        <v>614</v>
      </c>
      <c r="W140" s="427"/>
      <c r="X140" s="427"/>
      <c r="Y140" s="427"/>
      <c r="Z140" s="427"/>
      <c r="AA140" s="429"/>
      <c r="AB140" s="429"/>
      <c r="AC140" s="427"/>
      <c r="AD140" s="427"/>
      <c r="AE140" s="308"/>
      <c r="AF140" s="308"/>
      <c r="AG140" s="308"/>
    </row>
    <row r="141" spans="1:36" x14ac:dyDescent="0.25">
      <c r="A141" s="308"/>
      <c r="B141" s="427"/>
      <c r="C141" s="427"/>
      <c r="D141" s="427"/>
      <c r="E141" s="427"/>
      <c r="F141" s="427"/>
      <c r="G141" s="427"/>
      <c r="H141" s="429"/>
      <c r="I141" s="429"/>
      <c r="J141" s="429"/>
      <c r="K141" s="429"/>
      <c r="L141" s="308"/>
      <c r="M141" s="458" t="s">
        <v>528</v>
      </c>
      <c r="N141" s="427"/>
      <c r="O141" s="427"/>
      <c r="P141" s="451">
        <v>30.35</v>
      </c>
      <c r="Q141" s="451">
        <f>P141*0.9</f>
        <v>27.315000000000001</v>
      </c>
      <c r="R141" s="451">
        <f>P141*0.85</f>
        <v>25.797499999999999</v>
      </c>
      <c r="S141" s="451">
        <v>31</v>
      </c>
      <c r="T141" s="451">
        <v>30</v>
      </c>
      <c r="U141" s="499">
        <f>100*(T141-R141)/R141</f>
        <v>16.290338211066967</v>
      </c>
      <c r="V141" s="500">
        <f>100*(T141-Q141)/Q141</f>
        <v>9.8297638660076831</v>
      </c>
      <c r="W141" s="427"/>
      <c r="X141" s="427"/>
      <c r="Y141" s="427"/>
      <c r="Z141" s="427"/>
      <c r="AA141" s="429"/>
      <c r="AB141" s="429"/>
      <c r="AC141" s="427"/>
      <c r="AD141" s="429"/>
      <c r="AE141" s="429"/>
      <c r="AF141" s="427"/>
      <c r="AG141" s="427"/>
      <c r="AH141" s="9"/>
      <c r="AI141" s="12"/>
      <c r="AJ141" s="9"/>
    </row>
    <row r="142" spans="1:36" x14ac:dyDescent="0.25">
      <c r="A142" s="428"/>
      <c r="B142" s="427"/>
      <c r="C142" s="427"/>
      <c r="D142" s="427"/>
      <c r="E142" s="427"/>
      <c r="F142" s="427"/>
      <c r="G142" s="427"/>
      <c r="H142" s="444"/>
      <c r="I142" s="429"/>
      <c r="J142" s="444"/>
      <c r="K142" s="429"/>
      <c r="L142" s="308"/>
      <c r="M142" s="458" t="s">
        <v>529</v>
      </c>
      <c r="N142" s="427"/>
      <c r="O142" s="427"/>
      <c r="P142" s="451">
        <v>12.53</v>
      </c>
      <c r="Q142" s="451">
        <f t="shared" ref="Q142:Q159" si="6">P142*0.9</f>
        <v>11.276999999999999</v>
      </c>
      <c r="R142" s="451">
        <f t="shared" ref="R142:R159" si="7">P142*0.85</f>
        <v>10.650499999999999</v>
      </c>
      <c r="S142" s="451">
        <v>13</v>
      </c>
      <c r="T142" s="451">
        <v>13</v>
      </c>
      <c r="U142" s="499">
        <f t="shared" ref="U142:U158" si="8">100*(T142-R142)/R142</f>
        <v>22.059997183230841</v>
      </c>
      <c r="V142" s="500">
        <f t="shared" ref="V142:V159" si="9">100*(T142-Q142)/Q142</f>
        <v>15.278886228606906</v>
      </c>
      <c r="W142" s="427"/>
      <c r="X142" s="427"/>
      <c r="Y142" s="427"/>
      <c r="Z142" s="427"/>
      <c r="AA142" s="429"/>
      <c r="AB142" s="429"/>
      <c r="AC142" s="427"/>
      <c r="AD142" s="429"/>
      <c r="AE142" s="429"/>
      <c r="AF142" s="427"/>
      <c r="AG142" s="427"/>
      <c r="AH142" s="9"/>
      <c r="AI142" s="12"/>
      <c r="AJ142" s="9"/>
    </row>
    <row r="143" spans="1:36" x14ac:dyDescent="0.25">
      <c r="A143" s="428"/>
      <c r="B143" s="442"/>
      <c r="C143" s="442"/>
      <c r="D143" s="442"/>
      <c r="E143" s="442"/>
      <c r="F143" s="442"/>
      <c r="G143" s="442"/>
      <c r="H143" s="443"/>
      <c r="I143" s="308"/>
      <c r="J143" s="443"/>
      <c r="K143" s="429"/>
      <c r="L143" s="308"/>
      <c r="M143" s="458" t="s">
        <v>530</v>
      </c>
      <c r="N143" s="427"/>
      <c r="O143" s="427"/>
      <c r="P143" s="451">
        <v>7.04</v>
      </c>
      <c r="Q143" s="451">
        <f t="shared" si="6"/>
        <v>6.3360000000000003</v>
      </c>
      <c r="R143" s="451">
        <f t="shared" si="7"/>
        <v>5.984</v>
      </c>
      <c r="S143" s="451">
        <v>7</v>
      </c>
      <c r="T143" s="451">
        <v>7</v>
      </c>
      <c r="U143" s="499">
        <f t="shared" si="8"/>
        <v>16.978609625668447</v>
      </c>
      <c r="V143" s="500">
        <f t="shared" si="9"/>
        <v>10.479797979797976</v>
      </c>
      <c r="W143" s="427"/>
      <c r="X143" s="427"/>
      <c r="Y143" s="427"/>
      <c r="Z143" s="427"/>
      <c r="AA143" s="429"/>
      <c r="AB143" s="427"/>
      <c r="AC143" s="429"/>
      <c r="AD143" s="429"/>
      <c r="AE143" s="427"/>
      <c r="AF143" s="427"/>
      <c r="AG143" s="427"/>
      <c r="AH143" s="12"/>
      <c r="AI143" s="9"/>
    </row>
    <row r="144" spans="1:36" x14ac:dyDescent="0.25">
      <c r="A144" s="428"/>
      <c r="B144" s="448"/>
      <c r="C144" s="448"/>
      <c r="D144" s="448"/>
      <c r="E144" s="448"/>
      <c r="F144" s="448"/>
      <c r="G144" s="448"/>
      <c r="H144" s="443"/>
      <c r="I144" s="308"/>
      <c r="J144" s="443"/>
      <c r="K144" s="429"/>
      <c r="L144" s="308"/>
      <c r="M144" s="458" t="s">
        <v>306</v>
      </c>
      <c r="N144" s="427"/>
      <c r="O144" s="427"/>
      <c r="P144" s="451">
        <v>32.549999999999997</v>
      </c>
      <c r="Q144" s="451">
        <f t="shared" si="6"/>
        <v>29.294999999999998</v>
      </c>
      <c r="R144" s="451">
        <f t="shared" si="7"/>
        <v>27.667499999999997</v>
      </c>
      <c r="S144" s="451">
        <v>34</v>
      </c>
      <c r="T144" s="451">
        <v>34</v>
      </c>
      <c r="U144" s="499">
        <f t="shared" si="8"/>
        <v>22.887864823348711</v>
      </c>
      <c r="V144" s="500">
        <f t="shared" si="9"/>
        <v>16.06076122205155</v>
      </c>
      <c r="W144" s="427"/>
      <c r="X144" s="427"/>
      <c r="Y144" s="427"/>
      <c r="Z144" s="427"/>
      <c r="AA144" s="429"/>
      <c r="AB144" s="427"/>
      <c r="AC144" s="429"/>
      <c r="AD144" s="429"/>
      <c r="AE144" s="427"/>
      <c r="AF144" s="427"/>
      <c r="AG144" s="427"/>
      <c r="AH144" s="12"/>
      <c r="AI144" s="9"/>
    </row>
    <row r="145" spans="1:35" x14ac:dyDescent="0.25">
      <c r="A145" s="428"/>
      <c r="B145" s="442"/>
      <c r="C145" s="442"/>
      <c r="D145" s="442"/>
      <c r="E145" s="442"/>
      <c r="F145" s="442"/>
      <c r="G145" s="442"/>
      <c r="H145" s="443"/>
      <c r="I145" s="308"/>
      <c r="J145" s="443"/>
      <c r="K145" s="429"/>
      <c r="L145" s="308"/>
      <c r="M145" s="458" t="s">
        <v>315</v>
      </c>
      <c r="N145" s="427"/>
      <c r="O145" s="427"/>
      <c r="P145" s="451">
        <v>10.91</v>
      </c>
      <c r="Q145" s="451">
        <f t="shared" si="6"/>
        <v>9.8190000000000008</v>
      </c>
      <c r="R145" s="451">
        <f t="shared" si="7"/>
        <v>9.2735000000000003</v>
      </c>
      <c r="S145" s="451">
        <v>11</v>
      </c>
      <c r="T145" s="451">
        <v>11</v>
      </c>
      <c r="U145" s="499">
        <f t="shared" si="8"/>
        <v>18.617566183210219</v>
      </c>
      <c r="V145" s="500">
        <f t="shared" si="9"/>
        <v>12.027701395254089</v>
      </c>
      <c r="W145" s="308"/>
      <c r="X145" s="308"/>
      <c r="Y145" s="308"/>
      <c r="Z145" s="427"/>
      <c r="AA145" s="429"/>
      <c r="AB145" s="427"/>
      <c r="AC145" s="429"/>
      <c r="AD145" s="429"/>
      <c r="AE145" s="427"/>
      <c r="AF145" s="427"/>
      <c r="AG145" s="427"/>
      <c r="AH145" s="12"/>
      <c r="AI145" s="9"/>
    </row>
    <row r="146" spans="1:35" ht="34.5" customHeight="1" x14ac:dyDescent="0.25">
      <c r="A146" s="428"/>
      <c r="B146" s="445"/>
      <c r="C146" s="445"/>
      <c r="D146" s="445"/>
      <c r="E146" s="445"/>
      <c r="F146" s="445"/>
      <c r="G146" s="445"/>
      <c r="H146" s="428"/>
      <c r="I146" s="428"/>
      <c r="J146" s="446"/>
      <c r="K146" s="429"/>
      <c r="L146" s="308"/>
      <c r="M146" s="458" t="s">
        <v>531</v>
      </c>
      <c r="N146" s="427"/>
      <c r="O146" s="427"/>
      <c r="P146" s="451">
        <v>39.99</v>
      </c>
      <c r="Q146" s="451">
        <f t="shared" si="6"/>
        <v>35.991</v>
      </c>
      <c r="R146" s="451">
        <f t="shared" si="7"/>
        <v>33.991500000000002</v>
      </c>
      <c r="S146" s="451">
        <v>42</v>
      </c>
      <c r="T146" s="451">
        <v>42</v>
      </c>
      <c r="U146" s="499">
        <f t="shared" si="8"/>
        <v>23.560301840165916</v>
      </c>
      <c r="V146" s="500">
        <f t="shared" si="9"/>
        <v>16.695840626823376</v>
      </c>
      <c r="W146" s="308"/>
      <c r="X146" s="308"/>
      <c r="Y146" s="308"/>
      <c r="Z146" s="427"/>
      <c r="AA146" s="429"/>
      <c r="AB146" s="427"/>
      <c r="AC146" s="429"/>
      <c r="AD146" s="429"/>
      <c r="AE146" s="427"/>
      <c r="AF146" s="427"/>
      <c r="AG146" s="427"/>
      <c r="AH146" s="12"/>
      <c r="AI146" s="9"/>
    </row>
    <row r="147" spans="1:35" x14ac:dyDescent="0.25">
      <c r="A147" s="308"/>
      <c r="B147" s="428"/>
      <c r="C147" s="428"/>
      <c r="D147" s="428"/>
      <c r="E147" s="428"/>
      <c r="F147" s="428"/>
      <c r="G147" s="428"/>
      <c r="H147" s="428"/>
      <c r="I147" s="429"/>
      <c r="J147" s="429"/>
      <c r="K147" s="429"/>
      <c r="L147" s="308"/>
      <c r="M147" s="458" t="s">
        <v>532</v>
      </c>
      <c r="N147" s="308"/>
      <c r="O147" s="308"/>
      <c r="P147" s="451">
        <v>7.43</v>
      </c>
      <c r="Q147" s="451">
        <f t="shared" si="6"/>
        <v>6.6870000000000003</v>
      </c>
      <c r="R147" s="451">
        <f t="shared" si="7"/>
        <v>6.3154999999999992</v>
      </c>
      <c r="S147" s="451">
        <v>8</v>
      </c>
      <c r="T147" s="451">
        <v>8</v>
      </c>
      <c r="U147" s="499">
        <f t="shared" si="8"/>
        <v>26.672472488322395</v>
      </c>
      <c r="V147" s="500">
        <f t="shared" si="9"/>
        <v>19.635112905637801</v>
      </c>
      <c r="W147" s="427"/>
      <c r="X147" s="427"/>
      <c r="Y147" s="427"/>
      <c r="Z147" s="427"/>
      <c r="AA147" s="429"/>
      <c r="AB147" s="427"/>
      <c r="AC147" s="429"/>
      <c r="AD147" s="429"/>
      <c r="AE147" s="427"/>
      <c r="AF147" s="427"/>
      <c r="AG147" s="427"/>
      <c r="AH147" s="12"/>
      <c r="AI147" s="9"/>
    </row>
    <row r="148" spans="1:35" ht="15.75" x14ac:dyDescent="0.25">
      <c r="A148" s="428"/>
      <c r="B148" s="442"/>
      <c r="C148" s="442"/>
      <c r="D148" s="442"/>
      <c r="E148" s="442"/>
      <c r="F148" s="442"/>
      <c r="G148" s="442"/>
      <c r="H148" s="428"/>
      <c r="I148" s="429"/>
      <c r="J148" s="429"/>
      <c r="K148" s="449"/>
      <c r="L148" s="308"/>
      <c r="M148" s="458" t="s">
        <v>307</v>
      </c>
      <c r="N148" s="308"/>
      <c r="O148" s="308"/>
      <c r="P148" s="451">
        <v>41.25</v>
      </c>
      <c r="Q148" s="451">
        <f t="shared" si="6"/>
        <v>37.125</v>
      </c>
      <c r="R148" s="451">
        <f t="shared" si="7"/>
        <v>35.0625</v>
      </c>
      <c r="S148" s="451">
        <v>43</v>
      </c>
      <c r="T148" s="451">
        <v>43</v>
      </c>
      <c r="U148" s="499">
        <f t="shared" si="8"/>
        <v>22.638146167557931</v>
      </c>
      <c r="V148" s="500">
        <f t="shared" si="9"/>
        <v>15.824915824915825</v>
      </c>
      <c r="W148" s="427"/>
      <c r="X148" s="427"/>
      <c r="Y148" s="427"/>
      <c r="Z148" s="427"/>
      <c r="AA148" s="429"/>
      <c r="AB148" s="427"/>
      <c r="AC148" s="429"/>
      <c r="AD148" s="429"/>
      <c r="AE148" s="427"/>
      <c r="AF148" s="427"/>
      <c r="AG148" s="427"/>
      <c r="AH148" s="12"/>
      <c r="AI148" s="9"/>
    </row>
    <row r="149" spans="1:35" ht="33" customHeight="1" x14ac:dyDescent="0.25">
      <c r="A149" s="429"/>
      <c r="B149" s="448"/>
      <c r="C149" s="448"/>
      <c r="D149" s="448"/>
      <c r="E149" s="448"/>
      <c r="F149" s="448"/>
      <c r="G149" s="448"/>
      <c r="H149" s="429"/>
      <c r="I149" s="429"/>
      <c r="J149" s="429"/>
      <c r="K149" s="450"/>
      <c r="L149" s="308"/>
      <c r="M149" s="458" t="s">
        <v>302</v>
      </c>
      <c r="N149" s="308"/>
      <c r="O149" s="308"/>
      <c r="P149" s="451">
        <v>14.75</v>
      </c>
      <c r="Q149" s="451">
        <f t="shared" si="6"/>
        <v>13.275</v>
      </c>
      <c r="R149" s="451">
        <f t="shared" si="7"/>
        <v>12.5375</v>
      </c>
      <c r="S149" s="451">
        <v>15</v>
      </c>
      <c r="T149" s="451">
        <v>15</v>
      </c>
      <c r="U149" s="499">
        <f t="shared" si="8"/>
        <v>19.64107676969093</v>
      </c>
      <c r="V149" s="500">
        <f t="shared" si="9"/>
        <v>12.994350282485874</v>
      </c>
      <c r="W149" s="427"/>
      <c r="X149" s="427"/>
      <c r="Y149" s="427"/>
      <c r="Z149" s="308"/>
      <c r="AA149" s="429"/>
      <c r="AB149" s="308"/>
      <c r="AC149" s="429"/>
      <c r="AD149" s="429"/>
      <c r="AE149" s="308"/>
      <c r="AF149" s="308"/>
      <c r="AG149" s="308"/>
      <c r="AH149" s="12"/>
      <c r="AI149" s="9"/>
    </row>
    <row r="150" spans="1:35" ht="30" customHeight="1" x14ac:dyDescent="0.25">
      <c r="A150" s="429"/>
      <c r="B150" s="448"/>
      <c r="C150" s="448"/>
      <c r="D150" s="448"/>
      <c r="E150" s="448"/>
      <c r="F150" s="448"/>
      <c r="G150" s="448"/>
      <c r="H150" s="429"/>
      <c r="I150" s="429"/>
      <c r="J150" s="429"/>
      <c r="K150" s="450"/>
      <c r="L150" s="308"/>
      <c r="M150" s="458" t="s">
        <v>12</v>
      </c>
      <c r="N150" s="427"/>
      <c r="O150" s="427"/>
      <c r="P150" s="451">
        <v>34.1</v>
      </c>
      <c r="Q150" s="451">
        <f t="shared" si="6"/>
        <v>30.69</v>
      </c>
      <c r="R150" s="451">
        <f t="shared" si="7"/>
        <v>28.984999999999999</v>
      </c>
      <c r="S150" s="451">
        <v>34</v>
      </c>
      <c r="T150" s="451">
        <v>33</v>
      </c>
      <c r="U150" s="499">
        <f t="shared" si="8"/>
        <v>13.851992409867174</v>
      </c>
      <c r="V150" s="500">
        <f t="shared" si="9"/>
        <v>7.5268817204301035</v>
      </c>
      <c r="W150" s="427"/>
      <c r="X150" s="427"/>
      <c r="Y150" s="427"/>
      <c r="Z150" s="308"/>
      <c r="AA150" s="429"/>
      <c r="AB150" s="308"/>
      <c r="AC150" s="429"/>
      <c r="AD150" s="429"/>
      <c r="AE150" s="427"/>
      <c r="AF150" s="427"/>
      <c r="AG150" s="427"/>
      <c r="AH150" s="12"/>
      <c r="AI150" s="9"/>
    </row>
    <row r="151" spans="1:35" ht="29.25" customHeight="1" x14ac:dyDescent="0.25">
      <c r="A151" s="429"/>
      <c r="B151" s="448"/>
      <c r="C151" s="448"/>
      <c r="D151" s="448"/>
      <c r="E151" s="448"/>
      <c r="F151" s="448"/>
      <c r="G151" s="448"/>
      <c r="H151" s="429"/>
      <c r="I151" s="429"/>
      <c r="J151" s="429"/>
      <c r="K151" s="450"/>
      <c r="L151" s="308"/>
      <c r="M151" s="458" t="s">
        <v>204</v>
      </c>
      <c r="N151" s="427"/>
      <c r="O151" s="427"/>
      <c r="P151" s="451">
        <v>36.450000000000003</v>
      </c>
      <c r="Q151" s="451">
        <f t="shared" si="6"/>
        <v>32.805000000000007</v>
      </c>
      <c r="R151" s="451">
        <f t="shared" si="7"/>
        <v>30.982500000000002</v>
      </c>
      <c r="S151" s="451">
        <v>36</v>
      </c>
      <c r="T151" s="451">
        <v>35</v>
      </c>
      <c r="U151" s="499">
        <f t="shared" si="8"/>
        <v>12.966997498587906</v>
      </c>
      <c r="V151" s="500">
        <f t="shared" si="9"/>
        <v>6.6910531931107844</v>
      </c>
      <c r="W151" s="427"/>
      <c r="X151" s="427"/>
      <c r="Y151" s="427"/>
      <c r="Z151" s="308"/>
      <c r="AA151" s="429"/>
      <c r="AB151" s="308"/>
      <c r="AC151" s="429"/>
      <c r="AD151" s="429"/>
      <c r="AE151" s="427"/>
      <c r="AF151" s="427"/>
      <c r="AG151" s="427"/>
      <c r="AH151" s="12"/>
      <c r="AI151" s="9"/>
    </row>
    <row r="152" spans="1:35" x14ac:dyDescent="0.25">
      <c r="A152" s="331"/>
      <c r="B152" s="427"/>
      <c r="C152" s="427"/>
      <c r="D152" s="427"/>
      <c r="E152" s="427"/>
      <c r="F152" s="427"/>
      <c r="G152" s="427"/>
      <c r="H152" s="429"/>
      <c r="I152" s="426"/>
      <c r="J152" s="426"/>
      <c r="K152" s="12"/>
      <c r="M152" s="458" t="s">
        <v>536</v>
      </c>
      <c r="N152" s="427"/>
      <c r="O152" s="427"/>
      <c r="P152" s="451">
        <v>88.09</v>
      </c>
      <c r="Q152" s="451">
        <f t="shared" si="6"/>
        <v>79.281000000000006</v>
      </c>
      <c r="R152" s="451">
        <f t="shared" si="7"/>
        <v>74.876500000000007</v>
      </c>
      <c r="S152" s="451">
        <v>88</v>
      </c>
      <c r="T152" s="451">
        <v>90</v>
      </c>
      <c r="U152" s="499">
        <f t="shared" si="8"/>
        <v>20.197925918011649</v>
      </c>
      <c r="V152" s="500">
        <f t="shared" si="9"/>
        <v>13.520263367011003</v>
      </c>
      <c r="W152" s="427"/>
      <c r="X152" s="427"/>
      <c r="Y152" s="427"/>
      <c r="Z152" s="308"/>
      <c r="AA152" s="429"/>
      <c r="AB152" s="308"/>
      <c r="AC152" s="429"/>
      <c r="AD152" s="429"/>
      <c r="AE152" s="429"/>
      <c r="AF152" s="429"/>
      <c r="AG152" s="429"/>
      <c r="AH152" s="12"/>
      <c r="AI152" s="9"/>
    </row>
    <row r="153" spans="1:35" x14ac:dyDescent="0.25">
      <c r="A153" s="331"/>
      <c r="B153" s="427"/>
      <c r="C153" s="427"/>
      <c r="D153" s="427"/>
      <c r="E153" s="427"/>
      <c r="F153" s="427"/>
      <c r="G153" s="427"/>
      <c r="H153" s="429"/>
      <c r="I153" s="426"/>
      <c r="J153" s="426"/>
      <c r="K153" s="12"/>
      <c r="M153" s="458" t="s">
        <v>537</v>
      </c>
      <c r="N153" s="427"/>
      <c r="O153" s="427"/>
      <c r="P153" s="451">
        <v>59.95</v>
      </c>
      <c r="Q153" s="451">
        <f t="shared" si="6"/>
        <v>53.955000000000005</v>
      </c>
      <c r="R153" s="451">
        <f t="shared" si="7"/>
        <v>50.957500000000003</v>
      </c>
      <c r="S153" s="451">
        <v>60</v>
      </c>
      <c r="T153" s="451">
        <v>60</v>
      </c>
      <c r="U153" s="499">
        <f t="shared" si="8"/>
        <v>17.745179806701657</v>
      </c>
      <c r="V153" s="500">
        <f t="shared" si="9"/>
        <v>11.203780928551559</v>
      </c>
      <c r="W153" s="427"/>
      <c r="X153" s="427"/>
      <c r="Y153" s="427"/>
      <c r="Z153" s="427"/>
      <c r="AA153" s="429"/>
      <c r="AB153" s="308"/>
      <c r="AC153" s="429"/>
      <c r="AD153" s="429"/>
      <c r="AE153" s="429"/>
      <c r="AF153" s="429"/>
      <c r="AG153" s="429"/>
      <c r="AH153" s="12"/>
      <c r="AI153" s="9"/>
    </row>
    <row r="154" spans="1:35" x14ac:dyDescent="0.25">
      <c r="A154" s="331"/>
      <c r="B154" s="425"/>
      <c r="C154" s="425"/>
      <c r="D154" s="425"/>
      <c r="E154" s="425"/>
      <c r="F154" s="425"/>
      <c r="G154" s="425"/>
      <c r="H154" s="426"/>
      <c r="I154" s="426"/>
      <c r="J154" s="426"/>
      <c r="K154" s="12"/>
      <c r="M154" s="458" t="s">
        <v>301</v>
      </c>
      <c r="N154" s="308"/>
      <c r="O154" s="308"/>
      <c r="P154" s="451">
        <v>118.63</v>
      </c>
      <c r="Q154" s="451">
        <f t="shared" si="6"/>
        <v>106.767</v>
      </c>
      <c r="R154" s="451">
        <f t="shared" si="7"/>
        <v>100.8355</v>
      </c>
      <c r="S154" s="451">
        <v>132</v>
      </c>
      <c r="T154" s="451">
        <v>130</v>
      </c>
      <c r="U154" s="499">
        <f t="shared" si="8"/>
        <v>28.92284959166167</v>
      </c>
      <c r="V154" s="500">
        <f t="shared" si="9"/>
        <v>21.760469058791578</v>
      </c>
      <c r="W154" s="427"/>
      <c r="X154" s="427"/>
      <c r="Y154" s="427"/>
      <c r="Z154" s="427"/>
      <c r="AA154" s="429"/>
      <c r="AB154" s="308"/>
      <c r="AC154" s="429"/>
      <c r="AD154" s="429"/>
      <c r="AE154" s="429"/>
      <c r="AF154" s="429"/>
      <c r="AG154" s="429"/>
      <c r="AH154" s="12"/>
      <c r="AI154" s="9"/>
    </row>
    <row r="155" spans="1:35" x14ac:dyDescent="0.25">
      <c r="B155" s="9"/>
      <c r="C155" s="9"/>
      <c r="D155" s="9"/>
      <c r="E155" s="9"/>
      <c r="F155" s="9"/>
      <c r="G155" s="9"/>
      <c r="H155" s="12"/>
      <c r="I155" s="12"/>
      <c r="J155" s="12"/>
      <c r="K155" s="12"/>
      <c r="M155" s="458" t="s">
        <v>313</v>
      </c>
      <c r="N155" s="308"/>
      <c r="O155" s="308"/>
      <c r="P155" s="451">
        <v>32.6</v>
      </c>
      <c r="Q155" s="451">
        <f t="shared" si="6"/>
        <v>29.340000000000003</v>
      </c>
      <c r="R155" s="451">
        <f t="shared" si="7"/>
        <v>27.71</v>
      </c>
      <c r="S155" s="451">
        <v>36</v>
      </c>
      <c r="T155" s="451">
        <v>35</v>
      </c>
      <c r="U155" s="499">
        <f t="shared" si="8"/>
        <v>26.308191988451817</v>
      </c>
      <c r="V155" s="500">
        <f t="shared" si="9"/>
        <v>19.291070211315596</v>
      </c>
      <c r="W155" s="427"/>
      <c r="X155" s="427"/>
      <c r="Y155" s="427"/>
      <c r="Z155" s="427"/>
      <c r="AA155" s="429"/>
      <c r="AB155" s="308"/>
      <c r="AC155" s="429"/>
      <c r="AD155" s="429"/>
      <c r="AE155" s="429"/>
      <c r="AF155" s="429"/>
      <c r="AG155" s="429"/>
      <c r="AH155" s="12"/>
      <c r="AI155" s="9"/>
    </row>
    <row r="156" spans="1:35" x14ac:dyDescent="0.25">
      <c r="A156" s="331"/>
      <c r="B156" s="425"/>
      <c r="C156" s="425"/>
      <c r="D156" s="425"/>
      <c r="E156" s="425"/>
      <c r="F156" s="425"/>
      <c r="G156" s="425"/>
      <c r="H156" s="426"/>
      <c r="I156" s="426"/>
      <c r="J156" s="426"/>
      <c r="K156" s="12"/>
      <c r="M156" s="458" t="s">
        <v>524</v>
      </c>
      <c r="N156" s="308"/>
      <c r="O156" s="308"/>
      <c r="P156" s="451">
        <v>31.96</v>
      </c>
      <c r="Q156" s="451">
        <f t="shared" si="6"/>
        <v>28.764000000000003</v>
      </c>
      <c r="R156" s="451">
        <f t="shared" si="7"/>
        <v>27.166</v>
      </c>
      <c r="S156" s="451">
        <v>33</v>
      </c>
      <c r="T156" s="451">
        <v>31</v>
      </c>
      <c r="U156" s="499">
        <f t="shared" si="8"/>
        <v>14.113229772509754</v>
      </c>
      <c r="V156" s="500">
        <f t="shared" si="9"/>
        <v>7.7736058962592018</v>
      </c>
      <c r="W156" s="427"/>
      <c r="X156" s="427"/>
      <c r="Y156" s="427"/>
      <c r="Z156" s="427"/>
      <c r="AA156" s="429"/>
      <c r="AB156" s="308"/>
      <c r="AC156" s="429"/>
      <c r="AD156" s="429"/>
      <c r="AE156" s="427"/>
      <c r="AF156" s="427"/>
      <c r="AG156" s="427"/>
      <c r="AH156" s="12"/>
      <c r="AI156" s="9"/>
    </row>
    <row r="157" spans="1:35" x14ac:dyDescent="0.25">
      <c r="A157" s="331"/>
      <c r="B157" s="425"/>
      <c r="C157" s="425"/>
      <c r="D157" s="425"/>
      <c r="E157" s="425"/>
      <c r="F157" s="425"/>
      <c r="G157" s="425"/>
      <c r="H157" s="426"/>
      <c r="I157" s="426"/>
      <c r="J157" s="426"/>
      <c r="K157" s="12"/>
      <c r="M157" s="458" t="s">
        <v>312</v>
      </c>
      <c r="N157" s="308"/>
      <c r="O157" s="308"/>
      <c r="P157" s="451">
        <v>13.75</v>
      </c>
      <c r="Q157" s="451">
        <f t="shared" si="6"/>
        <v>12.375</v>
      </c>
      <c r="R157" s="451">
        <f t="shared" si="7"/>
        <v>11.6875</v>
      </c>
      <c r="S157" s="451">
        <v>15</v>
      </c>
      <c r="T157" s="451">
        <v>15</v>
      </c>
      <c r="U157" s="499">
        <f t="shared" si="8"/>
        <v>28.342245989304814</v>
      </c>
      <c r="V157" s="500">
        <f t="shared" si="9"/>
        <v>21.212121212121211</v>
      </c>
      <c r="W157" s="427"/>
      <c r="X157" s="427"/>
      <c r="Y157" s="427"/>
      <c r="Z157" s="427"/>
      <c r="AA157" s="429"/>
      <c r="AB157" s="308"/>
      <c r="AC157" s="308"/>
      <c r="AD157" s="308"/>
      <c r="AE157" s="308"/>
      <c r="AF157" s="308"/>
      <c r="AG157" s="308"/>
    </row>
    <row r="158" spans="1:35" x14ac:dyDescent="0.25">
      <c r="A158" s="331"/>
      <c r="B158" s="425"/>
      <c r="C158" s="425"/>
      <c r="D158" s="425"/>
      <c r="E158" s="425"/>
      <c r="F158" s="425"/>
      <c r="G158" s="425"/>
      <c r="H158" s="426"/>
      <c r="I158" s="426"/>
      <c r="J158" s="426"/>
      <c r="K158" s="12"/>
      <c r="M158" s="458" t="s">
        <v>539</v>
      </c>
      <c r="N158" s="308"/>
      <c r="O158" s="308"/>
      <c r="P158" s="451">
        <v>55.45</v>
      </c>
      <c r="Q158" s="451">
        <f t="shared" si="6"/>
        <v>49.905000000000001</v>
      </c>
      <c r="R158" s="451">
        <f t="shared" si="7"/>
        <v>47.1325</v>
      </c>
      <c r="S158" s="451">
        <v>58</v>
      </c>
      <c r="T158" s="451">
        <v>58</v>
      </c>
      <c r="U158" s="499">
        <f t="shared" si="8"/>
        <v>23.057338354638517</v>
      </c>
      <c r="V158" s="500">
        <f t="shared" si="9"/>
        <v>16.220819557158599</v>
      </c>
      <c r="W158" s="427"/>
      <c r="X158" s="427"/>
      <c r="Y158" s="427"/>
      <c r="Z158" s="427"/>
      <c r="AA158" s="308"/>
      <c r="AB158" s="308"/>
      <c r="AC158" s="308"/>
      <c r="AD158" s="308"/>
      <c r="AE158" s="308"/>
      <c r="AF158" s="308"/>
      <c r="AG158" s="308"/>
    </row>
    <row r="159" spans="1:35" x14ac:dyDescent="0.25">
      <c r="A159" s="331"/>
      <c r="B159" s="425"/>
      <c r="C159" s="425"/>
      <c r="D159" s="425"/>
      <c r="E159" s="425"/>
      <c r="F159" s="425"/>
      <c r="G159" s="425"/>
      <c r="H159" s="426"/>
      <c r="I159" s="426"/>
      <c r="J159" s="426"/>
      <c r="K159" s="12"/>
      <c r="M159" s="458" t="s">
        <v>540</v>
      </c>
      <c r="N159" s="308"/>
      <c r="O159" s="308"/>
      <c r="P159" s="451">
        <v>49.44</v>
      </c>
      <c r="Q159" s="451">
        <f t="shared" si="6"/>
        <v>44.496000000000002</v>
      </c>
      <c r="R159" s="451">
        <f t="shared" si="7"/>
        <v>42.023999999999994</v>
      </c>
      <c r="S159" s="451">
        <v>52</v>
      </c>
      <c r="T159" s="451">
        <v>50</v>
      </c>
      <c r="U159" s="499">
        <f>100*(T159-R159)/R159</f>
        <v>18.979630687226365</v>
      </c>
      <c r="V159" s="500">
        <f t="shared" si="9"/>
        <v>12.369651204602654</v>
      </c>
      <c r="W159" s="308"/>
      <c r="X159" s="308"/>
      <c r="Y159" s="308"/>
      <c r="Z159" s="427"/>
      <c r="AA159" s="308"/>
      <c r="AB159" s="308"/>
      <c r="AC159" s="308"/>
      <c r="AD159" s="308"/>
      <c r="AE159" s="308"/>
      <c r="AF159" s="308"/>
      <c r="AG159" s="308"/>
    </row>
    <row r="160" spans="1:35" x14ac:dyDescent="0.25">
      <c r="A160" s="331"/>
      <c r="B160" s="425"/>
      <c r="C160" s="425"/>
      <c r="D160" s="425"/>
      <c r="E160" s="425"/>
      <c r="F160" s="425"/>
      <c r="G160" s="425"/>
      <c r="H160" s="318"/>
      <c r="I160" s="426"/>
      <c r="J160" s="426"/>
      <c r="K160" s="12"/>
      <c r="M160" s="308"/>
      <c r="N160" s="308"/>
      <c r="O160" s="308"/>
      <c r="P160" s="308"/>
      <c r="Q160" s="308"/>
      <c r="R160" s="308"/>
      <c r="S160" s="308"/>
      <c r="T160" s="308"/>
      <c r="U160" s="427"/>
      <c r="V160" s="427"/>
      <c r="W160" s="308"/>
      <c r="X160" s="308"/>
      <c r="Y160" s="308"/>
      <c r="Z160" s="308"/>
      <c r="AA160" s="308"/>
      <c r="AB160" s="308"/>
      <c r="AC160" s="308"/>
      <c r="AD160" s="308"/>
      <c r="AE160" s="308"/>
      <c r="AF160" s="308"/>
      <c r="AG160" s="308"/>
    </row>
    <row r="161" spans="1:33" x14ac:dyDescent="0.25">
      <c r="A161" s="331"/>
      <c r="B161" s="318"/>
      <c r="C161" s="318"/>
      <c r="D161" s="318"/>
      <c r="E161" s="318"/>
      <c r="F161" s="318"/>
      <c r="G161" s="318"/>
      <c r="H161" s="318"/>
      <c r="I161" s="426"/>
      <c r="J161" s="426"/>
      <c r="K161" s="12"/>
      <c r="M161" s="308"/>
      <c r="N161" s="308"/>
      <c r="O161" s="308"/>
      <c r="P161" s="308"/>
      <c r="Q161" s="308"/>
      <c r="R161" s="308"/>
      <c r="S161" s="308"/>
      <c r="T161" s="308"/>
      <c r="U161" s="427"/>
      <c r="V161" s="427"/>
      <c r="W161" s="308"/>
      <c r="X161" s="308"/>
      <c r="Y161" s="308"/>
      <c r="Z161" s="308"/>
      <c r="AA161" s="308"/>
      <c r="AB161" s="308"/>
      <c r="AC161" s="308"/>
      <c r="AD161" s="308"/>
      <c r="AE161" s="308"/>
      <c r="AF161" s="308"/>
      <c r="AG161" s="308"/>
    </row>
    <row r="162" spans="1:33" x14ac:dyDescent="0.25">
      <c r="A162" s="331"/>
      <c r="B162" s="318"/>
      <c r="C162" s="318"/>
      <c r="D162" s="318"/>
      <c r="E162" s="318"/>
      <c r="F162" s="318"/>
      <c r="G162" s="318"/>
      <c r="H162" s="318"/>
      <c r="I162" s="426"/>
      <c r="J162" s="426"/>
      <c r="K162" s="12"/>
      <c r="M162" s="308"/>
      <c r="N162" s="308"/>
      <c r="O162" s="308"/>
      <c r="P162" s="308"/>
      <c r="Q162" s="308"/>
      <c r="R162" s="308"/>
      <c r="S162" s="308"/>
      <c r="T162" s="308"/>
      <c r="U162" s="427"/>
      <c r="V162" s="427"/>
      <c r="W162" s="308"/>
      <c r="X162" s="308"/>
      <c r="Y162" s="308"/>
      <c r="Z162" s="308"/>
      <c r="AA162" s="308"/>
      <c r="AB162" s="308"/>
      <c r="AC162" s="308"/>
      <c r="AD162" s="308"/>
      <c r="AE162" s="308"/>
      <c r="AF162" s="308"/>
      <c r="AG162" s="308"/>
    </row>
    <row r="163" spans="1:33" x14ac:dyDescent="0.25">
      <c r="A163" s="331"/>
      <c r="B163" s="318"/>
      <c r="C163" s="318"/>
      <c r="D163" s="318"/>
      <c r="E163" s="318"/>
      <c r="F163" s="318"/>
      <c r="G163" s="318"/>
      <c r="H163" s="318"/>
      <c r="I163" s="426"/>
      <c r="J163" s="426"/>
      <c r="K163" s="12"/>
      <c r="M163" s="308"/>
      <c r="N163" s="308"/>
      <c r="O163" s="308"/>
      <c r="P163" s="308"/>
      <c r="Q163" s="308"/>
      <c r="R163" s="308"/>
      <c r="S163" s="308"/>
      <c r="T163" s="308"/>
      <c r="U163" s="427"/>
      <c r="V163" s="427"/>
      <c r="W163" s="427"/>
      <c r="X163" s="427"/>
      <c r="Y163" s="427"/>
      <c r="Z163" s="308"/>
      <c r="AA163" s="308"/>
      <c r="AB163" s="308"/>
      <c r="AC163" s="308"/>
      <c r="AD163" s="308"/>
      <c r="AE163" s="308"/>
      <c r="AF163" s="308"/>
      <c r="AG163" s="308"/>
    </row>
    <row r="164" spans="1:33" x14ac:dyDescent="0.25">
      <c r="A164" s="331"/>
      <c r="B164" s="318"/>
      <c r="C164" s="318"/>
      <c r="D164" s="318"/>
      <c r="E164" s="318"/>
      <c r="F164" s="318"/>
      <c r="G164" s="318"/>
      <c r="H164" s="318"/>
      <c r="I164" s="426"/>
      <c r="J164" s="426"/>
      <c r="K164" s="12"/>
      <c r="M164" s="308"/>
      <c r="N164" s="308"/>
      <c r="O164" s="308"/>
      <c r="P164" s="308"/>
      <c r="Q164" s="308"/>
      <c r="R164" s="308"/>
      <c r="S164" s="308"/>
      <c r="T164" s="308"/>
      <c r="U164" s="427"/>
      <c r="V164" s="427"/>
      <c r="W164" s="427"/>
      <c r="X164" s="427"/>
      <c r="Y164" s="427"/>
      <c r="Z164" s="427"/>
      <c r="AA164" s="308"/>
      <c r="AB164" s="308"/>
      <c r="AC164" s="308"/>
      <c r="AD164" s="308"/>
      <c r="AE164" s="308"/>
      <c r="AF164" s="308"/>
      <c r="AG164" s="308"/>
    </row>
    <row r="165" spans="1:33" x14ac:dyDescent="0.25">
      <c r="A165" s="331"/>
      <c r="B165" s="318"/>
      <c r="C165" s="318"/>
      <c r="D165" s="318"/>
      <c r="E165" s="318"/>
      <c r="F165" s="318"/>
      <c r="G165" s="318"/>
      <c r="H165" s="318"/>
      <c r="I165" s="426"/>
      <c r="J165" s="426"/>
      <c r="K165" s="12"/>
      <c r="M165" s="308"/>
      <c r="N165" s="308"/>
      <c r="O165" s="308"/>
      <c r="P165" s="308"/>
      <c r="Q165" s="308"/>
      <c r="R165" s="308"/>
      <c r="S165" s="308"/>
      <c r="T165" s="308"/>
      <c r="U165" s="427"/>
      <c r="V165" s="427"/>
      <c r="W165" s="427"/>
      <c r="X165" s="427"/>
      <c r="Y165" s="427"/>
      <c r="Z165" s="427"/>
      <c r="AA165" s="308"/>
      <c r="AB165" s="308"/>
      <c r="AC165" s="308"/>
      <c r="AD165" s="308"/>
      <c r="AE165" s="308"/>
      <c r="AF165" s="308"/>
      <c r="AG165" s="308"/>
    </row>
    <row r="166" spans="1:33" x14ac:dyDescent="0.25">
      <c r="A166" s="331"/>
      <c r="B166" s="318"/>
      <c r="C166" s="318"/>
      <c r="D166" s="318"/>
      <c r="E166" s="318"/>
      <c r="F166" s="318"/>
      <c r="G166" s="318"/>
      <c r="H166" s="318"/>
      <c r="I166" s="426"/>
      <c r="J166" s="426"/>
      <c r="K166" s="12"/>
      <c r="M166" s="308"/>
      <c r="N166" s="308"/>
      <c r="O166" s="308"/>
      <c r="P166" s="308"/>
      <c r="Q166" s="308"/>
      <c r="R166" s="308"/>
      <c r="S166" s="308"/>
      <c r="T166" s="308"/>
      <c r="U166" s="427"/>
      <c r="V166" s="427"/>
      <c r="W166" s="427"/>
      <c r="X166" s="427"/>
      <c r="Y166" s="427"/>
      <c r="Z166" s="427"/>
      <c r="AA166" s="308"/>
      <c r="AB166" s="308"/>
      <c r="AC166" s="308"/>
      <c r="AD166" s="308"/>
      <c r="AE166" s="308"/>
      <c r="AF166" s="308"/>
      <c r="AG166" s="308"/>
    </row>
    <row r="167" spans="1:33" x14ac:dyDescent="0.25">
      <c r="A167" s="331"/>
      <c r="B167" s="318"/>
      <c r="C167" s="318"/>
      <c r="D167" s="318"/>
      <c r="E167" s="318"/>
      <c r="F167" s="318"/>
      <c r="G167" s="318"/>
      <c r="H167" s="318"/>
      <c r="I167" s="426"/>
      <c r="J167" s="426"/>
      <c r="K167" s="12"/>
      <c r="M167" s="308"/>
      <c r="N167" s="308"/>
      <c r="O167" s="308"/>
      <c r="P167" s="308"/>
      <c r="Q167" s="308"/>
      <c r="R167" s="308"/>
      <c r="S167" s="308"/>
      <c r="T167" s="308"/>
      <c r="U167" s="308"/>
      <c r="V167" s="308"/>
      <c r="W167" s="427"/>
      <c r="X167" s="427"/>
      <c r="Y167" s="427"/>
      <c r="Z167" s="427"/>
      <c r="AA167" s="308"/>
      <c r="AB167" s="308"/>
      <c r="AC167" s="308"/>
      <c r="AD167" s="308"/>
      <c r="AE167" s="308"/>
      <c r="AF167" s="308"/>
      <c r="AG167" s="308"/>
    </row>
    <row r="168" spans="1:33" x14ac:dyDescent="0.25">
      <c r="A168" s="331"/>
      <c r="B168" s="318"/>
      <c r="C168" s="318"/>
      <c r="D168" s="318"/>
      <c r="E168" s="318"/>
      <c r="F168" s="318"/>
      <c r="G168" s="318"/>
      <c r="H168" s="318"/>
      <c r="I168" s="426"/>
      <c r="J168" s="426"/>
      <c r="K168" s="12"/>
      <c r="M168" s="308"/>
      <c r="N168" s="308"/>
      <c r="O168" s="308"/>
      <c r="P168" s="308"/>
      <c r="Q168" s="308"/>
      <c r="R168" s="308"/>
      <c r="S168" s="308"/>
      <c r="T168" s="308"/>
      <c r="U168" s="308"/>
      <c r="V168" s="308"/>
      <c r="W168" s="427"/>
      <c r="X168" s="427"/>
      <c r="Y168" s="427"/>
      <c r="Z168" s="427"/>
      <c r="AA168" s="308"/>
      <c r="AB168" s="308"/>
      <c r="AC168" s="308"/>
      <c r="AD168" s="308"/>
      <c r="AE168" s="308"/>
      <c r="AF168" s="308"/>
      <c r="AG168" s="308"/>
    </row>
    <row r="169" spans="1:33" x14ac:dyDescent="0.25">
      <c r="A169" s="331"/>
      <c r="B169" s="318"/>
      <c r="C169" s="318"/>
      <c r="D169" s="318"/>
      <c r="E169" s="318"/>
      <c r="F169" s="318"/>
      <c r="G169" s="318"/>
      <c r="H169" s="318"/>
      <c r="I169" s="426"/>
      <c r="J169" s="331"/>
      <c r="K169" s="12"/>
      <c r="M169" s="308"/>
      <c r="N169" s="308"/>
      <c r="O169" s="308"/>
      <c r="P169" s="308"/>
      <c r="Q169" s="308"/>
      <c r="R169" s="308"/>
      <c r="S169" s="308"/>
      <c r="T169" s="308"/>
      <c r="U169" s="308"/>
      <c r="V169" s="308"/>
      <c r="W169" s="427"/>
      <c r="X169" s="427"/>
      <c r="Y169" s="427"/>
      <c r="Z169" s="427"/>
      <c r="AA169" s="308"/>
      <c r="AB169" s="308"/>
      <c r="AC169" s="308"/>
      <c r="AD169" s="308"/>
      <c r="AE169" s="308"/>
      <c r="AF169" s="308"/>
      <c r="AG169" s="308"/>
    </row>
    <row r="170" spans="1:33" x14ac:dyDescent="0.25">
      <c r="A170" s="331"/>
      <c r="B170" s="318"/>
      <c r="C170" s="318"/>
      <c r="D170" s="318"/>
      <c r="E170" s="318"/>
      <c r="F170" s="318"/>
      <c r="G170" s="318"/>
      <c r="H170" s="318"/>
      <c r="I170" s="426"/>
      <c r="J170" s="331"/>
      <c r="L170" s="12"/>
      <c r="M170" s="308"/>
      <c r="N170" s="308"/>
      <c r="O170" s="308"/>
      <c r="P170" s="308"/>
      <c r="Q170" s="308"/>
      <c r="R170" s="308"/>
      <c r="S170" s="308"/>
      <c r="T170" s="308"/>
      <c r="U170" s="308"/>
      <c r="V170" s="308"/>
      <c r="W170" s="308"/>
      <c r="X170" s="308"/>
      <c r="Y170" s="308"/>
      <c r="Z170" s="427"/>
      <c r="AA170" s="308"/>
      <c r="AB170" s="308"/>
      <c r="AC170" s="308"/>
      <c r="AD170" s="308"/>
      <c r="AE170" s="308"/>
      <c r="AF170" s="308"/>
      <c r="AG170" s="308"/>
    </row>
    <row r="171" spans="1:33" x14ac:dyDescent="0.25">
      <c r="A171" s="331"/>
      <c r="B171" s="318"/>
      <c r="C171" s="318"/>
      <c r="D171" s="318"/>
      <c r="E171" s="318"/>
      <c r="F171" s="318"/>
      <c r="G171" s="318"/>
      <c r="H171" s="318"/>
      <c r="I171" s="426"/>
      <c r="J171" s="331"/>
      <c r="L171" s="12"/>
      <c r="M171" s="308"/>
      <c r="N171" s="308"/>
      <c r="O171" s="308"/>
      <c r="P171" s="308"/>
      <c r="Q171" s="308"/>
      <c r="R171" s="308"/>
      <c r="S171" s="308"/>
      <c r="T171" s="308"/>
      <c r="U171" s="308"/>
      <c r="V171" s="308"/>
      <c r="W171" s="308"/>
      <c r="X171" s="308"/>
      <c r="Y171" s="308"/>
      <c r="Z171" s="308"/>
      <c r="AA171" s="308"/>
      <c r="AB171" s="308"/>
      <c r="AC171" s="308"/>
      <c r="AD171" s="308"/>
      <c r="AE171" s="308"/>
      <c r="AF171" s="308"/>
      <c r="AG171" s="308"/>
    </row>
    <row r="172" spans="1:33" x14ac:dyDescent="0.25">
      <c r="A172" s="331"/>
      <c r="B172" s="318"/>
      <c r="C172" s="318"/>
      <c r="D172" s="318"/>
      <c r="E172" s="318"/>
      <c r="F172" s="318"/>
      <c r="G172" s="318"/>
      <c r="H172" s="331"/>
      <c r="I172" s="426"/>
      <c r="J172" s="331"/>
      <c r="L172" s="9"/>
      <c r="M172" s="308"/>
      <c r="N172" s="308"/>
      <c r="O172" s="308"/>
      <c r="P172" s="308"/>
      <c r="Q172" s="308"/>
      <c r="R172" s="308"/>
      <c r="S172" s="308"/>
      <c r="T172" s="308"/>
      <c r="U172" s="308"/>
      <c r="V172" s="308"/>
      <c r="W172" s="427"/>
      <c r="X172" s="427"/>
      <c r="Y172" s="427"/>
      <c r="Z172" s="308"/>
      <c r="AA172" s="308"/>
      <c r="AB172" s="308"/>
      <c r="AC172" s="308"/>
      <c r="AD172" s="308"/>
      <c r="AE172" s="308"/>
      <c r="AF172" s="308"/>
      <c r="AG172" s="308"/>
    </row>
    <row r="173" spans="1:33" x14ac:dyDescent="0.25">
      <c r="A173" s="331"/>
      <c r="B173" s="331"/>
      <c r="C173" s="331"/>
      <c r="D173" s="331"/>
      <c r="E173" s="331"/>
      <c r="F173" s="331"/>
      <c r="G173" s="331"/>
      <c r="H173" s="331"/>
      <c r="I173" s="426"/>
      <c r="J173" s="331"/>
      <c r="L173" s="9"/>
      <c r="M173" s="308"/>
      <c r="N173" s="308"/>
      <c r="O173" s="308"/>
      <c r="P173" s="308"/>
      <c r="Q173" s="308"/>
      <c r="R173" s="308"/>
      <c r="S173" s="308"/>
      <c r="T173" s="308"/>
      <c r="U173" s="308"/>
      <c r="V173" s="308"/>
      <c r="W173" s="308"/>
      <c r="X173" s="308"/>
      <c r="Y173" s="308"/>
      <c r="Z173" s="427"/>
      <c r="AA173" s="308"/>
      <c r="AB173" s="308"/>
      <c r="AC173" s="308"/>
      <c r="AD173" s="308"/>
      <c r="AE173" s="308"/>
      <c r="AF173" s="308"/>
      <c r="AG173" s="308"/>
    </row>
    <row r="174" spans="1:33" x14ac:dyDescent="0.25">
      <c r="A174" s="331"/>
      <c r="B174" s="331"/>
      <c r="C174" s="331"/>
      <c r="D174" s="331"/>
      <c r="E174" s="331"/>
      <c r="F174" s="331"/>
      <c r="G174" s="331"/>
      <c r="H174" s="331"/>
      <c r="I174" s="426"/>
      <c r="J174" s="331"/>
      <c r="L174" s="9"/>
      <c r="M174" s="308"/>
      <c r="N174" s="308"/>
      <c r="O174" s="308"/>
      <c r="P174" s="308"/>
      <c r="Q174" s="308"/>
      <c r="R174" s="308"/>
      <c r="S174" s="308"/>
      <c r="T174" s="308"/>
      <c r="U174" s="308"/>
      <c r="V174" s="308"/>
      <c r="W174" s="308"/>
      <c r="X174" s="308"/>
      <c r="Y174" s="308"/>
      <c r="Z174" s="308"/>
      <c r="AA174" s="308"/>
      <c r="AB174" s="308"/>
      <c r="AC174" s="308"/>
      <c r="AD174" s="308"/>
      <c r="AE174" s="308"/>
      <c r="AF174" s="308"/>
      <c r="AG174" s="308"/>
    </row>
    <row r="175" spans="1:33" x14ac:dyDescent="0.25">
      <c r="A175" s="331"/>
      <c r="B175" s="331"/>
      <c r="C175" s="331"/>
      <c r="D175" s="331"/>
      <c r="E175" s="331"/>
      <c r="F175" s="331"/>
      <c r="G175" s="331"/>
      <c r="H175" s="331"/>
      <c r="I175" s="426"/>
      <c r="J175" s="331"/>
      <c r="L175" s="9"/>
      <c r="M175" s="308"/>
      <c r="N175" s="308"/>
      <c r="O175" s="308"/>
      <c r="P175" s="308"/>
      <c r="Q175" s="308"/>
      <c r="R175" s="308"/>
      <c r="S175" s="308"/>
      <c r="T175" s="308"/>
      <c r="U175" s="308"/>
      <c r="V175" s="308"/>
      <c r="W175" s="308"/>
      <c r="X175" s="308"/>
      <c r="Y175" s="308"/>
      <c r="Z175" s="308"/>
      <c r="AA175" s="308"/>
      <c r="AB175" s="308"/>
      <c r="AC175" s="308"/>
      <c r="AD175" s="308"/>
      <c r="AE175" s="308"/>
      <c r="AF175" s="308"/>
      <c r="AG175" s="308"/>
    </row>
    <row r="176" spans="1:33" x14ac:dyDescent="0.25">
      <c r="A176" s="331"/>
      <c r="B176" s="331"/>
      <c r="C176" s="331"/>
      <c r="D176" s="331"/>
      <c r="E176" s="331"/>
      <c r="F176" s="331"/>
      <c r="G176" s="331"/>
      <c r="H176" s="331"/>
      <c r="I176" s="426"/>
      <c r="J176" s="331"/>
      <c r="L176" s="9"/>
      <c r="M176" s="308"/>
      <c r="N176" s="308"/>
      <c r="O176" s="308"/>
      <c r="P176" s="308"/>
      <c r="Q176" s="308"/>
      <c r="R176" s="308"/>
      <c r="S176" s="308"/>
      <c r="T176" s="308"/>
      <c r="U176" s="308"/>
      <c r="V176" s="308"/>
      <c r="W176" s="308"/>
      <c r="X176" s="308"/>
      <c r="Y176" s="308"/>
      <c r="Z176" s="308"/>
      <c r="AA176" s="308"/>
      <c r="AB176" s="308"/>
      <c r="AC176" s="308"/>
      <c r="AD176" s="308"/>
      <c r="AE176" s="308"/>
      <c r="AF176" s="308"/>
      <c r="AG176" s="308"/>
    </row>
    <row r="177" spans="2:33" x14ac:dyDescent="0.25">
      <c r="I177" s="12"/>
      <c r="J177" s="12"/>
      <c r="L177" s="9"/>
      <c r="M177" s="308"/>
      <c r="N177" s="308"/>
      <c r="O177" s="308"/>
      <c r="P177" s="308"/>
      <c r="Q177" s="308"/>
      <c r="R177" s="308"/>
      <c r="S177" s="308"/>
      <c r="T177" s="308"/>
      <c r="U177" s="308"/>
      <c r="V177" s="308"/>
      <c r="W177" s="308"/>
      <c r="X177" s="308"/>
      <c r="Y177" s="308"/>
      <c r="Z177" s="308"/>
      <c r="AA177" s="308"/>
      <c r="AB177" s="308"/>
      <c r="AC177" s="308"/>
      <c r="AD177" s="308"/>
      <c r="AE177" s="308"/>
      <c r="AF177" s="308"/>
      <c r="AG177" s="308"/>
    </row>
    <row r="178" spans="2:33" x14ac:dyDescent="0.25">
      <c r="I178" s="12"/>
      <c r="J178" s="12"/>
      <c r="K178" s="12"/>
      <c r="M178" s="308"/>
      <c r="N178" s="308"/>
      <c r="O178" s="308"/>
      <c r="P178" s="308"/>
      <c r="Q178" s="308"/>
      <c r="R178" s="308"/>
      <c r="S178" s="308"/>
      <c r="T178" s="308"/>
      <c r="U178" s="308"/>
      <c r="V178" s="308"/>
      <c r="W178" s="308"/>
      <c r="X178" s="308"/>
      <c r="Y178" s="308"/>
      <c r="Z178" s="308"/>
      <c r="AA178" s="308"/>
      <c r="AB178" s="308"/>
      <c r="AC178" s="308"/>
      <c r="AD178" s="308"/>
      <c r="AE178" s="308"/>
      <c r="AF178" s="308"/>
      <c r="AG178" s="308"/>
    </row>
    <row r="179" spans="2:33" x14ac:dyDescent="0.25">
      <c r="I179" s="12"/>
      <c r="J179" s="12"/>
      <c r="K179" s="12"/>
      <c r="M179" s="308"/>
      <c r="N179" s="308"/>
      <c r="O179" s="308"/>
      <c r="P179" s="308"/>
      <c r="Q179" s="308"/>
      <c r="R179" s="308"/>
      <c r="S179" s="308"/>
      <c r="T179" s="308"/>
      <c r="U179" s="308"/>
      <c r="V179" s="308"/>
      <c r="W179" s="308"/>
      <c r="X179" s="308"/>
      <c r="Y179" s="308"/>
      <c r="Z179" s="308"/>
      <c r="AA179" s="308"/>
      <c r="AB179" s="308"/>
      <c r="AC179" s="308"/>
      <c r="AD179" s="308"/>
      <c r="AE179" s="308"/>
      <c r="AF179" s="308"/>
      <c r="AG179" s="308"/>
    </row>
    <row r="180" spans="2:33" x14ac:dyDescent="0.25">
      <c r="I180" s="12"/>
      <c r="J180" s="12"/>
      <c r="K180" s="12"/>
      <c r="M180" s="308"/>
      <c r="N180" s="308"/>
      <c r="O180" s="308"/>
      <c r="P180" s="308"/>
      <c r="Q180" s="308"/>
      <c r="R180" s="308"/>
      <c r="S180" s="308"/>
      <c r="T180" s="308"/>
      <c r="U180" s="429"/>
      <c r="V180" s="429"/>
      <c r="W180" s="308"/>
      <c r="X180" s="308"/>
      <c r="Y180" s="308"/>
      <c r="Z180" s="308"/>
      <c r="AA180" s="427"/>
      <c r="AB180" s="308"/>
      <c r="AC180" s="308"/>
      <c r="AD180" s="308"/>
      <c r="AE180" s="308"/>
      <c r="AF180" s="308"/>
      <c r="AG180" s="308"/>
    </row>
    <row r="181" spans="2:33" x14ac:dyDescent="0.25">
      <c r="I181" s="12"/>
      <c r="J181" s="12"/>
      <c r="K181" s="12"/>
      <c r="M181" s="308"/>
      <c r="N181" s="308"/>
      <c r="O181" s="308"/>
      <c r="P181" s="308"/>
      <c r="Q181" s="308"/>
      <c r="R181" s="308"/>
      <c r="S181" s="308"/>
      <c r="T181" s="308"/>
      <c r="U181" s="308"/>
      <c r="V181" s="308"/>
      <c r="W181" s="308"/>
      <c r="X181" s="308"/>
      <c r="Y181" s="308"/>
      <c r="Z181" s="308"/>
      <c r="AA181" s="427"/>
      <c r="AB181" s="308"/>
      <c r="AC181" s="308"/>
      <c r="AD181" s="308"/>
      <c r="AE181" s="308"/>
      <c r="AF181" s="308"/>
      <c r="AG181" s="308"/>
    </row>
    <row r="182" spans="2:33" x14ac:dyDescent="0.25">
      <c r="I182" s="12"/>
      <c r="J182" s="12"/>
      <c r="K182" s="12"/>
      <c r="M182" s="308"/>
      <c r="N182" s="308"/>
      <c r="O182" s="308"/>
      <c r="P182" s="308"/>
      <c r="Q182" s="308"/>
      <c r="R182" s="308"/>
      <c r="S182" s="308"/>
      <c r="T182" s="308"/>
      <c r="U182" s="308"/>
      <c r="V182" s="308"/>
      <c r="W182" s="308"/>
      <c r="X182" s="308"/>
      <c r="Y182" s="308"/>
      <c r="Z182" s="308"/>
      <c r="AA182" s="427"/>
      <c r="AB182" s="308"/>
      <c r="AC182" s="308"/>
      <c r="AD182" s="308"/>
      <c r="AE182" s="308"/>
      <c r="AF182" s="308"/>
      <c r="AG182" s="308"/>
    </row>
    <row r="183" spans="2:33" x14ac:dyDescent="0.25">
      <c r="I183" s="12"/>
      <c r="J183" s="12"/>
      <c r="K183" s="12"/>
      <c r="M183" s="308"/>
      <c r="N183" s="308"/>
      <c r="O183" s="308"/>
      <c r="P183" s="308"/>
      <c r="Q183" s="308"/>
      <c r="R183" s="308"/>
      <c r="S183" s="308"/>
      <c r="T183" s="308"/>
      <c r="U183" s="308"/>
      <c r="V183" s="308"/>
      <c r="W183" s="308"/>
      <c r="X183" s="308"/>
      <c r="Y183" s="308"/>
      <c r="Z183" s="308"/>
      <c r="AA183" s="427"/>
      <c r="AB183" s="308"/>
      <c r="AC183" s="308"/>
      <c r="AD183" s="308"/>
      <c r="AE183" s="308"/>
      <c r="AF183" s="308"/>
      <c r="AG183" s="308"/>
    </row>
    <row r="184" spans="2:33" x14ac:dyDescent="0.25">
      <c r="I184" s="12"/>
      <c r="J184" s="12"/>
      <c r="K184" s="12"/>
      <c r="M184" s="308"/>
      <c r="N184" s="308"/>
      <c r="O184" s="308"/>
      <c r="P184" s="308"/>
      <c r="Q184" s="308"/>
      <c r="R184" s="308"/>
      <c r="S184" s="308"/>
      <c r="T184" s="308"/>
      <c r="U184" s="308"/>
      <c r="V184" s="308"/>
      <c r="W184" s="308"/>
      <c r="X184" s="308"/>
      <c r="Y184" s="308"/>
      <c r="Z184" s="308"/>
      <c r="AA184" s="427"/>
      <c r="AB184" s="308"/>
      <c r="AC184" s="308"/>
      <c r="AD184" s="308"/>
      <c r="AE184" s="308"/>
      <c r="AF184" s="308"/>
      <c r="AG184" s="308"/>
    </row>
    <row r="185" spans="2:33" x14ac:dyDescent="0.25">
      <c r="I185" s="12"/>
      <c r="J185" s="12"/>
      <c r="K185" s="12"/>
      <c r="M185" s="308"/>
      <c r="N185" s="308"/>
      <c r="O185" s="308"/>
      <c r="P185" s="308"/>
      <c r="Q185" s="308"/>
      <c r="R185" s="308"/>
      <c r="S185" s="308"/>
      <c r="T185" s="308"/>
      <c r="U185" s="428"/>
      <c r="V185" s="428"/>
      <c r="W185" s="429"/>
      <c r="X185" s="429"/>
      <c r="Y185" s="429"/>
      <c r="Z185" s="308"/>
      <c r="AA185" s="427"/>
      <c r="AB185" s="308"/>
      <c r="AC185" s="308"/>
      <c r="AD185" s="308"/>
      <c r="AE185" s="308"/>
      <c r="AF185" s="308"/>
      <c r="AG185" s="308"/>
    </row>
    <row r="186" spans="2:33" x14ac:dyDescent="0.25">
      <c r="I186" s="12"/>
      <c r="J186" s="12"/>
      <c r="K186" s="12"/>
      <c r="M186" s="308"/>
      <c r="N186" s="308"/>
      <c r="O186" s="308"/>
      <c r="P186" s="308"/>
      <c r="Q186" s="308"/>
      <c r="R186" s="308"/>
      <c r="S186" s="308"/>
      <c r="T186" s="308"/>
      <c r="U186" s="427"/>
      <c r="V186" s="427"/>
      <c r="W186" s="308"/>
      <c r="X186" s="308"/>
      <c r="Y186" s="308"/>
      <c r="Z186" s="429"/>
      <c r="AA186" s="427"/>
      <c r="AB186" s="308"/>
      <c r="AC186" s="308"/>
      <c r="AD186" s="308"/>
      <c r="AE186" s="308"/>
      <c r="AF186" s="308"/>
      <c r="AG186" s="308"/>
    </row>
    <row r="187" spans="2:33" x14ac:dyDescent="0.25">
      <c r="I187" s="12"/>
      <c r="J187" s="12"/>
      <c r="K187" s="12"/>
      <c r="M187" s="308"/>
      <c r="N187" s="308"/>
      <c r="O187" s="308"/>
      <c r="P187" s="308"/>
      <c r="Q187" s="308"/>
      <c r="R187" s="308"/>
      <c r="S187" s="308"/>
      <c r="T187" s="308"/>
      <c r="U187" s="427"/>
      <c r="V187" s="427"/>
      <c r="W187" s="308"/>
      <c r="X187" s="308"/>
      <c r="Y187" s="308"/>
      <c r="Z187" s="308"/>
      <c r="AA187" s="427"/>
      <c r="AB187" s="308"/>
      <c r="AC187" s="308"/>
      <c r="AD187" s="308"/>
      <c r="AE187" s="308"/>
      <c r="AF187" s="308"/>
      <c r="AG187" s="308"/>
    </row>
    <row r="188" spans="2:33" x14ac:dyDescent="0.25">
      <c r="I188" s="12"/>
      <c r="J188" s="12"/>
      <c r="K188" s="12"/>
      <c r="M188" s="308"/>
      <c r="N188" s="308"/>
      <c r="O188" s="308"/>
      <c r="P188" s="308"/>
      <c r="Q188" s="308"/>
      <c r="R188" s="308"/>
      <c r="S188" s="308"/>
      <c r="T188" s="308"/>
      <c r="U188" s="427"/>
      <c r="V188" s="427"/>
      <c r="W188" s="308"/>
      <c r="X188" s="308"/>
      <c r="Y188" s="308"/>
      <c r="Z188" s="308"/>
      <c r="AA188" s="427"/>
      <c r="AB188" s="308"/>
      <c r="AC188" s="308"/>
      <c r="AD188" s="308"/>
      <c r="AE188" s="308"/>
      <c r="AF188" s="308"/>
      <c r="AG188" s="308"/>
    </row>
    <row r="189" spans="2:33" x14ac:dyDescent="0.25">
      <c r="I189" s="12"/>
      <c r="J189" s="12"/>
      <c r="K189" s="12"/>
      <c r="M189" s="308"/>
      <c r="N189" s="308"/>
      <c r="O189" s="308"/>
      <c r="P189" s="308"/>
      <c r="Q189" s="308"/>
      <c r="R189" s="308"/>
      <c r="S189" s="308"/>
      <c r="T189" s="308"/>
      <c r="U189" s="427"/>
      <c r="V189" s="427"/>
      <c r="W189" s="429"/>
      <c r="X189" s="429"/>
      <c r="Y189" s="429"/>
      <c r="Z189" s="308"/>
      <c r="AA189" s="427"/>
      <c r="AB189" s="308"/>
      <c r="AC189" s="308"/>
      <c r="AD189" s="308"/>
      <c r="AE189" s="308"/>
      <c r="AF189" s="308"/>
      <c r="AG189" s="308"/>
    </row>
    <row r="190" spans="2:33" ht="15.75" thickBot="1" x14ac:dyDescent="0.3">
      <c r="I190" s="12"/>
      <c r="J190" s="12"/>
      <c r="K190" s="12"/>
      <c r="M190" s="308"/>
      <c r="N190" s="308"/>
      <c r="O190" s="308"/>
      <c r="P190" s="308"/>
      <c r="Q190" s="308"/>
      <c r="R190" s="308"/>
      <c r="S190" s="308"/>
      <c r="T190" s="308"/>
      <c r="U190" s="427"/>
      <c r="V190" s="427"/>
      <c r="W190" s="429"/>
      <c r="X190" s="429"/>
      <c r="Y190" s="429"/>
      <c r="Z190" s="429"/>
      <c r="AA190" s="427"/>
      <c r="AB190" s="308"/>
      <c r="AC190" s="308"/>
      <c r="AD190" s="308"/>
      <c r="AE190" s="308"/>
      <c r="AF190" s="308"/>
      <c r="AG190" s="308"/>
    </row>
    <row r="191" spans="2:33" ht="30.75" thickBot="1" x14ac:dyDescent="0.3">
      <c r="B191" s="504" t="s">
        <v>1</v>
      </c>
      <c r="C191" s="505" t="s">
        <v>2</v>
      </c>
      <c r="D191" s="506" t="s">
        <v>632</v>
      </c>
      <c r="E191" s="506" t="s">
        <v>633</v>
      </c>
      <c r="I191" s="12"/>
      <c r="J191" s="12"/>
      <c r="K191" s="12"/>
      <c r="M191" s="308"/>
      <c r="N191" s="308"/>
      <c r="O191" s="308"/>
      <c r="P191" s="308"/>
      <c r="Q191" s="308"/>
      <c r="R191" s="308"/>
      <c r="S191" s="308"/>
      <c r="T191" s="308"/>
      <c r="U191" s="427"/>
      <c r="V191" s="427"/>
      <c r="W191" s="429"/>
      <c r="X191" s="429"/>
      <c r="Y191" s="429"/>
      <c r="Z191" s="429"/>
      <c r="AA191" s="427"/>
      <c r="AB191" s="308"/>
      <c r="AC191" s="308"/>
      <c r="AD191" s="308"/>
      <c r="AE191" s="308"/>
      <c r="AF191" s="308"/>
      <c r="AG191" s="308"/>
    </row>
    <row r="192" spans="2:33" ht="15.75" thickBot="1" x14ac:dyDescent="0.3">
      <c r="B192" s="507">
        <v>1</v>
      </c>
      <c r="C192" s="509" t="s">
        <v>634</v>
      </c>
      <c r="D192" s="512">
        <v>48</v>
      </c>
      <c r="E192" s="512">
        <v>48</v>
      </c>
      <c r="I192" s="503"/>
      <c r="J192" s="503"/>
      <c r="K192" s="503"/>
      <c r="M192" s="308"/>
      <c r="N192" s="308"/>
      <c r="O192" s="308"/>
      <c r="P192" s="308"/>
      <c r="Q192" s="308"/>
      <c r="R192" s="308"/>
      <c r="S192" s="308"/>
      <c r="T192" s="308"/>
      <c r="U192" s="427"/>
      <c r="V192" s="427"/>
      <c r="W192" s="429"/>
      <c r="X192" s="429"/>
      <c r="Y192" s="429"/>
      <c r="Z192" s="429"/>
      <c r="AA192" s="427"/>
      <c r="AB192" s="308"/>
      <c r="AC192" s="308"/>
      <c r="AD192" s="308"/>
      <c r="AE192" s="308"/>
      <c r="AF192" s="308"/>
      <c r="AG192" s="308"/>
    </row>
    <row r="193" spans="2:33" ht="15.75" thickBot="1" x14ac:dyDescent="0.3">
      <c r="B193" s="507">
        <v>2</v>
      </c>
      <c r="C193" s="509" t="s">
        <v>635</v>
      </c>
      <c r="D193" s="512">
        <v>100</v>
      </c>
      <c r="E193" s="512">
        <v>200</v>
      </c>
      <c r="I193" s="503"/>
      <c r="J193" s="503"/>
      <c r="K193" s="503"/>
      <c r="M193" s="308"/>
      <c r="N193" s="308"/>
      <c r="O193" s="308"/>
      <c r="P193" s="308"/>
      <c r="Q193" s="308"/>
      <c r="R193" s="308"/>
      <c r="S193" s="308"/>
      <c r="T193" s="308"/>
      <c r="U193" s="427"/>
      <c r="V193" s="427"/>
      <c r="W193" s="429"/>
      <c r="X193" s="429"/>
      <c r="Y193" s="429"/>
      <c r="Z193" s="429"/>
      <c r="AA193" s="427"/>
      <c r="AB193" s="308"/>
      <c r="AC193" s="308"/>
      <c r="AD193" s="308"/>
      <c r="AE193" s="308"/>
      <c r="AF193" s="308"/>
      <c r="AG193" s="308"/>
    </row>
    <row r="194" spans="2:33" ht="15.75" thickBot="1" x14ac:dyDescent="0.3">
      <c r="B194" s="507">
        <v>2</v>
      </c>
      <c r="C194" s="509" t="s">
        <v>636</v>
      </c>
      <c r="D194" s="512">
        <v>15</v>
      </c>
      <c r="E194" s="512">
        <v>30</v>
      </c>
      <c r="I194" s="503"/>
      <c r="J194" s="503"/>
      <c r="K194" s="503"/>
      <c r="M194" s="308"/>
      <c r="N194" s="308"/>
      <c r="O194" s="308"/>
      <c r="P194" s="308"/>
      <c r="Q194" s="308"/>
      <c r="R194" s="308"/>
      <c r="S194" s="308"/>
      <c r="T194" s="308"/>
      <c r="U194" s="427"/>
      <c r="V194" s="427"/>
      <c r="W194" s="429"/>
      <c r="X194" s="429"/>
      <c r="Y194" s="429"/>
      <c r="Z194" s="429"/>
      <c r="AA194" s="427"/>
      <c r="AB194" s="308"/>
      <c r="AC194" s="308"/>
      <c r="AD194" s="308"/>
      <c r="AE194" s="308"/>
      <c r="AF194" s="308"/>
      <c r="AG194" s="308"/>
    </row>
    <row r="195" spans="2:33" ht="15.75" thickBot="1" x14ac:dyDescent="0.3">
      <c r="B195" s="507">
        <v>1</v>
      </c>
      <c r="C195" s="508" t="s">
        <v>637</v>
      </c>
      <c r="D195" s="509">
        <v>30</v>
      </c>
      <c r="E195" s="509">
        <v>290</v>
      </c>
      <c r="I195" s="12"/>
      <c r="J195" s="12"/>
      <c r="K195" s="12"/>
      <c r="M195" s="308"/>
      <c r="N195" s="308"/>
      <c r="O195" s="308"/>
      <c r="P195" s="308"/>
      <c r="Q195" s="308"/>
      <c r="R195" s="308"/>
      <c r="S195" s="308"/>
      <c r="T195" s="308"/>
      <c r="U195" s="427"/>
      <c r="V195" s="427"/>
      <c r="W195" s="429"/>
      <c r="X195" s="429"/>
      <c r="Y195" s="429"/>
      <c r="Z195" s="429"/>
      <c r="AA195" s="308"/>
      <c r="AB195" s="308"/>
      <c r="AC195" s="308"/>
      <c r="AD195" s="308"/>
      <c r="AE195" s="308"/>
      <c r="AF195" s="308"/>
      <c r="AG195" s="308"/>
    </row>
    <row r="196" spans="2:33" ht="45.75" thickBot="1" x14ac:dyDescent="0.3">
      <c r="C196" s="510" t="s">
        <v>638</v>
      </c>
      <c r="D196" s="509" t="s">
        <v>72</v>
      </c>
      <c r="E196" s="511">
        <v>290</v>
      </c>
      <c r="I196" s="12"/>
      <c r="J196" s="12"/>
      <c r="K196" s="12"/>
      <c r="M196" s="308"/>
      <c r="N196" s="308"/>
      <c r="O196" s="308"/>
      <c r="P196" s="308"/>
      <c r="Q196" s="308"/>
      <c r="R196" s="308"/>
      <c r="S196" s="308"/>
      <c r="T196" s="308"/>
      <c r="U196" s="427"/>
      <c r="V196" s="427"/>
      <c r="W196" s="429"/>
      <c r="X196" s="429"/>
      <c r="Y196" s="429"/>
      <c r="Z196" s="429"/>
      <c r="AA196" s="308"/>
      <c r="AB196" s="308"/>
      <c r="AC196" s="308"/>
      <c r="AD196" s="308"/>
      <c r="AE196" s="308"/>
      <c r="AF196" s="308"/>
      <c r="AG196" s="308"/>
    </row>
    <row r="197" spans="2:33" x14ac:dyDescent="0.25">
      <c r="I197" s="12"/>
      <c r="J197" s="12"/>
      <c r="K197" s="12"/>
      <c r="M197" s="308"/>
      <c r="N197" s="308"/>
      <c r="O197" s="308"/>
      <c r="P197" s="308"/>
      <c r="Q197" s="308"/>
      <c r="R197" s="308"/>
      <c r="S197" s="308"/>
      <c r="T197" s="308"/>
      <c r="U197" s="427"/>
      <c r="V197" s="427"/>
      <c r="W197" s="429"/>
      <c r="X197" s="429"/>
      <c r="Y197" s="429"/>
      <c r="Z197" s="429"/>
      <c r="AA197" s="308"/>
      <c r="AB197" s="308"/>
      <c r="AC197" s="308"/>
      <c r="AD197" s="308"/>
      <c r="AE197" s="308"/>
      <c r="AF197" s="308"/>
      <c r="AG197" s="308"/>
    </row>
    <row r="198" spans="2:33" x14ac:dyDescent="0.25">
      <c r="I198" s="12"/>
      <c r="J198" s="12"/>
      <c r="K198" s="12"/>
      <c r="M198" s="308"/>
      <c r="N198" s="308"/>
      <c r="O198" s="308"/>
      <c r="P198" s="308"/>
      <c r="Q198" s="308"/>
      <c r="R198" s="308"/>
      <c r="S198" s="308"/>
      <c r="T198" s="308"/>
      <c r="U198" s="427"/>
      <c r="V198" s="427"/>
      <c r="W198" s="429"/>
      <c r="X198" s="429"/>
      <c r="Y198" s="429"/>
      <c r="Z198" s="429"/>
      <c r="AA198" s="308"/>
      <c r="AB198" s="308"/>
      <c r="AC198" s="308"/>
      <c r="AD198" s="308"/>
      <c r="AE198" s="308"/>
      <c r="AF198" s="308"/>
      <c r="AG198" s="308"/>
    </row>
    <row r="199" spans="2:33" x14ac:dyDescent="0.25">
      <c r="I199" s="12"/>
      <c r="J199" s="12"/>
      <c r="K199" s="12"/>
      <c r="M199" s="308"/>
      <c r="N199" s="308"/>
      <c r="O199" s="308"/>
      <c r="P199" s="308"/>
      <c r="Q199" s="308"/>
      <c r="R199" s="308"/>
      <c r="S199" s="308"/>
      <c r="T199" s="308"/>
      <c r="U199" s="427"/>
      <c r="V199" s="427"/>
      <c r="W199" s="429"/>
      <c r="X199" s="429"/>
      <c r="Y199" s="429"/>
      <c r="Z199" s="429"/>
      <c r="AA199" s="427"/>
      <c r="AB199" s="308"/>
      <c r="AC199" s="308"/>
      <c r="AD199" s="308"/>
      <c r="AE199" s="308"/>
      <c r="AF199" s="308"/>
      <c r="AG199" s="308"/>
    </row>
    <row r="200" spans="2:33" x14ac:dyDescent="0.25">
      <c r="I200" s="12"/>
      <c r="J200" s="12"/>
      <c r="K200" s="12"/>
      <c r="M200" s="308"/>
      <c r="N200" s="308"/>
      <c r="O200" s="308"/>
      <c r="P200" s="308"/>
      <c r="Q200" s="308"/>
      <c r="R200" s="308"/>
      <c r="S200" s="308"/>
      <c r="T200" s="308"/>
      <c r="U200" s="427"/>
      <c r="V200" s="427"/>
      <c r="W200" s="429"/>
      <c r="X200" s="429"/>
      <c r="Y200" s="429"/>
      <c r="Z200" s="429"/>
      <c r="AA200" s="427"/>
      <c r="AB200" s="308"/>
      <c r="AC200" s="308"/>
      <c r="AD200" s="308"/>
      <c r="AE200" s="308"/>
      <c r="AF200" s="308"/>
      <c r="AG200" s="308"/>
    </row>
    <row r="201" spans="2:33" x14ac:dyDescent="0.25">
      <c r="I201" s="12"/>
      <c r="J201" s="12"/>
      <c r="K201" s="12"/>
      <c r="M201" s="308"/>
      <c r="N201" s="308"/>
      <c r="O201" s="308"/>
      <c r="P201" s="308"/>
      <c r="Q201" s="308"/>
      <c r="R201" s="308"/>
      <c r="S201" s="308"/>
      <c r="T201" s="308"/>
      <c r="U201" s="427"/>
      <c r="V201" s="427"/>
      <c r="W201" s="429"/>
      <c r="X201" s="429"/>
      <c r="Y201" s="429"/>
      <c r="Z201" s="429"/>
      <c r="AA201" s="427"/>
      <c r="AB201" s="308"/>
      <c r="AC201" s="308"/>
      <c r="AD201" s="308"/>
      <c r="AE201" s="308"/>
      <c r="AF201" s="308"/>
      <c r="AG201" s="308"/>
    </row>
    <row r="202" spans="2:33" x14ac:dyDescent="0.25">
      <c r="I202" s="12"/>
      <c r="J202" s="12"/>
      <c r="K202" s="12"/>
      <c r="M202" s="308"/>
      <c r="N202" s="308"/>
      <c r="O202" s="308"/>
      <c r="P202" s="308"/>
      <c r="Q202" s="308"/>
      <c r="R202" s="308"/>
      <c r="S202" s="308"/>
      <c r="T202" s="308"/>
      <c r="U202" s="427"/>
      <c r="V202" s="427"/>
      <c r="W202" s="429"/>
      <c r="X202" s="429"/>
      <c r="Y202" s="429"/>
      <c r="Z202" s="429"/>
      <c r="AA202" s="427"/>
      <c r="AB202" s="308"/>
      <c r="AC202" s="308"/>
      <c r="AD202" s="308"/>
      <c r="AE202" s="308"/>
      <c r="AF202" s="308"/>
      <c r="AG202" s="308"/>
    </row>
    <row r="203" spans="2:33" x14ac:dyDescent="0.25">
      <c r="I203" s="12"/>
      <c r="J203" s="12"/>
      <c r="K203" s="12"/>
      <c r="M203" s="308"/>
      <c r="N203" s="308"/>
      <c r="O203" s="308"/>
      <c r="P203" s="308"/>
      <c r="Q203" s="308"/>
      <c r="R203" s="308"/>
      <c r="S203" s="308"/>
      <c r="T203" s="308"/>
      <c r="U203" s="427"/>
      <c r="V203" s="427"/>
      <c r="W203" s="308"/>
      <c r="X203" s="308"/>
      <c r="Y203" s="308"/>
      <c r="Z203" s="429"/>
      <c r="AA203" s="427"/>
      <c r="AB203" s="308"/>
      <c r="AC203" s="308"/>
      <c r="AD203" s="308"/>
      <c r="AE203" s="308"/>
      <c r="AF203" s="308"/>
      <c r="AG203" s="308"/>
    </row>
    <row r="204" spans="2:33" x14ac:dyDescent="0.25">
      <c r="J204" s="12"/>
      <c r="K204" s="12"/>
      <c r="M204" s="308"/>
      <c r="N204" s="308"/>
      <c r="O204" s="308"/>
      <c r="P204" s="308"/>
      <c r="Q204" s="308"/>
      <c r="R204" s="308"/>
      <c r="S204" s="308"/>
      <c r="T204" s="308"/>
      <c r="U204" s="427"/>
      <c r="V204" s="427"/>
      <c r="W204" s="428"/>
      <c r="X204" s="428"/>
      <c r="Y204" s="428"/>
      <c r="Z204" s="308"/>
      <c r="AA204" s="427"/>
      <c r="AB204" s="308"/>
      <c r="AC204" s="308"/>
      <c r="AD204" s="308"/>
      <c r="AE204" s="308"/>
      <c r="AF204" s="308"/>
      <c r="AG204" s="308"/>
    </row>
    <row r="205" spans="2:33" x14ac:dyDescent="0.25">
      <c r="K205" s="12"/>
      <c r="M205" s="308"/>
      <c r="N205" s="308"/>
      <c r="O205" s="308"/>
      <c r="P205" s="308"/>
      <c r="Q205" s="308"/>
      <c r="R205" s="308"/>
      <c r="S205" s="308"/>
      <c r="T205" s="308"/>
      <c r="U205" s="427"/>
      <c r="V205" s="427"/>
      <c r="W205" s="427"/>
      <c r="X205" s="427"/>
      <c r="Y205" s="427"/>
      <c r="Z205" s="428"/>
      <c r="AA205" s="427"/>
      <c r="AB205" s="427"/>
      <c r="AC205" s="308"/>
      <c r="AD205" s="308"/>
      <c r="AE205" s="308"/>
      <c r="AF205" s="308"/>
      <c r="AG205" s="308"/>
    </row>
    <row r="206" spans="2:33" x14ac:dyDescent="0.25">
      <c r="M206" s="308"/>
      <c r="N206" s="308"/>
      <c r="O206" s="308"/>
      <c r="P206" s="308"/>
      <c r="Q206" s="308"/>
      <c r="R206" s="308"/>
      <c r="S206" s="308"/>
      <c r="T206" s="308"/>
      <c r="U206" s="429"/>
      <c r="V206" s="429"/>
      <c r="W206" s="427"/>
      <c r="X206" s="427"/>
      <c r="Y206" s="427"/>
      <c r="Z206" s="427"/>
      <c r="AA206" s="308"/>
      <c r="AB206" s="308"/>
      <c r="AC206" s="308"/>
      <c r="AD206" s="308"/>
      <c r="AE206" s="308"/>
      <c r="AF206" s="308"/>
      <c r="AG206" s="308"/>
    </row>
    <row r="207" spans="2:33" x14ac:dyDescent="0.25">
      <c r="M207" s="308"/>
      <c r="N207" s="308"/>
      <c r="O207" s="308"/>
      <c r="P207" s="308"/>
      <c r="Q207" s="308"/>
      <c r="R207" s="308"/>
      <c r="S207" s="308"/>
      <c r="T207" s="308"/>
      <c r="U207" s="308"/>
      <c r="V207" s="308"/>
      <c r="W207" s="427"/>
      <c r="X207" s="427"/>
      <c r="Y207" s="427"/>
      <c r="Z207" s="427"/>
      <c r="AA207" s="308"/>
      <c r="AB207" s="308"/>
      <c r="AC207" s="308"/>
      <c r="AD207" s="308"/>
      <c r="AE207" s="308"/>
      <c r="AF207" s="308"/>
      <c r="AG207" s="308"/>
    </row>
    <row r="208" spans="2:33" x14ac:dyDescent="0.25">
      <c r="M208" s="308"/>
      <c r="N208" s="308"/>
      <c r="O208" s="308"/>
      <c r="P208" s="308"/>
      <c r="Q208" s="308"/>
      <c r="R208" s="308"/>
      <c r="S208" s="308"/>
      <c r="T208" s="308"/>
      <c r="U208" s="308"/>
      <c r="V208" s="308"/>
      <c r="W208" s="427"/>
      <c r="X208" s="427"/>
      <c r="Y208" s="427"/>
      <c r="Z208" s="427"/>
      <c r="AA208" s="427"/>
      <c r="AB208" s="427"/>
      <c r="AC208" s="308"/>
      <c r="AD208" s="308"/>
      <c r="AE208" s="308"/>
      <c r="AF208" s="308"/>
      <c r="AG208" s="308"/>
    </row>
    <row r="209" spans="13:33" x14ac:dyDescent="0.25">
      <c r="M209" s="308"/>
      <c r="N209" s="308"/>
      <c r="O209" s="308"/>
      <c r="P209" s="308"/>
      <c r="Q209" s="308"/>
      <c r="R209" s="308"/>
      <c r="S209" s="308"/>
      <c r="T209" s="308"/>
      <c r="U209" s="308"/>
      <c r="V209" s="308"/>
      <c r="W209" s="427"/>
      <c r="X209" s="427"/>
      <c r="Y209" s="427"/>
      <c r="Z209" s="427"/>
      <c r="AA209" s="427"/>
      <c r="AB209" s="427"/>
      <c r="AC209" s="308"/>
      <c r="AD209" s="308"/>
      <c r="AE209" s="308"/>
      <c r="AF209" s="308"/>
      <c r="AG209" s="308"/>
    </row>
    <row r="210" spans="13:33" x14ac:dyDescent="0.25">
      <c r="M210" s="308"/>
      <c r="N210" s="308"/>
      <c r="O210" s="308"/>
      <c r="P210" s="308"/>
      <c r="Q210" s="308"/>
      <c r="R210" s="308"/>
      <c r="S210" s="308"/>
      <c r="T210" s="308"/>
      <c r="U210" s="308"/>
      <c r="V210" s="308"/>
      <c r="W210" s="427"/>
      <c r="X210" s="427"/>
      <c r="Y210" s="427"/>
      <c r="Z210" s="427"/>
      <c r="AA210" s="427"/>
      <c r="AB210" s="427"/>
      <c r="AC210" s="308"/>
      <c r="AD210" s="308"/>
      <c r="AE210" s="308"/>
      <c r="AF210" s="308"/>
      <c r="AG210" s="308"/>
    </row>
    <row r="211" spans="13:33" x14ac:dyDescent="0.25">
      <c r="M211" s="308"/>
      <c r="N211" s="308"/>
      <c r="O211" s="308"/>
      <c r="P211" s="308"/>
      <c r="Q211" s="308"/>
      <c r="R211" s="308"/>
      <c r="S211" s="308"/>
      <c r="T211" s="308"/>
      <c r="U211" s="308"/>
      <c r="V211" s="308"/>
      <c r="W211" s="427"/>
      <c r="X211" s="427"/>
      <c r="Y211" s="427"/>
      <c r="Z211" s="427"/>
      <c r="AA211" s="427"/>
      <c r="AB211" s="427"/>
      <c r="AC211" s="308"/>
      <c r="AD211" s="308"/>
      <c r="AE211" s="308"/>
      <c r="AF211" s="308"/>
      <c r="AG211" s="308"/>
    </row>
    <row r="212" spans="13:33" x14ac:dyDescent="0.25">
      <c r="M212" s="308"/>
      <c r="N212" s="308"/>
      <c r="O212" s="308"/>
      <c r="P212" s="308"/>
      <c r="Q212" s="308"/>
      <c r="R212" s="308"/>
      <c r="S212" s="308"/>
      <c r="T212" s="308"/>
      <c r="U212" s="308"/>
      <c r="V212" s="308"/>
      <c r="W212" s="427"/>
      <c r="X212" s="427"/>
      <c r="Y212" s="427"/>
      <c r="Z212" s="427"/>
      <c r="AA212" s="427"/>
      <c r="AB212" s="427"/>
      <c r="AC212" s="308"/>
      <c r="AD212" s="308"/>
      <c r="AE212" s="308"/>
      <c r="AF212" s="308"/>
      <c r="AG212" s="308"/>
    </row>
    <row r="213" spans="13:33" x14ac:dyDescent="0.25">
      <c r="M213" s="308"/>
      <c r="N213" s="308"/>
      <c r="O213" s="308"/>
      <c r="P213" s="308"/>
      <c r="Q213" s="308"/>
      <c r="R213" s="308"/>
      <c r="S213" s="308"/>
      <c r="T213" s="308"/>
      <c r="U213" s="308"/>
      <c r="V213" s="308"/>
      <c r="W213" s="427"/>
      <c r="X213" s="427"/>
      <c r="Y213" s="427"/>
      <c r="Z213" s="427"/>
      <c r="AA213" s="427"/>
      <c r="AB213" s="427"/>
      <c r="AC213" s="308"/>
      <c r="AD213" s="308"/>
      <c r="AE213" s="308"/>
      <c r="AF213" s="308"/>
      <c r="AG213" s="308"/>
    </row>
    <row r="214" spans="13:33" x14ac:dyDescent="0.25">
      <c r="M214" s="308"/>
      <c r="N214" s="308"/>
      <c r="O214" s="308"/>
      <c r="P214" s="308"/>
      <c r="Q214" s="308"/>
      <c r="R214" s="308"/>
      <c r="S214" s="308"/>
      <c r="T214" s="308"/>
      <c r="U214" s="308"/>
      <c r="V214" s="308"/>
      <c r="W214" s="427"/>
      <c r="X214" s="427"/>
      <c r="Y214" s="427"/>
      <c r="Z214" s="427"/>
      <c r="AA214" s="427"/>
      <c r="AB214" s="427"/>
      <c r="AC214" s="308"/>
      <c r="AD214" s="308"/>
      <c r="AE214" s="308"/>
      <c r="AF214" s="308"/>
      <c r="AG214" s="308"/>
    </row>
    <row r="215" spans="13:33" x14ac:dyDescent="0.25">
      <c r="M215" s="308"/>
      <c r="N215" s="308"/>
      <c r="O215" s="308"/>
      <c r="P215" s="308"/>
      <c r="Q215" s="308"/>
      <c r="R215" s="308"/>
      <c r="S215" s="308"/>
      <c r="T215" s="308"/>
      <c r="U215" s="308"/>
      <c r="V215" s="308"/>
      <c r="W215" s="427"/>
      <c r="X215" s="427"/>
      <c r="Y215" s="427"/>
      <c r="Z215" s="427"/>
      <c r="AA215" s="427"/>
      <c r="AB215" s="427"/>
      <c r="AC215" s="308"/>
      <c r="AD215" s="308"/>
      <c r="AE215" s="308"/>
      <c r="AF215" s="308"/>
      <c r="AG215" s="308"/>
    </row>
    <row r="216" spans="13:33" x14ac:dyDescent="0.25">
      <c r="M216" s="308"/>
      <c r="N216" s="308"/>
      <c r="O216" s="308"/>
      <c r="P216" s="308"/>
      <c r="Q216" s="308"/>
      <c r="R216" s="308"/>
      <c r="S216" s="308"/>
      <c r="T216" s="308"/>
      <c r="U216" s="308"/>
      <c r="V216" s="308"/>
      <c r="W216" s="427"/>
      <c r="X216" s="427"/>
      <c r="Y216" s="427"/>
      <c r="Z216" s="427"/>
      <c r="AA216" s="427"/>
      <c r="AB216" s="427"/>
      <c r="AC216" s="308"/>
      <c r="AD216" s="308"/>
      <c r="AE216" s="308"/>
      <c r="AF216" s="308"/>
      <c r="AG216" s="308"/>
    </row>
    <row r="217" spans="13:33" x14ac:dyDescent="0.25">
      <c r="M217" s="308"/>
      <c r="N217" s="308"/>
      <c r="O217" s="308"/>
      <c r="P217" s="308"/>
      <c r="Q217" s="308"/>
      <c r="R217" s="308"/>
      <c r="S217" s="308"/>
      <c r="T217" s="308"/>
      <c r="U217" s="308"/>
      <c r="V217" s="308"/>
      <c r="W217" s="427"/>
      <c r="X217" s="427"/>
      <c r="Y217" s="427"/>
      <c r="Z217" s="427"/>
      <c r="AA217" s="427"/>
      <c r="AB217" s="427"/>
      <c r="AC217" s="308"/>
      <c r="AD217" s="308"/>
      <c r="AE217" s="308"/>
      <c r="AF217" s="308"/>
      <c r="AG217" s="308"/>
    </row>
    <row r="218" spans="13:33" x14ac:dyDescent="0.25">
      <c r="M218" s="308"/>
      <c r="N218" s="308"/>
      <c r="O218" s="308"/>
      <c r="P218" s="308"/>
      <c r="Q218" s="308"/>
      <c r="R218" s="308"/>
      <c r="S218" s="308"/>
      <c r="T218" s="308"/>
      <c r="U218" s="308"/>
      <c r="V218" s="308"/>
      <c r="W218" s="427"/>
      <c r="X218" s="427"/>
      <c r="Y218" s="427"/>
      <c r="Z218" s="427"/>
      <c r="AA218" s="427"/>
      <c r="AB218" s="427"/>
      <c r="AC218" s="308"/>
      <c r="AD218" s="308"/>
      <c r="AE218" s="308"/>
      <c r="AF218" s="308"/>
      <c r="AG218" s="308"/>
    </row>
    <row r="219" spans="13:33" x14ac:dyDescent="0.25">
      <c r="M219" s="308"/>
      <c r="N219" s="308"/>
      <c r="O219" s="308"/>
      <c r="P219" s="308"/>
      <c r="Q219" s="308"/>
      <c r="R219" s="308"/>
      <c r="S219" s="308"/>
      <c r="T219" s="308"/>
      <c r="U219" s="308"/>
      <c r="V219" s="308"/>
      <c r="W219" s="427"/>
      <c r="X219" s="427"/>
      <c r="Y219" s="427"/>
      <c r="Z219" s="427"/>
      <c r="AA219" s="308"/>
      <c r="AB219" s="308"/>
      <c r="AC219" s="308"/>
      <c r="AD219" s="308"/>
      <c r="AE219" s="308"/>
      <c r="AF219" s="308"/>
      <c r="AG219" s="308"/>
    </row>
    <row r="220" spans="13:33" x14ac:dyDescent="0.25">
      <c r="M220" s="308"/>
      <c r="N220" s="308"/>
      <c r="O220" s="308"/>
      <c r="P220" s="308"/>
      <c r="Q220" s="308"/>
      <c r="R220" s="308"/>
      <c r="S220" s="308"/>
      <c r="T220" s="308"/>
      <c r="U220" s="308"/>
      <c r="V220" s="308"/>
      <c r="W220" s="427"/>
      <c r="X220" s="427"/>
      <c r="Y220" s="427"/>
      <c r="Z220" s="427"/>
      <c r="AA220" s="308"/>
      <c r="AB220" s="308"/>
      <c r="AC220" s="308"/>
      <c r="AD220" s="308"/>
      <c r="AE220" s="308"/>
      <c r="AF220" s="308"/>
      <c r="AG220" s="308"/>
    </row>
    <row r="221" spans="13:33" x14ac:dyDescent="0.25">
      <c r="M221" s="308"/>
      <c r="N221" s="308"/>
      <c r="O221" s="308"/>
      <c r="P221" s="308"/>
      <c r="Q221" s="308"/>
      <c r="R221" s="308"/>
      <c r="S221" s="308"/>
      <c r="T221" s="308"/>
      <c r="U221" s="308"/>
      <c r="V221" s="308"/>
      <c r="W221" s="427"/>
      <c r="X221" s="427"/>
      <c r="Y221" s="427"/>
      <c r="Z221" s="427"/>
      <c r="AA221" s="308"/>
      <c r="AB221" s="308"/>
      <c r="AC221" s="308"/>
      <c r="AD221" s="308"/>
      <c r="AE221" s="308"/>
      <c r="AF221" s="308"/>
      <c r="AG221" s="308"/>
    </row>
    <row r="222" spans="13:33" x14ac:dyDescent="0.25">
      <c r="M222" s="308"/>
      <c r="N222" s="308"/>
      <c r="O222" s="308"/>
      <c r="P222" s="308"/>
      <c r="Q222" s="308"/>
      <c r="R222" s="308"/>
      <c r="S222" s="308"/>
      <c r="T222" s="308"/>
      <c r="U222" s="308"/>
      <c r="V222" s="308"/>
      <c r="W222" s="429"/>
      <c r="X222" s="429"/>
      <c r="Y222" s="429"/>
      <c r="Z222" s="427"/>
      <c r="AA222" s="308"/>
      <c r="AB222" s="308"/>
      <c r="AC222" s="308"/>
      <c r="AD222" s="308"/>
      <c r="AE222" s="308"/>
      <c r="AF222" s="308"/>
      <c r="AG222" s="308"/>
    </row>
    <row r="223" spans="13:33" x14ac:dyDescent="0.25">
      <c r="M223" s="308"/>
      <c r="N223" s="308"/>
      <c r="O223" s="308"/>
      <c r="P223" s="308"/>
      <c r="Q223" s="308"/>
      <c r="R223" s="308"/>
      <c r="S223" s="308"/>
      <c r="T223" s="308"/>
      <c r="U223" s="308"/>
      <c r="V223" s="308"/>
      <c r="W223" s="308"/>
      <c r="X223" s="308"/>
      <c r="Y223" s="308"/>
      <c r="Z223" s="429"/>
      <c r="AA223" s="308"/>
      <c r="AB223" s="308"/>
      <c r="AC223" s="308"/>
      <c r="AD223" s="308"/>
      <c r="AE223" s="308"/>
      <c r="AF223" s="308"/>
      <c r="AG223" s="308"/>
    </row>
    <row r="224" spans="13:33" x14ac:dyDescent="0.25">
      <c r="M224" s="308"/>
      <c r="N224" s="308"/>
      <c r="O224" s="308"/>
      <c r="P224" s="308"/>
      <c r="Q224" s="308"/>
      <c r="R224" s="308"/>
      <c r="S224" s="308"/>
      <c r="T224" s="308"/>
      <c r="U224" s="308"/>
      <c r="V224" s="308"/>
      <c r="W224" s="308"/>
      <c r="X224" s="308"/>
      <c r="Y224" s="308"/>
      <c r="Z224" s="308"/>
      <c r="AA224" s="308"/>
      <c r="AB224" s="308"/>
      <c r="AC224" s="308"/>
      <c r="AD224" s="308"/>
      <c r="AE224" s="308"/>
      <c r="AF224" s="308"/>
      <c r="AG224" s="308"/>
    </row>
    <row r="225" spans="13:33" x14ac:dyDescent="0.25">
      <c r="M225" s="308"/>
      <c r="N225" s="308"/>
      <c r="O225" s="308"/>
      <c r="P225" s="308"/>
      <c r="Q225" s="308"/>
      <c r="R225" s="308"/>
      <c r="S225" s="308"/>
      <c r="T225" s="308"/>
      <c r="U225" s="308"/>
      <c r="V225" s="308"/>
      <c r="W225" s="308"/>
      <c r="X225" s="308"/>
      <c r="Y225" s="308"/>
      <c r="Z225" s="308"/>
      <c r="AA225" s="308"/>
      <c r="AB225" s="308"/>
      <c r="AC225" s="308"/>
      <c r="AD225" s="308"/>
      <c r="AE225" s="308"/>
      <c r="AF225" s="308"/>
      <c r="AG225" s="308"/>
    </row>
    <row r="226" spans="13:33" x14ac:dyDescent="0.25">
      <c r="M226" s="308"/>
      <c r="N226" s="308"/>
      <c r="O226" s="308"/>
      <c r="P226" s="308"/>
      <c r="Q226" s="308"/>
      <c r="R226" s="308"/>
      <c r="S226" s="308"/>
      <c r="T226" s="308"/>
      <c r="U226" s="308"/>
      <c r="V226" s="308"/>
      <c r="W226" s="308"/>
      <c r="X226" s="308"/>
      <c r="Y226" s="308"/>
      <c r="Z226" s="308"/>
      <c r="AA226" s="308"/>
      <c r="AB226" s="308"/>
      <c r="AC226" s="308"/>
      <c r="AD226" s="308"/>
      <c r="AE226" s="308"/>
      <c r="AF226" s="308"/>
      <c r="AG226" s="308"/>
    </row>
    <row r="227" spans="13:33" x14ac:dyDescent="0.25">
      <c r="M227" s="308"/>
      <c r="N227" s="308"/>
      <c r="O227" s="308"/>
      <c r="P227" s="308"/>
      <c r="Q227" s="308"/>
      <c r="R227" s="308"/>
      <c r="S227" s="308"/>
      <c r="T227" s="308"/>
      <c r="U227" s="308"/>
      <c r="V227" s="308"/>
      <c r="W227" s="308"/>
      <c r="X227" s="308"/>
      <c r="Y227" s="308"/>
      <c r="Z227" s="308"/>
      <c r="AA227" s="308"/>
      <c r="AB227" s="308"/>
      <c r="AC227" s="308"/>
      <c r="AD227" s="308"/>
      <c r="AE227" s="308"/>
      <c r="AF227" s="308"/>
      <c r="AG227" s="308"/>
    </row>
    <row r="228" spans="13:33" x14ac:dyDescent="0.25">
      <c r="M228" s="308"/>
      <c r="N228" s="308"/>
      <c r="O228" s="308"/>
      <c r="P228" s="308"/>
      <c r="Q228" s="308"/>
      <c r="R228" s="308"/>
      <c r="S228" s="308"/>
      <c r="T228" s="308"/>
      <c r="U228" s="308"/>
      <c r="V228" s="308"/>
      <c r="W228" s="308"/>
      <c r="X228" s="308"/>
      <c r="Y228" s="308"/>
      <c r="Z228" s="308"/>
      <c r="AA228" s="308"/>
      <c r="AB228" s="308"/>
      <c r="AC228" s="308"/>
      <c r="AD228" s="308"/>
      <c r="AE228" s="308"/>
      <c r="AF228" s="308"/>
      <c r="AG228" s="308"/>
    </row>
    <row r="229" spans="13:33" x14ac:dyDescent="0.25">
      <c r="M229" s="308"/>
      <c r="N229" s="308"/>
      <c r="O229" s="308"/>
      <c r="P229" s="308"/>
      <c r="Q229" s="308"/>
      <c r="R229" s="308"/>
      <c r="S229" s="308"/>
      <c r="T229" s="308"/>
      <c r="U229" s="308"/>
      <c r="V229" s="308"/>
      <c r="W229" s="308"/>
      <c r="X229" s="308"/>
      <c r="Y229" s="308"/>
      <c r="Z229" s="308"/>
      <c r="AA229" s="308"/>
      <c r="AB229" s="308"/>
      <c r="AC229" s="308"/>
      <c r="AD229" s="308"/>
      <c r="AE229" s="308"/>
      <c r="AF229" s="308"/>
      <c r="AG229" s="308"/>
    </row>
    <row r="230" spans="13:33" x14ac:dyDescent="0.25">
      <c r="M230" s="308"/>
      <c r="N230" s="308"/>
      <c r="O230" s="308"/>
      <c r="P230" s="308"/>
      <c r="Q230" s="308"/>
      <c r="R230" s="308"/>
      <c r="S230" s="308"/>
      <c r="T230" s="308"/>
      <c r="U230" s="308"/>
      <c r="V230" s="308"/>
      <c r="W230" s="308"/>
      <c r="X230" s="308"/>
      <c r="Y230" s="308"/>
      <c r="Z230" s="308"/>
      <c r="AA230" s="308"/>
      <c r="AB230" s="308"/>
      <c r="AC230" s="308"/>
      <c r="AD230" s="308"/>
      <c r="AE230" s="308"/>
      <c r="AF230" s="308"/>
      <c r="AG230" s="308"/>
    </row>
    <row r="231" spans="13:33" x14ac:dyDescent="0.25">
      <c r="M231" s="308"/>
      <c r="N231" s="308"/>
      <c r="O231" s="308"/>
      <c r="P231" s="308"/>
      <c r="Q231" s="308"/>
      <c r="R231" s="308"/>
      <c r="S231" s="308"/>
      <c r="T231" s="308"/>
      <c r="U231" s="308"/>
      <c r="V231" s="308"/>
      <c r="W231" s="308"/>
      <c r="X231" s="308"/>
      <c r="Y231" s="308"/>
      <c r="Z231" s="308"/>
      <c r="AA231" s="308"/>
      <c r="AB231" s="308"/>
      <c r="AC231" s="308"/>
      <c r="AD231" s="308"/>
      <c r="AE231" s="308"/>
      <c r="AF231" s="308"/>
      <c r="AG231" s="308"/>
    </row>
    <row r="232" spans="13:33" x14ac:dyDescent="0.25">
      <c r="M232" s="308"/>
      <c r="N232" s="308"/>
      <c r="O232" s="308"/>
      <c r="P232" s="308"/>
      <c r="Q232" s="308"/>
      <c r="R232" s="308"/>
      <c r="S232" s="308"/>
      <c r="T232" s="308"/>
      <c r="U232" s="308"/>
      <c r="V232" s="308"/>
      <c r="W232" s="308"/>
      <c r="X232" s="308"/>
      <c r="Y232" s="308"/>
      <c r="Z232" s="308"/>
      <c r="AA232" s="429"/>
      <c r="AB232" s="427"/>
      <c r="AC232" s="308"/>
      <c r="AD232" s="308"/>
      <c r="AE232" s="308"/>
      <c r="AF232" s="308"/>
      <c r="AG232" s="308"/>
    </row>
    <row r="233" spans="13:33" x14ac:dyDescent="0.25">
      <c r="M233" s="308"/>
      <c r="N233" s="308"/>
      <c r="O233" s="308"/>
      <c r="P233" s="308"/>
      <c r="Q233" s="308"/>
      <c r="R233" s="308"/>
      <c r="S233" s="308"/>
      <c r="T233" s="308"/>
      <c r="U233" s="308"/>
      <c r="V233" s="308"/>
      <c r="W233" s="308"/>
      <c r="X233" s="308"/>
      <c r="Y233" s="308"/>
      <c r="Z233" s="308"/>
      <c r="AA233" s="308"/>
      <c r="AB233" s="308"/>
      <c r="AC233" s="308"/>
      <c r="AD233" s="308"/>
      <c r="AE233" s="308"/>
      <c r="AF233" s="308"/>
      <c r="AG233" s="308"/>
    </row>
    <row r="234" spans="13:33" x14ac:dyDescent="0.25">
      <c r="M234" s="308"/>
      <c r="N234" s="308"/>
      <c r="O234" s="308"/>
      <c r="P234" s="308"/>
      <c r="Q234" s="308"/>
      <c r="R234" s="308"/>
      <c r="S234" s="308"/>
      <c r="T234" s="308"/>
      <c r="U234" s="308"/>
      <c r="V234" s="308"/>
      <c r="W234" s="308"/>
      <c r="X234" s="308"/>
      <c r="Y234" s="308"/>
      <c r="Z234" s="308"/>
      <c r="AA234" s="308"/>
      <c r="AB234" s="308"/>
      <c r="AC234" s="308"/>
      <c r="AD234" s="308"/>
      <c r="AE234" s="308"/>
      <c r="AF234" s="308"/>
      <c r="AG234" s="308"/>
    </row>
    <row r="235" spans="13:33" x14ac:dyDescent="0.25">
      <c r="M235" s="308"/>
      <c r="N235" s="308"/>
      <c r="O235" s="308"/>
      <c r="P235" s="308"/>
      <c r="Q235" s="308"/>
      <c r="R235" s="308"/>
      <c r="S235" s="308"/>
      <c r="T235" s="308"/>
      <c r="U235" s="308"/>
      <c r="V235" s="308"/>
      <c r="W235" s="308"/>
      <c r="X235" s="308"/>
      <c r="Y235" s="308"/>
      <c r="Z235" s="308"/>
      <c r="AA235" s="308"/>
      <c r="AB235" s="308"/>
      <c r="AC235" s="308"/>
      <c r="AD235" s="308"/>
      <c r="AE235" s="308"/>
      <c r="AF235" s="308"/>
      <c r="AG235" s="308"/>
    </row>
    <row r="236" spans="13:33" x14ac:dyDescent="0.25">
      <c r="M236" s="308"/>
      <c r="N236" s="308"/>
      <c r="O236" s="308"/>
      <c r="P236" s="308"/>
      <c r="Q236" s="308"/>
      <c r="R236" s="308"/>
      <c r="S236" s="308"/>
      <c r="T236" s="308"/>
      <c r="U236" s="308"/>
      <c r="V236" s="308"/>
      <c r="W236" s="308"/>
      <c r="X236" s="308"/>
      <c r="Y236" s="308"/>
      <c r="Z236" s="308"/>
      <c r="AA236" s="308"/>
      <c r="AB236" s="308"/>
      <c r="AC236" s="308"/>
      <c r="AD236" s="308"/>
      <c r="AE236" s="308"/>
      <c r="AF236" s="308"/>
      <c r="AG236" s="308"/>
    </row>
    <row r="237" spans="13:33" x14ac:dyDescent="0.25">
      <c r="M237" s="308"/>
      <c r="N237" s="308"/>
      <c r="O237" s="308"/>
      <c r="P237" s="308"/>
      <c r="Q237" s="308"/>
      <c r="R237" s="308"/>
      <c r="S237" s="308"/>
      <c r="T237" s="308"/>
      <c r="U237" s="308"/>
      <c r="V237" s="308"/>
      <c r="W237" s="308"/>
      <c r="X237" s="308"/>
      <c r="Y237" s="308"/>
      <c r="Z237" s="308"/>
      <c r="AA237" s="428"/>
      <c r="AB237" s="428"/>
      <c r="AC237" s="308"/>
      <c r="AD237" s="308"/>
      <c r="AE237" s="308"/>
      <c r="AF237" s="308"/>
      <c r="AG237" s="308"/>
    </row>
    <row r="238" spans="13:33" x14ac:dyDescent="0.25">
      <c r="M238" s="308"/>
      <c r="N238" s="308"/>
      <c r="O238" s="308"/>
      <c r="P238" s="308"/>
      <c r="Q238" s="308"/>
      <c r="R238" s="308"/>
      <c r="S238" s="308"/>
      <c r="T238" s="308"/>
      <c r="U238" s="308"/>
      <c r="V238" s="308"/>
      <c r="W238" s="308"/>
      <c r="X238" s="308"/>
      <c r="Y238" s="308"/>
      <c r="Z238" s="308"/>
      <c r="AA238" s="427"/>
      <c r="AB238" s="308"/>
      <c r="AC238" s="308"/>
      <c r="AD238" s="308"/>
      <c r="AE238" s="308"/>
      <c r="AF238" s="308"/>
      <c r="AG238" s="308"/>
    </row>
    <row r="239" spans="13:33" x14ac:dyDescent="0.25">
      <c r="M239" s="308"/>
      <c r="N239" s="308"/>
      <c r="O239" s="308"/>
      <c r="P239" s="308"/>
      <c r="Q239" s="308"/>
      <c r="R239" s="308"/>
      <c r="S239" s="308"/>
      <c r="T239" s="308"/>
      <c r="U239" s="308"/>
      <c r="V239" s="308"/>
      <c r="W239" s="308"/>
      <c r="X239" s="308"/>
      <c r="Y239" s="308"/>
      <c r="Z239" s="308"/>
      <c r="AA239" s="427"/>
      <c r="AB239" s="308"/>
      <c r="AC239" s="308"/>
      <c r="AD239" s="308"/>
      <c r="AE239" s="308"/>
      <c r="AF239" s="308"/>
      <c r="AG239" s="308"/>
    </row>
    <row r="240" spans="13:33" x14ac:dyDescent="0.25">
      <c r="M240" s="308"/>
      <c r="N240" s="308"/>
      <c r="O240" s="308"/>
      <c r="P240" s="308"/>
      <c r="Q240" s="308"/>
      <c r="R240" s="308"/>
      <c r="S240" s="308"/>
      <c r="T240" s="308"/>
      <c r="U240" s="308"/>
      <c r="V240" s="308"/>
      <c r="W240" s="308"/>
      <c r="X240" s="308"/>
      <c r="Y240" s="308"/>
      <c r="Z240" s="308"/>
      <c r="AA240" s="427"/>
      <c r="AB240" s="308"/>
      <c r="AC240" s="308"/>
      <c r="AD240" s="308"/>
      <c r="AE240" s="308"/>
      <c r="AF240" s="308"/>
      <c r="AG240" s="308"/>
    </row>
    <row r="241" spans="13:33" x14ac:dyDescent="0.25">
      <c r="M241" s="308"/>
      <c r="N241" s="308"/>
      <c r="O241" s="308"/>
      <c r="P241" s="308"/>
      <c r="Q241" s="308"/>
      <c r="R241" s="308"/>
      <c r="S241" s="308"/>
      <c r="T241" s="308"/>
      <c r="U241" s="308"/>
      <c r="V241" s="308"/>
      <c r="W241" s="308"/>
      <c r="X241" s="308"/>
      <c r="Y241" s="308"/>
      <c r="Z241" s="308"/>
      <c r="AA241" s="427"/>
      <c r="AB241" s="308"/>
      <c r="AC241" s="308"/>
      <c r="AD241" s="308"/>
      <c r="AE241" s="308"/>
      <c r="AF241" s="308"/>
      <c r="AG241" s="308"/>
    </row>
    <row r="242" spans="13:33" x14ac:dyDescent="0.25">
      <c r="M242" s="308"/>
      <c r="N242" s="308"/>
      <c r="O242" s="308"/>
      <c r="P242" s="308"/>
      <c r="Q242" s="308"/>
      <c r="R242" s="308"/>
      <c r="S242" s="308"/>
      <c r="T242" s="308"/>
      <c r="U242" s="308"/>
      <c r="V242" s="308"/>
      <c r="W242" s="308"/>
      <c r="X242" s="308"/>
      <c r="Y242" s="308"/>
      <c r="Z242" s="308"/>
      <c r="AA242" s="427"/>
      <c r="AB242" s="308"/>
      <c r="AC242" s="308"/>
      <c r="AD242" s="308"/>
      <c r="AE242" s="308"/>
      <c r="AF242" s="308"/>
      <c r="AG242" s="308"/>
    </row>
    <row r="243" spans="13:33" x14ac:dyDescent="0.25">
      <c r="M243" s="308"/>
      <c r="N243" s="308"/>
      <c r="O243" s="308"/>
      <c r="P243" s="308"/>
      <c r="Q243" s="308"/>
      <c r="R243" s="308"/>
      <c r="S243" s="308"/>
      <c r="T243" s="308"/>
      <c r="U243" s="308"/>
      <c r="V243" s="308"/>
      <c r="W243" s="308"/>
      <c r="X243" s="308"/>
      <c r="Y243" s="308"/>
      <c r="Z243" s="308"/>
      <c r="AA243" s="427"/>
      <c r="AB243" s="308"/>
      <c r="AC243" s="308"/>
      <c r="AD243" s="308"/>
      <c r="AE243" s="308"/>
      <c r="AF243" s="308"/>
      <c r="AG243" s="308"/>
    </row>
    <row r="244" spans="13:33" x14ac:dyDescent="0.25">
      <c r="M244" s="308"/>
      <c r="N244" s="308"/>
      <c r="O244" s="308"/>
      <c r="P244" s="308"/>
      <c r="Q244" s="308"/>
      <c r="R244" s="308"/>
      <c r="S244" s="308"/>
      <c r="T244" s="308"/>
      <c r="U244" s="308"/>
      <c r="V244" s="308"/>
      <c r="W244" s="308"/>
      <c r="X244" s="308"/>
      <c r="Y244" s="308"/>
      <c r="Z244" s="308"/>
      <c r="AA244" s="427"/>
      <c r="AB244" s="308"/>
      <c r="AC244" s="308"/>
      <c r="AD244" s="308"/>
      <c r="AE244" s="308"/>
      <c r="AF244" s="308"/>
      <c r="AG244" s="308"/>
    </row>
    <row r="245" spans="13:33" x14ac:dyDescent="0.25">
      <c r="M245" s="308"/>
      <c r="N245" s="308"/>
      <c r="O245" s="308"/>
      <c r="P245" s="308"/>
      <c r="Q245" s="308"/>
      <c r="R245" s="308"/>
      <c r="S245" s="308"/>
      <c r="T245" s="308"/>
      <c r="U245" s="308"/>
      <c r="V245" s="308"/>
      <c r="W245" s="308"/>
      <c r="X245" s="308"/>
      <c r="Y245" s="308"/>
      <c r="Z245" s="308"/>
      <c r="AA245" s="427"/>
      <c r="AB245" s="308"/>
      <c r="AC245" s="308"/>
      <c r="AD245" s="308"/>
      <c r="AE245" s="308"/>
      <c r="AF245" s="308"/>
      <c r="AG245" s="308"/>
    </row>
    <row r="246" spans="13:33" x14ac:dyDescent="0.25">
      <c r="M246" s="308"/>
      <c r="N246" s="308"/>
      <c r="O246" s="308"/>
      <c r="P246" s="308"/>
      <c r="Q246" s="308"/>
      <c r="R246" s="308"/>
      <c r="S246" s="308"/>
      <c r="T246" s="308"/>
      <c r="U246" s="308"/>
      <c r="V246" s="308"/>
      <c r="W246" s="308"/>
      <c r="X246" s="308"/>
      <c r="Y246" s="308"/>
      <c r="Z246" s="308"/>
      <c r="AA246" s="427"/>
      <c r="AB246" s="308"/>
      <c r="AC246" s="308"/>
      <c r="AD246" s="308"/>
      <c r="AE246" s="308"/>
      <c r="AF246" s="308"/>
      <c r="AG246" s="308"/>
    </row>
    <row r="247" spans="13:33" x14ac:dyDescent="0.25">
      <c r="M247" s="308"/>
      <c r="N247" s="308"/>
      <c r="O247" s="308"/>
      <c r="P247" s="308"/>
      <c r="Q247" s="308"/>
      <c r="R247" s="308"/>
      <c r="S247" s="308"/>
      <c r="T247" s="308"/>
      <c r="U247" s="308"/>
      <c r="V247" s="308"/>
      <c r="W247" s="308"/>
      <c r="X247" s="308"/>
      <c r="Y247" s="308"/>
      <c r="Z247" s="308"/>
      <c r="AA247" s="427"/>
      <c r="AB247" s="308"/>
      <c r="AC247" s="308"/>
      <c r="AD247" s="308"/>
      <c r="AE247" s="308"/>
      <c r="AF247" s="308"/>
      <c r="AG247" s="308"/>
    </row>
    <row r="248" spans="13:33" x14ac:dyDescent="0.25">
      <c r="M248" s="308"/>
      <c r="N248" s="308"/>
      <c r="O248" s="308"/>
      <c r="P248" s="308"/>
      <c r="Q248" s="308"/>
      <c r="R248" s="308"/>
      <c r="S248" s="308"/>
      <c r="T248" s="308"/>
      <c r="U248" s="308"/>
      <c r="V248" s="308"/>
      <c r="W248" s="308"/>
      <c r="X248" s="308"/>
      <c r="Y248" s="308"/>
      <c r="Z248" s="308"/>
      <c r="AA248" s="427"/>
      <c r="AB248" s="308"/>
      <c r="AC248" s="308"/>
      <c r="AD248" s="308"/>
      <c r="AE248" s="308"/>
      <c r="AF248" s="308"/>
      <c r="AG248" s="308"/>
    </row>
    <row r="249" spans="13:33" x14ac:dyDescent="0.25">
      <c r="M249" s="308"/>
      <c r="N249" s="308"/>
      <c r="O249" s="308"/>
      <c r="P249" s="308"/>
      <c r="Q249" s="308"/>
      <c r="R249" s="308"/>
      <c r="S249" s="308"/>
      <c r="T249" s="308"/>
      <c r="U249" s="308"/>
      <c r="V249" s="308"/>
      <c r="W249" s="308"/>
      <c r="X249" s="308"/>
      <c r="Y249" s="308"/>
      <c r="Z249" s="308"/>
      <c r="AA249" s="427"/>
      <c r="AB249" s="308"/>
      <c r="AC249" s="308"/>
      <c r="AD249" s="308"/>
      <c r="AE249" s="308"/>
      <c r="AF249" s="308"/>
      <c r="AG249" s="308"/>
    </row>
    <row r="250" spans="13:33" x14ac:dyDescent="0.25">
      <c r="M250" s="308"/>
      <c r="N250" s="308"/>
      <c r="O250" s="308"/>
      <c r="P250" s="308"/>
      <c r="Q250" s="308"/>
      <c r="R250" s="308"/>
      <c r="S250" s="308"/>
      <c r="T250" s="308"/>
      <c r="U250" s="308"/>
      <c r="V250" s="308"/>
      <c r="W250" s="308"/>
      <c r="X250" s="308"/>
      <c r="Y250" s="308"/>
      <c r="Z250" s="308"/>
      <c r="AA250" s="427"/>
      <c r="AB250" s="308"/>
      <c r="AC250" s="308"/>
      <c r="AD250" s="308"/>
      <c r="AE250" s="308"/>
      <c r="AF250" s="308"/>
      <c r="AG250" s="308"/>
    </row>
    <row r="251" spans="13:33" x14ac:dyDescent="0.25">
      <c r="W251" s="308"/>
      <c r="X251" s="308"/>
      <c r="Y251" s="308"/>
      <c r="Z251" s="308"/>
      <c r="AA251" s="427"/>
      <c r="AB251" s="308"/>
      <c r="AC251" s="308"/>
      <c r="AD251" s="308"/>
      <c r="AE251" s="308"/>
      <c r="AF251" s="308"/>
      <c r="AG251" s="308"/>
    </row>
    <row r="252" spans="13:33" x14ac:dyDescent="0.25">
      <c r="W252" s="308"/>
      <c r="X252" s="308"/>
      <c r="Y252" s="308"/>
      <c r="Z252" s="308"/>
      <c r="AA252" s="427"/>
      <c r="AB252" s="308"/>
      <c r="AC252" s="308"/>
      <c r="AD252" s="308"/>
      <c r="AE252" s="308"/>
      <c r="AF252" s="308"/>
      <c r="AG252" s="308"/>
    </row>
    <row r="253" spans="13:33" x14ac:dyDescent="0.25">
      <c r="W253" s="308"/>
      <c r="X253" s="308"/>
      <c r="Y253" s="308"/>
      <c r="Z253" s="308"/>
      <c r="AA253" s="427"/>
      <c r="AB253" s="308"/>
      <c r="AC253" s="308"/>
      <c r="AD253" s="308"/>
      <c r="AE253" s="308"/>
      <c r="AF253" s="308"/>
      <c r="AG253" s="308"/>
    </row>
    <row r="254" spans="13:33" x14ac:dyDescent="0.25">
      <c r="W254" s="308"/>
      <c r="X254" s="308"/>
      <c r="Y254" s="308"/>
      <c r="Z254" s="308"/>
      <c r="AA254" s="427"/>
      <c r="AB254" s="308"/>
      <c r="AC254" s="308"/>
      <c r="AD254" s="308"/>
      <c r="AE254" s="308"/>
      <c r="AF254" s="308"/>
      <c r="AG254" s="308"/>
    </row>
    <row r="255" spans="13:33" x14ac:dyDescent="0.25">
      <c r="W255" s="308"/>
      <c r="X255" s="308"/>
      <c r="Y255" s="308"/>
      <c r="Z255" s="308"/>
      <c r="AA255" s="429"/>
      <c r="AB255" s="308"/>
      <c r="AC255" s="308"/>
      <c r="AD255" s="308"/>
      <c r="AE255" s="308"/>
      <c r="AF255" s="308"/>
      <c r="AG255" s="308"/>
    </row>
  </sheetData>
  <sortState ref="D5:H93">
    <sortCondition ref="D93"/>
  </sortState>
  <mergeCells count="91">
    <mergeCell ref="D57:H57"/>
    <mergeCell ref="D80:H80"/>
    <mergeCell ref="D84:H84"/>
    <mergeCell ref="D69:H69"/>
    <mergeCell ref="D70:H70"/>
    <mergeCell ref="D81:H81"/>
    <mergeCell ref="D75:H75"/>
    <mergeCell ref="D74:H74"/>
    <mergeCell ref="D34:H34"/>
    <mergeCell ref="D56:H56"/>
    <mergeCell ref="D67:H67"/>
    <mergeCell ref="D59:H59"/>
    <mergeCell ref="D60:H60"/>
    <mergeCell ref="D63:H63"/>
    <mergeCell ref="D64:H64"/>
    <mergeCell ref="D65:H65"/>
    <mergeCell ref="D35:H35"/>
    <mergeCell ref="D52:H52"/>
    <mergeCell ref="D53:H53"/>
    <mergeCell ref="D54:H54"/>
    <mergeCell ref="D51:H51"/>
    <mergeCell ref="D50:H50"/>
    <mergeCell ref="D36:H36"/>
    <mergeCell ref="D43:H43"/>
    <mergeCell ref="D37:H37"/>
    <mergeCell ref="D38:H38"/>
    <mergeCell ref="D39:H39"/>
    <mergeCell ref="D40:H40"/>
    <mergeCell ref="D41:H41"/>
    <mergeCell ref="D42:H42"/>
    <mergeCell ref="D44:H44"/>
    <mergeCell ref="D45:H45"/>
    <mergeCell ref="D49:H49"/>
    <mergeCell ref="D55:H55"/>
    <mergeCell ref="D48:H48"/>
    <mergeCell ref="D46:H46"/>
    <mergeCell ref="D47:H47"/>
    <mergeCell ref="A1:K3"/>
    <mergeCell ref="D31:H31"/>
    <mergeCell ref="D32:H32"/>
    <mergeCell ref="D16:H16"/>
    <mergeCell ref="D15:H15"/>
    <mergeCell ref="D14:H14"/>
    <mergeCell ref="D13:H13"/>
    <mergeCell ref="D30:H30"/>
    <mergeCell ref="D19:H19"/>
    <mergeCell ref="D21:H21"/>
    <mergeCell ref="D20:H20"/>
    <mergeCell ref="D22:H22"/>
    <mergeCell ref="D4:I4"/>
    <mergeCell ref="D10:H10"/>
    <mergeCell ref="D29:H29"/>
    <mergeCell ref="D26:H26"/>
    <mergeCell ref="D8:H8"/>
    <mergeCell ref="D7:H7"/>
    <mergeCell ref="D6:H6"/>
    <mergeCell ref="D5:H5"/>
    <mergeCell ref="D33:H33"/>
    <mergeCell ref="D18:H18"/>
    <mergeCell ref="D92:H92"/>
    <mergeCell ref="D66:H66"/>
    <mergeCell ref="D71:H71"/>
    <mergeCell ref="D73:H73"/>
    <mergeCell ref="D72:H72"/>
    <mergeCell ref="D77:H77"/>
    <mergeCell ref="D68:H68"/>
    <mergeCell ref="D90:H90"/>
    <mergeCell ref="D86:H86"/>
    <mergeCell ref="D87:H87"/>
    <mergeCell ref="D88:H88"/>
    <mergeCell ref="D85:H85"/>
    <mergeCell ref="D82:H82"/>
    <mergeCell ref="D83:H83"/>
    <mergeCell ref="D78:H78"/>
    <mergeCell ref="D79:H79"/>
    <mergeCell ref="Q4:S4"/>
    <mergeCell ref="D58:H58"/>
    <mergeCell ref="D89:H89"/>
    <mergeCell ref="D76:H76"/>
    <mergeCell ref="D91:H91"/>
    <mergeCell ref="D62:H62"/>
    <mergeCell ref="D61:H61"/>
    <mergeCell ref="D12:H12"/>
    <mergeCell ref="D11:H11"/>
    <mergeCell ref="D28:H28"/>
    <mergeCell ref="D27:H27"/>
    <mergeCell ref="D23:H23"/>
    <mergeCell ref="D24:H24"/>
    <mergeCell ref="D25:H25"/>
    <mergeCell ref="D17:H17"/>
    <mergeCell ref="D9:H9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77" zoomScale="70" zoomScaleNormal="70" workbookViewId="0">
      <selection activeCell="R229" sqref="R229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712" t="s">
        <v>85</v>
      </c>
      <c r="B1" s="712"/>
      <c r="C1" s="712"/>
      <c r="D1" s="712"/>
      <c r="E1" s="712"/>
      <c r="F1" s="712"/>
      <c r="G1" s="712"/>
      <c r="H1" s="712"/>
      <c r="I1" s="712"/>
      <c r="J1" s="712"/>
      <c r="K1" s="712"/>
      <c r="L1" s="712"/>
      <c r="M1" s="712"/>
      <c r="N1" s="712"/>
      <c r="O1" s="712"/>
      <c r="P1" s="712"/>
      <c r="Q1" s="712"/>
      <c r="R1" s="712"/>
      <c r="S1" s="712"/>
      <c r="T1" s="712"/>
      <c r="U1" s="712"/>
      <c r="V1" s="712"/>
      <c r="W1" s="712"/>
      <c r="X1" s="712"/>
      <c r="Y1" s="712"/>
      <c r="Z1" s="712"/>
      <c r="AA1" s="712"/>
      <c r="AB1" s="712"/>
      <c r="AC1" s="712"/>
      <c r="AD1" s="712"/>
      <c r="AE1" s="712"/>
      <c r="AF1" s="712"/>
      <c r="AG1" s="712"/>
      <c r="AH1" s="712"/>
      <c r="AI1" s="712"/>
      <c r="AJ1" s="712"/>
      <c r="AK1" s="712"/>
      <c r="AL1" s="712"/>
      <c r="AM1" s="712"/>
      <c r="AN1" s="712"/>
      <c r="AO1" s="712"/>
      <c r="AP1" s="712"/>
      <c r="AQ1" s="712"/>
      <c r="AR1" s="712"/>
      <c r="AS1" s="712"/>
      <c r="AT1" s="712"/>
      <c r="AU1" s="712"/>
      <c r="AV1" s="712"/>
      <c r="AW1" s="712"/>
      <c r="AX1" s="712"/>
      <c r="AY1" s="712"/>
      <c r="AZ1" s="712"/>
      <c r="BA1" s="712"/>
      <c r="BB1" s="712"/>
      <c r="BC1" s="712"/>
      <c r="BD1" s="712"/>
      <c r="BE1" s="712"/>
      <c r="BF1" s="712"/>
      <c r="BG1" s="712"/>
      <c r="BH1" s="712"/>
      <c r="BI1" s="712"/>
      <c r="BJ1" s="712"/>
      <c r="BK1" s="712"/>
      <c r="BL1" s="712"/>
      <c r="BM1" s="712"/>
      <c r="BN1" s="712"/>
      <c r="BO1" s="712"/>
      <c r="BP1" s="712"/>
      <c r="BQ1" s="712"/>
      <c r="BR1" s="712"/>
      <c r="BS1" s="712"/>
      <c r="BT1" s="712"/>
      <c r="BU1" s="712"/>
      <c r="BV1" s="712"/>
      <c r="BW1" s="712"/>
      <c r="BX1" s="712"/>
      <c r="BY1" s="712"/>
      <c r="BZ1" s="712"/>
      <c r="CA1" s="712"/>
      <c r="CB1" s="712"/>
      <c r="CC1" s="712"/>
      <c r="CD1" s="712"/>
      <c r="CE1" s="712"/>
      <c r="CF1" s="712"/>
      <c r="CG1" s="712"/>
      <c r="CH1" s="712"/>
      <c r="CI1" s="712"/>
      <c r="CJ1" s="712"/>
      <c r="CK1" s="712"/>
      <c r="CL1" s="712"/>
      <c r="CM1" s="712"/>
      <c r="CN1" s="712"/>
      <c r="CO1" s="712"/>
      <c r="CP1" s="712"/>
      <c r="CQ1" s="712"/>
      <c r="CR1" s="712"/>
      <c r="CS1" s="712"/>
      <c r="CT1" s="712"/>
      <c r="CU1" s="712"/>
      <c r="CV1" s="712"/>
      <c r="CW1" s="712"/>
      <c r="CX1" s="712"/>
      <c r="CY1" s="712"/>
      <c r="CZ1" s="712"/>
      <c r="DA1" s="712"/>
      <c r="DB1" s="712"/>
      <c r="DC1" s="712"/>
      <c r="DD1" s="712"/>
      <c r="DE1" s="712"/>
      <c r="DF1" s="712"/>
      <c r="DG1" s="712"/>
      <c r="DH1" s="712"/>
      <c r="DI1" s="712"/>
      <c r="DJ1" s="712"/>
      <c r="DK1" s="712"/>
      <c r="DL1" s="712"/>
      <c r="DM1" s="712"/>
      <c r="DN1" s="712"/>
      <c r="DO1" s="712"/>
      <c r="DP1" s="712"/>
      <c r="DQ1" s="712"/>
      <c r="DR1" s="712"/>
      <c r="DS1" s="712"/>
      <c r="DT1" s="712"/>
      <c r="DU1" s="712"/>
      <c r="DV1" s="712"/>
    </row>
    <row r="2" spans="1:394" ht="14.45" customHeight="1" x14ac:dyDescent="0.25">
      <c r="A2" s="712"/>
      <c r="B2" s="712"/>
      <c r="C2" s="712"/>
      <c r="D2" s="712"/>
      <c r="E2" s="712"/>
      <c r="F2" s="712"/>
      <c r="G2" s="712"/>
      <c r="H2" s="712"/>
      <c r="I2" s="712"/>
      <c r="J2" s="712"/>
      <c r="K2" s="712"/>
      <c r="L2" s="712"/>
      <c r="M2" s="712"/>
      <c r="N2" s="712"/>
      <c r="O2" s="712"/>
      <c r="P2" s="712"/>
      <c r="Q2" s="712"/>
      <c r="R2" s="712"/>
      <c r="S2" s="712"/>
      <c r="T2" s="712"/>
      <c r="U2" s="712"/>
      <c r="V2" s="712"/>
      <c r="W2" s="712"/>
      <c r="X2" s="712"/>
      <c r="Y2" s="712"/>
      <c r="Z2" s="712"/>
      <c r="AA2" s="712"/>
      <c r="AB2" s="712"/>
      <c r="AC2" s="712"/>
      <c r="AD2" s="712"/>
      <c r="AE2" s="712"/>
      <c r="AF2" s="712"/>
      <c r="AG2" s="712"/>
      <c r="AH2" s="712"/>
      <c r="AI2" s="712"/>
      <c r="AJ2" s="712"/>
      <c r="AK2" s="712"/>
      <c r="AL2" s="712"/>
      <c r="AM2" s="712"/>
      <c r="AN2" s="712"/>
      <c r="AO2" s="712"/>
      <c r="AP2" s="712"/>
      <c r="AQ2" s="712"/>
      <c r="AR2" s="712"/>
      <c r="AS2" s="712"/>
      <c r="AT2" s="712"/>
      <c r="AU2" s="712"/>
      <c r="AV2" s="712"/>
      <c r="AW2" s="712"/>
      <c r="AX2" s="712"/>
      <c r="AY2" s="712"/>
      <c r="AZ2" s="712"/>
      <c r="BA2" s="712"/>
      <c r="BB2" s="712"/>
      <c r="BC2" s="712"/>
      <c r="BD2" s="712"/>
      <c r="BE2" s="712"/>
      <c r="BF2" s="712"/>
      <c r="BG2" s="712"/>
      <c r="BH2" s="712"/>
      <c r="BI2" s="712"/>
      <c r="BJ2" s="712"/>
      <c r="BK2" s="712"/>
      <c r="BL2" s="712"/>
      <c r="BM2" s="712"/>
      <c r="BN2" s="712"/>
      <c r="BO2" s="712"/>
      <c r="BP2" s="712"/>
      <c r="BQ2" s="712"/>
      <c r="BR2" s="712"/>
      <c r="BS2" s="712"/>
      <c r="BT2" s="712"/>
      <c r="BU2" s="712"/>
      <c r="BV2" s="712"/>
      <c r="BW2" s="712"/>
      <c r="BX2" s="712"/>
      <c r="BY2" s="712"/>
      <c r="BZ2" s="712"/>
      <c r="CA2" s="712"/>
      <c r="CB2" s="712"/>
      <c r="CC2" s="712"/>
      <c r="CD2" s="712"/>
      <c r="CE2" s="712"/>
      <c r="CF2" s="712"/>
      <c r="CG2" s="712"/>
      <c r="CH2" s="712"/>
      <c r="CI2" s="712"/>
      <c r="CJ2" s="712"/>
      <c r="CK2" s="712"/>
      <c r="CL2" s="712"/>
      <c r="CM2" s="712"/>
      <c r="CN2" s="712"/>
      <c r="CO2" s="712"/>
      <c r="CP2" s="712"/>
      <c r="CQ2" s="712"/>
      <c r="CR2" s="712"/>
      <c r="CS2" s="712"/>
      <c r="CT2" s="712"/>
      <c r="CU2" s="712"/>
      <c r="CV2" s="712"/>
      <c r="CW2" s="712"/>
      <c r="CX2" s="712"/>
      <c r="CY2" s="712"/>
      <c r="CZ2" s="712"/>
      <c r="DA2" s="712"/>
      <c r="DB2" s="712"/>
      <c r="DC2" s="712"/>
      <c r="DD2" s="712"/>
      <c r="DE2" s="712"/>
      <c r="DF2" s="712"/>
      <c r="DG2" s="712"/>
      <c r="DH2" s="712"/>
      <c r="DI2" s="712"/>
      <c r="DJ2" s="712"/>
      <c r="DK2" s="712"/>
      <c r="DL2" s="712"/>
      <c r="DM2" s="712"/>
      <c r="DN2" s="712"/>
      <c r="DO2" s="712"/>
      <c r="DP2" s="712"/>
      <c r="DQ2" s="712"/>
      <c r="DR2" s="712"/>
      <c r="DS2" s="712"/>
      <c r="DT2" s="712"/>
      <c r="DU2" s="712"/>
      <c r="DV2" s="712"/>
    </row>
    <row r="3" spans="1:394" x14ac:dyDescent="0.25">
      <c r="A3" s="712"/>
      <c r="B3" s="712"/>
      <c r="C3" s="712"/>
      <c r="D3" s="712"/>
      <c r="E3" s="712"/>
      <c r="F3" s="712"/>
      <c r="G3" s="712"/>
      <c r="H3" s="712"/>
      <c r="I3" s="712"/>
      <c r="J3" s="712"/>
      <c r="K3" s="712"/>
      <c r="L3" s="712"/>
      <c r="M3" s="712"/>
      <c r="N3" s="712"/>
      <c r="O3" s="712"/>
      <c r="P3" s="712"/>
      <c r="Q3" s="712"/>
      <c r="R3" s="712"/>
      <c r="S3" s="712"/>
      <c r="T3" s="712"/>
      <c r="U3" s="712"/>
      <c r="V3" s="712"/>
      <c r="W3" s="712"/>
      <c r="X3" s="712"/>
      <c r="Y3" s="712"/>
      <c r="Z3" s="712"/>
      <c r="AA3" s="712"/>
      <c r="AB3" s="712"/>
      <c r="AC3" s="712"/>
      <c r="AD3" s="712"/>
      <c r="AE3" s="712"/>
      <c r="AF3" s="712"/>
      <c r="AG3" s="712"/>
      <c r="AH3" s="712"/>
      <c r="AI3" s="712"/>
      <c r="AJ3" s="712"/>
      <c r="AK3" s="712"/>
      <c r="AL3" s="712"/>
      <c r="AM3" s="712"/>
      <c r="AN3" s="712"/>
      <c r="AO3" s="712"/>
      <c r="AP3" s="712"/>
      <c r="AQ3" s="712"/>
      <c r="AR3" s="712"/>
      <c r="AS3" s="712"/>
      <c r="AT3" s="712"/>
      <c r="AU3" s="712"/>
      <c r="AV3" s="712"/>
      <c r="AW3" s="712"/>
      <c r="AX3" s="712"/>
      <c r="AY3" s="712"/>
      <c r="AZ3" s="712"/>
      <c r="BA3" s="712"/>
      <c r="BB3" s="712"/>
      <c r="BC3" s="712"/>
      <c r="BD3" s="712"/>
      <c r="BE3" s="712"/>
      <c r="BF3" s="712"/>
      <c r="BG3" s="712"/>
      <c r="BH3" s="712"/>
      <c r="BI3" s="712"/>
      <c r="BJ3" s="712"/>
      <c r="BK3" s="712"/>
      <c r="BL3" s="712"/>
      <c r="BM3" s="712"/>
      <c r="BN3" s="712"/>
      <c r="BO3" s="712"/>
      <c r="BP3" s="712"/>
      <c r="BQ3" s="712"/>
      <c r="BR3" s="712"/>
      <c r="BS3" s="712"/>
      <c r="BT3" s="712"/>
      <c r="BU3" s="712"/>
      <c r="BV3" s="712"/>
      <c r="BW3" s="712"/>
      <c r="BX3" s="712"/>
      <c r="BY3" s="712"/>
      <c r="BZ3" s="712"/>
      <c r="CA3" s="712"/>
      <c r="CB3" s="712"/>
      <c r="CC3" s="712"/>
      <c r="CD3" s="712"/>
      <c r="CE3" s="712"/>
      <c r="CF3" s="712"/>
      <c r="CG3" s="712"/>
      <c r="CH3" s="712"/>
      <c r="CI3" s="712"/>
      <c r="CJ3" s="712"/>
      <c r="CK3" s="712"/>
      <c r="CL3" s="712"/>
      <c r="CM3" s="712"/>
      <c r="CN3" s="712"/>
      <c r="CO3" s="712"/>
      <c r="CP3" s="712"/>
      <c r="CQ3" s="712"/>
      <c r="CR3" s="712"/>
      <c r="CS3" s="712"/>
      <c r="CT3" s="712"/>
      <c r="CU3" s="712"/>
      <c r="CV3" s="712"/>
      <c r="CW3" s="712"/>
      <c r="CX3" s="712"/>
      <c r="CY3" s="712"/>
      <c r="CZ3" s="712"/>
      <c r="DA3" s="712"/>
      <c r="DB3" s="712"/>
      <c r="DC3" s="712"/>
      <c r="DD3" s="712"/>
      <c r="DE3" s="712"/>
      <c r="DF3" s="712"/>
      <c r="DG3" s="712"/>
      <c r="DH3" s="712"/>
      <c r="DI3" s="712"/>
      <c r="DJ3" s="712"/>
      <c r="DK3" s="712"/>
      <c r="DL3" s="712"/>
      <c r="DM3" s="712"/>
      <c r="DN3" s="712"/>
      <c r="DO3" s="712"/>
      <c r="DP3" s="712"/>
      <c r="DQ3" s="712"/>
      <c r="DR3" s="712"/>
      <c r="DS3" s="712"/>
      <c r="DT3" s="712"/>
      <c r="DU3" s="712"/>
      <c r="DV3" s="712"/>
    </row>
    <row r="4" spans="1:394" ht="14.45" customHeight="1" x14ac:dyDescent="0.25">
      <c r="A4" s="47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47"/>
      <c r="B5" s="7"/>
      <c r="C5" s="632" t="s">
        <v>71</v>
      </c>
      <c r="D5" s="632"/>
      <c r="E5" s="632"/>
      <c r="F5" s="632"/>
      <c r="G5" s="632"/>
      <c r="H5" s="632"/>
      <c r="I5" s="632"/>
      <c r="J5" s="5"/>
      <c r="K5" s="7"/>
      <c r="L5" s="9"/>
      <c r="M5" s="9"/>
      <c r="N5" s="9"/>
      <c r="O5" s="9"/>
      <c r="P5" s="632" t="s">
        <v>60</v>
      </c>
      <c r="Q5" s="632"/>
      <c r="R5" s="632"/>
      <c r="S5" s="632"/>
      <c r="T5" s="632"/>
      <c r="U5" s="632"/>
      <c r="V5" s="632"/>
      <c r="W5" s="7"/>
      <c r="X5" s="9"/>
      <c r="Y5" s="9"/>
      <c r="Z5" s="9"/>
      <c r="AA5" s="9"/>
      <c r="AB5" s="9"/>
      <c r="AC5" s="9"/>
      <c r="AD5" s="9"/>
      <c r="AE5" s="9"/>
      <c r="AF5" s="9"/>
      <c r="AH5" s="655" t="s">
        <v>61</v>
      </c>
      <c r="AI5" s="632"/>
      <c r="AJ5" s="632"/>
      <c r="AK5" s="632"/>
      <c r="AL5" s="632"/>
      <c r="AM5" s="632"/>
      <c r="AN5" s="632"/>
      <c r="AO5" s="7"/>
      <c r="AP5" s="7"/>
      <c r="AQ5" s="7"/>
      <c r="AS5" s="655" t="s">
        <v>62</v>
      </c>
      <c r="AT5" s="632"/>
      <c r="AU5" s="632"/>
      <c r="AV5" s="632"/>
      <c r="AW5" s="632"/>
      <c r="AX5" s="632"/>
      <c r="AY5" s="632"/>
      <c r="AZ5" s="7"/>
      <c r="BG5" s="655" t="s">
        <v>63</v>
      </c>
      <c r="BH5" s="632"/>
      <c r="BI5" s="632"/>
      <c r="BJ5" s="632"/>
      <c r="BK5" s="632"/>
      <c r="BL5" s="632"/>
      <c r="BM5" s="632"/>
      <c r="BN5" s="7"/>
      <c r="BS5" s="655" t="s">
        <v>65</v>
      </c>
      <c r="BT5" s="632"/>
      <c r="BU5" s="632"/>
      <c r="BV5" s="632"/>
      <c r="BW5" s="632"/>
      <c r="BX5" s="632"/>
      <c r="BY5" s="632"/>
      <c r="BZ5" s="7"/>
      <c r="CL5" s="655" t="s">
        <v>69</v>
      </c>
      <c r="CM5" s="632"/>
      <c r="CN5" s="632"/>
      <c r="CO5" s="632"/>
      <c r="CP5" s="632"/>
      <c r="CQ5" s="632"/>
      <c r="CR5" s="632"/>
      <c r="CS5" s="7"/>
      <c r="DD5" s="655" t="s">
        <v>76</v>
      </c>
      <c r="DE5" s="632"/>
      <c r="DF5" s="632"/>
      <c r="DG5" s="632"/>
      <c r="DH5" s="632"/>
      <c r="DI5" s="632"/>
      <c r="DJ5" s="632"/>
      <c r="DX5" s="655" t="s">
        <v>112</v>
      </c>
      <c r="DY5" s="632"/>
      <c r="DZ5" s="632"/>
      <c r="EA5" s="632"/>
      <c r="EB5" s="632"/>
      <c r="EC5" s="632"/>
      <c r="ED5" s="632"/>
      <c r="ER5" s="655" t="s">
        <v>180</v>
      </c>
      <c r="ES5" s="632"/>
      <c r="ET5" s="632"/>
      <c r="EU5" s="632"/>
      <c r="EV5" s="632"/>
      <c r="EW5" s="632"/>
      <c r="EX5" s="632"/>
      <c r="FW5" s="655" t="s">
        <v>189</v>
      </c>
      <c r="FX5" s="632"/>
      <c r="FY5" s="632"/>
      <c r="FZ5" s="632"/>
      <c r="GA5" s="632"/>
      <c r="GB5" s="632"/>
      <c r="GC5" s="632"/>
      <c r="GT5" s="655" t="s">
        <v>206</v>
      </c>
      <c r="GU5" s="632"/>
      <c r="GV5" s="632"/>
      <c r="GW5" s="632"/>
      <c r="GX5" s="632"/>
      <c r="GY5" s="632"/>
      <c r="GZ5" s="632"/>
      <c r="HO5" s="655" t="s">
        <v>205</v>
      </c>
      <c r="HP5" s="632"/>
      <c r="HQ5" s="632"/>
      <c r="HR5" s="632"/>
      <c r="HS5" s="632"/>
      <c r="HT5" s="632"/>
      <c r="HU5" s="632"/>
      <c r="HZ5" s="655" t="s">
        <v>205</v>
      </c>
      <c r="IA5" s="632"/>
      <c r="IB5" s="632"/>
      <c r="IC5" s="632"/>
      <c r="ID5" s="632"/>
      <c r="IE5" s="632"/>
      <c r="IF5" s="632"/>
      <c r="IP5" s="655" t="s">
        <v>227</v>
      </c>
      <c r="IQ5" s="632"/>
      <c r="IR5" s="632"/>
      <c r="IS5" s="632"/>
      <c r="IT5" s="632"/>
      <c r="IU5" s="632"/>
      <c r="IV5" s="632"/>
      <c r="JB5" s="655" t="s">
        <v>241</v>
      </c>
      <c r="JC5" s="632"/>
      <c r="JD5" s="632"/>
      <c r="JE5" s="632"/>
      <c r="JF5" s="632"/>
      <c r="JG5" s="632"/>
      <c r="JH5" s="632"/>
      <c r="KH5" s="655" t="s">
        <v>242</v>
      </c>
      <c r="KI5" s="632"/>
      <c r="KJ5" s="632"/>
      <c r="KK5" s="632"/>
      <c r="KL5" s="632"/>
      <c r="KM5" s="632"/>
      <c r="KN5" s="632"/>
      <c r="KV5" s="655" t="s">
        <v>263</v>
      </c>
      <c r="KW5" s="632"/>
      <c r="KX5" s="632"/>
      <c r="KY5" s="632"/>
      <c r="KZ5" s="632"/>
      <c r="LA5" s="632"/>
      <c r="LB5" s="632"/>
      <c r="LI5" s="655" t="s">
        <v>271</v>
      </c>
      <c r="LJ5" s="632"/>
      <c r="LK5" s="632"/>
      <c r="LL5" s="632"/>
      <c r="LM5" s="632"/>
      <c r="LN5" s="632"/>
      <c r="LO5" s="632"/>
      <c r="MH5" s="655" t="s">
        <v>286</v>
      </c>
      <c r="MI5" s="632"/>
      <c r="MJ5" s="632"/>
      <c r="MK5" s="632"/>
      <c r="ML5" s="632"/>
      <c r="MM5" s="632"/>
      <c r="MN5" s="632"/>
      <c r="NG5" s="655" t="s">
        <v>287</v>
      </c>
      <c r="NH5" s="632"/>
      <c r="NI5" s="632"/>
      <c r="NJ5" s="632"/>
      <c r="NK5" s="632"/>
      <c r="NL5" s="632"/>
      <c r="NM5" s="632"/>
    </row>
    <row r="6" spans="1:394" ht="14.45" customHeight="1" x14ac:dyDescent="0.25">
      <c r="A6" s="47"/>
      <c r="B6" s="7"/>
      <c r="C6" s="632"/>
      <c r="D6" s="632"/>
      <c r="E6" s="632"/>
      <c r="F6" s="632"/>
      <c r="G6" s="632"/>
      <c r="H6" s="632"/>
      <c r="I6" s="632"/>
      <c r="J6" s="5"/>
      <c r="K6" s="7"/>
      <c r="L6" s="9"/>
      <c r="M6" s="9"/>
      <c r="N6" s="9"/>
      <c r="O6" s="9"/>
      <c r="P6" s="632"/>
      <c r="Q6" s="632"/>
      <c r="R6" s="632"/>
      <c r="S6" s="632"/>
      <c r="T6" s="632"/>
      <c r="U6" s="632"/>
      <c r="V6" s="632"/>
      <c r="W6" s="7"/>
      <c r="X6" s="9"/>
      <c r="Y6" s="9"/>
      <c r="Z6" s="9"/>
      <c r="AA6" s="9"/>
      <c r="AB6" s="9"/>
      <c r="AC6" s="9"/>
      <c r="AD6" s="9"/>
      <c r="AE6" s="9"/>
      <c r="AF6" s="9"/>
      <c r="AH6" s="632"/>
      <c r="AI6" s="632"/>
      <c r="AJ6" s="632"/>
      <c r="AK6" s="632"/>
      <c r="AL6" s="632"/>
      <c r="AM6" s="632"/>
      <c r="AN6" s="632"/>
      <c r="AO6" s="7"/>
      <c r="AP6" s="7"/>
      <c r="AQ6" s="7"/>
      <c r="AS6" s="632"/>
      <c r="AT6" s="632"/>
      <c r="AU6" s="632"/>
      <c r="AV6" s="632"/>
      <c r="AW6" s="632"/>
      <c r="AX6" s="632"/>
      <c r="AY6" s="632"/>
      <c r="AZ6" s="7"/>
      <c r="BG6" s="632"/>
      <c r="BH6" s="632"/>
      <c r="BI6" s="632"/>
      <c r="BJ6" s="632"/>
      <c r="BK6" s="632"/>
      <c r="BL6" s="632"/>
      <c r="BM6" s="632"/>
      <c r="BN6" s="7"/>
      <c r="BS6" s="632"/>
      <c r="BT6" s="632"/>
      <c r="BU6" s="632"/>
      <c r="BV6" s="632"/>
      <c r="BW6" s="632"/>
      <c r="BX6" s="632"/>
      <c r="BY6" s="632"/>
      <c r="BZ6" s="7"/>
      <c r="CL6" s="632"/>
      <c r="CM6" s="632"/>
      <c r="CN6" s="632"/>
      <c r="CO6" s="632"/>
      <c r="CP6" s="632"/>
      <c r="CQ6" s="632"/>
      <c r="CR6" s="632"/>
      <c r="CS6" s="7"/>
      <c r="DD6" s="632"/>
      <c r="DE6" s="632"/>
      <c r="DF6" s="632"/>
      <c r="DG6" s="632"/>
      <c r="DH6" s="632"/>
      <c r="DI6" s="632"/>
      <c r="DJ6" s="632"/>
      <c r="DX6" s="632"/>
      <c r="DY6" s="632"/>
      <c r="DZ6" s="632"/>
      <c r="EA6" s="632"/>
      <c r="EB6" s="632"/>
      <c r="EC6" s="632"/>
      <c r="ED6" s="632"/>
      <c r="ER6" s="632"/>
      <c r="ES6" s="632"/>
      <c r="ET6" s="632"/>
      <c r="EU6" s="632"/>
      <c r="EV6" s="632"/>
      <c r="EW6" s="632"/>
      <c r="EX6" s="632"/>
      <c r="FW6" s="632"/>
      <c r="FX6" s="632"/>
      <c r="FY6" s="632"/>
      <c r="FZ6" s="632"/>
      <c r="GA6" s="632"/>
      <c r="GB6" s="632"/>
      <c r="GC6" s="632"/>
      <c r="GT6" s="632"/>
      <c r="GU6" s="632"/>
      <c r="GV6" s="632"/>
      <c r="GW6" s="632"/>
      <c r="GX6" s="632"/>
      <c r="GY6" s="632"/>
      <c r="GZ6" s="632"/>
      <c r="HO6" s="632"/>
      <c r="HP6" s="632"/>
      <c r="HQ6" s="632"/>
      <c r="HR6" s="632"/>
      <c r="HS6" s="632"/>
      <c r="HT6" s="632"/>
      <c r="HU6" s="632"/>
      <c r="HZ6" s="632"/>
      <c r="IA6" s="632"/>
      <c r="IB6" s="632"/>
      <c r="IC6" s="632"/>
      <c r="ID6" s="632"/>
      <c r="IE6" s="632"/>
      <c r="IF6" s="632"/>
      <c r="IP6" s="632"/>
      <c r="IQ6" s="632"/>
      <c r="IR6" s="632"/>
      <c r="IS6" s="632"/>
      <c r="IT6" s="632"/>
      <c r="IU6" s="632"/>
      <c r="IV6" s="632"/>
      <c r="IW6" t="s">
        <v>230</v>
      </c>
      <c r="JB6" s="632"/>
      <c r="JC6" s="632"/>
      <c r="JD6" s="632"/>
      <c r="JE6" s="632"/>
      <c r="JF6" s="632"/>
      <c r="JG6" s="632"/>
      <c r="JH6" s="632"/>
      <c r="KH6" s="632"/>
      <c r="KI6" s="632"/>
      <c r="KJ6" s="632"/>
      <c r="KK6" s="632"/>
      <c r="KL6" s="632"/>
      <c r="KM6" s="632"/>
      <c r="KN6" s="632"/>
      <c r="KV6" s="632"/>
      <c r="KW6" s="632"/>
      <c r="KX6" s="632"/>
      <c r="KY6" s="632"/>
      <c r="KZ6" s="632"/>
      <c r="LA6" s="632"/>
      <c r="LB6" s="632"/>
      <c r="LI6" s="632"/>
      <c r="LJ6" s="632"/>
      <c r="LK6" s="632"/>
      <c r="LL6" s="632"/>
      <c r="LM6" s="632"/>
      <c r="LN6" s="632"/>
      <c r="LO6" s="632"/>
      <c r="MH6" s="632"/>
      <c r="MI6" s="632"/>
      <c r="MJ6" s="632"/>
      <c r="MK6" s="632"/>
      <c r="ML6" s="632"/>
      <c r="MM6" s="632"/>
      <c r="MN6" s="632"/>
      <c r="NG6" s="632"/>
      <c r="NH6" s="632"/>
      <c r="NI6" s="632"/>
      <c r="NJ6" s="632"/>
      <c r="NK6" s="632"/>
      <c r="NL6" s="632"/>
      <c r="NM6" s="632"/>
    </row>
    <row r="7" spans="1:394" ht="14.45" customHeight="1" x14ac:dyDescent="0.25">
      <c r="A7" s="47"/>
      <c r="B7" s="10"/>
      <c r="C7" s="673" t="s">
        <v>2</v>
      </c>
      <c r="D7" s="673"/>
      <c r="E7" s="673"/>
      <c r="F7" s="673"/>
      <c r="G7" s="673"/>
      <c r="H7" s="673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673" t="s">
        <v>2</v>
      </c>
      <c r="Q7" s="673"/>
      <c r="R7" s="673"/>
      <c r="S7" s="673"/>
      <c r="T7" s="673"/>
      <c r="U7" s="673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217"/>
      <c r="AB7" s="217"/>
      <c r="AC7" s="217"/>
      <c r="AD7" s="217"/>
      <c r="AE7" s="217"/>
      <c r="AF7" s="217"/>
      <c r="AG7" s="17"/>
      <c r="AH7" s="673" t="s">
        <v>2</v>
      </c>
      <c r="AI7" s="673"/>
      <c r="AJ7" s="673"/>
      <c r="AK7" s="673"/>
      <c r="AL7" s="673"/>
      <c r="AM7" s="673"/>
      <c r="AN7" s="11" t="s">
        <v>3</v>
      </c>
      <c r="AO7" s="18">
        <v>27</v>
      </c>
      <c r="AP7" s="22" t="s">
        <v>1</v>
      </c>
      <c r="AQ7" s="18" t="s">
        <v>72</v>
      </c>
      <c r="AS7" s="673" t="s">
        <v>2</v>
      </c>
      <c r="AT7" s="673"/>
      <c r="AU7" s="673"/>
      <c r="AV7" s="673"/>
      <c r="AW7" s="673"/>
      <c r="AX7" s="673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673" t="s">
        <v>2</v>
      </c>
      <c r="BH7" s="673"/>
      <c r="BI7" s="673"/>
      <c r="BJ7" s="673"/>
      <c r="BK7" s="673"/>
      <c r="BL7" s="673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673" t="s">
        <v>2</v>
      </c>
      <c r="BT7" s="673"/>
      <c r="BU7" s="673"/>
      <c r="BV7" s="673"/>
      <c r="BW7" s="673"/>
      <c r="BX7" s="673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673" t="s">
        <v>2</v>
      </c>
      <c r="CM7" s="673"/>
      <c r="CN7" s="673"/>
      <c r="CO7" s="673"/>
      <c r="CP7" s="673"/>
      <c r="CQ7" s="673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673" t="s">
        <v>2</v>
      </c>
      <c r="DE7" s="673"/>
      <c r="DF7" s="673"/>
      <c r="DG7" s="673"/>
      <c r="DH7" s="673"/>
      <c r="DI7" s="673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673" t="s">
        <v>2</v>
      </c>
      <c r="DY7" s="673"/>
      <c r="DZ7" s="673"/>
      <c r="EA7" s="673"/>
      <c r="EB7" s="673"/>
      <c r="EC7" s="673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673" t="s">
        <v>2</v>
      </c>
      <c r="ES7" s="673"/>
      <c r="ET7" s="673"/>
      <c r="EU7" s="673"/>
      <c r="EV7" s="673"/>
      <c r="EW7" s="673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673" t="s">
        <v>2</v>
      </c>
      <c r="FX7" s="673"/>
      <c r="FY7" s="673"/>
      <c r="FZ7" s="673"/>
      <c r="GA7" s="673"/>
      <c r="GB7" s="673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673" t="s">
        <v>2</v>
      </c>
      <c r="GU7" s="673"/>
      <c r="GV7" s="673"/>
      <c r="GW7" s="673"/>
      <c r="GX7" s="673"/>
      <c r="GY7" s="673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673" t="s">
        <v>2</v>
      </c>
      <c r="HP7" s="673"/>
      <c r="HQ7" s="673"/>
      <c r="HR7" s="673"/>
      <c r="HS7" s="673"/>
      <c r="HT7" s="673"/>
      <c r="HU7" s="11" t="s">
        <v>3</v>
      </c>
      <c r="HV7" s="18">
        <v>25</v>
      </c>
      <c r="HW7" s="22" t="s">
        <v>1</v>
      </c>
      <c r="HX7" s="18" t="s">
        <v>72</v>
      </c>
      <c r="HZ7" s="673" t="s">
        <v>2</v>
      </c>
      <c r="IA7" s="673"/>
      <c r="IB7" s="673"/>
      <c r="IC7" s="673"/>
      <c r="ID7" s="673"/>
      <c r="IE7" s="673"/>
      <c r="IF7" s="11" t="s">
        <v>3</v>
      </c>
      <c r="IG7" s="18">
        <v>26</v>
      </c>
      <c r="IH7" s="22" t="s">
        <v>224</v>
      </c>
      <c r="II7" s="22">
        <v>28</v>
      </c>
      <c r="IJ7" s="22">
        <v>29</v>
      </c>
      <c r="IK7" s="22">
        <v>30</v>
      </c>
      <c r="IL7" s="22" t="s">
        <v>223</v>
      </c>
      <c r="IM7" s="22" t="s">
        <v>1</v>
      </c>
      <c r="IN7" s="18" t="s">
        <v>72</v>
      </c>
      <c r="IP7" s="673" t="s">
        <v>2</v>
      </c>
      <c r="IQ7" s="673"/>
      <c r="IR7" s="673"/>
      <c r="IS7" s="673"/>
      <c r="IT7" s="673"/>
      <c r="IU7" s="673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673" t="s">
        <v>2</v>
      </c>
      <c r="JC7" s="673"/>
      <c r="JD7" s="673"/>
      <c r="JE7" s="673"/>
      <c r="JF7" s="673"/>
      <c r="JG7" s="673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673" t="s">
        <v>2</v>
      </c>
      <c r="KI7" s="673"/>
      <c r="KJ7" s="673"/>
      <c r="KK7" s="673"/>
      <c r="KL7" s="673"/>
      <c r="KM7" s="673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673" t="s">
        <v>2</v>
      </c>
      <c r="KW7" s="673"/>
      <c r="KX7" s="673"/>
      <c r="KY7" s="673"/>
      <c r="KZ7" s="673"/>
      <c r="LA7" s="673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673" t="s">
        <v>2</v>
      </c>
      <c r="LJ7" s="673"/>
      <c r="LK7" s="673"/>
      <c r="LL7" s="673"/>
      <c r="LM7" s="673"/>
      <c r="LN7" s="673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673" t="s">
        <v>2</v>
      </c>
      <c r="MI7" s="673"/>
      <c r="MJ7" s="673"/>
      <c r="MK7" s="673"/>
      <c r="ML7" s="673"/>
      <c r="MM7" s="673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673" t="s">
        <v>2</v>
      </c>
      <c r="NH7" s="673"/>
      <c r="NI7" s="673"/>
      <c r="NJ7" s="673"/>
      <c r="NK7" s="673"/>
      <c r="NL7" s="673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47"/>
      <c r="B8" s="12"/>
      <c r="C8" s="665" t="s">
        <v>55</v>
      </c>
      <c r="D8" s="665"/>
      <c r="E8" s="665"/>
      <c r="F8" s="665"/>
      <c r="G8" s="665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662" t="s">
        <v>55</v>
      </c>
      <c r="Q8" s="663"/>
      <c r="R8" s="663"/>
      <c r="S8" s="663"/>
      <c r="T8" s="663"/>
      <c r="U8" s="664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665" t="s">
        <v>55</v>
      </c>
      <c r="AI8" s="665"/>
      <c r="AJ8" s="665"/>
      <c r="AK8" s="665"/>
      <c r="AL8" s="665"/>
      <c r="AM8" s="11"/>
      <c r="AN8" s="13"/>
      <c r="AO8" s="19"/>
      <c r="AP8" s="23">
        <f>SUM(AO8)</f>
        <v>0</v>
      </c>
      <c r="AQ8" s="19">
        <f>AP8*AN8</f>
        <v>0</v>
      </c>
      <c r="AS8" s="650" t="s">
        <v>55</v>
      </c>
      <c r="AT8" s="651"/>
      <c r="AU8" s="651"/>
      <c r="AV8" s="651"/>
      <c r="AW8" s="651"/>
      <c r="AX8" s="652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650" t="s">
        <v>55</v>
      </c>
      <c r="BH8" s="651"/>
      <c r="BI8" s="651"/>
      <c r="BJ8" s="651"/>
      <c r="BK8" s="651"/>
      <c r="BL8" s="652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650" t="s">
        <v>55</v>
      </c>
      <c r="BT8" s="651"/>
      <c r="BU8" s="651"/>
      <c r="BV8" s="651"/>
      <c r="BW8" s="651"/>
      <c r="BX8" s="652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650" t="s">
        <v>55</v>
      </c>
      <c r="CM8" s="651"/>
      <c r="CN8" s="651"/>
      <c r="CO8" s="651"/>
      <c r="CP8" s="651"/>
      <c r="CQ8" s="652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650" t="s">
        <v>55</v>
      </c>
      <c r="DE8" s="651"/>
      <c r="DF8" s="651"/>
      <c r="DG8" s="651"/>
      <c r="DH8" s="651"/>
      <c r="DI8" s="652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650" t="s">
        <v>55</v>
      </c>
      <c r="DY8" s="651"/>
      <c r="DZ8" s="651"/>
      <c r="EA8" s="651"/>
      <c r="EB8" s="651"/>
      <c r="EC8" s="652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650" t="s">
        <v>55</v>
      </c>
      <c r="ES8" s="651"/>
      <c r="ET8" s="651"/>
      <c r="EU8" s="651"/>
      <c r="EV8" s="651"/>
      <c r="EW8" s="652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650" t="s">
        <v>55</v>
      </c>
      <c r="FX8" s="651"/>
      <c r="FY8" s="651"/>
      <c r="FZ8" s="651"/>
      <c r="GA8" s="651"/>
      <c r="GB8" s="652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650" t="s">
        <v>55</v>
      </c>
      <c r="GU8" s="651"/>
      <c r="GV8" s="651"/>
      <c r="GW8" s="651"/>
      <c r="GX8" s="651"/>
      <c r="GY8" s="652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650" t="s">
        <v>55</v>
      </c>
      <c r="HP8" s="651"/>
      <c r="HQ8" s="651"/>
      <c r="HR8" s="651"/>
      <c r="HS8" s="651"/>
      <c r="HT8" s="652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650" t="s">
        <v>55</v>
      </c>
      <c r="IA8" s="651"/>
      <c r="IB8" s="651"/>
      <c r="IC8" s="651"/>
      <c r="ID8" s="651"/>
      <c r="IE8" s="652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650" t="s">
        <v>55</v>
      </c>
      <c r="IQ8" s="651"/>
      <c r="IR8" s="651"/>
      <c r="IS8" s="651"/>
      <c r="IT8" s="651"/>
      <c r="IU8" s="652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650" t="s">
        <v>55</v>
      </c>
      <c r="JC8" s="651"/>
      <c r="JD8" s="651"/>
      <c r="JE8" s="651"/>
      <c r="JF8" s="651"/>
      <c r="JG8" s="652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650" t="s">
        <v>55</v>
      </c>
      <c r="KI8" s="651"/>
      <c r="KJ8" s="651"/>
      <c r="KK8" s="651"/>
      <c r="KL8" s="651"/>
      <c r="KM8" s="652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650" t="s">
        <v>55</v>
      </c>
      <c r="KW8" s="651"/>
      <c r="KX8" s="651"/>
      <c r="KY8" s="651"/>
      <c r="KZ8" s="651"/>
      <c r="LA8" s="652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650" t="s">
        <v>55</v>
      </c>
      <c r="LJ8" s="651"/>
      <c r="LK8" s="651"/>
      <c r="LL8" s="651"/>
      <c r="LM8" s="651"/>
      <c r="LN8" s="652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650" t="s">
        <v>55</v>
      </c>
      <c r="MI8" s="651"/>
      <c r="MJ8" s="651"/>
      <c r="MK8" s="651"/>
      <c r="ML8" s="651"/>
      <c r="MM8" s="652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650" t="s">
        <v>55</v>
      </c>
      <c r="NH8" s="651"/>
      <c r="NI8" s="651"/>
      <c r="NJ8" s="651"/>
      <c r="NK8" s="651"/>
      <c r="NL8" s="652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47"/>
      <c r="B9" s="12"/>
      <c r="C9" s="665" t="s">
        <v>4</v>
      </c>
      <c r="D9" s="665"/>
      <c r="E9" s="665"/>
      <c r="F9" s="665"/>
      <c r="G9" s="665"/>
      <c r="H9" s="665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665" t="s">
        <v>4</v>
      </c>
      <c r="Q9" s="665"/>
      <c r="R9" s="665"/>
      <c r="S9" s="665"/>
      <c r="T9" s="665"/>
      <c r="U9" s="665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665" t="s">
        <v>4</v>
      </c>
      <c r="AI9" s="665"/>
      <c r="AJ9" s="665"/>
      <c r="AK9" s="665"/>
      <c r="AL9" s="665"/>
      <c r="AM9" s="665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665" t="s">
        <v>4</v>
      </c>
      <c r="AT9" s="665"/>
      <c r="AU9" s="665"/>
      <c r="AV9" s="665"/>
      <c r="AW9" s="665"/>
      <c r="AX9" s="665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665" t="s">
        <v>4</v>
      </c>
      <c r="BH9" s="665"/>
      <c r="BI9" s="665"/>
      <c r="BJ9" s="665"/>
      <c r="BK9" s="665"/>
      <c r="BL9" s="665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665" t="s">
        <v>4</v>
      </c>
      <c r="BT9" s="665"/>
      <c r="BU9" s="665"/>
      <c r="BV9" s="665"/>
      <c r="BW9" s="665"/>
      <c r="BX9" s="665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665" t="s">
        <v>4</v>
      </c>
      <c r="CM9" s="665"/>
      <c r="CN9" s="665"/>
      <c r="CO9" s="665"/>
      <c r="CP9" s="665"/>
      <c r="CQ9" s="665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665" t="s">
        <v>4</v>
      </c>
      <c r="DE9" s="665"/>
      <c r="DF9" s="665"/>
      <c r="DG9" s="665"/>
      <c r="DH9" s="665"/>
      <c r="DI9" s="665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665" t="s">
        <v>4</v>
      </c>
      <c r="DY9" s="665"/>
      <c r="DZ9" s="665"/>
      <c r="EA9" s="665"/>
      <c r="EB9" s="665"/>
      <c r="EC9" s="665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665" t="s">
        <v>4</v>
      </c>
      <c r="ES9" s="665"/>
      <c r="ET9" s="665"/>
      <c r="EU9" s="665"/>
      <c r="EV9" s="665"/>
      <c r="EW9" s="665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665" t="s">
        <v>4</v>
      </c>
      <c r="FX9" s="665"/>
      <c r="FY9" s="665"/>
      <c r="FZ9" s="665"/>
      <c r="GA9" s="665"/>
      <c r="GB9" s="665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665" t="s">
        <v>4</v>
      </c>
      <c r="GU9" s="665"/>
      <c r="GV9" s="665"/>
      <c r="GW9" s="665"/>
      <c r="GX9" s="665"/>
      <c r="GY9" s="665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665" t="s">
        <v>4</v>
      </c>
      <c r="HP9" s="665"/>
      <c r="HQ9" s="665"/>
      <c r="HR9" s="665"/>
      <c r="HS9" s="665"/>
      <c r="HT9" s="665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665" t="s">
        <v>4</v>
      </c>
      <c r="IA9" s="665"/>
      <c r="IB9" s="665"/>
      <c r="IC9" s="665"/>
      <c r="ID9" s="665"/>
      <c r="IE9" s="665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665" t="s">
        <v>4</v>
      </c>
      <c r="IQ9" s="665"/>
      <c r="IR9" s="665"/>
      <c r="IS9" s="665"/>
      <c r="IT9" s="665"/>
      <c r="IU9" s="665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665" t="s">
        <v>4</v>
      </c>
      <c r="JC9" s="665"/>
      <c r="JD9" s="665"/>
      <c r="JE9" s="665"/>
      <c r="JF9" s="665"/>
      <c r="JG9" s="665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665" t="s">
        <v>4</v>
      </c>
      <c r="KI9" s="665"/>
      <c r="KJ9" s="665"/>
      <c r="KK9" s="665"/>
      <c r="KL9" s="665"/>
      <c r="KM9" s="665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665" t="s">
        <v>4</v>
      </c>
      <c r="KW9" s="665"/>
      <c r="KX9" s="665"/>
      <c r="KY9" s="665"/>
      <c r="KZ9" s="665"/>
      <c r="LA9" s="665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665" t="s">
        <v>4</v>
      </c>
      <c r="LJ9" s="665"/>
      <c r="LK9" s="665"/>
      <c r="LL9" s="665"/>
      <c r="LM9" s="665"/>
      <c r="LN9" s="665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665" t="s">
        <v>4</v>
      </c>
      <c r="MI9" s="665"/>
      <c r="MJ9" s="665"/>
      <c r="MK9" s="665"/>
      <c r="ML9" s="665"/>
      <c r="MM9" s="665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665" t="s">
        <v>4</v>
      </c>
      <c r="NH9" s="665"/>
      <c r="NI9" s="665"/>
      <c r="NJ9" s="665"/>
      <c r="NK9" s="665"/>
      <c r="NL9" s="665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47"/>
      <c r="B10" s="12"/>
      <c r="C10" s="665" t="s">
        <v>5</v>
      </c>
      <c r="D10" s="665"/>
      <c r="E10" s="665"/>
      <c r="F10" s="665"/>
      <c r="G10" s="665"/>
      <c r="H10" s="665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665" t="s">
        <v>5</v>
      </c>
      <c r="Q10" s="665"/>
      <c r="R10" s="665"/>
      <c r="S10" s="665"/>
      <c r="T10" s="665"/>
      <c r="U10" s="665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665" t="s">
        <v>5</v>
      </c>
      <c r="AI10" s="665"/>
      <c r="AJ10" s="665"/>
      <c r="AK10" s="665"/>
      <c r="AL10" s="665"/>
      <c r="AM10" s="665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653" t="s">
        <v>5</v>
      </c>
      <c r="AT10" s="653"/>
      <c r="AU10" s="653"/>
      <c r="AV10" s="653"/>
      <c r="AW10" s="653"/>
      <c r="AX10" s="653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653" t="s">
        <v>5</v>
      </c>
      <c r="BH10" s="653"/>
      <c r="BI10" s="653"/>
      <c r="BJ10" s="653"/>
      <c r="BK10" s="653"/>
      <c r="BL10" s="653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653" t="s">
        <v>5</v>
      </c>
      <c r="BT10" s="653"/>
      <c r="BU10" s="653"/>
      <c r="BV10" s="653"/>
      <c r="BW10" s="653"/>
      <c r="BX10" s="653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653" t="s">
        <v>5</v>
      </c>
      <c r="CM10" s="653"/>
      <c r="CN10" s="653"/>
      <c r="CO10" s="653"/>
      <c r="CP10" s="653"/>
      <c r="CQ10" s="653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653" t="s">
        <v>5</v>
      </c>
      <c r="DE10" s="653"/>
      <c r="DF10" s="653"/>
      <c r="DG10" s="653"/>
      <c r="DH10" s="653"/>
      <c r="DI10" s="653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653" t="s">
        <v>5</v>
      </c>
      <c r="DY10" s="653"/>
      <c r="DZ10" s="653"/>
      <c r="EA10" s="653"/>
      <c r="EB10" s="653"/>
      <c r="EC10" s="653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653" t="s">
        <v>5</v>
      </c>
      <c r="ES10" s="653"/>
      <c r="ET10" s="653"/>
      <c r="EU10" s="653"/>
      <c r="EV10" s="653"/>
      <c r="EW10" s="653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653" t="s">
        <v>5</v>
      </c>
      <c r="FX10" s="653"/>
      <c r="FY10" s="653"/>
      <c r="FZ10" s="653"/>
      <c r="GA10" s="653"/>
      <c r="GB10" s="653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653" t="s">
        <v>5</v>
      </c>
      <c r="GU10" s="653"/>
      <c r="GV10" s="653"/>
      <c r="GW10" s="653"/>
      <c r="GX10" s="653"/>
      <c r="GY10" s="653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653" t="s">
        <v>5</v>
      </c>
      <c r="HP10" s="653"/>
      <c r="HQ10" s="653"/>
      <c r="HR10" s="653"/>
      <c r="HS10" s="653"/>
      <c r="HT10" s="653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653" t="s">
        <v>5</v>
      </c>
      <c r="IA10" s="653"/>
      <c r="IB10" s="653"/>
      <c r="IC10" s="653"/>
      <c r="ID10" s="653"/>
      <c r="IE10" s="653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653" t="s">
        <v>5</v>
      </c>
      <c r="IQ10" s="653"/>
      <c r="IR10" s="653"/>
      <c r="IS10" s="653"/>
      <c r="IT10" s="653"/>
      <c r="IU10" s="653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653" t="s">
        <v>5</v>
      </c>
      <c r="JC10" s="653"/>
      <c r="JD10" s="653"/>
      <c r="JE10" s="653"/>
      <c r="JF10" s="653"/>
      <c r="JG10" s="653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653" t="s">
        <v>5</v>
      </c>
      <c r="KI10" s="653"/>
      <c r="KJ10" s="653"/>
      <c r="KK10" s="653"/>
      <c r="KL10" s="653"/>
      <c r="KM10" s="653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653" t="s">
        <v>5</v>
      </c>
      <c r="KW10" s="653"/>
      <c r="KX10" s="653"/>
      <c r="KY10" s="653"/>
      <c r="KZ10" s="653"/>
      <c r="LA10" s="653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653" t="s">
        <v>5</v>
      </c>
      <c r="LJ10" s="653"/>
      <c r="LK10" s="653"/>
      <c r="LL10" s="653"/>
      <c r="LM10" s="653"/>
      <c r="LN10" s="653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653" t="s">
        <v>5</v>
      </c>
      <c r="MI10" s="653"/>
      <c r="MJ10" s="653"/>
      <c r="MK10" s="653"/>
      <c r="ML10" s="653"/>
      <c r="MM10" s="653"/>
      <c r="MN10" s="28">
        <v>39</v>
      </c>
      <c r="MO10" s="28">
        <v>8</v>
      </c>
      <c r="MP10" s="223"/>
      <c r="MQ10" s="223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653" t="s">
        <v>5</v>
      </c>
      <c r="NH10" s="653"/>
      <c r="NI10" s="653"/>
      <c r="NJ10" s="653"/>
      <c r="NK10" s="653"/>
      <c r="NL10" s="653"/>
      <c r="NM10" s="28">
        <v>39</v>
      </c>
      <c r="NN10" s="30">
        <v>16</v>
      </c>
      <c r="NO10" s="223">
        <v>1</v>
      </c>
      <c r="NP10" s="223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47"/>
      <c r="B11" s="12"/>
      <c r="C11" s="654" t="s">
        <v>56</v>
      </c>
      <c r="D11" s="654"/>
      <c r="E11" s="654"/>
      <c r="F11" s="654"/>
      <c r="G11" s="654"/>
      <c r="H11" s="654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654" t="s">
        <v>56</v>
      </c>
      <c r="Q11" s="654"/>
      <c r="R11" s="654"/>
      <c r="S11" s="654"/>
      <c r="T11" s="654"/>
      <c r="U11" s="654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654" t="s">
        <v>56</v>
      </c>
      <c r="AI11" s="654"/>
      <c r="AJ11" s="654"/>
      <c r="AK11" s="654"/>
      <c r="AL11" s="654"/>
      <c r="AM11" s="654"/>
      <c r="AN11" s="13"/>
      <c r="AO11" s="19"/>
      <c r="AP11" s="23">
        <f t="shared" si="12"/>
        <v>0</v>
      </c>
      <c r="AQ11" s="19">
        <f t="shared" si="13"/>
        <v>0</v>
      </c>
      <c r="AS11" s="654" t="s">
        <v>56</v>
      </c>
      <c r="AT11" s="654"/>
      <c r="AU11" s="654"/>
      <c r="AV11" s="654"/>
      <c r="AW11" s="654"/>
      <c r="AX11" s="654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654" t="s">
        <v>56</v>
      </c>
      <c r="BH11" s="654"/>
      <c r="BI11" s="654"/>
      <c r="BJ11" s="654"/>
      <c r="BK11" s="654"/>
      <c r="BL11" s="654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654" t="s">
        <v>56</v>
      </c>
      <c r="BT11" s="654"/>
      <c r="BU11" s="654"/>
      <c r="BV11" s="654"/>
      <c r="BW11" s="654"/>
      <c r="BX11" s="654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654" t="s">
        <v>56</v>
      </c>
      <c r="CM11" s="654"/>
      <c r="CN11" s="654"/>
      <c r="CO11" s="654"/>
      <c r="CP11" s="654"/>
      <c r="CQ11" s="654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654" t="s">
        <v>56</v>
      </c>
      <c r="DE11" s="654"/>
      <c r="DF11" s="654"/>
      <c r="DG11" s="654"/>
      <c r="DH11" s="654"/>
      <c r="DI11" s="654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654" t="s">
        <v>56</v>
      </c>
      <c r="DY11" s="654"/>
      <c r="DZ11" s="654"/>
      <c r="EA11" s="654"/>
      <c r="EB11" s="654"/>
      <c r="EC11" s="654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654" t="s">
        <v>56</v>
      </c>
      <c r="ES11" s="654"/>
      <c r="ET11" s="654"/>
      <c r="EU11" s="654"/>
      <c r="EV11" s="654"/>
      <c r="EW11" s="654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654" t="s">
        <v>56</v>
      </c>
      <c r="FX11" s="654"/>
      <c r="FY11" s="654"/>
      <c r="FZ11" s="654"/>
      <c r="GA11" s="654"/>
      <c r="GB11" s="654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654" t="s">
        <v>56</v>
      </c>
      <c r="GU11" s="654"/>
      <c r="GV11" s="654"/>
      <c r="GW11" s="654"/>
      <c r="GX11" s="654"/>
      <c r="GY11" s="654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654" t="s">
        <v>56</v>
      </c>
      <c r="HP11" s="654"/>
      <c r="HQ11" s="654"/>
      <c r="HR11" s="654"/>
      <c r="HS11" s="654"/>
      <c r="HT11" s="654"/>
      <c r="HU11" s="13">
        <v>14</v>
      </c>
      <c r="HV11" s="19"/>
      <c r="HW11" s="30">
        <f t="shared" si="33"/>
        <v>0</v>
      </c>
      <c r="HX11" s="28">
        <f t="shared" si="0"/>
        <v>0</v>
      </c>
      <c r="HZ11" s="654" t="s">
        <v>56</v>
      </c>
      <c r="IA11" s="654"/>
      <c r="IB11" s="654"/>
      <c r="IC11" s="654"/>
      <c r="ID11" s="654"/>
      <c r="IE11" s="654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654" t="s">
        <v>56</v>
      </c>
      <c r="IQ11" s="654"/>
      <c r="IR11" s="654"/>
      <c r="IS11" s="654"/>
      <c r="IT11" s="654"/>
      <c r="IU11" s="654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654" t="s">
        <v>56</v>
      </c>
      <c r="JC11" s="654"/>
      <c r="JD11" s="654"/>
      <c r="JE11" s="654"/>
      <c r="JF11" s="654"/>
      <c r="JG11" s="654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654" t="s">
        <v>56</v>
      </c>
      <c r="KI11" s="654"/>
      <c r="KJ11" s="654"/>
      <c r="KK11" s="654"/>
      <c r="KL11" s="654"/>
      <c r="KM11" s="654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654" t="s">
        <v>56</v>
      </c>
      <c r="KW11" s="654"/>
      <c r="KX11" s="654"/>
      <c r="KY11" s="654"/>
      <c r="KZ11" s="654"/>
      <c r="LA11" s="654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654" t="s">
        <v>56</v>
      </c>
      <c r="LJ11" s="654"/>
      <c r="LK11" s="654"/>
      <c r="LL11" s="654"/>
      <c r="LM11" s="654"/>
      <c r="LN11" s="654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654" t="s">
        <v>56</v>
      </c>
      <c r="MI11" s="654"/>
      <c r="MJ11" s="654"/>
      <c r="MK11" s="654"/>
      <c r="ML11" s="654"/>
      <c r="MM11" s="654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654" t="s">
        <v>56</v>
      </c>
      <c r="NH11" s="654"/>
      <c r="NI11" s="654"/>
      <c r="NJ11" s="654"/>
      <c r="NK11" s="654"/>
      <c r="NL11" s="654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47"/>
      <c r="B12" s="14"/>
      <c r="C12" s="654" t="s">
        <v>49</v>
      </c>
      <c r="D12" s="654"/>
      <c r="E12" s="654"/>
      <c r="F12" s="654"/>
      <c r="G12" s="654"/>
      <c r="H12" s="654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654" t="s">
        <v>49</v>
      </c>
      <c r="Q12" s="654"/>
      <c r="R12" s="654"/>
      <c r="S12" s="654"/>
      <c r="T12" s="654"/>
      <c r="U12" s="654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654" t="s">
        <v>49</v>
      </c>
      <c r="AI12" s="654"/>
      <c r="AJ12" s="654"/>
      <c r="AK12" s="654"/>
      <c r="AL12" s="654"/>
      <c r="AM12" s="654"/>
      <c r="AN12" s="13"/>
      <c r="AO12" s="19"/>
      <c r="AP12" s="23">
        <f t="shared" si="12"/>
        <v>0</v>
      </c>
      <c r="AQ12" s="19">
        <f t="shared" si="13"/>
        <v>0</v>
      </c>
      <c r="AS12" s="653" t="s">
        <v>49</v>
      </c>
      <c r="AT12" s="653"/>
      <c r="AU12" s="653"/>
      <c r="AV12" s="653"/>
      <c r="AW12" s="653"/>
      <c r="AX12" s="653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653" t="s">
        <v>49</v>
      </c>
      <c r="BH12" s="653"/>
      <c r="BI12" s="653"/>
      <c r="BJ12" s="653"/>
      <c r="BK12" s="653"/>
      <c r="BL12" s="653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653" t="s">
        <v>49</v>
      </c>
      <c r="BT12" s="653"/>
      <c r="BU12" s="653"/>
      <c r="BV12" s="653"/>
      <c r="BW12" s="653"/>
      <c r="BX12" s="653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653" t="s">
        <v>49</v>
      </c>
      <c r="CM12" s="653"/>
      <c r="CN12" s="653"/>
      <c r="CO12" s="653"/>
      <c r="CP12" s="653"/>
      <c r="CQ12" s="653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653" t="s">
        <v>49</v>
      </c>
      <c r="DE12" s="653"/>
      <c r="DF12" s="653"/>
      <c r="DG12" s="653"/>
      <c r="DH12" s="653"/>
      <c r="DI12" s="653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653" t="s">
        <v>49</v>
      </c>
      <c r="DY12" s="653"/>
      <c r="DZ12" s="653"/>
      <c r="EA12" s="653"/>
      <c r="EB12" s="653"/>
      <c r="EC12" s="653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653" t="s">
        <v>49</v>
      </c>
      <c r="ES12" s="653"/>
      <c r="ET12" s="653"/>
      <c r="EU12" s="653"/>
      <c r="EV12" s="653"/>
      <c r="EW12" s="653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653" t="s">
        <v>49</v>
      </c>
      <c r="FX12" s="653"/>
      <c r="FY12" s="653"/>
      <c r="FZ12" s="653"/>
      <c r="GA12" s="653"/>
      <c r="GB12" s="653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653" t="s">
        <v>49</v>
      </c>
      <c r="GU12" s="653"/>
      <c r="GV12" s="653"/>
      <c r="GW12" s="653"/>
      <c r="GX12" s="653"/>
      <c r="GY12" s="653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653" t="s">
        <v>49</v>
      </c>
      <c r="HP12" s="653"/>
      <c r="HQ12" s="653"/>
      <c r="HR12" s="653"/>
      <c r="HS12" s="653"/>
      <c r="HT12" s="653"/>
      <c r="HU12" s="28">
        <v>31</v>
      </c>
      <c r="HV12" s="28"/>
      <c r="HW12" s="30">
        <f t="shared" si="33"/>
        <v>0</v>
      </c>
      <c r="HX12" s="28">
        <f t="shared" si="0"/>
        <v>0</v>
      </c>
      <c r="HZ12" s="653" t="s">
        <v>49</v>
      </c>
      <c r="IA12" s="653"/>
      <c r="IB12" s="653"/>
      <c r="IC12" s="653"/>
      <c r="ID12" s="653"/>
      <c r="IE12" s="653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653" t="s">
        <v>49</v>
      </c>
      <c r="IQ12" s="653"/>
      <c r="IR12" s="653"/>
      <c r="IS12" s="653"/>
      <c r="IT12" s="653"/>
      <c r="IU12" s="653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653" t="s">
        <v>49</v>
      </c>
      <c r="JC12" s="653"/>
      <c r="JD12" s="653"/>
      <c r="JE12" s="653"/>
      <c r="JF12" s="653"/>
      <c r="JG12" s="653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653" t="s">
        <v>49</v>
      </c>
      <c r="KI12" s="653"/>
      <c r="KJ12" s="653"/>
      <c r="KK12" s="653"/>
      <c r="KL12" s="653"/>
      <c r="KM12" s="653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653" t="s">
        <v>49</v>
      </c>
      <c r="KW12" s="653"/>
      <c r="KX12" s="653"/>
      <c r="KY12" s="653"/>
      <c r="KZ12" s="653"/>
      <c r="LA12" s="653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653" t="s">
        <v>49</v>
      </c>
      <c r="LJ12" s="653"/>
      <c r="LK12" s="653"/>
      <c r="LL12" s="653"/>
      <c r="LM12" s="653"/>
      <c r="LN12" s="653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653" t="s">
        <v>49</v>
      </c>
      <c r="MI12" s="653"/>
      <c r="MJ12" s="653"/>
      <c r="MK12" s="653"/>
      <c r="ML12" s="653"/>
      <c r="MM12" s="653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653" t="s">
        <v>49</v>
      </c>
      <c r="NH12" s="653"/>
      <c r="NI12" s="653"/>
      <c r="NJ12" s="653"/>
      <c r="NK12" s="653"/>
      <c r="NL12" s="653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47"/>
      <c r="B13" s="14"/>
      <c r="C13" s="654" t="s">
        <v>50</v>
      </c>
      <c r="D13" s="654"/>
      <c r="E13" s="654"/>
      <c r="F13" s="654"/>
      <c r="G13" s="654"/>
      <c r="H13" s="654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654" t="s">
        <v>50</v>
      </c>
      <c r="Q13" s="654"/>
      <c r="R13" s="654"/>
      <c r="S13" s="654"/>
      <c r="T13" s="654"/>
      <c r="U13" s="654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654" t="s">
        <v>50</v>
      </c>
      <c r="AI13" s="654"/>
      <c r="AJ13" s="654"/>
      <c r="AK13" s="654"/>
      <c r="AL13" s="654"/>
      <c r="AM13" s="654"/>
      <c r="AN13" s="13"/>
      <c r="AO13" s="19"/>
      <c r="AP13" s="23">
        <f t="shared" si="12"/>
        <v>0</v>
      </c>
      <c r="AQ13" s="19">
        <f t="shared" si="13"/>
        <v>0</v>
      </c>
      <c r="AS13" s="654" t="s">
        <v>50</v>
      </c>
      <c r="AT13" s="654"/>
      <c r="AU13" s="654"/>
      <c r="AV13" s="654"/>
      <c r="AW13" s="654"/>
      <c r="AX13" s="654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654" t="s">
        <v>50</v>
      </c>
      <c r="BH13" s="654"/>
      <c r="BI13" s="654"/>
      <c r="BJ13" s="654"/>
      <c r="BK13" s="654"/>
      <c r="BL13" s="654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654" t="s">
        <v>50</v>
      </c>
      <c r="BT13" s="654"/>
      <c r="BU13" s="654"/>
      <c r="BV13" s="654"/>
      <c r="BW13" s="654"/>
      <c r="BX13" s="654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654" t="s">
        <v>50</v>
      </c>
      <c r="CM13" s="654"/>
      <c r="CN13" s="654"/>
      <c r="CO13" s="654"/>
      <c r="CP13" s="654"/>
      <c r="CQ13" s="654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654" t="s">
        <v>50</v>
      </c>
      <c r="DE13" s="654"/>
      <c r="DF13" s="654"/>
      <c r="DG13" s="654"/>
      <c r="DH13" s="654"/>
      <c r="DI13" s="654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654" t="s">
        <v>50</v>
      </c>
      <c r="DY13" s="654"/>
      <c r="DZ13" s="654"/>
      <c r="EA13" s="654"/>
      <c r="EB13" s="654"/>
      <c r="EC13" s="654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654" t="s">
        <v>50</v>
      </c>
      <c r="ES13" s="654"/>
      <c r="ET13" s="654"/>
      <c r="EU13" s="654"/>
      <c r="EV13" s="654"/>
      <c r="EW13" s="654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654" t="s">
        <v>50</v>
      </c>
      <c r="FX13" s="654"/>
      <c r="FY13" s="654"/>
      <c r="FZ13" s="654"/>
      <c r="GA13" s="654"/>
      <c r="GB13" s="654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654" t="s">
        <v>50</v>
      </c>
      <c r="GU13" s="654"/>
      <c r="GV13" s="654"/>
      <c r="GW13" s="654"/>
      <c r="GX13" s="654"/>
      <c r="GY13" s="654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654" t="s">
        <v>50</v>
      </c>
      <c r="HP13" s="654"/>
      <c r="HQ13" s="654"/>
      <c r="HR13" s="654"/>
      <c r="HS13" s="654"/>
      <c r="HT13" s="654"/>
      <c r="HU13" s="13">
        <v>8</v>
      </c>
      <c r="HV13" s="19"/>
      <c r="HW13" s="30">
        <f t="shared" si="33"/>
        <v>0</v>
      </c>
      <c r="HX13" s="28">
        <f t="shared" si="0"/>
        <v>0</v>
      </c>
      <c r="HZ13" s="654" t="s">
        <v>50</v>
      </c>
      <c r="IA13" s="654"/>
      <c r="IB13" s="654"/>
      <c r="IC13" s="654"/>
      <c r="ID13" s="654"/>
      <c r="IE13" s="654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654" t="s">
        <v>50</v>
      </c>
      <c r="IQ13" s="654"/>
      <c r="IR13" s="654"/>
      <c r="IS13" s="654"/>
      <c r="IT13" s="654"/>
      <c r="IU13" s="654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654" t="s">
        <v>50</v>
      </c>
      <c r="JC13" s="654"/>
      <c r="JD13" s="654"/>
      <c r="JE13" s="654"/>
      <c r="JF13" s="654"/>
      <c r="JG13" s="654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654" t="s">
        <v>50</v>
      </c>
      <c r="KI13" s="654"/>
      <c r="KJ13" s="654"/>
      <c r="KK13" s="654"/>
      <c r="KL13" s="654"/>
      <c r="KM13" s="654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654" t="s">
        <v>50</v>
      </c>
      <c r="KW13" s="654"/>
      <c r="KX13" s="654"/>
      <c r="KY13" s="654"/>
      <c r="KZ13" s="654"/>
      <c r="LA13" s="654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654" t="s">
        <v>50</v>
      </c>
      <c r="LJ13" s="654"/>
      <c r="LK13" s="654"/>
      <c r="LL13" s="654"/>
      <c r="LM13" s="654"/>
      <c r="LN13" s="654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654" t="s">
        <v>50</v>
      </c>
      <c r="MI13" s="654"/>
      <c r="MJ13" s="654"/>
      <c r="MK13" s="654"/>
      <c r="ML13" s="654"/>
      <c r="MM13" s="654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654" t="s">
        <v>50</v>
      </c>
      <c r="NH13" s="654"/>
      <c r="NI13" s="654"/>
      <c r="NJ13" s="654"/>
      <c r="NK13" s="654"/>
      <c r="NL13" s="654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47"/>
      <c r="B14" s="14"/>
      <c r="C14" s="654" t="s">
        <v>6</v>
      </c>
      <c r="D14" s="654"/>
      <c r="E14" s="654"/>
      <c r="F14" s="654"/>
      <c r="G14" s="654"/>
      <c r="H14" s="654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654" t="s">
        <v>6</v>
      </c>
      <c r="Q14" s="654"/>
      <c r="R14" s="654"/>
      <c r="S14" s="654"/>
      <c r="T14" s="654"/>
      <c r="U14" s="654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654" t="s">
        <v>6</v>
      </c>
      <c r="AI14" s="654"/>
      <c r="AJ14" s="654"/>
      <c r="AK14" s="654"/>
      <c r="AL14" s="654"/>
      <c r="AM14" s="654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653" t="s">
        <v>6</v>
      </c>
      <c r="AT14" s="653"/>
      <c r="AU14" s="653"/>
      <c r="AV14" s="653"/>
      <c r="AW14" s="653"/>
      <c r="AX14" s="653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653" t="s">
        <v>6</v>
      </c>
      <c r="BH14" s="653"/>
      <c r="BI14" s="653"/>
      <c r="BJ14" s="653"/>
      <c r="BK14" s="653"/>
      <c r="BL14" s="653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653" t="s">
        <v>6</v>
      </c>
      <c r="BT14" s="653"/>
      <c r="BU14" s="653"/>
      <c r="BV14" s="653"/>
      <c r="BW14" s="653"/>
      <c r="BX14" s="653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653" t="s">
        <v>6</v>
      </c>
      <c r="CM14" s="653"/>
      <c r="CN14" s="653"/>
      <c r="CO14" s="653"/>
      <c r="CP14" s="653"/>
      <c r="CQ14" s="653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653" t="s">
        <v>6</v>
      </c>
      <c r="DE14" s="653"/>
      <c r="DF14" s="653"/>
      <c r="DG14" s="653"/>
      <c r="DH14" s="653"/>
      <c r="DI14" s="653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653" t="s">
        <v>6</v>
      </c>
      <c r="DY14" s="653"/>
      <c r="DZ14" s="653"/>
      <c r="EA14" s="653"/>
      <c r="EB14" s="653"/>
      <c r="EC14" s="653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653" t="s">
        <v>6</v>
      </c>
      <c r="ES14" s="653"/>
      <c r="ET14" s="653"/>
      <c r="EU14" s="653"/>
      <c r="EV14" s="653"/>
      <c r="EW14" s="653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653" t="s">
        <v>6</v>
      </c>
      <c r="FX14" s="653"/>
      <c r="FY14" s="653"/>
      <c r="FZ14" s="653"/>
      <c r="GA14" s="653"/>
      <c r="GB14" s="653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653" t="s">
        <v>6</v>
      </c>
      <c r="GU14" s="653"/>
      <c r="GV14" s="653"/>
      <c r="GW14" s="653"/>
      <c r="GX14" s="653"/>
      <c r="GY14" s="653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653" t="s">
        <v>6</v>
      </c>
      <c r="HP14" s="653"/>
      <c r="HQ14" s="653"/>
      <c r="HR14" s="653"/>
      <c r="HS14" s="653"/>
      <c r="HT14" s="653"/>
      <c r="HU14" s="28">
        <v>12</v>
      </c>
      <c r="HV14" s="28"/>
      <c r="HW14" s="30">
        <f t="shared" si="33"/>
        <v>0</v>
      </c>
      <c r="HX14" s="28">
        <f t="shared" si="0"/>
        <v>0</v>
      </c>
      <c r="HZ14" s="653" t="s">
        <v>6</v>
      </c>
      <c r="IA14" s="653"/>
      <c r="IB14" s="653"/>
      <c r="IC14" s="653"/>
      <c r="ID14" s="653"/>
      <c r="IE14" s="653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653" t="s">
        <v>6</v>
      </c>
      <c r="IQ14" s="653"/>
      <c r="IR14" s="653"/>
      <c r="IS14" s="653"/>
      <c r="IT14" s="653"/>
      <c r="IU14" s="653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653" t="s">
        <v>6</v>
      </c>
      <c r="JC14" s="653"/>
      <c r="JD14" s="653"/>
      <c r="JE14" s="653"/>
      <c r="JF14" s="653"/>
      <c r="JG14" s="653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653" t="s">
        <v>6</v>
      </c>
      <c r="KI14" s="653"/>
      <c r="KJ14" s="653"/>
      <c r="KK14" s="653"/>
      <c r="KL14" s="653"/>
      <c r="KM14" s="653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653" t="s">
        <v>6</v>
      </c>
      <c r="KW14" s="653"/>
      <c r="KX14" s="653"/>
      <c r="KY14" s="653"/>
      <c r="KZ14" s="653"/>
      <c r="LA14" s="653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653" t="s">
        <v>6</v>
      </c>
      <c r="LJ14" s="653"/>
      <c r="LK14" s="653"/>
      <c r="LL14" s="653"/>
      <c r="LM14" s="653"/>
      <c r="LN14" s="653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653" t="s">
        <v>6</v>
      </c>
      <c r="MI14" s="653"/>
      <c r="MJ14" s="653"/>
      <c r="MK14" s="653"/>
      <c r="ML14" s="653"/>
      <c r="MM14" s="653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653" t="s">
        <v>6</v>
      </c>
      <c r="NH14" s="653"/>
      <c r="NI14" s="653"/>
      <c r="NJ14" s="653"/>
      <c r="NK14" s="653"/>
      <c r="NL14" s="653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47"/>
      <c r="B15" s="14"/>
      <c r="C15" s="654" t="s">
        <v>7</v>
      </c>
      <c r="D15" s="654"/>
      <c r="E15" s="654"/>
      <c r="F15" s="654"/>
      <c r="G15" s="654"/>
      <c r="H15" s="654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654" t="s">
        <v>7</v>
      </c>
      <c r="Q15" s="654"/>
      <c r="R15" s="654"/>
      <c r="S15" s="654"/>
      <c r="T15" s="654"/>
      <c r="U15" s="654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654" t="s">
        <v>7</v>
      </c>
      <c r="AI15" s="654"/>
      <c r="AJ15" s="654"/>
      <c r="AK15" s="654"/>
      <c r="AL15" s="654"/>
      <c r="AM15" s="654"/>
      <c r="AN15" s="13"/>
      <c r="AO15" s="19"/>
      <c r="AP15" s="23">
        <f t="shared" si="12"/>
        <v>0</v>
      </c>
      <c r="AQ15" s="19">
        <f t="shared" si="13"/>
        <v>0</v>
      </c>
      <c r="AS15" s="654" t="s">
        <v>7</v>
      </c>
      <c r="AT15" s="654"/>
      <c r="AU15" s="654"/>
      <c r="AV15" s="654"/>
      <c r="AW15" s="654"/>
      <c r="AX15" s="654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654" t="s">
        <v>7</v>
      </c>
      <c r="BH15" s="654"/>
      <c r="BI15" s="654"/>
      <c r="BJ15" s="654"/>
      <c r="BK15" s="654"/>
      <c r="BL15" s="654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654" t="s">
        <v>7</v>
      </c>
      <c r="BT15" s="654"/>
      <c r="BU15" s="654"/>
      <c r="BV15" s="654"/>
      <c r="BW15" s="654"/>
      <c r="BX15" s="654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654" t="s">
        <v>7</v>
      </c>
      <c r="CM15" s="654"/>
      <c r="CN15" s="654"/>
      <c r="CO15" s="654"/>
      <c r="CP15" s="654"/>
      <c r="CQ15" s="654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654" t="s">
        <v>7</v>
      </c>
      <c r="DE15" s="654"/>
      <c r="DF15" s="654"/>
      <c r="DG15" s="654"/>
      <c r="DH15" s="654"/>
      <c r="DI15" s="654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654" t="s">
        <v>7</v>
      </c>
      <c r="DY15" s="654"/>
      <c r="DZ15" s="654"/>
      <c r="EA15" s="654"/>
      <c r="EB15" s="654"/>
      <c r="EC15" s="654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654" t="s">
        <v>7</v>
      </c>
      <c r="ES15" s="654"/>
      <c r="ET15" s="654"/>
      <c r="EU15" s="654"/>
      <c r="EV15" s="654"/>
      <c r="EW15" s="654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654" t="s">
        <v>7</v>
      </c>
      <c r="FX15" s="654"/>
      <c r="FY15" s="654"/>
      <c r="FZ15" s="654"/>
      <c r="GA15" s="654"/>
      <c r="GB15" s="654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654" t="s">
        <v>7</v>
      </c>
      <c r="GU15" s="654"/>
      <c r="GV15" s="654"/>
      <c r="GW15" s="654"/>
      <c r="GX15" s="654"/>
      <c r="GY15" s="654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654" t="s">
        <v>7</v>
      </c>
      <c r="HP15" s="654"/>
      <c r="HQ15" s="654"/>
      <c r="HR15" s="654"/>
      <c r="HS15" s="654"/>
      <c r="HT15" s="654"/>
      <c r="HU15" s="13">
        <v>35</v>
      </c>
      <c r="HV15" s="19"/>
      <c r="HW15" s="30">
        <f t="shared" si="33"/>
        <v>0</v>
      </c>
      <c r="HX15" s="28">
        <f t="shared" si="0"/>
        <v>0</v>
      </c>
      <c r="HZ15" s="654" t="s">
        <v>7</v>
      </c>
      <c r="IA15" s="654"/>
      <c r="IB15" s="654"/>
      <c r="IC15" s="654"/>
      <c r="ID15" s="654"/>
      <c r="IE15" s="654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654" t="s">
        <v>7</v>
      </c>
      <c r="IQ15" s="654"/>
      <c r="IR15" s="654"/>
      <c r="IS15" s="654"/>
      <c r="IT15" s="654"/>
      <c r="IU15" s="654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654" t="s">
        <v>7</v>
      </c>
      <c r="JC15" s="654"/>
      <c r="JD15" s="654"/>
      <c r="JE15" s="654"/>
      <c r="JF15" s="654"/>
      <c r="JG15" s="654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654" t="s">
        <v>7</v>
      </c>
      <c r="KI15" s="654"/>
      <c r="KJ15" s="654"/>
      <c r="KK15" s="654"/>
      <c r="KL15" s="654"/>
      <c r="KM15" s="654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654" t="s">
        <v>7</v>
      </c>
      <c r="KW15" s="654"/>
      <c r="KX15" s="654"/>
      <c r="KY15" s="654"/>
      <c r="KZ15" s="654"/>
      <c r="LA15" s="654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654" t="s">
        <v>7</v>
      </c>
      <c r="LJ15" s="654"/>
      <c r="LK15" s="654"/>
      <c r="LL15" s="654"/>
      <c r="LM15" s="654"/>
      <c r="LN15" s="654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654" t="s">
        <v>7</v>
      </c>
      <c r="MI15" s="654"/>
      <c r="MJ15" s="654"/>
      <c r="MK15" s="654"/>
      <c r="ML15" s="654"/>
      <c r="MM15" s="654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654" t="s">
        <v>7</v>
      </c>
      <c r="NH15" s="654"/>
      <c r="NI15" s="654"/>
      <c r="NJ15" s="654"/>
      <c r="NK15" s="654"/>
      <c r="NL15" s="654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47"/>
      <c r="B16" s="14"/>
      <c r="C16" s="654" t="s">
        <v>8</v>
      </c>
      <c r="D16" s="654"/>
      <c r="E16" s="654"/>
      <c r="F16" s="654"/>
      <c r="G16" s="654"/>
      <c r="H16" s="654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654" t="s">
        <v>8</v>
      </c>
      <c r="Q16" s="654"/>
      <c r="R16" s="654"/>
      <c r="S16" s="654"/>
      <c r="T16" s="654"/>
      <c r="U16" s="654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654" t="s">
        <v>8</v>
      </c>
      <c r="AI16" s="654"/>
      <c r="AJ16" s="654"/>
      <c r="AK16" s="654"/>
      <c r="AL16" s="654"/>
      <c r="AM16" s="654"/>
      <c r="AN16" s="13">
        <v>12</v>
      </c>
      <c r="AO16" s="19"/>
      <c r="AP16" s="23">
        <f t="shared" si="12"/>
        <v>0</v>
      </c>
      <c r="AQ16" s="19">
        <f t="shared" si="13"/>
        <v>0</v>
      </c>
      <c r="AS16" s="653" t="s">
        <v>8</v>
      </c>
      <c r="AT16" s="653"/>
      <c r="AU16" s="653"/>
      <c r="AV16" s="653"/>
      <c r="AW16" s="653"/>
      <c r="AX16" s="653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653" t="s">
        <v>8</v>
      </c>
      <c r="BH16" s="653"/>
      <c r="BI16" s="653"/>
      <c r="BJ16" s="653"/>
      <c r="BK16" s="653"/>
      <c r="BL16" s="653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653" t="s">
        <v>8</v>
      </c>
      <c r="BT16" s="653"/>
      <c r="BU16" s="653"/>
      <c r="BV16" s="653"/>
      <c r="BW16" s="653"/>
      <c r="BX16" s="653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653" t="s">
        <v>8</v>
      </c>
      <c r="CM16" s="653"/>
      <c r="CN16" s="653"/>
      <c r="CO16" s="653"/>
      <c r="CP16" s="653"/>
      <c r="CQ16" s="653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653" t="s">
        <v>8</v>
      </c>
      <c r="DE16" s="653"/>
      <c r="DF16" s="653"/>
      <c r="DG16" s="653"/>
      <c r="DH16" s="653"/>
      <c r="DI16" s="653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653" t="s">
        <v>8</v>
      </c>
      <c r="DY16" s="653"/>
      <c r="DZ16" s="653"/>
      <c r="EA16" s="653"/>
      <c r="EB16" s="653"/>
      <c r="EC16" s="653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653" t="s">
        <v>8</v>
      </c>
      <c r="ES16" s="653"/>
      <c r="ET16" s="653"/>
      <c r="EU16" s="653"/>
      <c r="EV16" s="653"/>
      <c r="EW16" s="653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653" t="s">
        <v>8</v>
      </c>
      <c r="FX16" s="653"/>
      <c r="FY16" s="653"/>
      <c r="FZ16" s="653"/>
      <c r="GA16" s="653"/>
      <c r="GB16" s="653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653" t="s">
        <v>8</v>
      </c>
      <c r="GU16" s="653"/>
      <c r="GV16" s="653"/>
      <c r="GW16" s="653"/>
      <c r="GX16" s="653"/>
      <c r="GY16" s="653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653" t="s">
        <v>8</v>
      </c>
      <c r="HP16" s="653"/>
      <c r="HQ16" s="653"/>
      <c r="HR16" s="653"/>
      <c r="HS16" s="653"/>
      <c r="HT16" s="653"/>
      <c r="HU16" s="28">
        <v>16</v>
      </c>
      <c r="HV16" s="28"/>
      <c r="HW16" s="30">
        <f t="shared" si="33"/>
        <v>0</v>
      </c>
      <c r="HX16" s="28">
        <f t="shared" si="0"/>
        <v>0</v>
      </c>
      <c r="HZ16" s="653" t="s">
        <v>8</v>
      </c>
      <c r="IA16" s="653"/>
      <c r="IB16" s="653"/>
      <c r="IC16" s="653"/>
      <c r="ID16" s="653"/>
      <c r="IE16" s="653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653" t="s">
        <v>8</v>
      </c>
      <c r="IQ16" s="653"/>
      <c r="IR16" s="653"/>
      <c r="IS16" s="653"/>
      <c r="IT16" s="653"/>
      <c r="IU16" s="653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653" t="s">
        <v>8</v>
      </c>
      <c r="JC16" s="653"/>
      <c r="JD16" s="653"/>
      <c r="JE16" s="653"/>
      <c r="JF16" s="653"/>
      <c r="JG16" s="653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653" t="s">
        <v>8</v>
      </c>
      <c r="KI16" s="653"/>
      <c r="KJ16" s="653"/>
      <c r="KK16" s="653"/>
      <c r="KL16" s="653"/>
      <c r="KM16" s="653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653" t="s">
        <v>8</v>
      </c>
      <c r="KW16" s="653"/>
      <c r="KX16" s="653"/>
      <c r="KY16" s="653"/>
      <c r="KZ16" s="653"/>
      <c r="LA16" s="653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653" t="s">
        <v>8</v>
      </c>
      <c r="LJ16" s="653"/>
      <c r="LK16" s="653"/>
      <c r="LL16" s="653"/>
      <c r="LM16" s="653"/>
      <c r="LN16" s="653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653" t="s">
        <v>8</v>
      </c>
      <c r="MI16" s="653"/>
      <c r="MJ16" s="653"/>
      <c r="MK16" s="653"/>
      <c r="ML16" s="653"/>
      <c r="MM16" s="653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653" t="s">
        <v>8</v>
      </c>
      <c r="NH16" s="653"/>
      <c r="NI16" s="653"/>
      <c r="NJ16" s="653"/>
      <c r="NK16" s="653"/>
      <c r="NL16" s="653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47"/>
      <c r="B17" s="14"/>
      <c r="C17" s="654" t="s">
        <v>9</v>
      </c>
      <c r="D17" s="654"/>
      <c r="E17" s="654"/>
      <c r="F17" s="654"/>
      <c r="G17" s="654"/>
      <c r="H17" s="654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654" t="s">
        <v>9</v>
      </c>
      <c r="Q17" s="654"/>
      <c r="R17" s="654"/>
      <c r="S17" s="654"/>
      <c r="T17" s="654"/>
      <c r="U17" s="654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654" t="s">
        <v>9</v>
      </c>
      <c r="AI17" s="654"/>
      <c r="AJ17" s="654"/>
      <c r="AK17" s="654"/>
      <c r="AL17" s="654"/>
      <c r="AM17" s="654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654" t="s">
        <v>9</v>
      </c>
      <c r="AT17" s="654"/>
      <c r="AU17" s="654"/>
      <c r="AV17" s="654"/>
      <c r="AW17" s="654"/>
      <c r="AX17" s="654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654" t="s">
        <v>9</v>
      </c>
      <c r="BH17" s="654"/>
      <c r="BI17" s="654"/>
      <c r="BJ17" s="654"/>
      <c r="BK17" s="654"/>
      <c r="BL17" s="654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654" t="s">
        <v>9</v>
      </c>
      <c r="BT17" s="654"/>
      <c r="BU17" s="654"/>
      <c r="BV17" s="654"/>
      <c r="BW17" s="654"/>
      <c r="BX17" s="654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654" t="s">
        <v>9</v>
      </c>
      <c r="CM17" s="654"/>
      <c r="CN17" s="654"/>
      <c r="CO17" s="654"/>
      <c r="CP17" s="654"/>
      <c r="CQ17" s="654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654" t="s">
        <v>9</v>
      </c>
      <c r="DE17" s="654"/>
      <c r="DF17" s="654"/>
      <c r="DG17" s="654"/>
      <c r="DH17" s="654"/>
      <c r="DI17" s="654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654" t="s">
        <v>9</v>
      </c>
      <c r="DY17" s="654"/>
      <c r="DZ17" s="654"/>
      <c r="EA17" s="654"/>
      <c r="EB17" s="654"/>
      <c r="EC17" s="654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654" t="s">
        <v>9</v>
      </c>
      <c r="ES17" s="654"/>
      <c r="ET17" s="654"/>
      <c r="EU17" s="654"/>
      <c r="EV17" s="654"/>
      <c r="EW17" s="654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654" t="s">
        <v>9</v>
      </c>
      <c r="FX17" s="654"/>
      <c r="FY17" s="654"/>
      <c r="FZ17" s="654"/>
      <c r="GA17" s="654"/>
      <c r="GB17" s="654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654" t="s">
        <v>9</v>
      </c>
      <c r="GU17" s="654"/>
      <c r="GV17" s="654"/>
      <c r="GW17" s="654"/>
      <c r="GX17" s="654"/>
      <c r="GY17" s="654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654" t="s">
        <v>9</v>
      </c>
      <c r="HP17" s="654"/>
      <c r="HQ17" s="654"/>
      <c r="HR17" s="654"/>
      <c r="HS17" s="654"/>
      <c r="HT17" s="654"/>
      <c r="HU17" s="13">
        <v>35</v>
      </c>
      <c r="HV17" s="19"/>
      <c r="HW17" s="30">
        <f t="shared" si="33"/>
        <v>0</v>
      </c>
      <c r="HX17" s="28">
        <f t="shared" si="0"/>
        <v>0</v>
      </c>
      <c r="HZ17" s="654" t="s">
        <v>9</v>
      </c>
      <c r="IA17" s="654"/>
      <c r="IB17" s="654"/>
      <c r="IC17" s="654"/>
      <c r="ID17" s="654"/>
      <c r="IE17" s="654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654" t="s">
        <v>9</v>
      </c>
      <c r="IQ17" s="654"/>
      <c r="IR17" s="654"/>
      <c r="IS17" s="654"/>
      <c r="IT17" s="654"/>
      <c r="IU17" s="654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654" t="s">
        <v>9</v>
      </c>
      <c r="JC17" s="654"/>
      <c r="JD17" s="654"/>
      <c r="JE17" s="654"/>
      <c r="JF17" s="654"/>
      <c r="JG17" s="654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654" t="s">
        <v>9</v>
      </c>
      <c r="KI17" s="654"/>
      <c r="KJ17" s="654"/>
      <c r="KK17" s="654"/>
      <c r="KL17" s="654"/>
      <c r="KM17" s="654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654" t="s">
        <v>9</v>
      </c>
      <c r="KW17" s="654"/>
      <c r="KX17" s="654"/>
      <c r="KY17" s="654"/>
      <c r="KZ17" s="654"/>
      <c r="LA17" s="654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654" t="s">
        <v>9</v>
      </c>
      <c r="LJ17" s="654"/>
      <c r="LK17" s="654"/>
      <c r="LL17" s="654"/>
      <c r="LM17" s="654"/>
      <c r="LN17" s="654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654" t="s">
        <v>9</v>
      </c>
      <c r="MI17" s="654"/>
      <c r="MJ17" s="654"/>
      <c r="MK17" s="654"/>
      <c r="ML17" s="654"/>
      <c r="MM17" s="654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654" t="s">
        <v>9</v>
      </c>
      <c r="NH17" s="654"/>
      <c r="NI17" s="654"/>
      <c r="NJ17" s="654"/>
      <c r="NK17" s="654"/>
      <c r="NL17" s="654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47"/>
      <c r="B18" s="14"/>
      <c r="C18" s="654" t="s">
        <v>10</v>
      </c>
      <c r="D18" s="654"/>
      <c r="E18" s="654"/>
      <c r="F18" s="654"/>
      <c r="G18" s="654"/>
      <c r="H18" s="654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654" t="s">
        <v>10</v>
      </c>
      <c r="Q18" s="654"/>
      <c r="R18" s="654"/>
      <c r="S18" s="654"/>
      <c r="T18" s="654"/>
      <c r="U18" s="654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654" t="s">
        <v>10</v>
      </c>
      <c r="AI18" s="654"/>
      <c r="AJ18" s="654"/>
      <c r="AK18" s="654"/>
      <c r="AL18" s="654"/>
      <c r="AM18" s="654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653" t="s">
        <v>10</v>
      </c>
      <c r="AT18" s="653"/>
      <c r="AU18" s="653"/>
      <c r="AV18" s="653"/>
      <c r="AW18" s="653"/>
      <c r="AX18" s="653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653" t="s">
        <v>10</v>
      </c>
      <c r="BH18" s="653"/>
      <c r="BI18" s="653"/>
      <c r="BJ18" s="653"/>
      <c r="BK18" s="653"/>
      <c r="BL18" s="653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653" t="s">
        <v>10</v>
      </c>
      <c r="BT18" s="653"/>
      <c r="BU18" s="653"/>
      <c r="BV18" s="653"/>
      <c r="BW18" s="653"/>
      <c r="BX18" s="653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653" t="s">
        <v>10</v>
      </c>
      <c r="CM18" s="653"/>
      <c r="CN18" s="653"/>
      <c r="CO18" s="653"/>
      <c r="CP18" s="653"/>
      <c r="CQ18" s="653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653" t="s">
        <v>10</v>
      </c>
      <c r="DE18" s="653"/>
      <c r="DF18" s="653"/>
      <c r="DG18" s="653"/>
      <c r="DH18" s="653"/>
      <c r="DI18" s="653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653" t="s">
        <v>10</v>
      </c>
      <c r="DY18" s="653"/>
      <c r="DZ18" s="653"/>
      <c r="EA18" s="653"/>
      <c r="EB18" s="653"/>
      <c r="EC18" s="653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653" t="s">
        <v>10</v>
      </c>
      <c r="ES18" s="653"/>
      <c r="ET18" s="653"/>
      <c r="EU18" s="653"/>
      <c r="EV18" s="653"/>
      <c r="EW18" s="653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653" t="s">
        <v>10</v>
      </c>
      <c r="FX18" s="653"/>
      <c r="FY18" s="653"/>
      <c r="FZ18" s="653"/>
      <c r="GA18" s="653"/>
      <c r="GB18" s="653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653" t="s">
        <v>10</v>
      </c>
      <c r="GU18" s="653"/>
      <c r="GV18" s="653"/>
      <c r="GW18" s="653"/>
      <c r="GX18" s="653"/>
      <c r="GY18" s="653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653" t="s">
        <v>10</v>
      </c>
      <c r="HP18" s="653"/>
      <c r="HQ18" s="653"/>
      <c r="HR18" s="653"/>
      <c r="HS18" s="653"/>
      <c r="HT18" s="653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653" t="s">
        <v>10</v>
      </c>
      <c r="IA18" s="653"/>
      <c r="IB18" s="653"/>
      <c r="IC18" s="653"/>
      <c r="ID18" s="653"/>
      <c r="IE18" s="653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653" t="s">
        <v>10</v>
      </c>
      <c r="IQ18" s="653"/>
      <c r="IR18" s="653"/>
      <c r="IS18" s="653"/>
      <c r="IT18" s="653"/>
      <c r="IU18" s="653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653" t="s">
        <v>10</v>
      </c>
      <c r="JC18" s="653"/>
      <c r="JD18" s="653"/>
      <c r="JE18" s="653"/>
      <c r="JF18" s="653"/>
      <c r="JG18" s="653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653" t="s">
        <v>10</v>
      </c>
      <c r="KI18" s="653"/>
      <c r="KJ18" s="653"/>
      <c r="KK18" s="653"/>
      <c r="KL18" s="653"/>
      <c r="KM18" s="653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653" t="s">
        <v>10</v>
      </c>
      <c r="KW18" s="653"/>
      <c r="KX18" s="653"/>
      <c r="KY18" s="653"/>
      <c r="KZ18" s="653"/>
      <c r="LA18" s="653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653" t="s">
        <v>10</v>
      </c>
      <c r="LJ18" s="653"/>
      <c r="LK18" s="653"/>
      <c r="LL18" s="653"/>
      <c r="LM18" s="653"/>
      <c r="LN18" s="653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653" t="s">
        <v>10</v>
      </c>
      <c r="MI18" s="653"/>
      <c r="MJ18" s="653"/>
      <c r="MK18" s="653"/>
      <c r="ML18" s="653"/>
      <c r="MM18" s="653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653" t="s">
        <v>10</v>
      </c>
      <c r="NH18" s="653"/>
      <c r="NI18" s="653"/>
      <c r="NJ18" s="653"/>
      <c r="NK18" s="653"/>
      <c r="NL18" s="653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47"/>
      <c r="B19" s="14"/>
      <c r="C19" s="654" t="s">
        <v>11</v>
      </c>
      <c r="D19" s="654"/>
      <c r="E19" s="654"/>
      <c r="F19" s="654"/>
      <c r="G19" s="654"/>
      <c r="H19" s="654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654" t="s">
        <v>11</v>
      </c>
      <c r="Q19" s="654"/>
      <c r="R19" s="654"/>
      <c r="S19" s="654"/>
      <c r="T19" s="654"/>
      <c r="U19" s="654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654" t="s">
        <v>11</v>
      </c>
      <c r="AI19" s="654"/>
      <c r="AJ19" s="654"/>
      <c r="AK19" s="654"/>
      <c r="AL19" s="654"/>
      <c r="AM19" s="654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654" t="s">
        <v>11</v>
      </c>
      <c r="AT19" s="654"/>
      <c r="AU19" s="654"/>
      <c r="AV19" s="654"/>
      <c r="AW19" s="654"/>
      <c r="AX19" s="654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654" t="s">
        <v>11</v>
      </c>
      <c r="BH19" s="654"/>
      <c r="BI19" s="654"/>
      <c r="BJ19" s="654"/>
      <c r="BK19" s="654"/>
      <c r="BL19" s="654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654" t="s">
        <v>11</v>
      </c>
      <c r="BT19" s="654"/>
      <c r="BU19" s="654"/>
      <c r="BV19" s="654"/>
      <c r="BW19" s="654"/>
      <c r="BX19" s="654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654" t="s">
        <v>11</v>
      </c>
      <c r="CM19" s="654"/>
      <c r="CN19" s="654"/>
      <c r="CO19" s="654"/>
      <c r="CP19" s="654"/>
      <c r="CQ19" s="654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654" t="s">
        <v>11</v>
      </c>
      <c r="DE19" s="654"/>
      <c r="DF19" s="654"/>
      <c r="DG19" s="654"/>
      <c r="DH19" s="654"/>
      <c r="DI19" s="654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654" t="s">
        <v>11</v>
      </c>
      <c r="DY19" s="654"/>
      <c r="DZ19" s="654"/>
      <c r="EA19" s="654"/>
      <c r="EB19" s="654"/>
      <c r="EC19" s="654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654" t="s">
        <v>11</v>
      </c>
      <c r="ES19" s="654"/>
      <c r="ET19" s="654"/>
      <c r="EU19" s="654"/>
      <c r="EV19" s="654"/>
      <c r="EW19" s="654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654" t="s">
        <v>11</v>
      </c>
      <c r="FX19" s="654"/>
      <c r="FY19" s="654"/>
      <c r="FZ19" s="654"/>
      <c r="GA19" s="654"/>
      <c r="GB19" s="654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654" t="s">
        <v>11</v>
      </c>
      <c r="GU19" s="654"/>
      <c r="GV19" s="654"/>
      <c r="GW19" s="654"/>
      <c r="GX19" s="654"/>
      <c r="GY19" s="654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654" t="s">
        <v>11</v>
      </c>
      <c r="HP19" s="654"/>
      <c r="HQ19" s="654"/>
      <c r="HR19" s="654"/>
      <c r="HS19" s="654"/>
      <c r="HT19" s="654"/>
      <c r="HU19" s="13">
        <v>122</v>
      </c>
      <c r="HV19" s="19"/>
      <c r="HW19" s="30">
        <f t="shared" si="33"/>
        <v>0</v>
      </c>
      <c r="HX19" s="28">
        <f t="shared" si="0"/>
        <v>0</v>
      </c>
      <c r="HZ19" s="654" t="s">
        <v>11</v>
      </c>
      <c r="IA19" s="654"/>
      <c r="IB19" s="654"/>
      <c r="IC19" s="654"/>
      <c r="ID19" s="654"/>
      <c r="IE19" s="654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654" t="s">
        <v>11</v>
      </c>
      <c r="IQ19" s="654"/>
      <c r="IR19" s="654"/>
      <c r="IS19" s="654"/>
      <c r="IT19" s="654"/>
      <c r="IU19" s="654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654" t="s">
        <v>11</v>
      </c>
      <c r="JC19" s="654"/>
      <c r="JD19" s="654"/>
      <c r="JE19" s="654"/>
      <c r="JF19" s="654"/>
      <c r="JG19" s="654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654" t="s">
        <v>11</v>
      </c>
      <c r="KI19" s="654"/>
      <c r="KJ19" s="654"/>
      <c r="KK19" s="654"/>
      <c r="KL19" s="654"/>
      <c r="KM19" s="654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654" t="s">
        <v>11</v>
      </c>
      <c r="KW19" s="654"/>
      <c r="KX19" s="654"/>
      <c r="KY19" s="654"/>
      <c r="KZ19" s="654"/>
      <c r="LA19" s="654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654" t="s">
        <v>11</v>
      </c>
      <c r="LJ19" s="654"/>
      <c r="LK19" s="654"/>
      <c r="LL19" s="654"/>
      <c r="LM19" s="654"/>
      <c r="LN19" s="654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654" t="s">
        <v>11</v>
      </c>
      <c r="MI19" s="654"/>
      <c r="MJ19" s="654"/>
      <c r="MK19" s="654"/>
      <c r="ML19" s="654"/>
      <c r="MM19" s="654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654" t="s">
        <v>11</v>
      </c>
      <c r="NH19" s="654"/>
      <c r="NI19" s="654"/>
      <c r="NJ19" s="654"/>
      <c r="NK19" s="654"/>
      <c r="NL19" s="654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47"/>
      <c r="B20" s="14"/>
      <c r="C20" s="654" t="s">
        <v>57</v>
      </c>
      <c r="D20" s="654"/>
      <c r="E20" s="654"/>
      <c r="F20" s="654"/>
      <c r="G20" s="654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647" t="s">
        <v>57</v>
      </c>
      <c r="Q20" s="648"/>
      <c r="R20" s="648"/>
      <c r="S20" s="648"/>
      <c r="T20" s="648"/>
      <c r="U20" s="649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654" t="s">
        <v>57</v>
      </c>
      <c r="AI20" s="654"/>
      <c r="AJ20" s="654"/>
      <c r="AK20" s="654"/>
      <c r="AL20" s="654"/>
      <c r="AM20" s="15"/>
      <c r="AN20" s="13"/>
      <c r="AO20" s="19"/>
      <c r="AP20" s="23">
        <f t="shared" si="12"/>
        <v>0</v>
      </c>
      <c r="AQ20" s="19">
        <f t="shared" si="13"/>
        <v>0</v>
      </c>
      <c r="AS20" s="650" t="s">
        <v>57</v>
      </c>
      <c r="AT20" s="651"/>
      <c r="AU20" s="651"/>
      <c r="AV20" s="651"/>
      <c r="AW20" s="651"/>
      <c r="AX20" s="652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650" t="s">
        <v>57</v>
      </c>
      <c r="BH20" s="651"/>
      <c r="BI20" s="651"/>
      <c r="BJ20" s="651"/>
      <c r="BK20" s="651"/>
      <c r="BL20" s="652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650" t="s">
        <v>57</v>
      </c>
      <c r="BT20" s="651"/>
      <c r="BU20" s="651"/>
      <c r="BV20" s="651"/>
      <c r="BW20" s="651"/>
      <c r="BX20" s="652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650" t="s">
        <v>57</v>
      </c>
      <c r="CM20" s="651"/>
      <c r="CN20" s="651"/>
      <c r="CO20" s="651"/>
      <c r="CP20" s="651"/>
      <c r="CQ20" s="652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650" t="s">
        <v>57</v>
      </c>
      <c r="DE20" s="651"/>
      <c r="DF20" s="651"/>
      <c r="DG20" s="651"/>
      <c r="DH20" s="651"/>
      <c r="DI20" s="652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650" t="s">
        <v>57</v>
      </c>
      <c r="DY20" s="651"/>
      <c r="DZ20" s="651"/>
      <c r="EA20" s="651"/>
      <c r="EB20" s="651"/>
      <c r="EC20" s="652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650" t="s">
        <v>57</v>
      </c>
      <c r="ES20" s="651"/>
      <c r="ET20" s="651"/>
      <c r="EU20" s="651"/>
      <c r="EV20" s="651"/>
      <c r="EW20" s="652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650" t="s">
        <v>57</v>
      </c>
      <c r="FX20" s="651"/>
      <c r="FY20" s="651"/>
      <c r="FZ20" s="651"/>
      <c r="GA20" s="651"/>
      <c r="GB20" s="652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650" t="s">
        <v>57</v>
      </c>
      <c r="GU20" s="651"/>
      <c r="GV20" s="651"/>
      <c r="GW20" s="651"/>
      <c r="GX20" s="651"/>
      <c r="GY20" s="652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650" t="s">
        <v>57</v>
      </c>
      <c r="HP20" s="651"/>
      <c r="HQ20" s="651"/>
      <c r="HR20" s="651"/>
      <c r="HS20" s="651"/>
      <c r="HT20" s="652"/>
      <c r="HU20" s="28">
        <v>58</v>
      </c>
      <c r="HV20" s="28"/>
      <c r="HW20" s="30">
        <f t="shared" si="33"/>
        <v>0</v>
      </c>
      <c r="HX20" s="28">
        <f t="shared" si="0"/>
        <v>0</v>
      </c>
      <c r="HZ20" s="650" t="s">
        <v>57</v>
      </c>
      <c r="IA20" s="651"/>
      <c r="IB20" s="651"/>
      <c r="IC20" s="651"/>
      <c r="ID20" s="651"/>
      <c r="IE20" s="652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650" t="s">
        <v>57</v>
      </c>
      <c r="IQ20" s="651"/>
      <c r="IR20" s="651"/>
      <c r="IS20" s="651"/>
      <c r="IT20" s="651"/>
      <c r="IU20" s="652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650" t="s">
        <v>57</v>
      </c>
      <c r="JC20" s="651"/>
      <c r="JD20" s="651"/>
      <c r="JE20" s="651"/>
      <c r="JF20" s="651"/>
      <c r="JG20" s="652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650" t="s">
        <v>57</v>
      </c>
      <c r="KI20" s="651"/>
      <c r="KJ20" s="651"/>
      <c r="KK20" s="651"/>
      <c r="KL20" s="651"/>
      <c r="KM20" s="652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650" t="s">
        <v>57</v>
      </c>
      <c r="KW20" s="651"/>
      <c r="KX20" s="651"/>
      <c r="KY20" s="651"/>
      <c r="KZ20" s="651"/>
      <c r="LA20" s="652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650" t="s">
        <v>57</v>
      </c>
      <c r="LJ20" s="651"/>
      <c r="LK20" s="651"/>
      <c r="LL20" s="651"/>
      <c r="LM20" s="651"/>
      <c r="LN20" s="652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650" t="s">
        <v>57</v>
      </c>
      <c r="MI20" s="651"/>
      <c r="MJ20" s="651"/>
      <c r="MK20" s="651"/>
      <c r="ML20" s="651"/>
      <c r="MM20" s="652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650" t="s">
        <v>57</v>
      </c>
      <c r="NH20" s="651"/>
      <c r="NI20" s="651"/>
      <c r="NJ20" s="651"/>
      <c r="NK20" s="651"/>
      <c r="NL20" s="652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47"/>
      <c r="B21" s="14"/>
      <c r="C21" s="654" t="s">
        <v>51</v>
      </c>
      <c r="D21" s="654"/>
      <c r="E21" s="654"/>
      <c r="F21" s="654"/>
      <c r="G21" s="654"/>
      <c r="H21" s="654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654" t="s">
        <v>51</v>
      </c>
      <c r="Q21" s="654"/>
      <c r="R21" s="654"/>
      <c r="S21" s="654"/>
      <c r="T21" s="654"/>
      <c r="U21" s="654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654" t="s">
        <v>51</v>
      </c>
      <c r="AI21" s="654"/>
      <c r="AJ21" s="654"/>
      <c r="AK21" s="654"/>
      <c r="AL21" s="654"/>
      <c r="AM21" s="654"/>
      <c r="AN21" s="13"/>
      <c r="AO21" s="19"/>
      <c r="AP21" s="23">
        <f t="shared" si="12"/>
        <v>0</v>
      </c>
      <c r="AQ21" s="19">
        <f t="shared" si="13"/>
        <v>0</v>
      </c>
      <c r="AS21" s="654" t="s">
        <v>51</v>
      </c>
      <c r="AT21" s="654"/>
      <c r="AU21" s="654"/>
      <c r="AV21" s="654"/>
      <c r="AW21" s="654"/>
      <c r="AX21" s="654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654" t="s">
        <v>51</v>
      </c>
      <c r="BH21" s="654"/>
      <c r="BI21" s="654"/>
      <c r="BJ21" s="654"/>
      <c r="BK21" s="654"/>
      <c r="BL21" s="654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654" t="s">
        <v>51</v>
      </c>
      <c r="BT21" s="654"/>
      <c r="BU21" s="654"/>
      <c r="BV21" s="654"/>
      <c r="BW21" s="654"/>
      <c r="BX21" s="654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654" t="s">
        <v>51</v>
      </c>
      <c r="CM21" s="654"/>
      <c r="CN21" s="654"/>
      <c r="CO21" s="654"/>
      <c r="CP21" s="654"/>
      <c r="CQ21" s="654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654" t="s">
        <v>51</v>
      </c>
      <c r="DE21" s="654"/>
      <c r="DF21" s="654"/>
      <c r="DG21" s="654"/>
      <c r="DH21" s="654"/>
      <c r="DI21" s="654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654" t="s">
        <v>51</v>
      </c>
      <c r="DY21" s="654"/>
      <c r="DZ21" s="654"/>
      <c r="EA21" s="654"/>
      <c r="EB21" s="654"/>
      <c r="EC21" s="654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654" t="s">
        <v>51</v>
      </c>
      <c r="ES21" s="654"/>
      <c r="ET21" s="654"/>
      <c r="EU21" s="654"/>
      <c r="EV21" s="654"/>
      <c r="EW21" s="654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654" t="s">
        <v>51</v>
      </c>
      <c r="FX21" s="654"/>
      <c r="FY21" s="654"/>
      <c r="FZ21" s="654"/>
      <c r="GA21" s="654"/>
      <c r="GB21" s="654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654" t="s">
        <v>51</v>
      </c>
      <c r="GU21" s="654"/>
      <c r="GV21" s="654"/>
      <c r="GW21" s="654"/>
      <c r="GX21" s="654"/>
      <c r="GY21" s="654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654" t="s">
        <v>51</v>
      </c>
      <c r="HP21" s="654"/>
      <c r="HQ21" s="654"/>
      <c r="HR21" s="654"/>
      <c r="HS21" s="654"/>
      <c r="HT21" s="654"/>
      <c r="HU21" s="13">
        <v>55</v>
      </c>
      <c r="HV21" s="19"/>
      <c r="HW21" s="30">
        <f t="shared" si="33"/>
        <v>0</v>
      </c>
      <c r="HX21" s="28">
        <f t="shared" si="0"/>
        <v>0</v>
      </c>
      <c r="HZ21" s="654" t="s">
        <v>51</v>
      </c>
      <c r="IA21" s="654"/>
      <c r="IB21" s="654"/>
      <c r="IC21" s="654"/>
      <c r="ID21" s="654"/>
      <c r="IE21" s="654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654" t="s">
        <v>51</v>
      </c>
      <c r="IQ21" s="654"/>
      <c r="IR21" s="654"/>
      <c r="IS21" s="654"/>
      <c r="IT21" s="654"/>
      <c r="IU21" s="654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654" t="s">
        <v>51</v>
      </c>
      <c r="JC21" s="654"/>
      <c r="JD21" s="654"/>
      <c r="JE21" s="654"/>
      <c r="JF21" s="654"/>
      <c r="JG21" s="654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654" t="s">
        <v>51</v>
      </c>
      <c r="KI21" s="654"/>
      <c r="KJ21" s="654"/>
      <c r="KK21" s="654"/>
      <c r="KL21" s="654"/>
      <c r="KM21" s="654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654" t="s">
        <v>51</v>
      </c>
      <c r="KW21" s="654"/>
      <c r="KX21" s="654"/>
      <c r="KY21" s="654"/>
      <c r="KZ21" s="654"/>
      <c r="LA21" s="654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654" t="s">
        <v>51</v>
      </c>
      <c r="LJ21" s="654"/>
      <c r="LK21" s="654"/>
      <c r="LL21" s="654"/>
      <c r="LM21" s="654"/>
      <c r="LN21" s="654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654" t="s">
        <v>51</v>
      </c>
      <c r="MI21" s="654"/>
      <c r="MJ21" s="654"/>
      <c r="MK21" s="654"/>
      <c r="ML21" s="654"/>
      <c r="MM21" s="654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654" t="s">
        <v>51</v>
      </c>
      <c r="NH21" s="654"/>
      <c r="NI21" s="654"/>
      <c r="NJ21" s="654"/>
      <c r="NK21" s="654"/>
      <c r="NL21" s="654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47"/>
      <c r="B22" s="14"/>
      <c r="C22" s="654" t="s">
        <v>52</v>
      </c>
      <c r="D22" s="654"/>
      <c r="E22" s="654"/>
      <c r="F22" s="654"/>
      <c r="G22" s="654"/>
      <c r="H22" s="654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654" t="s">
        <v>52</v>
      </c>
      <c r="Q22" s="654"/>
      <c r="R22" s="654"/>
      <c r="S22" s="654"/>
      <c r="T22" s="654"/>
      <c r="U22" s="654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654" t="s">
        <v>52</v>
      </c>
      <c r="AI22" s="654"/>
      <c r="AJ22" s="654"/>
      <c r="AK22" s="654"/>
      <c r="AL22" s="654"/>
      <c r="AM22" s="654"/>
      <c r="AN22" s="13"/>
      <c r="AO22" s="19"/>
      <c r="AP22" s="23">
        <f t="shared" si="12"/>
        <v>0</v>
      </c>
      <c r="AQ22" s="19">
        <f t="shared" si="13"/>
        <v>0</v>
      </c>
      <c r="AS22" s="653" t="s">
        <v>52</v>
      </c>
      <c r="AT22" s="653"/>
      <c r="AU22" s="653"/>
      <c r="AV22" s="653"/>
      <c r="AW22" s="653"/>
      <c r="AX22" s="653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653" t="s">
        <v>52</v>
      </c>
      <c r="BH22" s="653"/>
      <c r="BI22" s="653"/>
      <c r="BJ22" s="653"/>
      <c r="BK22" s="653"/>
      <c r="BL22" s="653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653" t="s">
        <v>52</v>
      </c>
      <c r="BT22" s="653"/>
      <c r="BU22" s="653"/>
      <c r="BV22" s="653"/>
      <c r="BW22" s="653"/>
      <c r="BX22" s="653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653" t="s">
        <v>52</v>
      </c>
      <c r="CM22" s="653"/>
      <c r="CN22" s="653"/>
      <c r="CO22" s="653"/>
      <c r="CP22" s="653"/>
      <c r="CQ22" s="653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653" t="s">
        <v>52</v>
      </c>
      <c r="DE22" s="653"/>
      <c r="DF22" s="653"/>
      <c r="DG22" s="653"/>
      <c r="DH22" s="653"/>
      <c r="DI22" s="653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653" t="s">
        <v>52</v>
      </c>
      <c r="DY22" s="653"/>
      <c r="DZ22" s="653"/>
      <c r="EA22" s="653"/>
      <c r="EB22" s="653"/>
      <c r="EC22" s="653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653" t="s">
        <v>52</v>
      </c>
      <c r="ES22" s="653"/>
      <c r="ET22" s="653"/>
      <c r="EU22" s="653"/>
      <c r="EV22" s="653"/>
      <c r="EW22" s="653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653" t="s">
        <v>52</v>
      </c>
      <c r="FX22" s="653"/>
      <c r="FY22" s="653"/>
      <c r="FZ22" s="653"/>
      <c r="GA22" s="653"/>
      <c r="GB22" s="653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653" t="s">
        <v>52</v>
      </c>
      <c r="GU22" s="653"/>
      <c r="GV22" s="653"/>
      <c r="GW22" s="653"/>
      <c r="GX22" s="653"/>
      <c r="GY22" s="653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653" t="s">
        <v>52</v>
      </c>
      <c r="HP22" s="653"/>
      <c r="HQ22" s="653"/>
      <c r="HR22" s="653"/>
      <c r="HS22" s="653"/>
      <c r="HT22" s="653"/>
      <c r="HU22" s="28">
        <v>73</v>
      </c>
      <c r="HV22" s="28"/>
      <c r="HW22" s="30">
        <f t="shared" si="33"/>
        <v>0</v>
      </c>
      <c r="HX22" s="28">
        <f t="shared" si="0"/>
        <v>0</v>
      </c>
      <c r="HZ22" s="653" t="s">
        <v>52</v>
      </c>
      <c r="IA22" s="653"/>
      <c r="IB22" s="653"/>
      <c r="IC22" s="653"/>
      <c r="ID22" s="653"/>
      <c r="IE22" s="653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653" t="s">
        <v>52</v>
      </c>
      <c r="IQ22" s="653"/>
      <c r="IR22" s="653"/>
      <c r="IS22" s="653"/>
      <c r="IT22" s="653"/>
      <c r="IU22" s="653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653" t="s">
        <v>52</v>
      </c>
      <c r="JC22" s="653"/>
      <c r="JD22" s="653"/>
      <c r="JE22" s="653"/>
      <c r="JF22" s="653"/>
      <c r="JG22" s="653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653" t="s">
        <v>52</v>
      </c>
      <c r="KI22" s="653"/>
      <c r="KJ22" s="653"/>
      <c r="KK22" s="653"/>
      <c r="KL22" s="653"/>
      <c r="KM22" s="653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653" t="s">
        <v>52</v>
      </c>
      <c r="KW22" s="653"/>
      <c r="KX22" s="653"/>
      <c r="KY22" s="653"/>
      <c r="KZ22" s="653"/>
      <c r="LA22" s="653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653" t="s">
        <v>52</v>
      </c>
      <c r="LJ22" s="653"/>
      <c r="LK22" s="653"/>
      <c r="LL22" s="653"/>
      <c r="LM22" s="653"/>
      <c r="LN22" s="653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653" t="s">
        <v>52</v>
      </c>
      <c r="MI22" s="653"/>
      <c r="MJ22" s="653"/>
      <c r="MK22" s="653"/>
      <c r="ML22" s="653"/>
      <c r="MM22" s="653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653" t="s">
        <v>52</v>
      </c>
      <c r="NH22" s="653"/>
      <c r="NI22" s="653"/>
      <c r="NJ22" s="653"/>
      <c r="NK22" s="653"/>
      <c r="NL22" s="653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47"/>
      <c r="B23" s="14"/>
      <c r="C23" s="654" t="s">
        <v>12</v>
      </c>
      <c r="D23" s="654"/>
      <c r="E23" s="654"/>
      <c r="F23" s="654"/>
      <c r="G23" s="654"/>
      <c r="H23" s="654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654" t="s">
        <v>12</v>
      </c>
      <c r="Q23" s="654"/>
      <c r="R23" s="654"/>
      <c r="S23" s="654"/>
      <c r="T23" s="654"/>
      <c r="U23" s="654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654" t="s">
        <v>12</v>
      </c>
      <c r="AI23" s="654"/>
      <c r="AJ23" s="654"/>
      <c r="AK23" s="654"/>
      <c r="AL23" s="654"/>
      <c r="AM23" s="654"/>
      <c r="AN23" s="13">
        <v>26</v>
      </c>
      <c r="AO23" s="19"/>
      <c r="AP23" s="23">
        <f t="shared" si="12"/>
        <v>0</v>
      </c>
      <c r="AQ23" s="19">
        <f t="shared" si="13"/>
        <v>0</v>
      </c>
      <c r="AS23" s="654" t="s">
        <v>12</v>
      </c>
      <c r="AT23" s="654"/>
      <c r="AU23" s="654"/>
      <c r="AV23" s="654"/>
      <c r="AW23" s="654"/>
      <c r="AX23" s="654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654" t="s">
        <v>12</v>
      </c>
      <c r="BH23" s="654"/>
      <c r="BI23" s="654"/>
      <c r="BJ23" s="654"/>
      <c r="BK23" s="654"/>
      <c r="BL23" s="654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654" t="s">
        <v>12</v>
      </c>
      <c r="BT23" s="654"/>
      <c r="BU23" s="654"/>
      <c r="BV23" s="654"/>
      <c r="BW23" s="654"/>
      <c r="BX23" s="654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654" t="s">
        <v>12</v>
      </c>
      <c r="CM23" s="654"/>
      <c r="CN23" s="654"/>
      <c r="CO23" s="654"/>
      <c r="CP23" s="654"/>
      <c r="CQ23" s="654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654" t="s">
        <v>12</v>
      </c>
      <c r="DE23" s="654"/>
      <c r="DF23" s="654"/>
      <c r="DG23" s="654"/>
      <c r="DH23" s="654"/>
      <c r="DI23" s="654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654" t="s">
        <v>12</v>
      </c>
      <c r="DY23" s="654"/>
      <c r="DZ23" s="654"/>
      <c r="EA23" s="654"/>
      <c r="EB23" s="654"/>
      <c r="EC23" s="654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654" t="s">
        <v>12</v>
      </c>
      <c r="ES23" s="654"/>
      <c r="ET23" s="654"/>
      <c r="EU23" s="654"/>
      <c r="EV23" s="654"/>
      <c r="EW23" s="654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654" t="s">
        <v>12</v>
      </c>
      <c r="FX23" s="654"/>
      <c r="FY23" s="654"/>
      <c r="FZ23" s="654"/>
      <c r="GA23" s="654"/>
      <c r="GB23" s="654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654" t="s">
        <v>12</v>
      </c>
      <c r="GU23" s="654"/>
      <c r="GV23" s="654"/>
      <c r="GW23" s="654"/>
      <c r="GX23" s="654"/>
      <c r="GY23" s="654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654" t="s">
        <v>12</v>
      </c>
      <c r="HP23" s="654"/>
      <c r="HQ23" s="654"/>
      <c r="HR23" s="654"/>
      <c r="HS23" s="654"/>
      <c r="HT23" s="654"/>
      <c r="HU23" s="13">
        <v>36</v>
      </c>
      <c r="HV23" s="19"/>
      <c r="HW23" s="30">
        <f t="shared" si="33"/>
        <v>0</v>
      </c>
      <c r="HX23" s="28">
        <f t="shared" si="0"/>
        <v>0</v>
      </c>
      <c r="HZ23" s="654" t="s">
        <v>12</v>
      </c>
      <c r="IA23" s="654"/>
      <c r="IB23" s="654"/>
      <c r="IC23" s="654"/>
      <c r="ID23" s="654"/>
      <c r="IE23" s="654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654" t="s">
        <v>12</v>
      </c>
      <c r="IQ23" s="654"/>
      <c r="IR23" s="654"/>
      <c r="IS23" s="654"/>
      <c r="IT23" s="654"/>
      <c r="IU23" s="654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654" t="s">
        <v>12</v>
      </c>
      <c r="JC23" s="654"/>
      <c r="JD23" s="654"/>
      <c r="JE23" s="654"/>
      <c r="JF23" s="654"/>
      <c r="JG23" s="654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654" t="s">
        <v>12</v>
      </c>
      <c r="KI23" s="654"/>
      <c r="KJ23" s="654"/>
      <c r="KK23" s="654"/>
      <c r="KL23" s="654"/>
      <c r="KM23" s="654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654" t="s">
        <v>12</v>
      </c>
      <c r="KW23" s="654"/>
      <c r="KX23" s="654"/>
      <c r="KY23" s="654"/>
      <c r="KZ23" s="654"/>
      <c r="LA23" s="654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654" t="s">
        <v>12</v>
      </c>
      <c r="LJ23" s="654"/>
      <c r="LK23" s="654"/>
      <c r="LL23" s="654"/>
      <c r="LM23" s="654"/>
      <c r="LN23" s="654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654" t="s">
        <v>12</v>
      </c>
      <c r="MI23" s="654"/>
      <c r="MJ23" s="654"/>
      <c r="MK23" s="654"/>
      <c r="ML23" s="654"/>
      <c r="MM23" s="654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654" t="s">
        <v>12</v>
      </c>
      <c r="NH23" s="654"/>
      <c r="NI23" s="654"/>
      <c r="NJ23" s="654"/>
      <c r="NK23" s="654"/>
      <c r="NL23" s="654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47"/>
      <c r="B24" s="14"/>
      <c r="C24" s="654" t="s">
        <v>13</v>
      </c>
      <c r="D24" s="654"/>
      <c r="E24" s="654"/>
      <c r="F24" s="654"/>
      <c r="G24" s="654"/>
      <c r="H24" s="654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654" t="s">
        <v>13</v>
      </c>
      <c r="Q24" s="654"/>
      <c r="R24" s="654"/>
      <c r="S24" s="654"/>
      <c r="T24" s="654"/>
      <c r="U24" s="654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654" t="s">
        <v>13</v>
      </c>
      <c r="AI24" s="654"/>
      <c r="AJ24" s="654"/>
      <c r="AK24" s="654"/>
      <c r="AL24" s="654"/>
      <c r="AM24" s="654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653" t="s">
        <v>13</v>
      </c>
      <c r="AT24" s="653"/>
      <c r="AU24" s="653"/>
      <c r="AV24" s="653"/>
      <c r="AW24" s="653"/>
      <c r="AX24" s="653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653" t="s">
        <v>13</v>
      </c>
      <c r="BH24" s="653"/>
      <c r="BI24" s="653"/>
      <c r="BJ24" s="653"/>
      <c r="BK24" s="653"/>
      <c r="BL24" s="653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653" t="s">
        <v>13</v>
      </c>
      <c r="BT24" s="653"/>
      <c r="BU24" s="653"/>
      <c r="BV24" s="653"/>
      <c r="BW24" s="653"/>
      <c r="BX24" s="653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653" t="s">
        <v>13</v>
      </c>
      <c r="CM24" s="653"/>
      <c r="CN24" s="653"/>
      <c r="CO24" s="653"/>
      <c r="CP24" s="653"/>
      <c r="CQ24" s="653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653" t="s">
        <v>13</v>
      </c>
      <c r="DE24" s="653"/>
      <c r="DF24" s="653"/>
      <c r="DG24" s="653"/>
      <c r="DH24" s="653"/>
      <c r="DI24" s="653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653" t="s">
        <v>13</v>
      </c>
      <c r="DY24" s="653"/>
      <c r="DZ24" s="653"/>
      <c r="EA24" s="653"/>
      <c r="EB24" s="653"/>
      <c r="EC24" s="653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653" t="s">
        <v>13</v>
      </c>
      <c r="ES24" s="653"/>
      <c r="ET24" s="653"/>
      <c r="EU24" s="653"/>
      <c r="EV24" s="653"/>
      <c r="EW24" s="653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653" t="s">
        <v>13</v>
      </c>
      <c r="FX24" s="653"/>
      <c r="FY24" s="653"/>
      <c r="FZ24" s="653"/>
      <c r="GA24" s="653"/>
      <c r="GB24" s="653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653" t="s">
        <v>13</v>
      </c>
      <c r="GU24" s="653"/>
      <c r="GV24" s="653"/>
      <c r="GW24" s="653"/>
      <c r="GX24" s="653"/>
      <c r="GY24" s="653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653" t="s">
        <v>13</v>
      </c>
      <c r="HP24" s="653"/>
      <c r="HQ24" s="653"/>
      <c r="HR24" s="653"/>
      <c r="HS24" s="653"/>
      <c r="HT24" s="653"/>
      <c r="HU24" s="28">
        <v>39</v>
      </c>
      <c r="HV24" s="28"/>
      <c r="HW24" s="30">
        <f t="shared" si="33"/>
        <v>0</v>
      </c>
      <c r="HX24" s="28">
        <f t="shared" si="0"/>
        <v>0</v>
      </c>
      <c r="HZ24" s="653" t="s">
        <v>13</v>
      </c>
      <c r="IA24" s="653"/>
      <c r="IB24" s="653"/>
      <c r="IC24" s="653"/>
      <c r="ID24" s="653"/>
      <c r="IE24" s="653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653" t="s">
        <v>13</v>
      </c>
      <c r="IQ24" s="653"/>
      <c r="IR24" s="653"/>
      <c r="IS24" s="653"/>
      <c r="IT24" s="653"/>
      <c r="IU24" s="653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653" t="s">
        <v>13</v>
      </c>
      <c r="JC24" s="653"/>
      <c r="JD24" s="653"/>
      <c r="JE24" s="653"/>
      <c r="JF24" s="653"/>
      <c r="JG24" s="653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653" t="s">
        <v>13</v>
      </c>
      <c r="KI24" s="653"/>
      <c r="KJ24" s="653"/>
      <c r="KK24" s="653"/>
      <c r="KL24" s="653"/>
      <c r="KM24" s="653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653" t="s">
        <v>13</v>
      </c>
      <c r="KW24" s="653"/>
      <c r="KX24" s="653"/>
      <c r="KY24" s="653"/>
      <c r="KZ24" s="653"/>
      <c r="LA24" s="653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653" t="s">
        <v>13</v>
      </c>
      <c r="LJ24" s="653"/>
      <c r="LK24" s="653"/>
      <c r="LL24" s="653"/>
      <c r="LM24" s="653"/>
      <c r="LN24" s="653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653" t="s">
        <v>13</v>
      </c>
      <c r="MI24" s="653"/>
      <c r="MJ24" s="653"/>
      <c r="MK24" s="653"/>
      <c r="ML24" s="653"/>
      <c r="MM24" s="653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653" t="s">
        <v>13</v>
      </c>
      <c r="NH24" s="653"/>
      <c r="NI24" s="653"/>
      <c r="NJ24" s="653"/>
      <c r="NK24" s="653"/>
      <c r="NL24" s="653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47"/>
      <c r="B25" s="14"/>
      <c r="C25" s="672" t="s">
        <v>67</v>
      </c>
      <c r="D25" s="672"/>
      <c r="E25" s="672"/>
      <c r="F25" s="672"/>
      <c r="G25" s="672"/>
      <c r="H25" s="715"/>
      <c r="I25" s="13"/>
      <c r="J25" s="13"/>
      <c r="K25" s="19"/>
      <c r="L25" s="19"/>
      <c r="M25" s="19"/>
      <c r="N25" s="19">
        <f t="shared" si="9"/>
        <v>0</v>
      </c>
      <c r="O25" s="12"/>
      <c r="P25" s="672" t="s">
        <v>67</v>
      </c>
      <c r="Q25" s="672"/>
      <c r="R25" s="672"/>
      <c r="S25" s="672"/>
      <c r="T25" s="672"/>
      <c r="U25" s="672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672" t="s">
        <v>67</v>
      </c>
      <c r="AI25" s="672"/>
      <c r="AJ25" s="672"/>
      <c r="AK25" s="672"/>
      <c r="AL25" s="672"/>
      <c r="AM25" s="672"/>
      <c r="AN25" s="13"/>
      <c r="AO25" s="19"/>
      <c r="AP25" s="23"/>
      <c r="AQ25" s="19">
        <f t="shared" si="13"/>
        <v>0</v>
      </c>
      <c r="AS25" s="672" t="s">
        <v>67</v>
      </c>
      <c r="AT25" s="672"/>
      <c r="AU25" s="672"/>
      <c r="AV25" s="672"/>
      <c r="AW25" s="672"/>
      <c r="AX25" s="672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672" t="s">
        <v>67</v>
      </c>
      <c r="BH25" s="672"/>
      <c r="BI25" s="672"/>
      <c r="BJ25" s="672"/>
      <c r="BK25" s="672"/>
      <c r="BL25" s="672"/>
      <c r="BM25" s="28"/>
      <c r="BN25" s="28"/>
      <c r="BO25" s="28"/>
      <c r="BP25" s="30"/>
      <c r="BQ25" s="28">
        <f t="shared" si="17"/>
        <v>0</v>
      </c>
      <c r="BR25" s="14"/>
      <c r="BS25" s="672" t="s">
        <v>67</v>
      </c>
      <c r="BT25" s="672"/>
      <c r="BU25" s="672"/>
      <c r="BV25" s="672"/>
      <c r="BW25" s="672"/>
      <c r="BX25" s="672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672" t="s">
        <v>67</v>
      </c>
      <c r="CM25" s="672"/>
      <c r="CN25" s="672"/>
      <c r="CO25" s="672"/>
      <c r="CP25" s="672"/>
      <c r="CQ25" s="672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672" t="s">
        <v>67</v>
      </c>
      <c r="DE25" s="672"/>
      <c r="DF25" s="672"/>
      <c r="DG25" s="672"/>
      <c r="DH25" s="672"/>
      <c r="DI25" s="672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672" t="s">
        <v>67</v>
      </c>
      <c r="DY25" s="672"/>
      <c r="DZ25" s="672"/>
      <c r="EA25" s="672"/>
      <c r="EB25" s="672"/>
      <c r="EC25" s="672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85"/>
      <c r="EN25" s="85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672" t="s">
        <v>67</v>
      </c>
      <c r="ES25" s="672"/>
      <c r="ET25" s="672"/>
      <c r="EU25" s="672"/>
      <c r="EV25" s="672"/>
      <c r="EW25" s="672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85"/>
      <c r="FJ25" s="85"/>
      <c r="FK25" s="85"/>
      <c r="FL25" s="85"/>
      <c r="FM25" s="85"/>
      <c r="FN25" s="85"/>
      <c r="FO25" s="85"/>
      <c r="FP25" s="85"/>
      <c r="FQ25" s="85"/>
      <c r="FR25" s="85"/>
      <c r="FS25" s="85"/>
      <c r="FT25" s="30">
        <f t="shared" si="27"/>
        <v>0</v>
      </c>
      <c r="FU25" s="28">
        <f t="shared" si="28"/>
        <v>0</v>
      </c>
      <c r="FW25" s="672" t="s">
        <v>67</v>
      </c>
      <c r="FX25" s="672"/>
      <c r="FY25" s="672"/>
      <c r="FZ25" s="672"/>
      <c r="GA25" s="672"/>
      <c r="GB25" s="672"/>
      <c r="GC25" s="1">
        <v>28</v>
      </c>
      <c r="GD25" s="85"/>
      <c r="GE25" s="1"/>
      <c r="GF25" s="1"/>
      <c r="GG25" s="1"/>
      <c r="GH25" s="1"/>
      <c r="GI25" s="1"/>
      <c r="GJ25" s="1"/>
      <c r="GK25" s="1"/>
      <c r="GL25" s="1"/>
      <c r="GM25" s="1"/>
      <c r="GN25" s="85"/>
      <c r="GO25" s="85"/>
      <c r="GP25" s="85"/>
      <c r="GQ25" s="30">
        <f t="shared" si="29"/>
        <v>0</v>
      </c>
      <c r="GR25" s="28">
        <f t="shared" si="30"/>
        <v>0</v>
      </c>
      <c r="GT25" s="672" t="s">
        <v>67</v>
      </c>
      <c r="GU25" s="672"/>
      <c r="GV25" s="672"/>
      <c r="GW25" s="672"/>
      <c r="GX25" s="672"/>
      <c r="GY25" s="672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85"/>
      <c r="HK25" s="85"/>
      <c r="HL25" s="30">
        <f t="shared" si="31"/>
        <v>2</v>
      </c>
      <c r="HM25" s="28">
        <f t="shared" si="32"/>
        <v>50</v>
      </c>
      <c r="HO25" s="672" t="s">
        <v>67</v>
      </c>
      <c r="HP25" s="672"/>
      <c r="HQ25" s="672"/>
      <c r="HR25" s="672"/>
      <c r="HS25" s="672"/>
      <c r="HT25" s="672"/>
      <c r="HV25" s="1"/>
      <c r="HW25" s="30">
        <f t="shared" si="33"/>
        <v>0</v>
      </c>
      <c r="HX25" s="28">
        <f t="shared" si="0"/>
        <v>0</v>
      </c>
      <c r="HZ25" s="672" t="s">
        <v>67</v>
      </c>
      <c r="IA25" s="672"/>
      <c r="IB25" s="672"/>
      <c r="IC25" s="672"/>
      <c r="ID25" s="672"/>
      <c r="IE25" s="672"/>
      <c r="IF25" s="6">
        <v>0</v>
      </c>
      <c r="IG25" s="1"/>
      <c r="IH25" s="85"/>
      <c r="II25" s="85"/>
      <c r="IJ25" s="85"/>
      <c r="IK25" s="85"/>
      <c r="IL25" s="85"/>
      <c r="IM25" s="30">
        <f t="shared" si="41"/>
        <v>0</v>
      </c>
      <c r="IN25" s="28">
        <f t="shared" si="1"/>
        <v>0</v>
      </c>
      <c r="IP25" s="672" t="s">
        <v>67</v>
      </c>
      <c r="IQ25" s="672"/>
      <c r="IR25" s="672"/>
      <c r="IS25" s="672"/>
      <c r="IT25" s="672"/>
      <c r="IU25" s="672"/>
      <c r="IV25" s="6">
        <v>0</v>
      </c>
      <c r="IW25" s="1"/>
      <c r="IX25" s="85"/>
      <c r="IY25" s="30">
        <f t="shared" si="2"/>
        <v>0</v>
      </c>
      <c r="IZ25" s="28">
        <f t="shared" si="3"/>
        <v>0</v>
      </c>
      <c r="JB25" s="672" t="s">
        <v>67</v>
      </c>
      <c r="JC25" s="672"/>
      <c r="JD25" s="672"/>
      <c r="JE25" s="672"/>
      <c r="JF25" s="672"/>
      <c r="JG25" s="672"/>
      <c r="JH25" s="6">
        <v>0</v>
      </c>
      <c r="JI25" s="1"/>
      <c r="JJ25" s="85"/>
      <c r="JK25" s="85"/>
      <c r="JL25" s="85"/>
      <c r="JM25" s="85"/>
      <c r="JN25" s="85"/>
      <c r="JO25" s="85"/>
      <c r="JP25" s="85"/>
      <c r="JQ25" s="85"/>
      <c r="JR25" s="85"/>
      <c r="JS25" s="85"/>
      <c r="JT25" s="85"/>
      <c r="JU25" s="85"/>
      <c r="JV25" s="85"/>
      <c r="JW25" s="85"/>
      <c r="JX25" s="85"/>
      <c r="JY25" s="85"/>
      <c r="JZ25" s="85"/>
      <c r="KA25" s="85"/>
      <c r="KB25" s="85"/>
      <c r="KC25" s="85"/>
      <c r="KD25" s="85"/>
      <c r="KE25" s="30">
        <f t="shared" si="34"/>
        <v>0</v>
      </c>
      <c r="KF25" s="28">
        <f t="shared" si="42"/>
        <v>0</v>
      </c>
      <c r="KH25" s="672" t="s">
        <v>67</v>
      </c>
      <c r="KI25" s="672"/>
      <c r="KJ25" s="672"/>
      <c r="KK25" s="672"/>
      <c r="KL25" s="672"/>
      <c r="KM25" s="672"/>
      <c r="KN25" s="6">
        <v>0</v>
      </c>
      <c r="KO25" s="1"/>
      <c r="KP25" s="85"/>
      <c r="KQ25" s="85"/>
      <c r="KR25" s="85"/>
      <c r="KS25" s="30">
        <f t="shared" si="4"/>
        <v>0</v>
      </c>
      <c r="KT25" s="28">
        <f t="shared" si="5"/>
        <v>0</v>
      </c>
      <c r="KV25" s="672" t="s">
        <v>67</v>
      </c>
      <c r="KW25" s="672"/>
      <c r="KX25" s="672"/>
      <c r="KY25" s="672"/>
      <c r="KZ25" s="672"/>
      <c r="LA25" s="672"/>
      <c r="LB25" s="6">
        <v>0</v>
      </c>
      <c r="LC25" s="1"/>
      <c r="LD25" s="85"/>
      <c r="LE25" s="85"/>
      <c r="LF25" s="30">
        <f t="shared" si="6"/>
        <v>0</v>
      </c>
      <c r="LG25" s="28">
        <f t="shared" si="7"/>
        <v>0</v>
      </c>
      <c r="LI25" s="672" t="s">
        <v>67</v>
      </c>
      <c r="LJ25" s="672"/>
      <c r="LK25" s="672"/>
      <c r="LL25" s="672"/>
      <c r="LM25" s="672"/>
      <c r="LN25" s="672"/>
      <c r="LO25" s="6">
        <v>0</v>
      </c>
      <c r="LP25" s="1"/>
      <c r="LQ25" s="85"/>
      <c r="LR25" s="85"/>
      <c r="LS25" s="85"/>
      <c r="LT25" s="85"/>
      <c r="LU25" s="85"/>
      <c r="LV25" s="85"/>
      <c r="LW25" s="85"/>
      <c r="LX25" s="85"/>
      <c r="LY25" s="85"/>
      <c r="LZ25" s="85"/>
      <c r="MA25" s="85"/>
      <c r="MB25" s="85"/>
      <c r="MC25" s="85"/>
      <c r="MD25" s="85"/>
      <c r="ME25" s="30">
        <f t="shared" si="35"/>
        <v>0</v>
      </c>
      <c r="MF25" s="28">
        <f t="shared" si="8"/>
        <v>0</v>
      </c>
      <c r="MH25" s="672" t="s">
        <v>67</v>
      </c>
      <c r="MI25" s="672"/>
      <c r="MJ25" s="672"/>
      <c r="MK25" s="672"/>
      <c r="ML25" s="672"/>
      <c r="MM25" s="672"/>
      <c r="MN25" s="6">
        <v>0</v>
      </c>
      <c r="MO25" s="1"/>
      <c r="MP25" s="85"/>
      <c r="MQ25" s="85"/>
      <c r="MR25" s="85"/>
      <c r="MS25" s="85"/>
      <c r="MT25" s="85"/>
      <c r="MU25" s="85"/>
      <c r="MV25" s="85"/>
      <c r="MW25" s="85"/>
      <c r="MX25" s="85"/>
      <c r="MY25" s="85"/>
      <c r="MZ25" s="85"/>
      <c r="NA25" s="85"/>
      <c r="NB25" s="85"/>
      <c r="NC25" s="85"/>
      <c r="ND25" s="30">
        <f t="shared" si="36"/>
        <v>0</v>
      </c>
      <c r="NE25" s="28">
        <f t="shared" si="37"/>
        <v>0</v>
      </c>
      <c r="NG25" s="672" t="s">
        <v>67</v>
      </c>
      <c r="NH25" s="672"/>
      <c r="NI25" s="672"/>
      <c r="NJ25" s="672"/>
      <c r="NK25" s="672"/>
      <c r="NL25" s="672"/>
      <c r="NM25" s="6">
        <v>0</v>
      </c>
      <c r="NN25" s="85"/>
      <c r="NO25" s="85"/>
      <c r="NP25" s="85"/>
      <c r="NQ25" s="85"/>
      <c r="NR25" s="85"/>
      <c r="NS25" s="85"/>
      <c r="NT25" s="85"/>
      <c r="NU25" s="85"/>
      <c r="NV25" s="85"/>
      <c r="NW25" s="85"/>
      <c r="NX25" s="85"/>
      <c r="NY25" s="85"/>
      <c r="NZ25" s="85"/>
      <c r="OA25" s="85"/>
      <c r="OB25" s="85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47"/>
      <c r="B26" s="14"/>
      <c r="C26" s="714" t="s">
        <v>98</v>
      </c>
      <c r="D26" s="648"/>
      <c r="E26" s="648"/>
      <c r="F26" s="648"/>
      <c r="G26" s="649"/>
      <c r="H26" s="88"/>
      <c r="I26" s="13"/>
      <c r="J26" s="13"/>
      <c r="K26" s="19"/>
      <c r="L26" s="19"/>
      <c r="M26" s="19"/>
      <c r="N26" s="19"/>
      <c r="O26" s="12"/>
      <c r="P26" s="654" t="s">
        <v>98</v>
      </c>
      <c r="Q26" s="654"/>
      <c r="R26" s="654"/>
      <c r="S26" s="654"/>
      <c r="T26" s="654"/>
      <c r="U26" s="654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654" t="s">
        <v>98</v>
      </c>
      <c r="AI26" s="654"/>
      <c r="AJ26" s="654"/>
      <c r="AK26" s="654"/>
      <c r="AL26" s="654"/>
      <c r="AM26" s="654"/>
      <c r="AN26" s="13"/>
      <c r="AO26" s="19"/>
      <c r="AP26" s="23"/>
      <c r="AQ26" s="19"/>
      <c r="AS26" s="654" t="s">
        <v>98</v>
      </c>
      <c r="AT26" s="654"/>
      <c r="AU26" s="654"/>
      <c r="AV26" s="654"/>
      <c r="AW26" s="654"/>
      <c r="AX26" s="654"/>
      <c r="AY26" s="28"/>
      <c r="AZ26" s="28"/>
      <c r="BA26" s="28"/>
      <c r="BB26" s="28"/>
      <c r="BC26" s="28"/>
      <c r="BD26" s="30"/>
      <c r="BE26" s="28"/>
      <c r="BF26" s="14"/>
      <c r="BG26" s="654" t="s">
        <v>98</v>
      </c>
      <c r="BH26" s="654"/>
      <c r="BI26" s="654"/>
      <c r="BJ26" s="654"/>
      <c r="BK26" s="654"/>
      <c r="BL26" s="654"/>
      <c r="BM26" s="28"/>
      <c r="BN26" s="28"/>
      <c r="BO26" s="28"/>
      <c r="BP26" s="30"/>
      <c r="BQ26" s="28"/>
      <c r="BR26" s="14"/>
      <c r="BS26" s="654" t="s">
        <v>98</v>
      </c>
      <c r="BT26" s="654"/>
      <c r="BU26" s="654"/>
      <c r="BV26" s="654"/>
      <c r="BW26" s="654"/>
      <c r="BX26" s="654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654" t="s">
        <v>98</v>
      </c>
      <c r="CM26" s="654"/>
      <c r="CN26" s="654"/>
      <c r="CO26" s="654"/>
      <c r="CP26" s="654"/>
      <c r="CQ26" s="654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654" t="s">
        <v>98</v>
      </c>
      <c r="DE26" s="654"/>
      <c r="DF26" s="654"/>
      <c r="DG26" s="654"/>
      <c r="DH26" s="654"/>
      <c r="DI26" s="654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653" t="s">
        <v>98</v>
      </c>
      <c r="DY26" s="653"/>
      <c r="DZ26" s="653"/>
      <c r="EA26" s="653"/>
      <c r="EB26" s="653"/>
      <c r="EC26" s="653"/>
      <c r="ED26" s="72">
        <v>115</v>
      </c>
      <c r="EE26" s="72"/>
      <c r="EF26" s="72"/>
      <c r="EG26" s="72"/>
      <c r="EH26" s="72"/>
      <c r="EI26" s="72"/>
      <c r="EJ26" s="72"/>
      <c r="EK26" s="72"/>
      <c r="EL26" s="72"/>
      <c r="EM26" s="91"/>
      <c r="EN26" s="91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653" t="s">
        <v>98</v>
      </c>
      <c r="ES26" s="653"/>
      <c r="ET26" s="653"/>
      <c r="EU26" s="653"/>
      <c r="EV26" s="653"/>
      <c r="EW26" s="653"/>
      <c r="EX26" s="72">
        <v>115</v>
      </c>
      <c r="EY26" s="72"/>
      <c r="EZ26" s="72"/>
      <c r="FA26" s="72"/>
      <c r="FB26" s="72"/>
      <c r="FC26" s="72"/>
      <c r="FD26" s="72"/>
      <c r="FE26" s="72"/>
      <c r="FF26" s="72"/>
      <c r="FG26" s="72"/>
      <c r="FH26" s="72"/>
      <c r="FI26" s="91"/>
      <c r="FJ26" s="91"/>
      <c r="FK26" s="91"/>
      <c r="FL26" s="91"/>
      <c r="FM26" s="91"/>
      <c r="FN26" s="91"/>
      <c r="FO26" s="91"/>
      <c r="FP26" s="91"/>
      <c r="FQ26" s="91"/>
      <c r="FR26" s="91"/>
      <c r="FS26" s="91"/>
      <c r="FT26" s="30">
        <f t="shared" si="27"/>
        <v>0</v>
      </c>
      <c r="FU26" s="28">
        <f t="shared" si="28"/>
        <v>0</v>
      </c>
      <c r="FW26" s="653" t="s">
        <v>98</v>
      </c>
      <c r="FX26" s="653"/>
      <c r="FY26" s="653"/>
      <c r="FZ26" s="653"/>
      <c r="GA26" s="653"/>
      <c r="GB26" s="653"/>
      <c r="GC26" s="72">
        <v>115</v>
      </c>
      <c r="GD26" s="91"/>
      <c r="GE26" s="72"/>
      <c r="GF26" s="72"/>
      <c r="GG26" s="72"/>
      <c r="GH26" s="72"/>
      <c r="GI26" s="72"/>
      <c r="GJ26" s="72"/>
      <c r="GK26" s="72"/>
      <c r="GL26" s="72"/>
      <c r="GM26" s="72"/>
      <c r="GN26" s="91"/>
      <c r="GO26" s="91"/>
      <c r="GP26" s="91"/>
      <c r="GQ26" s="30">
        <f t="shared" si="29"/>
        <v>0</v>
      </c>
      <c r="GR26" s="28">
        <f t="shared" si="30"/>
        <v>0</v>
      </c>
      <c r="GT26" s="653" t="s">
        <v>98</v>
      </c>
      <c r="GU26" s="653"/>
      <c r="GV26" s="653"/>
      <c r="GW26" s="653"/>
      <c r="GX26" s="653"/>
      <c r="GY26" s="653"/>
      <c r="GZ26" s="72">
        <v>115</v>
      </c>
      <c r="HA26" s="72"/>
      <c r="HB26" s="72"/>
      <c r="HC26" s="72"/>
      <c r="HD26" s="72"/>
      <c r="HE26" s="72"/>
      <c r="HF26" s="72"/>
      <c r="HG26" s="72"/>
      <c r="HH26" s="72"/>
      <c r="HI26" s="72"/>
      <c r="HJ26" s="91"/>
      <c r="HK26" s="91"/>
      <c r="HL26" s="30">
        <f t="shared" si="31"/>
        <v>0</v>
      </c>
      <c r="HM26" s="28">
        <f t="shared" si="32"/>
        <v>0</v>
      </c>
      <c r="HO26" s="653" t="s">
        <v>98</v>
      </c>
      <c r="HP26" s="653"/>
      <c r="HQ26" s="653"/>
      <c r="HR26" s="653"/>
      <c r="HS26" s="653"/>
      <c r="HT26" s="653"/>
      <c r="HU26" s="72">
        <v>130</v>
      </c>
      <c r="HV26" s="72"/>
      <c r="HW26" s="30">
        <f t="shared" si="33"/>
        <v>0</v>
      </c>
      <c r="HX26" s="28">
        <f t="shared" si="0"/>
        <v>0</v>
      </c>
      <c r="HZ26" s="653" t="s">
        <v>98</v>
      </c>
      <c r="IA26" s="653"/>
      <c r="IB26" s="653"/>
      <c r="IC26" s="653"/>
      <c r="ID26" s="653"/>
      <c r="IE26" s="653"/>
      <c r="IF26" s="72">
        <v>130</v>
      </c>
      <c r="IG26" s="72"/>
      <c r="IH26" s="91"/>
      <c r="II26" s="91"/>
      <c r="IJ26" s="91"/>
      <c r="IK26" s="91"/>
      <c r="IL26" s="91"/>
      <c r="IM26" s="30">
        <f t="shared" si="41"/>
        <v>0</v>
      </c>
      <c r="IN26" s="28">
        <f t="shared" si="1"/>
        <v>0</v>
      </c>
      <c r="IP26" s="653" t="s">
        <v>98</v>
      </c>
      <c r="IQ26" s="653"/>
      <c r="IR26" s="653"/>
      <c r="IS26" s="653"/>
      <c r="IT26" s="653"/>
      <c r="IU26" s="653"/>
      <c r="IV26" s="72">
        <v>130</v>
      </c>
      <c r="IW26" s="72"/>
      <c r="IX26" s="91"/>
      <c r="IY26" s="30">
        <f t="shared" si="2"/>
        <v>0</v>
      </c>
      <c r="IZ26" s="28">
        <f t="shared" si="3"/>
        <v>0</v>
      </c>
      <c r="JB26" s="653" t="s">
        <v>98</v>
      </c>
      <c r="JC26" s="653"/>
      <c r="JD26" s="653"/>
      <c r="JE26" s="653"/>
      <c r="JF26" s="653"/>
      <c r="JG26" s="653"/>
      <c r="JH26" s="72">
        <v>125</v>
      </c>
      <c r="JI26" s="72"/>
      <c r="JJ26" s="91"/>
      <c r="JK26" s="91"/>
      <c r="JL26" s="91"/>
      <c r="JM26" s="91"/>
      <c r="JN26" s="91"/>
      <c r="JO26" s="91"/>
      <c r="JP26" s="91"/>
      <c r="JQ26" s="91"/>
      <c r="JR26" s="91"/>
      <c r="JS26" s="91"/>
      <c r="JT26" s="91"/>
      <c r="JU26" s="91"/>
      <c r="JV26" s="91"/>
      <c r="JW26" s="91"/>
      <c r="JX26" s="91"/>
      <c r="JY26" s="91"/>
      <c r="JZ26" s="91"/>
      <c r="KA26" s="91"/>
      <c r="KB26" s="91"/>
      <c r="KC26" s="91"/>
      <c r="KD26" s="91"/>
      <c r="KE26" s="30">
        <f t="shared" si="34"/>
        <v>0</v>
      </c>
      <c r="KF26" s="28">
        <f t="shared" si="42"/>
        <v>0</v>
      </c>
      <c r="KH26" s="653" t="s">
        <v>98</v>
      </c>
      <c r="KI26" s="653"/>
      <c r="KJ26" s="653"/>
      <c r="KK26" s="653"/>
      <c r="KL26" s="653"/>
      <c r="KM26" s="653"/>
      <c r="KN26" s="72">
        <v>125</v>
      </c>
      <c r="KO26" s="72"/>
      <c r="KP26" s="91"/>
      <c r="KQ26" s="91"/>
      <c r="KR26" s="91"/>
      <c r="KS26" s="30">
        <f t="shared" si="4"/>
        <v>0</v>
      </c>
      <c r="KT26" s="28">
        <f t="shared" si="5"/>
        <v>0</v>
      </c>
      <c r="KV26" s="653" t="s">
        <v>98</v>
      </c>
      <c r="KW26" s="653"/>
      <c r="KX26" s="653"/>
      <c r="KY26" s="653"/>
      <c r="KZ26" s="653"/>
      <c r="LA26" s="653"/>
      <c r="LB26" s="72">
        <v>115</v>
      </c>
      <c r="LC26" s="72"/>
      <c r="LD26" s="91"/>
      <c r="LE26" s="91"/>
      <c r="LF26" s="30">
        <f t="shared" si="6"/>
        <v>0</v>
      </c>
      <c r="LG26" s="28">
        <f t="shared" si="7"/>
        <v>0</v>
      </c>
      <c r="LI26" s="653" t="s">
        <v>98</v>
      </c>
      <c r="LJ26" s="653"/>
      <c r="LK26" s="653"/>
      <c r="LL26" s="653"/>
      <c r="LM26" s="653"/>
      <c r="LN26" s="653"/>
      <c r="LO26" s="72">
        <v>115</v>
      </c>
      <c r="LP26" s="72"/>
      <c r="LQ26" s="91"/>
      <c r="LR26" s="91"/>
      <c r="LS26" s="91"/>
      <c r="LT26" s="91"/>
      <c r="LU26" s="91"/>
      <c r="LV26" s="91"/>
      <c r="LW26" s="91"/>
      <c r="LX26" s="91"/>
      <c r="LY26" s="91"/>
      <c r="LZ26" s="91"/>
      <c r="MA26" s="91"/>
      <c r="MB26" s="91"/>
      <c r="MC26" s="91"/>
      <c r="MD26" s="91"/>
      <c r="ME26" s="30">
        <f t="shared" si="35"/>
        <v>0</v>
      </c>
      <c r="MF26" s="28">
        <f t="shared" si="8"/>
        <v>0</v>
      </c>
      <c r="MH26" s="653" t="s">
        <v>98</v>
      </c>
      <c r="MI26" s="653"/>
      <c r="MJ26" s="653"/>
      <c r="MK26" s="653"/>
      <c r="ML26" s="653"/>
      <c r="MM26" s="653"/>
      <c r="MN26" s="72">
        <v>115</v>
      </c>
      <c r="MO26" s="72"/>
      <c r="MP26" s="91"/>
      <c r="MQ26" s="91"/>
      <c r="MR26" s="91"/>
      <c r="MS26" s="91"/>
      <c r="MT26" s="91"/>
      <c r="MU26" s="91"/>
      <c r="MV26" s="91"/>
      <c r="MW26" s="91"/>
      <c r="MX26" s="91"/>
      <c r="MY26" s="91"/>
      <c r="MZ26" s="91"/>
      <c r="NA26" s="91"/>
      <c r="NB26" s="91"/>
      <c r="NC26" s="91"/>
      <c r="ND26" s="30">
        <f t="shared" si="36"/>
        <v>0</v>
      </c>
      <c r="NE26" s="28">
        <f t="shared" si="37"/>
        <v>0</v>
      </c>
      <c r="NG26" s="653" t="s">
        <v>98</v>
      </c>
      <c r="NH26" s="653"/>
      <c r="NI26" s="653"/>
      <c r="NJ26" s="653"/>
      <c r="NK26" s="653"/>
      <c r="NL26" s="653"/>
      <c r="NM26" s="72">
        <v>115</v>
      </c>
      <c r="NN26" s="91"/>
      <c r="NO26" s="91"/>
      <c r="NP26" s="91"/>
      <c r="NQ26" s="91"/>
      <c r="NR26" s="91"/>
      <c r="NS26" s="91"/>
      <c r="NT26" s="91"/>
      <c r="NU26" s="91"/>
      <c r="NV26" s="91"/>
      <c r="NW26" s="91"/>
      <c r="NX26" s="91"/>
      <c r="NY26" s="91"/>
      <c r="NZ26" s="91"/>
      <c r="OA26" s="91"/>
      <c r="OB26" s="91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47"/>
      <c r="B27" s="14"/>
      <c r="C27" s="714" t="s">
        <v>99</v>
      </c>
      <c r="D27" s="648"/>
      <c r="E27" s="648"/>
      <c r="F27" s="648"/>
      <c r="G27" s="649"/>
      <c r="H27" s="88"/>
      <c r="I27" s="13"/>
      <c r="J27" s="13"/>
      <c r="K27" s="19"/>
      <c r="L27" s="19"/>
      <c r="M27" s="19"/>
      <c r="N27" s="19"/>
      <c r="O27" s="12"/>
      <c r="P27" s="654" t="s">
        <v>99</v>
      </c>
      <c r="Q27" s="654"/>
      <c r="R27" s="654"/>
      <c r="S27" s="654"/>
      <c r="T27" s="654"/>
      <c r="U27" s="654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654" t="s">
        <v>99</v>
      </c>
      <c r="AI27" s="654"/>
      <c r="AJ27" s="654"/>
      <c r="AK27" s="654"/>
      <c r="AL27" s="654"/>
      <c r="AM27" s="654"/>
      <c r="AN27" s="13"/>
      <c r="AO27" s="19"/>
      <c r="AP27" s="23"/>
      <c r="AQ27" s="19"/>
      <c r="AS27" s="654" t="s">
        <v>99</v>
      </c>
      <c r="AT27" s="654"/>
      <c r="AU27" s="654"/>
      <c r="AV27" s="654"/>
      <c r="AW27" s="654"/>
      <c r="AX27" s="654"/>
      <c r="AY27" s="28"/>
      <c r="AZ27" s="28"/>
      <c r="BA27" s="28"/>
      <c r="BB27" s="28"/>
      <c r="BC27" s="28"/>
      <c r="BD27" s="30"/>
      <c r="BE27" s="28"/>
      <c r="BF27" s="14"/>
      <c r="BG27" s="654" t="s">
        <v>99</v>
      </c>
      <c r="BH27" s="654"/>
      <c r="BI27" s="654"/>
      <c r="BJ27" s="654"/>
      <c r="BK27" s="654"/>
      <c r="BL27" s="654"/>
      <c r="BM27" s="28"/>
      <c r="BN27" s="28"/>
      <c r="BO27" s="28"/>
      <c r="BP27" s="30"/>
      <c r="BQ27" s="28"/>
      <c r="BR27" s="14"/>
      <c r="BS27" s="654" t="s">
        <v>99</v>
      </c>
      <c r="BT27" s="654"/>
      <c r="BU27" s="654"/>
      <c r="BV27" s="654"/>
      <c r="BW27" s="654"/>
      <c r="BX27" s="654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654" t="s">
        <v>99</v>
      </c>
      <c r="CM27" s="654"/>
      <c r="CN27" s="654"/>
      <c r="CO27" s="654"/>
      <c r="CP27" s="654"/>
      <c r="CQ27" s="654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654" t="s">
        <v>99</v>
      </c>
      <c r="DE27" s="654"/>
      <c r="DF27" s="654"/>
      <c r="DG27" s="654"/>
      <c r="DH27" s="654"/>
      <c r="DI27" s="654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654" t="s">
        <v>99</v>
      </c>
      <c r="DY27" s="654"/>
      <c r="DZ27" s="654"/>
      <c r="EA27" s="654"/>
      <c r="EB27" s="654"/>
      <c r="EC27" s="654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85"/>
      <c r="EN27" s="85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654" t="s">
        <v>99</v>
      </c>
      <c r="ES27" s="654"/>
      <c r="ET27" s="654"/>
      <c r="EU27" s="654"/>
      <c r="EV27" s="654"/>
      <c r="EW27" s="654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85"/>
      <c r="FJ27" s="85"/>
      <c r="FK27" s="85"/>
      <c r="FL27" s="85"/>
      <c r="FM27" s="85"/>
      <c r="FN27" s="85"/>
      <c r="FO27" s="85"/>
      <c r="FP27" s="85"/>
      <c r="FQ27" s="85"/>
      <c r="FR27" s="85"/>
      <c r="FS27" s="85"/>
      <c r="FT27" s="30">
        <f t="shared" si="27"/>
        <v>0</v>
      </c>
      <c r="FU27" s="28">
        <f t="shared" si="28"/>
        <v>0</v>
      </c>
      <c r="FW27" s="654" t="s">
        <v>99</v>
      </c>
      <c r="FX27" s="654"/>
      <c r="FY27" s="654"/>
      <c r="FZ27" s="654"/>
      <c r="GA27" s="654"/>
      <c r="GB27" s="654"/>
      <c r="GC27" s="1">
        <v>125</v>
      </c>
      <c r="GD27" s="85"/>
      <c r="GE27" s="1"/>
      <c r="GF27" s="1"/>
      <c r="GG27" s="1"/>
      <c r="GH27" s="1"/>
      <c r="GI27" s="1"/>
      <c r="GJ27" s="1"/>
      <c r="GK27" s="1"/>
      <c r="GL27" s="1"/>
      <c r="GM27" s="1"/>
      <c r="GN27" s="85"/>
      <c r="GO27" s="85"/>
      <c r="GP27" s="85"/>
      <c r="GQ27" s="30">
        <f t="shared" si="29"/>
        <v>0</v>
      </c>
      <c r="GR27" s="28">
        <f t="shared" si="30"/>
        <v>0</v>
      </c>
      <c r="GT27" s="654" t="s">
        <v>99</v>
      </c>
      <c r="GU27" s="654"/>
      <c r="GV27" s="654"/>
      <c r="GW27" s="654"/>
      <c r="GX27" s="654"/>
      <c r="GY27" s="654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85"/>
      <c r="HK27" s="85"/>
      <c r="HL27" s="30">
        <f t="shared" si="31"/>
        <v>0</v>
      </c>
      <c r="HM27" s="28">
        <f t="shared" si="32"/>
        <v>0</v>
      </c>
      <c r="HO27" s="654" t="s">
        <v>99</v>
      </c>
      <c r="HP27" s="654"/>
      <c r="HQ27" s="654"/>
      <c r="HR27" s="654"/>
      <c r="HS27" s="654"/>
      <c r="HT27" s="654"/>
      <c r="HU27" s="2">
        <v>145</v>
      </c>
      <c r="HV27" s="1"/>
      <c r="HW27" s="30">
        <f t="shared" si="33"/>
        <v>0</v>
      </c>
      <c r="HX27" s="28">
        <f t="shared" si="0"/>
        <v>0</v>
      </c>
      <c r="HZ27" s="654" t="s">
        <v>99</v>
      </c>
      <c r="IA27" s="654"/>
      <c r="IB27" s="654"/>
      <c r="IC27" s="654"/>
      <c r="ID27" s="654"/>
      <c r="IE27" s="654"/>
      <c r="IF27" s="2">
        <v>145</v>
      </c>
      <c r="IG27" s="1"/>
      <c r="IH27" s="85"/>
      <c r="II27" s="85"/>
      <c r="IJ27" s="85"/>
      <c r="IK27" s="85"/>
      <c r="IL27" s="85"/>
      <c r="IM27" s="30">
        <f t="shared" si="41"/>
        <v>0</v>
      </c>
      <c r="IN27" s="28">
        <f t="shared" si="1"/>
        <v>0</v>
      </c>
      <c r="IP27" s="654" t="s">
        <v>99</v>
      </c>
      <c r="IQ27" s="654"/>
      <c r="IR27" s="654"/>
      <c r="IS27" s="654"/>
      <c r="IT27" s="654"/>
      <c r="IU27" s="654"/>
      <c r="IV27" s="2">
        <v>145</v>
      </c>
      <c r="IW27" s="1"/>
      <c r="IX27" s="85"/>
      <c r="IY27" s="30">
        <f t="shared" si="2"/>
        <v>0</v>
      </c>
      <c r="IZ27" s="28">
        <f t="shared" si="3"/>
        <v>0</v>
      </c>
      <c r="JB27" s="654" t="s">
        <v>99</v>
      </c>
      <c r="JC27" s="654"/>
      <c r="JD27" s="654"/>
      <c r="JE27" s="654"/>
      <c r="JF27" s="654"/>
      <c r="JG27" s="654"/>
      <c r="JH27" s="2">
        <v>135</v>
      </c>
      <c r="JI27" s="1"/>
      <c r="JJ27" s="85"/>
      <c r="JK27" s="85"/>
      <c r="JL27" s="85"/>
      <c r="JM27" s="85"/>
      <c r="JN27" s="85"/>
      <c r="JO27" s="85"/>
      <c r="JP27" s="85"/>
      <c r="JQ27" s="85"/>
      <c r="JR27" s="85"/>
      <c r="JS27" s="85">
        <v>1</v>
      </c>
      <c r="JT27" s="85"/>
      <c r="JU27" s="85"/>
      <c r="JV27" s="85"/>
      <c r="JW27" s="85"/>
      <c r="JX27" s="85"/>
      <c r="JY27" s="85"/>
      <c r="JZ27" s="85"/>
      <c r="KA27" s="85"/>
      <c r="KB27" s="85"/>
      <c r="KC27" s="85"/>
      <c r="KD27" s="85"/>
      <c r="KE27" s="30">
        <f t="shared" si="34"/>
        <v>1</v>
      </c>
      <c r="KF27" s="28">
        <f t="shared" si="42"/>
        <v>135</v>
      </c>
      <c r="KH27" s="654" t="s">
        <v>99</v>
      </c>
      <c r="KI27" s="654"/>
      <c r="KJ27" s="654"/>
      <c r="KK27" s="654"/>
      <c r="KL27" s="654"/>
      <c r="KM27" s="654"/>
      <c r="KN27" s="2">
        <v>135</v>
      </c>
      <c r="KO27" s="1"/>
      <c r="KP27" s="85"/>
      <c r="KQ27" s="85"/>
      <c r="KR27" s="85"/>
      <c r="KS27" s="30">
        <f t="shared" si="4"/>
        <v>0</v>
      </c>
      <c r="KT27" s="28">
        <f t="shared" si="5"/>
        <v>0</v>
      </c>
      <c r="KV27" s="654" t="s">
        <v>99</v>
      </c>
      <c r="KW27" s="654"/>
      <c r="KX27" s="654"/>
      <c r="KY27" s="654"/>
      <c r="KZ27" s="654"/>
      <c r="LA27" s="654"/>
      <c r="LB27" s="2">
        <v>125</v>
      </c>
      <c r="LC27" s="1"/>
      <c r="LD27" s="85"/>
      <c r="LE27" s="85"/>
      <c r="LF27" s="30">
        <f t="shared" si="6"/>
        <v>0</v>
      </c>
      <c r="LG27" s="28">
        <f t="shared" si="7"/>
        <v>0</v>
      </c>
      <c r="LI27" s="654" t="s">
        <v>99</v>
      </c>
      <c r="LJ27" s="654"/>
      <c r="LK27" s="654"/>
      <c r="LL27" s="654"/>
      <c r="LM27" s="654"/>
      <c r="LN27" s="654"/>
      <c r="LO27" s="2">
        <v>125</v>
      </c>
      <c r="LP27" s="1"/>
      <c r="LQ27" s="85"/>
      <c r="LR27" s="85"/>
      <c r="LS27" s="85"/>
      <c r="LT27" s="85"/>
      <c r="LU27" s="85"/>
      <c r="LV27" s="85"/>
      <c r="LW27" s="85"/>
      <c r="LX27" s="85"/>
      <c r="LY27" s="85"/>
      <c r="LZ27" s="85"/>
      <c r="MA27" s="85"/>
      <c r="MB27" s="85"/>
      <c r="MC27" s="85"/>
      <c r="MD27" s="85"/>
      <c r="ME27" s="30">
        <f t="shared" si="35"/>
        <v>0</v>
      </c>
      <c r="MF27" s="28">
        <f t="shared" si="8"/>
        <v>0</v>
      </c>
      <c r="MH27" s="654" t="s">
        <v>99</v>
      </c>
      <c r="MI27" s="654"/>
      <c r="MJ27" s="654"/>
      <c r="MK27" s="654"/>
      <c r="ML27" s="654"/>
      <c r="MM27" s="654"/>
      <c r="MN27" s="2">
        <v>125</v>
      </c>
      <c r="MO27" s="1"/>
      <c r="MP27" s="85"/>
      <c r="MQ27" s="85"/>
      <c r="MR27" s="85"/>
      <c r="MS27" s="85"/>
      <c r="MT27" s="85"/>
      <c r="MU27" s="85"/>
      <c r="MV27" s="85"/>
      <c r="MW27" s="85"/>
      <c r="MX27" s="85"/>
      <c r="MY27" s="85"/>
      <c r="MZ27" s="85"/>
      <c r="NA27" s="85"/>
      <c r="NB27" s="85"/>
      <c r="NC27" s="85"/>
      <c r="ND27" s="30">
        <f t="shared" si="36"/>
        <v>0</v>
      </c>
      <c r="NE27" s="28">
        <f t="shared" si="37"/>
        <v>0</v>
      </c>
      <c r="NG27" s="654" t="s">
        <v>99</v>
      </c>
      <c r="NH27" s="654"/>
      <c r="NI27" s="654"/>
      <c r="NJ27" s="654"/>
      <c r="NK27" s="654"/>
      <c r="NL27" s="654"/>
      <c r="NM27" s="2">
        <v>125</v>
      </c>
      <c r="NN27" s="85">
        <v>1</v>
      </c>
      <c r="NO27" s="85"/>
      <c r="NP27" s="85"/>
      <c r="NQ27" s="85"/>
      <c r="NR27" s="85"/>
      <c r="NS27" s="85"/>
      <c r="NT27" s="85"/>
      <c r="NU27" s="85"/>
      <c r="NV27" s="85"/>
      <c r="NW27" s="85"/>
      <c r="NX27" s="85"/>
      <c r="NY27" s="85"/>
      <c r="NZ27" s="85"/>
      <c r="OA27" s="85"/>
      <c r="OB27" s="85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47"/>
      <c r="B28" s="14"/>
      <c r="C28" s="714" t="s">
        <v>100</v>
      </c>
      <c r="D28" s="648"/>
      <c r="E28" s="648"/>
      <c r="F28" s="648"/>
      <c r="G28" s="649"/>
      <c r="H28" s="88"/>
      <c r="I28" s="13"/>
      <c r="J28" s="13"/>
      <c r="K28" s="19"/>
      <c r="L28" s="19"/>
      <c r="M28" s="19"/>
      <c r="N28" s="19"/>
      <c r="O28" s="12"/>
      <c r="P28" s="654" t="s">
        <v>100</v>
      </c>
      <c r="Q28" s="654"/>
      <c r="R28" s="654"/>
      <c r="S28" s="654"/>
      <c r="T28" s="654"/>
      <c r="U28" s="654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654" t="s">
        <v>100</v>
      </c>
      <c r="AI28" s="654"/>
      <c r="AJ28" s="654"/>
      <c r="AK28" s="654"/>
      <c r="AL28" s="654"/>
      <c r="AM28" s="654"/>
      <c r="AN28" s="13"/>
      <c r="AO28" s="19"/>
      <c r="AP28" s="23"/>
      <c r="AQ28" s="19"/>
      <c r="AS28" s="654" t="s">
        <v>100</v>
      </c>
      <c r="AT28" s="654"/>
      <c r="AU28" s="654"/>
      <c r="AV28" s="654"/>
      <c r="AW28" s="654"/>
      <c r="AX28" s="654"/>
      <c r="AY28" s="28"/>
      <c r="AZ28" s="28"/>
      <c r="BA28" s="28"/>
      <c r="BB28" s="28"/>
      <c r="BC28" s="28"/>
      <c r="BD28" s="30"/>
      <c r="BE28" s="28"/>
      <c r="BF28" s="14"/>
      <c r="BG28" s="654" t="s">
        <v>100</v>
      </c>
      <c r="BH28" s="654"/>
      <c r="BI28" s="654"/>
      <c r="BJ28" s="654"/>
      <c r="BK28" s="654"/>
      <c r="BL28" s="654"/>
      <c r="BM28" s="28"/>
      <c r="BN28" s="28"/>
      <c r="BO28" s="28"/>
      <c r="BP28" s="30"/>
      <c r="BQ28" s="28"/>
      <c r="BR28" s="14"/>
      <c r="BS28" s="654" t="s">
        <v>100</v>
      </c>
      <c r="BT28" s="654"/>
      <c r="BU28" s="654"/>
      <c r="BV28" s="654"/>
      <c r="BW28" s="654"/>
      <c r="BX28" s="654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654" t="s">
        <v>100</v>
      </c>
      <c r="CM28" s="654"/>
      <c r="CN28" s="654"/>
      <c r="CO28" s="654"/>
      <c r="CP28" s="654"/>
      <c r="CQ28" s="654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654" t="s">
        <v>100</v>
      </c>
      <c r="DE28" s="654"/>
      <c r="DF28" s="654"/>
      <c r="DG28" s="654"/>
      <c r="DH28" s="654"/>
      <c r="DI28" s="654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653" t="s">
        <v>100</v>
      </c>
      <c r="DY28" s="653"/>
      <c r="DZ28" s="653"/>
      <c r="EA28" s="653"/>
      <c r="EB28" s="653"/>
      <c r="EC28" s="653"/>
      <c r="ED28" s="72">
        <v>120</v>
      </c>
      <c r="EE28" s="72"/>
      <c r="EF28" s="72"/>
      <c r="EG28" s="72"/>
      <c r="EH28" s="72"/>
      <c r="EI28" s="72"/>
      <c r="EJ28" s="72"/>
      <c r="EK28" s="72"/>
      <c r="EL28" s="72"/>
      <c r="EM28" s="91"/>
      <c r="EN28" s="91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653" t="s">
        <v>100</v>
      </c>
      <c r="ES28" s="653"/>
      <c r="ET28" s="653"/>
      <c r="EU28" s="653"/>
      <c r="EV28" s="653"/>
      <c r="EW28" s="653"/>
      <c r="EX28" s="72">
        <v>120</v>
      </c>
      <c r="EY28" s="72"/>
      <c r="EZ28" s="72"/>
      <c r="FA28" s="72"/>
      <c r="FB28" s="72"/>
      <c r="FC28" s="72"/>
      <c r="FD28" s="72"/>
      <c r="FE28" s="72"/>
      <c r="FF28" s="72"/>
      <c r="FG28" s="72"/>
      <c r="FH28" s="72"/>
      <c r="FI28" s="91"/>
      <c r="FJ28" s="91"/>
      <c r="FK28" s="91"/>
      <c r="FL28" s="91"/>
      <c r="FM28" s="91"/>
      <c r="FN28" s="91"/>
      <c r="FO28" s="91"/>
      <c r="FP28" s="91"/>
      <c r="FQ28" s="91"/>
      <c r="FR28" s="91"/>
      <c r="FS28" s="91"/>
      <c r="FT28" s="30">
        <f t="shared" si="27"/>
        <v>0</v>
      </c>
      <c r="FU28" s="28">
        <f t="shared" si="28"/>
        <v>0</v>
      </c>
      <c r="FW28" s="653" t="s">
        <v>100</v>
      </c>
      <c r="FX28" s="653"/>
      <c r="FY28" s="653"/>
      <c r="FZ28" s="653"/>
      <c r="GA28" s="653"/>
      <c r="GB28" s="653"/>
      <c r="GC28" s="72">
        <v>120</v>
      </c>
      <c r="GD28" s="91"/>
      <c r="GE28" s="72"/>
      <c r="GF28" s="72"/>
      <c r="GG28" s="72"/>
      <c r="GH28" s="72"/>
      <c r="GI28" s="72"/>
      <c r="GJ28" s="72"/>
      <c r="GK28" s="72"/>
      <c r="GL28" s="72"/>
      <c r="GM28" s="72"/>
      <c r="GN28" s="91"/>
      <c r="GO28" s="91"/>
      <c r="GP28" s="91"/>
      <c r="GQ28" s="30">
        <f t="shared" si="29"/>
        <v>0</v>
      </c>
      <c r="GR28" s="28">
        <f t="shared" si="30"/>
        <v>0</v>
      </c>
      <c r="GT28" s="653" t="s">
        <v>100</v>
      </c>
      <c r="GU28" s="653"/>
      <c r="GV28" s="653"/>
      <c r="GW28" s="653"/>
      <c r="GX28" s="653"/>
      <c r="GY28" s="653"/>
      <c r="GZ28" s="72">
        <v>120</v>
      </c>
      <c r="HA28" s="72"/>
      <c r="HB28" s="72"/>
      <c r="HC28" s="72"/>
      <c r="HD28" s="72"/>
      <c r="HE28" s="72"/>
      <c r="HF28" s="72"/>
      <c r="HG28" s="72"/>
      <c r="HH28" s="72"/>
      <c r="HI28" s="72"/>
      <c r="HJ28" s="91"/>
      <c r="HK28" s="91"/>
      <c r="HL28" s="30">
        <f t="shared" si="31"/>
        <v>0</v>
      </c>
      <c r="HM28" s="28">
        <f t="shared" si="32"/>
        <v>0</v>
      </c>
      <c r="HO28" s="653" t="s">
        <v>100</v>
      </c>
      <c r="HP28" s="653"/>
      <c r="HQ28" s="653"/>
      <c r="HR28" s="653"/>
      <c r="HS28" s="653"/>
      <c r="HT28" s="653"/>
      <c r="HU28" s="72">
        <v>140</v>
      </c>
      <c r="HV28" s="72"/>
      <c r="HW28" s="30">
        <f t="shared" si="33"/>
        <v>0</v>
      </c>
      <c r="HX28" s="28">
        <f t="shared" si="0"/>
        <v>0</v>
      </c>
      <c r="HZ28" s="653" t="s">
        <v>100</v>
      </c>
      <c r="IA28" s="653"/>
      <c r="IB28" s="653"/>
      <c r="IC28" s="653"/>
      <c r="ID28" s="653"/>
      <c r="IE28" s="653"/>
      <c r="IF28" s="72">
        <v>140</v>
      </c>
      <c r="IG28" s="72"/>
      <c r="IH28" s="91"/>
      <c r="II28" s="91"/>
      <c r="IJ28" s="91"/>
      <c r="IK28" s="91"/>
      <c r="IL28" s="91"/>
      <c r="IM28" s="30">
        <f t="shared" si="41"/>
        <v>0</v>
      </c>
      <c r="IN28" s="28">
        <f t="shared" si="1"/>
        <v>0</v>
      </c>
      <c r="IP28" s="653" t="s">
        <v>100</v>
      </c>
      <c r="IQ28" s="653"/>
      <c r="IR28" s="653"/>
      <c r="IS28" s="653"/>
      <c r="IT28" s="653"/>
      <c r="IU28" s="653"/>
      <c r="IV28" s="72">
        <v>140</v>
      </c>
      <c r="IW28" s="72"/>
      <c r="IX28" s="91"/>
      <c r="IY28" s="30">
        <f t="shared" si="2"/>
        <v>0</v>
      </c>
      <c r="IZ28" s="28">
        <f t="shared" si="3"/>
        <v>0</v>
      </c>
      <c r="JB28" s="653" t="s">
        <v>100</v>
      </c>
      <c r="JC28" s="653"/>
      <c r="JD28" s="653"/>
      <c r="JE28" s="653"/>
      <c r="JF28" s="653"/>
      <c r="JG28" s="653"/>
      <c r="JH28" s="72">
        <v>130</v>
      </c>
      <c r="JI28" s="72"/>
      <c r="JJ28" s="91"/>
      <c r="JK28" s="91"/>
      <c r="JL28" s="91"/>
      <c r="JM28" s="91"/>
      <c r="JN28" s="91"/>
      <c r="JO28" s="91"/>
      <c r="JP28" s="91"/>
      <c r="JQ28" s="91"/>
      <c r="JR28" s="91"/>
      <c r="JS28" s="91"/>
      <c r="JT28" s="91"/>
      <c r="JU28" s="91"/>
      <c r="JV28" s="91"/>
      <c r="JW28" s="91"/>
      <c r="JX28" s="91"/>
      <c r="JY28" s="91"/>
      <c r="JZ28" s="91"/>
      <c r="KA28" s="91"/>
      <c r="KB28" s="91"/>
      <c r="KC28" s="91"/>
      <c r="KD28" s="91"/>
      <c r="KE28" s="30">
        <f t="shared" si="34"/>
        <v>0</v>
      </c>
      <c r="KF28" s="28">
        <f t="shared" si="42"/>
        <v>0</v>
      </c>
      <c r="KH28" s="653" t="s">
        <v>100</v>
      </c>
      <c r="KI28" s="653"/>
      <c r="KJ28" s="653"/>
      <c r="KK28" s="653"/>
      <c r="KL28" s="653"/>
      <c r="KM28" s="653"/>
      <c r="KN28" s="72">
        <v>130</v>
      </c>
      <c r="KO28" s="72"/>
      <c r="KP28" s="91"/>
      <c r="KQ28" s="91"/>
      <c r="KR28" s="91"/>
      <c r="KS28" s="30">
        <f t="shared" si="4"/>
        <v>0</v>
      </c>
      <c r="KT28" s="28">
        <f t="shared" si="5"/>
        <v>0</v>
      </c>
      <c r="KV28" s="653" t="s">
        <v>100</v>
      </c>
      <c r="KW28" s="653"/>
      <c r="KX28" s="653"/>
      <c r="KY28" s="653"/>
      <c r="KZ28" s="653"/>
      <c r="LA28" s="653"/>
      <c r="LB28" s="72">
        <v>120</v>
      </c>
      <c r="LC28" s="72"/>
      <c r="LD28" s="91"/>
      <c r="LE28" s="91"/>
      <c r="LF28" s="30">
        <f t="shared" si="6"/>
        <v>0</v>
      </c>
      <c r="LG28" s="28">
        <f t="shared" si="7"/>
        <v>0</v>
      </c>
      <c r="LI28" s="653" t="s">
        <v>100</v>
      </c>
      <c r="LJ28" s="653"/>
      <c r="LK28" s="653"/>
      <c r="LL28" s="653"/>
      <c r="LM28" s="653"/>
      <c r="LN28" s="653"/>
      <c r="LO28" s="72">
        <v>120</v>
      </c>
      <c r="LP28" s="72"/>
      <c r="LQ28" s="91"/>
      <c r="LR28" s="91"/>
      <c r="LS28" s="91"/>
      <c r="LT28" s="91"/>
      <c r="LU28" s="91"/>
      <c r="LV28" s="91"/>
      <c r="LW28" s="91"/>
      <c r="LX28" s="91"/>
      <c r="LY28" s="91"/>
      <c r="LZ28" s="91">
        <v>2</v>
      </c>
      <c r="MA28" s="91"/>
      <c r="MB28" s="91"/>
      <c r="MC28" s="91"/>
      <c r="MD28" s="91">
        <v>2</v>
      </c>
      <c r="ME28" s="30">
        <f t="shared" si="35"/>
        <v>4</v>
      </c>
      <c r="MF28" s="28">
        <f t="shared" si="8"/>
        <v>480</v>
      </c>
      <c r="MH28" s="653" t="s">
        <v>100</v>
      </c>
      <c r="MI28" s="653"/>
      <c r="MJ28" s="653"/>
      <c r="MK28" s="653"/>
      <c r="ML28" s="653"/>
      <c r="MM28" s="653"/>
      <c r="MN28" s="72">
        <v>120</v>
      </c>
      <c r="MO28" s="72"/>
      <c r="MP28" s="91"/>
      <c r="MQ28" s="91"/>
      <c r="MR28" s="91"/>
      <c r="MS28" s="91"/>
      <c r="MT28" s="91"/>
      <c r="MU28" s="91"/>
      <c r="MV28" s="91"/>
      <c r="MW28" s="91"/>
      <c r="MX28" s="91"/>
      <c r="MY28" s="91"/>
      <c r="MZ28" s="91"/>
      <c r="NA28" s="91"/>
      <c r="NB28" s="91"/>
      <c r="NC28" s="91"/>
      <c r="ND28" s="30">
        <f t="shared" si="36"/>
        <v>0</v>
      </c>
      <c r="NE28" s="28">
        <f t="shared" si="37"/>
        <v>0</v>
      </c>
      <c r="NG28" s="653" t="s">
        <v>100</v>
      </c>
      <c r="NH28" s="653"/>
      <c r="NI28" s="653"/>
      <c r="NJ28" s="653"/>
      <c r="NK28" s="653"/>
      <c r="NL28" s="653"/>
      <c r="NM28" s="72">
        <v>120</v>
      </c>
      <c r="NN28" s="91"/>
      <c r="NO28" s="91">
        <v>1</v>
      </c>
      <c r="NP28" s="91"/>
      <c r="NQ28" s="91"/>
      <c r="NR28" s="91"/>
      <c r="NS28" s="91"/>
      <c r="NT28" s="91"/>
      <c r="NU28" s="91"/>
      <c r="NV28" s="91"/>
      <c r="NW28" s="91"/>
      <c r="NX28" s="91"/>
      <c r="NY28" s="91"/>
      <c r="NZ28" s="91"/>
      <c r="OA28" s="91"/>
      <c r="OB28" s="91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47"/>
      <c r="B29" s="14"/>
      <c r="C29" s="714" t="s">
        <v>101</v>
      </c>
      <c r="D29" s="648"/>
      <c r="E29" s="648"/>
      <c r="F29" s="648"/>
      <c r="G29" s="649"/>
      <c r="H29" s="88"/>
      <c r="I29" s="13"/>
      <c r="J29" s="13"/>
      <c r="K29" s="19"/>
      <c r="L29" s="19"/>
      <c r="M29" s="19"/>
      <c r="N29" s="19"/>
      <c r="O29" s="12"/>
      <c r="P29" s="654" t="s">
        <v>101</v>
      </c>
      <c r="Q29" s="654"/>
      <c r="R29" s="654"/>
      <c r="S29" s="654"/>
      <c r="T29" s="654"/>
      <c r="U29" s="654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654" t="s">
        <v>101</v>
      </c>
      <c r="AI29" s="654"/>
      <c r="AJ29" s="654"/>
      <c r="AK29" s="654"/>
      <c r="AL29" s="654"/>
      <c r="AM29" s="654"/>
      <c r="AN29" s="13"/>
      <c r="AO29" s="19"/>
      <c r="AP29" s="23"/>
      <c r="AQ29" s="19"/>
      <c r="AS29" s="654" t="s">
        <v>101</v>
      </c>
      <c r="AT29" s="654"/>
      <c r="AU29" s="654"/>
      <c r="AV29" s="654"/>
      <c r="AW29" s="654"/>
      <c r="AX29" s="654"/>
      <c r="AY29" s="28"/>
      <c r="AZ29" s="28"/>
      <c r="BA29" s="28"/>
      <c r="BB29" s="28"/>
      <c r="BC29" s="28"/>
      <c r="BD29" s="30"/>
      <c r="BE29" s="28"/>
      <c r="BF29" s="14"/>
      <c r="BG29" s="654" t="s">
        <v>101</v>
      </c>
      <c r="BH29" s="654"/>
      <c r="BI29" s="654"/>
      <c r="BJ29" s="654"/>
      <c r="BK29" s="654"/>
      <c r="BL29" s="654"/>
      <c r="BM29" s="28"/>
      <c r="BN29" s="28"/>
      <c r="BO29" s="28"/>
      <c r="BP29" s="30"/>
      <c r="BQ29" s="28"/>
      <c r="BR29" s="14"/>
      <c r="BS29" s="654" t="s">
        <v>101</v>
      </c>
      <c r="BT29" s="654"/>
      <c r="BU29" s="654"/>
      <c r="BV29" s="654"/>
      <c r="BW29" s="654"/>
      <c r="BX29" s="654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654" t="s">
        <v>101</v>
      </c>
      <c r="CM29" s="654"/>
      <c r="CN29" s="654"/>
      <c r="CO29" s="654"/>
      <c r="CP29" s="654"/>
      <c r="CQ29" s="654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654" t="s">
        <v>101</v>
      </c>
      <c r="DE29" s="654"/>
      <c r="DF29" s="654"/>
      <c r="DG29" s="654"/>
      <c r="DH29" s="654"/>
      <c r="DI29" s="654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654" t="s">
        <v>101</v>
      </c>
      <c r="DY29" s="654"/>
      <c r="DZ29" s="654"/>
      <c r="EA29" s="654"/>
      <c r="EB29" s="654"/>
      <c r="EC29" s="654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85"/>
      <c r="EN29" s="85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654" t="s">
        <v>101</v>
      </c>
      <c r="ES29" s="654"/>
      <c r="ET29" s="654"/>
      <c r="EU29" s="654"/>
      <c r="EV29" s="654"/>
      <c r="EW29" s="654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85"/>
      <c r="FJ29" s="85"/>
      <c r="FK29" s="85"/>
      <c r="FL29" s="85"/>
      <c r="FM29" s="85"/>
      <c r="FN29" s="85"/>
      <c r="FO29" s="85"/>
      <c r="FP29" s="85"/>
      <c r="FQ29" s="85"/>
      <c r="FR29" s="85"/>
      <c r="FS29" s="85"/>
      <c r="FT29" s="30">
        <f t="shared" si="27"/>
        <v>0</v>
      </c>
      <c r="FU29" s="28">
        <f t="shared" si="28"/>
        <v>0</v>
      </c>
      <c r="FW29" s="654" t="s">
        <v>101</v>
      </c>
      <c r="FX29" s="654"/>
      <c r="FY29" s="654"/>
      <c r="FZ29" s="654"/>
      <c r="GA29" s="654"/>
      <c r="GB29" s="654"/>
      <c r="GC29" s="1">
        <v>115</v>
      </c>
      <c r="GD29" s="85"/>
      <c r="GE29" s="1"/>
      <c r="GF29" s="1"/>
      <c r="GG29" s="1"/>
      <c r="GH29" s="1"/>
      <c r="GI29" s="1"/>
      <c r="GJ29" s="1"/>
      <c r="GK29" s="1"/>
      <c r="GL29" s="1"/>
      <c r="GM29" s="1"/>
      <c r="GN29" s="85"/>
      <c r="GO29" s="85"/>
      <c r="GP29" s="85"/>
      <c r="GQ29" s="30">
        <f t="shared" si="29"/>
        <v>0</v>
      </c>
      <c r="GR29" s="28">
        <f t="shared" si="30"/>
        <v>0</v>
      </c>
      <c r="GT29" s="654" t="s">
        <v>101</v>
      </c>
      <c r="GU29" s="654"/>
      <c r="GV29" s="654"/>
      <c r="GW29" s="654"/>
      <c r="GX29" s="654"/>
      <c r="GY29" s="654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85"/>
      <c r="HK29" s="85"/>
      <c r="HL29" s="30">
        <f t="shared" si="31"/>
        <v>0</v>
      </c>
      <c r="HM29" s="28">
        <f t="shared" si="32"/>
        <v>0</v>
      </c>
      <c r="HO29" s="654" t="s">
        <v>101</v>
      </c>
      <c r="HP29" s="654"/>
      <c r="HQ29" s="654"/>
      <c r="HR29" s="654"/>
      <c r="HS29" s="654"/>
      <c r="HT29" s="654"/>
      <c r="HU29" s="2">
        <v>130</v>
      </c>
      <c r="HV29" s="1"/>
      <c r="HW29" s="30">
        <f t="shared" si="33"/>
        <v>0</v>
      </c>
      <c r="HX29" s="28">
        <f t="shared" si="0"/>
        <v>0</v>
      </c>
      <c r="HZ29" s="654" t="s">
        <v>101</v>
      </c>
      <c r="IA29" s="654"/>
      <c r="IB29" s="654"/>
      <c r="IC29" s="654"/>
      <c r="ID29" s="654"/>
      <c r="IE29" s="654"/>
      <c r="IF29" s="2">
        <v>130</v>
      </c>
      <c r="IG29" s="1"/>
      <c r="IH29" s="85"/>
      <c r="II29" s="85"/>
      <c r="IJ29" s="85"/>
      <c r="IK29" s="85"/>
      <c r="IL29" s="85"/>
      <c r="IM29" s="30">
        <f t="shared" si="41"/>
        <v>0</v>
      </c>
      <c r="IN29" s="28">
        <f t="shared" si="1"/>
        <v>0</v>
      </c>
      <c r="IP29" s="654" t="s">
        <v>101</v>
      </c>
      <c r="IQ29" s="654"/>
      <c r="IR29" s="654"/>
      <c r="IS29" s="654"/>
      <c r="IT29" s="654"/>
      <c r="IU29" s="654"/>
      <c r="IV29" s="2">
        <v>130</v>
      </c>
      <c r="IW29" s="1"/>
      <c r="IX29" s="85"/>
      <c r="IY29" s="30">
        <f t="shared" si="2"/>
        <v>0</v>
      </c>
      <c r="IZ29" s="28">
        <f t="shared" si="3"/>
        <v>0</v>
      </c>
      <c r="JB29" s="654" t="s">
        <v>101</v>
      </c>
      <c r="JC29" s="654"/>
      <c r="JD29" s="654"/>
      <c r="JE29" s="654"/>
      <c r="JF29" s="654"/>
      <c r="JG29" s="654"/>
      <c r="JH29" s="2">
        <v>125</v>
      </c>
      <c r="JI29" s="1"/>
      <c r="JJ29" s="85"/>
      <c r="JK29" s="85"/>
      <c r="JL29" s="85"/>
      <c r="JM29" s="85"/>
      <c r="JN29" s="85"/>
      <c r="JO29" s="85"/>
      <c r="JP29" s="85"/>
      <c r="JQ29" s="85"/>
      <c r="JR29" s="85"/>
      <c r="JS29" s="85"/>
      <c r="JT29" s="85"/>
      <c r="JU29" s="85"/>
      <c r="JV29" s="85"/>
      <c r="JW29" s="85"/>
      <c r="JX29" s="85"/>
      <c r="JY29" s="85"/>
      <c r="JZ29" s="85"/>
      <c r="KA29" s="85"/>
      <c r="KB29" s="85"/>
      <c r="KC29" s="85"/>
      <c r="KD29" s="85"/>
      <c r="KE29" s="30">
        <f t="shared" si="34"/>
        <v>0</v>
      </c>
      <c r="KF29" s="28">
        <f t="shared" si="42"/>
        <v>0</v>
      </c>
      <c r="KH29" s="654" t="s">
        <v>101</v>
      </c>
      <c r="KI29" s="654"/>
      <c r="KJ29" s="654"/>
      <c r="KK29" s="654"/>
      <c r="KL29" s="654"/>
      <c r="KM29" s="654"/>
      <c r="KN29" s="2">
        <v>125</v>
      </c>
      <c r="KO29" s="1"/>
      <c r="KP29" s="85"/>
      <c r="KQ29" s="85"/>
      <c r="KR29" s="85"/>
      <c r="KS29" s="30">
        <f t="shared" si="4"/>
        <v>0</v>
      </c>
      <c r="KT29" s="28">
        <f t="shared" si="5"/>
        <v>0</v>
      </c>
      <c r="KV29" s="654" t="s">
        <v>101</v>
      </c>
      <c r="KW29" s="654"/>
      <c r="KX29" s="654"/>
      <c r="KY29" s="654"/>
      <c r="KZ29" s="654"/>
      <c r="LA29" s="654"/>
      <c r="LB29" s="2">
        <v>115</v>
      </c>
      <c r="LC29" s="1"/>
      <c r="LD29" s="85"/>
      <c r="LE29" s="85"/>
      <c r="LF29" s="30">
        <f t="shared" si="6"/>
        <v>0</v>
      </c>
      <c r="LG29" s="28">
        <f t="shared" si="7"/>
        <v>0</v>
      </c>
      <c r="LI29" s="654" t="s">
        <v>101</v>
      </c>
      <c r="LJ29" s="654"/>
      <c r="LK29" s="654"/>
      <c r="LL29" s="654"/>
      <c r="LM29" s="654"/>
      <c r="LN29" s="654"/>
      <c r="LO29" s="2">
        <v>115</v>
      </c>
      <c r="LP29" s="1"/>
      <c r="LQ29" s="85"/>
      <c r="LR29" s="85"/>
      <c r="LS29" s="85"/>
      <c r="LT29" s="85"/>
      <c r="LU29" s="85"/>
      <c r="LV29" s="85"/>
      <c r="LW29" s="85"/>
      <c r="LX29" s="85"/>
      <c r="LY29" s="85"/>
      <c r="LZ29" s="85"/>
      <c r="MA29" s="85"/>
      <c r="MB29" s="85"/>
      <c r="MC29" s="85"/>
      <c r="MD29" s="85"/>
      <c r="ME29" s="30">
        <f t="shared" si="35"/>
        <v>0</v>
      </c>
      <c r="MF29" s="28">
        <f t="shared" si="8"/>
        <v>0</v>
      </c>
      <c r="MH29" s="654" t="s">
        <v>101</v>
      </c>
      <c r="MI29" s="654"/>
      <c r="MJ29" s="654"/>
      <c r="MK29" s="654"/>
      <c r="ML29" s="654"/>
      <c r="MM29" s="654"/>
      <c r="MN29" s="2">
        <v>115</v>
      </c>
      <c r="MO29" s="1"/>
      <c r="MP29" s="85"/>
      <c r="MQ29" s="85"/>
      <c r="MR29" s="85"/>
      <c r="MS29" s="85"/>
      <c r="MT29" s="85"/>
      <c r="MU29" s="85"/>
      <c r="MV29" s="85"/>
      <c r="MW29" s="85"/>
      <c r="MX29" s="85"/>
      <c r="MY29" s="85">
        <v>1</v>
      </c>
      <c r="MZ29" s="85"/>
      <c r="NA29" s="85"/>
      <c r="NB29" s="85"/>
      <c r="NC29" s="85"/>
      <c r="ND29" s="30">
        <f t="shared" si="36"/>
        <v>1</v>
      </c>
      <c r="NE29" s="28">
        <f t="shared" si="37"/>
        <v>115</v>
      </c>
      <c r="NG29" s="654" t="s">
        <v>101</v>
      </c>
      <c r="NH29" s="654"/>
      <c r="NI29" s="654"/>
      <c r="NJ29" s="654"/>
      <c r="NK29" s="654"/>
      <c r="NL29" s="654"/>
      <c r="NM29" s="2">
        <v>115</v>
      </c>
      <c r="NN29" s="85"/>
      <c r="NO29" s="85">
        <v>1</v>
      </c>
      <c r="NP29" s="85"/>
      <c r="NQ29" s="85"/>
      <c r="NR29" s="85"/>
      <c r="NS29" s="85"/>
      <c r="NT29" s="85"/>
      <c r="NU29" s="85"/>
      <c r="NV29" s="85"/>
      <c r="NW29" s="85"/>
      <c r="NX29" s="85"/>
      <c r="NY29" s="85"/>
      <c r="NZ29" s="85"/>
      <c r="OA29" s="85"/>
      <c r="OB29" s="85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47"/>
      <c r="B30" s="14"/>
      <c r="C30" s="654" t="s">
        <v>53</v>
      </c>
      <c r="D30" s="654"/>
      <c r="E30" s="654"/>
      <c r="F30" s="654"/>
      <c r="G30" s="654"/>
      <c r="H30" s="654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654" t="s">
        <v>53</v>
      </c>
      <c r="Q30" s="654"/>
      <c r="R30" s="654"/>
      <c r="S30" s="654"/>
      <c r="T30" s="654"/>
      <c r="U30" s="654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654" t="s">
        <v>53</v>
      </c>
      <c r="AI30" s="654"/>
      <c r="AJ30" s="654"/>
      <c r="AK30" s="654"/>
      <c r="AL30" s="654"/>
      <c r="AM30" s="654"/>
      <c r="AN30" s="13"/>
      <c r="AO30" s="19"/>
      <c r="AP30" s="23">
        <f t="shared" si="12"/>
        <v>0</v>
      </c>
      <c r="AQ30" s="19">
        <f t="shared" si="13"/>
        <v>0</v>
      </c>
      <c r="AS30" s="654" t="s">
        <v>53</v>
      </c>
      <c r="AT30" s="654"/>
      <c r="AU30" s="654"/>
      <c r="AV30" s="654"/>
      <c r="AW30" s="654"/>
      <c r="AX30" s="654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654" t="s">
        <v>53</v>
      </c>
      <c r="BH30" s="654"/>
      <c r="BI30" s="654"/>
      <c r="BJ30" s="654"/>
      <c r="BK30" s="654"/>
      <c r="BL30" s="654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654" t="s">
        <v>53</v>
      </c>
      <c r="BT30" s="654"/>
      <c r="BU30" s="654"/>
      <c r="BV30" s="654"/>
      <c r="BW30" s="654"/>
      <c r="BX30" s="654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654" t="s">
        <v>53</v>
      </c>
      <c r="CM30" s="654"/>
      <c r="CN30" s="654"/>
      <c r="CO30" s="654"/>
      <c r="CP30" s="654"/>
      <c r="CQ30" s="654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654" t="s">
        <v>53</v>
      </c>
      <c r="DE30" s="654"/>
      <c r="DF30" s="654"/>
      <c r="DG30" s="654"/>
      <c r="DH30" s="654"/>
      <c r="DI30" s="654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654" t="s">
        <v>53</v>
      </c>
      <c r="DY30" s="654"/>
      <c r="DZ30" s="654"/>
      <c r="EA30" s="654"/>
      <c r="EB30" s="654"/>
      <c r="EC30" s="654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654" t="s">
        <v>53</v>
      </c>
      <c r="ES30" s="654"/>
      <c r="ET30" s="654"/>
      <c r="EU30" s="654"/>
      <c r="EV30" s="654"/>
      <c r="EW30" s="654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654" t="s">
        <v>53</v>
      </c>
      <c r="FX30" s="654"/>
      <c r="FY30" s="654"/>
      <c r="FZ30" s="654"/>
      <c r="GA30" s="654"/>
      <c r="GB30" s="654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654" t="s">
        <v>53</v>
      </c>
      <c r="GU30" s="654"/>
      <c r="GV30" s="654"/>
      <c r="GW30" s="654"/>
      <c r="GX30" s="654"/>
      <c r="GY30" s="654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654" t="s">
        <v>53</v>
      </c>
      <c r="HP30" s="654"/>
      <c r="HQ30" s="654"/>
      <c r="HR30" s="654"/>
      <c r="HS30" s="654"/>
      <c r="HT30" s="654"/>
      <c r="HU30" s="1">
        <v>29</v>
      </c>
      <c r="HV30" s="19"/>
      <c r="HW30" s="30">
        <f t="shared" si="33"/>
        <v>0</v>
      </c>
      <c r="HX30" s="28">
        <f t="shared" si="0"/>
        <v>0</v>
      </c>
      <c r="HZ30" s="654" t="s">
        <v>53</v>
      </c>
      <c r="IA30" s="654"/>
      <c r="IB30" s="654"/>
      <c r="IC30" s="654"/>
      <c r="ID30" s="654"/>
      <c r="IE30" s="654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654" t="s">
        <v>53</v>
      </c>
      <c r="IQ30" s="654"/>
      <c r="IR30" s="654"/>
      <c r="IS30" s="654"/>
      <c r="IT30" s="654"/>
      <c r="IU30" s="654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654" t="s">
        <v>53</v>
      </c>
      <c r="JC30" s="654"/>
      <c r="JD30" s="654"/>
      <c r="JE30" s="654"/>
      <c r="JF30" s="654"/>
      <c r="JG30" s="654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654" t="s">
        <v>53</v>
      </c>
      <c r="KI30" s="654"/>
      <c r="KJ30" s="654"/>
      <c r="KK30" s="654"/>
      <c r="KL30" s="654"/>
      <c r="KM30" s="654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654" t="s">
        <v>53</v>
      </c>
      <c r="KW30" s="654"/>
      <c r="KX30" s="654"/>
      <c r="KY30" s="654"/>
      <c r="KZ30" s="654"/>
      <c r="LA30" s="654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654" t="s">
        <v>53</v>
      </c>
      <c r="LJ30" s="654"/>
      <c r="LK30" s="654"/>
      <c r="LL30" s="654"/>
      <c r="LM30" s="654"/>
      <c r="LN30" s="654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654" t="s">
        <v>53</v>
      </c>
      <c r="MI30" s="654"/>
      <c r="MJ30" s="654"/>
      <c r="MK30" s="654"/>
      <c r="ML30" s="654"/>
      <c r="MM30" s="654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654" t="s">
        <v>53</v>
      </c>
      <c r="NH30" s="654"/>
      <c r="NI30" s="654"/>
      <c r="NJ30" s="654"/>
      <c r="NK30" s="654"/>
      <c r="NL30" s="654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47"/>
      <c r="B31" s="12"/>
      <c r="C31" s="665" t="s">
        <v>14</v>
      </c>
      <c r="D31" s="665"/>
      <c r="E31" s="665"/>
      <c r="F31" s="665"/>
      <c r="G31" s="665"/>
      <c r="H31" s="665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665" t="s">
        <v>14</v>
      </c>
      <c r="Q31" s="665"/>
      <c r="R31" s="665"/>
      <c r="S31" s="665"/>
      <c r="T31" s="665"/>
      <c r="U31" s="665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665" t="s">
        <v>14</v>
      </c>
      <c r="AI31" s="665"/>
      <c r="AJ31" s="665"/>
      <c r="AK31" s="665"/>
      <c r="AL31" s="665"/>
      <c r="AM31" s="665"/>
      <c r="AN31" s="13"/>
      <c r="AO31" s="19"/>
      <c r="AP31" s="23">
        <f t="shared" si="12"/>
        <v>0</v>
      </c>
      <c r="AQ31" s="19">
        <f t="shared" si="13"/>
        <v>0</v>
      </c>
      <c r="AS31" s="653" t="s">
        <v>14</v>
      </c>
      <c r="AT31" s="653"/>
      <c r="AU31" s="653"/>
      <c r="AV31" s="653"/>
      <c r="AW31" s="653"/>
      <c r="AX31" s="653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653" t="s">
        <v>14</v>
      </c>
      <c r="BH31" s="653"/>
      <c r="BI31" s="653"/>
      <c r="BJ31" s="653"/>
      <c r="BK31" s="653"/>
      <c r="BL31" s="653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653" t="s">
        <v>14</v>
      </c>
      <c r="BT31" s="653"/>
      <c r="BU31" s="653"/>
      <c r="BV31" s="653"/>
      <c r="BW31" s="653"/>
      <c r="BX31" s="653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653" t="s">
        <v>14</v>
      </c>
      <c r="CM31" s="653"/>
      <c r="CN31" s="653"/>
      <c r="CO31" s="653"/>
      <c r="CP31" s="653"/>
      <c r="CQ31" s="653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653" t="s">
        <v>14</v>
      </c>
      <c r="DE31" s="653"/>
      <c r="DF31" s="653"/>
      <c r="DG31" s="653"/>
      <c r="DH31" s="653"/>
      <c r="DI31" s="653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653" t="s">
        <v>14</v>
      </c>
      <c r="DY31" s="653"/>
      <c r="DZ31" s="653"/>
      <c r="EA31" s="653"/>
      <c r="EB31" s="653"/>
      <c r="EC31" s="653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653" t="s">
        <v>14</v>
      </c>
      <c r="ES31" s="653"/>
      <c r="ET31" s="653"/>
      <c r="EU31" s="653"/>
      <c r="EV31" s="653"/>
      <c r="EW31" s="653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653" t="s">
        <v>14</v>
      </c>
      <c r="FX31" s="653"/>
      <c r="FY31" s="653"/>
      <c r="FZ31" s="653"/>
      <c r="GA31" s="653"/>
      <c r="GB31" s="653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653" t="s">
        <v>14</v>
      </c>
      <c r="GU31" s="653"/>
      <c r="GV31" s="653"/>
      <c r="GW31" s="653"/>
      <c r="GX31" s="653"/>
      <c r="GY31" s="653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653" t="s">
        <v>14</v>
      </c>
      <c r="HP31" s="653"/>
      <c r="HQ31" s="653"/>
      <c r="HR31" s="653"/>
      <c r="HS31" s="653"/>
      <c r="HT31" s="653"/>
      <c r="HU31" s="28">
        <v>95</v>
      </c>
      <c r="HV31" s="28"/>
      <c r="HW31" s="30">
        <f t="shared" si="33"/>
        <v>0</v>
      </c>
      <c r="HX31" s="28">
        <f t="shared" si="0"/>
        <v>0</v>
      </c>
      <c r="HZ31" s="653" t="s">
        <v>14</v>
      </c>
      <c r="IA31" s="653"/>
      <c r="IB31" s="653"/>
      <c r="IC31" s="653"/>
      <c r="ID31" s="653"/>
      <c r="IE31" s="653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653" t="s">
        <v>14</v>
      </c>
      <c r="IQ31" s="653"/>
      <c r="IR31" s="653"/>
      <c r="IS31" s="653"/>
      <c r="IT31" s="653"/>
      <c r="IU31" s="653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653" t="s">
        <v>14</v>
      </c>
      <c r="JC31" s="653"/>
      <c r="JD31" s="653"/>
      <c r="JE31" s="653"/>
      <c r="JF31" s="653"/>
      <c r="JG31" s="653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653" t="s">
        <v>14</v>
      </c>
      <c r="KI31" s="653"/>
      <c r="KJ31" s="653"/>
      <c r="KK31" s="653"/>
      <c r="KL31" s="653"/>
      <c r="KM31" s="653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653" t="s">
        <v>14</v>
      </c>
      <c r="KW31" s="653"/>
      <c r="KX31" s="653"/>
      <c r="KY31" s="653"/>
      <c r="KZ31" s="653"/>
      <c r="LA31" s="653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653" t="s">
        <v>14</v>
      </c>
      <c r="LJ31" s="653"/>
      <c r="LK31" s="653"/>
      <c r="LL31" s="653"/>
      <c r="LM31" s="653"/>
      <c r="LN31" s="653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653" t="s">
        <v>14</v>
      </c>
      <c r="MI31" s="653"/>
      <c r="MJ31" s="653"/>
      <c r="MK31" s="653"/>
      <c r="ML31" s="653"/>
      <c r="MM31" s="653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653" t="s">
        <v>14</v>
      </c>
      <c r="NH31" s="653"/>
      <c r="NI31" s="653"/>
      <c r="NJ31" s="653"/>
      <c r="NK31" s="653"/>
      <c r="NL31" s="653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47"/>
      <c r="B32" s="12"/>
      <c r="C32" s="665" t="s">
        <v>15</v>
      </c>
      <c r="D32" s="665"/>
      <c r="E32" s="665"/>
      <c r="F32" s="665"/>
      <c r="G32" s="665"/>
      <c r="H32" s="665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665" t="s">
        <v>15</v>
      </c>
      <c r="Q32" s="665"/>
      <c r="R32" s="665"/>
      <c r="S32" s="665"/>
      <c r="T32" s="665"/>
      <c r="U32" s="665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665" t="s">
        <v>15</v>
      </c>
      <c r="AI32" s="665"/>
      <c r="AJ32" s="665"/>
      <c r="AK32" s="665"/>
      <c r="AL32" s="665"/>
      <c r="AM32" s="665"/>
      <c r="AN32" s="13"/>
      <c r="AO32" s="19"/>
      <c r="AP32" s="23">
        <f t="shared" si="12"/>
        <v>0</v>
      </c>
      <c r="AQ32" s="19">
        <f t="shared" si="13"/>
        <v>0</v>
      </c>
      <c r="AS32" s="665" t="s">
        <v>15</v>
      </c>
      <c r="AT32" s="665"/>
      <c r="AU32" s="665"/>
      <c r="AV32" s="665"/>
      <c r="AW32" s="665"/>
      <c r="AX32" s="665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665" t="s">
        <v>15</v>
      </c>
      <c r="BH32" s="665"/>
      <c r="BI32" s="665"/>
      <c r="BJ32" s="665"/>
      <c r="BK32" s="665"/>
      <c r="BL32" s="665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665" t="s">
        <v>15</v>
      </c>
      <c r="BT32" s="665"/>
      <c r="BU32" s="665"/>
      <c r="BV32" s="665"/>
      <c r="BW32" s="665"/>
      <c r="BX32" s="665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665" t="s">
        <v>15</v>
      </c>
      <c r="CM32" s="665"/>
      <c r="CN32" s="665"/>
      <c r="CO32" s="665"/>
      <c r="CP32" s="665"/>
      <c r="CQ32" s="665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665" t="s">
        <v>15</v>
      </c>
      <c r="DE32" s="665"/>
      <c r="DF32" s="665"/>
      <c r="DG32" s="665"/>
      <c r="DH32" s="665"/>
      <c r="DI32" s="665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665" t="s">
        <v>15</v>
      </c>
      <c r="DY32" s="665"/>
      <c r="DZ32" s="665"/>
      <c r="EA32" s="665"/>
      <c r="EB32" s="665"/>
      <c r="EC32" s="665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665" t="s">
        <v>15</v>
      </c>
      <c r="ES32" s="665"/>
      <c r="ET32" s="665"/>
      <c r="EU32" s="665"/>
      <c r="EV32" s="665"/>
      <c r="EW32" s="665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665" t="s">
        <v>15</v>
      </c>
      <c r="FX32" s="665"/>
      <c r="FY32" s="665"/>
      <c r="FZ32" s="665"/>
      <c r="GA32" s="665"/>
      <c r="GB32" s="665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665" t="s">
        <v>15</v>
      </c>
      <c r="GU32" s="665"/>
      <c r="GV32" s="665"/>
      <c r="GW32" s="665"/>
      <c r="GX32" s="665"/>
      <c r="GY32" s="665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665" t="s">
        <v>15</v>
      </c>
      <c r="HP32" s="665"/>
      <c r="HQ32" s="665"/>
      <c r="HR32" s="665"/>
      <c r="HS32" s="665"/>
      <c r="HT32" s="665"/>
      <c r="HU32" s="13">
        <v>100</v>
      </c>
      <c r="HV32" s="19"/>
      <c r="HW32" s="30">
        <f t="shared" si="33"/>
        <v>0</v>
      </c>
      <c r="HX32" s="28">
        <f t="shared" si="0"/>
        <v>0</v>
      </c>
      <c r="HZ32" s="665" t="s">
        <v>15</v>
      </c>
      <c r="IA32" s="665"/>
      <c r="IB32" s="665"/>
      <c r="IC32" s="665"/>
      <c r="ID32" s="665"/>
      <c r="IE32" s="665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665" t="s">
        <v>15</v>
      </c>
      <c r="IQ32" s="665"/>
      <c r="IR32" s="665"/>
      <c r="IS32" s="665"/>
      <c r="IT32" s="665"/>
      <c r="IU32" s="665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665" t="s">
        <v>15</v>
      </c>
      <c r="JC32" s="665"/>
      <c r="JD32" s="665"/>
      <c r="JE32" s="665"/>
      <c r="JF32" s="665"/>
      <c r="JG32" s="665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665" t="s">
        <v>15</v>
      </c>
      <c r="KI32" s="665"/>
      <c r="KJ32" s="665"/>
      <c r="KK32" s="665"/>
      <c r="KL32" s="665"/>
      <c r="KM32" s="665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665" t="s">
        <v>15</v>
      </c>
      <c r="KW32" s="665"/>
      <c r="KX32" s="665"/>
      <c r="KY32" s="665"/>
      <c r="KZ32" s="665"/>
      <c r="LA32" s="665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665" t="s">
        <v>15</v>
      </c>
      <c r="LJ32" s="665"/>
      <c r="LK32" s="665"/>
      <c r="LL32" s="665"/>
      <c r="LM32" s="665"/>
      <c r="LN32" s="665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665" t="s">
        <v>15</v>
      </c>
      <c r="MI32" s="665"/>
      <c r="MJ32" s="665"/>
      <c r="MK32" s="665"/>
      <c r="ML32" s="665"/>
      <c r="MM32" s="665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665" t="s">
        <v>15</v>
      </c>
      <c r="NH32" s="665"/>
      <c r="NI32" s="665"/>
      <c r="NJ32" s="665"/>
      <c r="NK32" s="665"/>
      <c r="NL32" s="665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47"/>
      <c r="B33" s="12"/>
      <c r="C33" s="665" t="s">
        <v>16</v>
      </c>
      <c r="D33" s="665"/>
      <c r="E33" s="665"/>
      <c r="F33" s="665"/>
      <c r="G33" s="665"/>
      <c r="H33" s="665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665" t="s">
        <v>16</v>
      </c>
      <c r="Q33" s="665"/>
      <c r="R33" s="665"/>
      <c r="S33" s="665"/>
      <c r="T33" s="665"/>
      <c r="U33" s="665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665" t="s">
        <v>16</v>
      </c>
      <c r="AI33" s="665"/>
      <c r="AJ33" s="665"/>
      <c r="AK33" s="665"/>
      <c r="AL33" s="665"/>
      <c r="AM33" s="665"/>
      <c r="AN33" s="13"/>
      <c r="AO33" s="19"/>
      <c r="AP33" s="23">
        <f t="shared" si="12"/>
        <v>0</v>
      </c>
      <c r="AQ33" s="19">
        <f t="shared" si="13"/>
        <v>0</v>
      </c>
      <c r="AS33" s="653" t="s">
        <v>16</v>
      </c>
      <c r="AT33" s="653"/>
      <c r="AU33" s="653"/>
      <c r="AV33" s="653"/>
      <c r="AW33" s="653"/>
      <c r="AX33" s="653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653" t="s">
        <v>16</v>
      </c>
      <c r="BH33" s="653"/>
      <c r="BI33" s="653"/>
      <c r="BJ33" s="653"/>
      <c r="BK33" s="653"/>
      <c r="BL33" s="653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653" t="s">
        <v>16</v>
      </c>
      <c r="BT33" s="653"/>
      <c r="BU33" s="653"/>
      <c r="BV33" s="653"/>
      <c r="BW33" s="653"/>
      <c r="BX33" s="653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653" t="s">
        <v>16</v>
      </c>
      <c r="CM33" s="653"/>
      <c r="CN33" s="653"/>
      <c r="CO33" s="653"/>
      <c r="CP33" s="653"/>
      <c r="CQ33" s="653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653" t="s">
        <v>16</v>
      </c>
      <c r="DE33" s="653"/>
      <c r="DF33" s="653"/>
      <c r="DG33" s="653"/>
      <c r="DH33" s="653"/>
      <c r="DI33" s="653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653" t="s">
        <v>16</v>
      </c>
      <c r="DY33" s="653"/>
      <c r="DZ33" s="653"/>
      <c r="EA33" s="653"/>
      <c r="EB33" s="653"/>
      <c r="EC33" s="653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653" t="s">
        <v>16</v>
      </c>
      <c r="ES33" s="653"/>
      <c r="ET33" s="653"/>
      <c r="EU33" s="653"/>
      <c r="EV33" s="653"/>
      <c r="EW33" s="653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653" t="s">
        <v>16</v>
      </c>
      <c r="FX33" s="653"/>
      <c r="FY33" s="653"/>
      <c r="FZ33" s="653"/>
      <c r="GA33" s="653"/>
      <c r="GB33" s="653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653" t="s">
        <v>16</v>
      </c>
      <c r="GU33" s="653"/>
      <c r="GV33" s="653"/>
      <c r="GW33" s="653"/>
      <c r="GX33" s="653"/>
      <c r="GY33" s="653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653" t="s">
        <v>16</v>
      </c>
      <c r="HP33" s="653"/>
      <c r="HQ33" s="653"/>
      <c r="HR33" s="653"/>
      <c r="HS33" s="653"/>
      <c r="HT33" s="653"/>
      <c r="HU33" s="28"/>
      <c r="HV33" s="28"/>
      <c r="HW33" s="30">
        <f t="shared" si="33"/>
        <v>0</v>
      </c>
      <c r="HX33" s="28">
        <f t="shared" si="0"/>
        <v>0</v>
      </c>
      <c r="HZ33" s="653" t="s">
        <v>16</v>
      </c>
      <c r="IA33" s="653"/>
      <c r="IB33" s="653"/>
      <c r="IC33" s="653"/>
      <c r="ID33" s="653"/>
      <c r="IE33" s="653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653" t="s">
        <v>16</v>
      </c>
      <c r="IQ33" s="653"/>
      <c r="IR33" s="653"/>
      <c r="IS33" s="653"/>
      <c r="IT33" s="653"/>
      <c r="IU33" s="653"/>
      <c r="IV33" s="28"/>
      <c r="IW33" s="28"/>
      <c r="IX33" s="30"/>
      <c r="IY33" s="30">
        <f t="shared" si="2"/>
        <v>0</v>
      </c>
      <c r="IZ33" s="28">
        <f t="shared" si="3"/>
        <v>0</v>
      </c>
      <c r="JB33" s="653" t="s">
        <v>16</v>
      </c>
      <c r="JC33" s="653"/>
      <c r="JD33" s="653"/>
      <c r="JE33" s="653"/>
      <c r="JF33" s="653"/>
      <c r="JG33" s="653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653" t="s">
        <v>16</v>
      </c>
      <c r="KI33" s="653"/>
      <c r="KJ33" s="653"/>
      <c r="KK33" s="653"/>
      <c r="KL33" s="653"/>
      <c r="KM33" s="653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653" t="s">
        <v>16</v>
      </c>
      <c r="KW33" s="653"/>
      <c r="KX33" s="653"/>
      <c r="KY33" s="653"/>
      <c r="KZ33" s="653"/>
      <c r="LA33" s="653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653" t="s">
        <v>16</v>
      </c>
      <c r="LJ33" s="653"/>
      <c r="LK33" s="653"/>
      <c r="LL33" s="653"/>
      <c r="LM33" s="653"/>
      <c r="LN33" s="653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653" t="s">
        <v>16</v>
      </c>
      <c r="MI33" s="653"/>
      <c r="MJ33" s="653"/>
      <c r="MK33" s="653"/>
      <c r="ML33" s="653"/>
      <c r="MM33" s="653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653" t="s">
        <v>16</v>
      </c>
      <c r="NH33" s="653"/>
      <c r="NI33" s="653"/>
      <c r="NJ33" s="653"/>
      <c r="NK33" s="653"/>
      <c r="NL33" s="653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47"/>
      <c r="B34" s="12"/>
      <c r="C34" s="665" t="s">
        <v>54</v>
      </c>
      <c r="D34" s="665"/>
      <c r="E34" s="665"/>
      <c r="F34" s="665"/>
      <c r="G34" s="665"/>
      <c r="H34" s="665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665" t="s">
        <v>54</v>
      </c>
      <c r="Q34" s="665"/>
      <c r="R34" s="665"/>
      <c r="S34" s="665"/>
      <c r="T34" s="665"/>
      <c r="U34" s="665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665" t="s">
        <v>54</v>
      </c>
      <c r="AI34" s="665"/>
      <c r="AJ34" s="665"/>
      <c r="AK34" s="665"/>
      <c r="AL34" s="665"/>
      <c r="AM34" s="665"/>
      <c r="AN34" s="13"/>
      <c r="AO34" s="19"/>
      <c r="AP34" s="23">
        <f t="shared" si="12"/>
        <v>0</v>
      </c>
      <c r="AQ34" s="19">
        <f t="shared" si="13"/>
        <v>0</v>
      </c>
      <c r="AS34" s="665" t="s">
        <v>54</v>
      </c>
      <c r="AT34" s="665"/>
      <c r="AU34" s="665"/>
      <c r="AV34" s="665"/>
      <c r="AW34" s="665"/>
      <c r="AX34" s="665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665" t="s">
        <v>54</v>
      </c>
      <c r="BH34" s="665"/>
      <c r="BI34" s="665"/>
      <c r="BJ34" s="665"/>
      <c r="BK34" s="665"/>
      <c r="BL34" s="665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665" t="s">
        <v>54</v>
      </c>
      <c r="BT34" s="665"/>
      <c r="BU34" s="665"/>
      <c r="BV34" s="665"/>
      <c r="BW34" s="665"/>
      <c r="BX34" s="665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665" t="s">
        <v>54</v>
      </c>
      <c r="CM34" s="665"/>
      <c r="CN34" s="665"/>
      <c r="CO34" s="665"/>
      <c r="CP34" s="665"/>
      <c r="CQ34" s="665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665" t="s">
        <v>54</v>
      </c>
      <c r="DE34" s="665"/>
      <c r="DF34" s="665"/>
      <c r="DG34" s="665"/>
      <c r="DH34" s="665"/>
      <c r="DI34" s="665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665" t="s">
        <v>54</v>
      </c>
      <c r="DY34" s="665"/>
      <c r="DZ34" s="665"/>
      <c r="EA34" s="665"/>
      <c r="EB34" s="665"/>
      <c r="EC34" s="665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665" t="s">
        <v>54</v>
      </c>
      <c r="ES34" s="665"/>
      <c r="ET34" s="665"/>
      <c r="EU34" s="665"/>
      <c r="EV34" s="665"/>
      <c r="EW34" s="665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665" t="s">
        <v>54</v>
      </c>
      <c r="FX34" s="665"/>
      <c r="FY34" s="665"/>
      <c r="FZ34" s="665"/>
      <c r="GA34" s="665"/>
      <c r="GB34" s="665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665" t="s">
        <v>54</v>
      </c>
      <c r="GU34" s="665"/>
      <c r="GV34" s="665"/>
      <c r="GW34" s="665"/>
      <c r="GX34" s="665"/>
      <c r="GY34" s="665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665" t="s">
        <v>54</v>
      </c>
      <c r="HP34" s="665"/>
      <c r="HQ34" s="665"/>
      <c r="HR34" s="665"/>
      <c r="HS34" s="665"/>
      <c r="HT34" s="665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665" t="s">
        <v>54</v>
      </c>
      <c r="IA34" s="665"/>
      <c r="IB34" s="665"/>
      <c r="IC34" s="665"/>
      <c r="ID34" s="665"/>
      <c r="IE34" s="665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665" t="s">
        <v>54</v>
      </c>
      <c r="IQ34" s="665"/>
      <c r="IR34" s="665"/>
      <c r="IS34" s="665"/>
      <c r="IT34" s="665"/>
      <c r="IU34" s="665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665" t="s">
        <v>237</v>
      </c>
      <c r="JC34" s="665"/>
      <c r="JD34" s="665"/>
      <c r="JE34" s="665"/>
      <c r="JF34" s="665"/>
      <c r="JG34" s="665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665" t="s">
        <v>237</v>
      </c>
      <c r="KI34" s="665"/>
      <c r="KJ34" s="665"/>
      <c r="KK34" s="665"/>
      <c r="KL34" s="665"/>
      <c r="KM34" s="665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665" t="s">
        <v>237</v>
      </c>
      <c r="KW34" s="665"/>
      <c r="KX34" s="665"/>
      <c r="KY34" s="665"/>
      <c r="KZ34" s="665"/>
      <c r="LA34" s="665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665" t="s">
        <v>237</v>
      </c>
      <c r="LJ34" s="665"/>
      <c r="LK34" s="665"/>
      <c r="LL34" s="665"/>
      <c r="LM34" s="665"/>
      <c r="LN34" s="665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665" t="s">
        <v>237</v>
      </c>
      <c r="MI34" s="665"/>
      <c r="MJ34" s="665"/>
      <c r="MK34" s="665"/>
      <c r="ML34" s="665"/>
      <c r="MM34" s="665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665" t="s">
        <v>237</v>
      </c>
      <c r="NH34" s="665"/>
      <c r="NI34" s="665"/>
      <c r="NJ34" s="665"/>
      <c r="NK34" s="665"/>
      <c r="NL34" s="665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47"/>
      <c r="B35" s="12"/>
      <c r="C35" s="665" t="s">
        <v>17</v>
      </c>
      <c r="D35" s="665"/>
      <c r="E35" s="665"/>
      <c r="F35" s="665"/>
      <c r="G35" s="665"/>
      <c r="H35" s="665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665" t="s">
        <v>17</v>
      </c>
      <c r="Q35" s="665"/>
      <c r="R35" s="665"/>
      <c r="S35" s="665"/>
      <c r="T35" s="665"/>
      <c r="U35" s="665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665" t="s">
        <v>17</v>
      </c>
      <c r="AI35" s="665"/>
      <c r="AJ35" s="665"/>
      <c r="AK35" s="665"/>
      <c r="AL35" s="665"/>
      <c r="AM35" s="665"/>
      <c r="AN35" s="13"/>
      <c r="AO35" s="19"/>
      <c r="AP35" s="23">
        <f t="shared" si="12"/>
        <v>0</v>
      </c>
      <c r="AQ35" s="19">
        <f t="shared" si="13"/>
        <v>0</v>
      </c>
      <c r="AS35" s="653" t="s">
        <v>17</v>
      </c>
      <c r="AT35" s="653"/>
      <c r="AU35" s="653"/>
      <c r="AV35" s="653"/>
      <c r="AW35" s="653"/>
      <c r="AX35" s="653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653" t="s">
        <v>17</v>
      </c>
      <c r="BH35" s="653"/>
      <c r="BI35" s="653"/>
      <c r="BJ35" s="653"/>
      <c r="BK35" s="653"/>
      <c r="BL35" s="653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653" t="s">
        <v>17</v>
      </c>
      <c r="BT35" s="653"/>
      <c r="BU35" s="653"/>
      <c r="BV35" s="653"/>
      <c r="BW35" s="653"/>
      <c r="BX35" s="653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653" t="s">
        <v>17</v>
      </c>
      <c r="CM35" s="653"/>
      <c r="CN35" s="653"/>
      <c r="CO35" s="653"/>
      <c r="CP35" s="653"/>
      <c r="CQ35" s="653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653" t="s">
        <v>17</v>
      </c>
      <c r="DE35" s="653"/>
      <c r="DF35" s="653"/>
      <c r="DG35" s="653"/>
      <c r="DH35" s="653"/>
      <c r="DI35" s="653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653" t="s">
        <v>17</v>
      </c>
      <c r="DY35" s="653"/>
      <c r="DZ35" s="653"/>
      <c r="EA35" s="653"/>
      <c r="EB35" s="653"/>
      <c r="EC35" s="653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653" t="s">
        <v>17</v>
      </c>
      <c r="ES35" s="653"/>
      <c r="ET35" s="653"/>
      <c r="EU35" s="653"/>
      <c r="EV35" s="653"/>
      <c r="EW35" s="653"/>
      <c r="EX35" s="28"/>
      <c r="EY35" s="28"/>
      <c r="EZ35" s="96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653" t="s">
        <v>17</v>
      </c>
      <c r="FX35" s="653"/>
      <c r="FY35" s="653"/>
      <c r="FZ35" s="653"/>
      <c r="GA35" s="653"/>
      <c r="GB35" s="653"/>
      <c r="GC35" s="28"/>
      <c r="GD35" s="30"/>
      <c r="GE35" s="96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653" t="s">
        <v>17</v>
      </c>
      <c r="GU35" s="653"/>
      <c r="GV35" s="653"/>
      <c r="GW35" s="653"/>
      <c r="GX35" s="653"/>
      <c r="GY35" s="653"/>
      <c r="GZ35" s="28"/>
      <c r="HA35" s="96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653" t="s">
        <v>17</v>
      </c>
      <c r="HP35" s="653"/>
      <c r="HQ35" s="653"/>
      <c r="HR35" s="653"/>
      <c r="HS35" s="653"/>
      <c r="HT35" s="653"/>
      <c r="HU35" s="28"/>
      <c r="HV35" s="96"/>
      <c r="HW35" s="30">
        <f t="shared" si="33"/>
        <v>0</v>
      </c>
      <c r="HX35" s="28">
        <f t="shared" si="0"/>
        <v>0</v>
      </c>
      <c r="HZ35" s="653" t="s">
        <v>17</v>
      </c>
      <c r="IA35" s="653"/>
      <c r="IB35" s="653"/>
      <c r="IC35" s="653"/>
      <c r="ID35" s="653"/>
      <c r="IE35" s="653"/>
      <c r="IF35" s="28"/>
      <c r="IG35" s="96"/>
      <c r="IH35" s="151"/>
      <c r="II35" s="151"/>
      <c r="IJ35" s="151"/>
      <c r="IK35" s="151"/>
      <c r="IL35" s="151"/>
      <c r="IM35" s="30">
        <f t="shared" si="41"/>
        <v>0</v>
      </c>
      <c r="IN35" s="28">
        <f t="shared" si="1"/>
        <v>0</v>
      </c>
      <c r="IP35" s="653" t="s">
        <v>17</v>
      </c>
      <c r="IQ35" s="653"/>
      <c r="IR35" s="653"/>
      <c r="IS35" s="653"/>
      <c r="IT35" s="653"/>
      <c r="IU35" s="653"/>
      <c r="IV35" s="28"/>
      <c r="IW35" s="96"/>
      <c r="IX35" s="151"/>
      <c r="IY35" s="30">
        <f t="shared" si="2"/>
        <v>0</v>
      </c>
      <c r="IZ35" s="28">
        <f t="shared" si="3"/>
        <v>0</v>
      </c>
      <c r="JB35" s="653" t="s">
        <v>17</v>
      </c>
      <c r="JC35" s="653"/>
      <c r="JD35" s="653"/>
      <c r="JE35" s="653"/>
      <c r="JF35" s="653"/>
      <c r="JG35" s="653"/>
      <c r="JH35" s="28">
        <v>100</v>
      </c>
      <c r="JI35" s="96"/>
      <c r="JJ35" s="151"/>
      <c r="JK35" s="151"/>
      <c r="JL35" s="151"/>
      <c r="JM35" s="151"/>
      <c r="JN35" s="151"/>
      <c r="JO35" s="151"/>
      <c r="JP35" s="151"/>
      <c r="JQ35" s="151"/>
      <c r="JR35" s="151"/>
      <c r="JS35" s="151"/>
      <c r="JT35" s="151"/>
      <c r="JU35" s="151"/>
      <c r="JV35" s="151"/>
      <c r="JW35" s="151"/>
      <c r="JX35" s="151"/>
      <c r="JY35" s="151"/>
      <c r="JZ35" s="151"/>
      <c r="KA35" s="151"/>
      <c r="KB35" s="151"/>
      <c r="KC35" s="151"/>
      <c r="KD35" s="151"/>
      <c r="KE35" s="30">
        <f t="shared" si="34"/>
        <v>0</v>
      </c>
      <c r="KF35" s="28">
        <f t="shared" si="42"/>
        <v>0</v>
      </c>
      <c r="KH35" s="653" t="s">
        <v>17</v>
      </c>
      <c r="KI35" s="653"/>
      <c r="KJ35" s="653"/>
      <c r="KK35" s="653"/>
      <c r="KL35" s="653"/>
      <c r="KM35" s="653"/>
      <c r="KN35" s="28">
        <v>100</v>
      </c>
      <c r="KO35" s="96"/>
      <c r="KP35" s="151"/>
      <c r="KQ35" s="151"/>
      <c r="KR35" s="151"/>
      <c r="KS35" s="30">
        <f t="shared" si="4"/>
        <v>0</v>
      </c>
      <c r="KT35" s="28">
        <f t="shared" si="5"/>
        <v>0</v>
      </c>
      <c r="KV35" s="653" t="s">
        <v>17</v>
      </c>
      <c r="KW35" s="653"/>
      <c r="KX35" s="653"/>
      <c r="KY35" s="653"/>
      <c r="KZ35" s="653"/>
      <c r="LA35" s="653"/>
      <c r="LB35" s="28">
        <v>100</v>
      </c>
      <c r="LC35" s="96"/>
      <c r="LD35" s="151"/>
      <c r="LE35" s="151"/>
      <c r="LF35" s="30">
        <f t="shared" si="6"/>
        <v>0</v>
      </c>
      <c r="LG35" s="28">
        <f t="shared" si="7"/>
        <v>0</v>
      </c>
      <c r="LI35" s="653" t="s">
        <v>17</v>
      </c>
      <c r="LJ35" s="653"/>
      <c r="LK35" s="653"/>
      <c r="LL35" s="653"/>
      <c r="LM35" s="653"/>
      <c r="LN35" s="653"/>
      <c r="LO35" s="28">
        <v>100</v>
      </c>
      <c r="LP35" s="96"/>
      <c r="LQ35" s="151"/>
      <c r="LR35" s="151"/>
      <c r="LS35" s="151"/>
      <c r="LT35" s="151"/>
      <c r="LU35" s="151"/>
      <c r="LV35" s="151"/>
      <c r="LW35" s="151"/>
      <c r="LX35" s="151"/>
      <c r="LY35" s="151"/>
      <c r="LZ35" s="151"/>
      <c r="MA35" s="151"/>
      <c r="MB35" s="151"/>
      <c r="MC35" s="151"/>
      <c r="MD35" s="151"/>
      <c r="ME35" s="30">
        <f t="shared" si="35"/>
        <v>0</v>
      </c>
      <c r="MF35" s="28">
        <f t="shared" si="8"/>
        <v>0</v>
      </c>
      <c r="MH35" s="653" t="s">
        <v>17</v>
      </c>
      <c r="MI35" s="653"/>
      <c r="MJ35" s="653"/>
      <c r="MK35" s="653"/>
      <c r="ML35" s="653"/>
      <c r="MM35" s="653"/>
      <c r="MN35" s="28">
        <v>100</v>
      </c>
      <c r="MO35" s="96"/>
      <c r="MP35" s="151"/>
      <c r="MQ35" s="151"/>
      <c r="MR35" s="151"/>
      <c r="MS35" s="151"/>
      <c r="MT35" s="151"/>
      <c r="MU35" s="151"/>
      <c r="MV35" s="151"/>
      <c r="MW35" s="151"/>
      <c r="MX35" s="151"/>
      <c r="MY35" s="151"/>
      <c r="MZ35" s="151"/>
      <c r="NA35" s="151"/>
      <c r="NB35" s="151"/>
      <c r="NC35" s="151"/>
      <c r="ND35" s="30">
        <f t="shared" si="36"/>
        <v>0</v>
      </c>
      <c r="NE35" s="28">
        <f t="shared" si="37"/>
        <v>0</v>
      </c>
      <c r="NG35" s="653" t="s">
        <v>17</v>
      </c>
      <c r="NH35" s="653"/>
      <c r="NI35" s="653"/>
      <c r="NJ35" s="653"/>
      <c r="NK35" s="653"/>
      <c r="NL35" s="653"/>
      <c r="NM35" s="28">
        <v>100</v>
      </c>
      <c r="NN35" s="151"/>
      <c r="NO35" s="151"/>
      <c r="NP35" s="151"/>
      <c r="NQ35" s="151"/>
      <c r="NR35" s="151"/>
      <c r="NS35" s="151"/>
      <c r="NT35" s="151"/>
      <c r="NU35" s="151"/>
      <c r="NV35" s="151"/>
      <c r="NW35" s="151"/>
      <c r="NX35" s="151"/>
      <c r="NY35" s="151"/>
      <c r="NZ35" s="151"/>
      <c r="OA35" s="151"/>
      <c r="OB35" s="151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47"/>
      <c r="B36" s="12"/>
      <c r="C36" s="665" t="s">
        <v>59</v>
      </c>
      <c r="D36" s="665"/>
      <c r="E36" s="665"/>
      <c r="F36" s="665"/>
      <c r="G36" s="665"/>
      <c r="H36" s="665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665" t="s">
        <v>59</v>
      </c>
      <c r="Q36" s="665"/>
      <c r="R36" s="665"/>
      <c r="S36" s="665"/>
      <c r="T36" s="665"/>
      <c r="U36" s="665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665" t="s">
        <v>59</v>
      </c>
      <c r="AI36" s="665"/>
      <c r="AJ36" s="665"/>
      <c r="AK36" s="665"/>
      <c r="AL36" s="665"/>
      <c r="AM36" s="665"/>
      <c r="AN36" s="13"/>
      <c r="AO36" s="19"/>
      <c r="AP36" s="23">
        <f t="shared" si="12"/>
        <v>0</v>
      </c>
      <c r="AQ36" s="19">
        <f t="shared" si="13"/>
        <v>0</v>
      </c>
      <c r="AS36" s="665" t="s">
        <v>59</v>
      </c>
      <c r="AT36" s="665"/>
      <c r="AU36" s="665"/>
      <c r="AV36" s="665"/>
      <c r="AW36" s="665"/>
      <c r="AX36" s="665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665" t="s">
        <v>59</v>
      </c>
      <c r="BH36" s="665"/>
      <c r="BI36" s="665"/>
      <c r="BJ36" s="665"/>
      <c r="BK36" s="665"/>
      <c r="BL36" s="665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665" t="s">
        <v>59</v>
      </c>
      <c r="BT36" s="665"/>
      <c r="BU36" s="665"/>
      <c r="BV36" s="665"/>
      <c r="BW36" s="665"/>
      <c r="BX36" s="665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665" t="s">
        <v>59</v>
      </c>
      <c r="CM36" s="665"/>
      <c r="CN36" s="665"/>
      <c r="CO36" s="665"/>
      <c r="CP36" s="665"/>
      <c r="CQ36" s="665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665" t="s">
        <v>59</v>
      </c>
      <c r="DE36" s="665"/>
      <c r="DF36" s="665"/>
      <c r="DG36" s="665"/>
      <c r="DH36" s="665"/>
      <c r="DI36" s="665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665" t="s">
        <v>59</v>
      </c>
      <c r="DY36" s="665"/>
      <c r="DZ36" s="665"/>
      <c r="EA36" s="665"/>
      <c r="EB36" s="665"/>
      <c r="EC36" s="665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665" t="s">
        <v>59</v>
      </c>
      <c r="ES36" s="665"/>
      <c r="ET36" s="665"/>
      <c r="EU36" s="665"/>
      <c r="EV36" s="665"/>
      <c r="EW36" s="665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665" t="s">
        <v>59</v>
      </c>
      <c r="FX36" s="665"/>
      <c r="FY36" s="665"/>
      <c r="FZ36" s="665"/>
      <c r="GA36" s="665"/>
      <c r="GB36" s="665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665" t="s">
        <v>59</v>
      </c>
      <c r="GU36" s="665"/>
      <c r="GV36" s="665"/>
      <c r="GW36" s="665"/>
      <c r="GX36" s="665"/>
      <c r="GY36" s="665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665" t="s">
        <v>59</v>
      </c>
      <c r="HP36" s="665"/>
      <c r="HQ36" s="665"/>
      <c r="HR36" s="665"/>
      <c r="HS36" s="665"/>
      <c r="HT36" s="665"/>
      <c r="HU36" s="13">
        <v>100</v>
      </c>
      <c r="HV36" s="19"/>
      <c r="HW36" s="30">
        <f t="shared" si="33"/>
        <v>0</v>
      </c>
      <c r="HX36" s="28">
        <f t="shared" si="0"/>
        <v>0</v>
      </c>
      <c r="HZ36" s="665" t="s">
        <v>59</v>
      </c>
      <c r="IA36" s="665"/>
      <c r="IB36" s="665"/>
      <c r="IC36" s="665"/>
      <c r="ID36" s="665"/>
      <c r="IE36" s="665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665" t="s">
        <v>59</v>
      </c>
      <c r="IQ36" s="665"/>
      <c r="IR36" s="665"/>
      <c r="IS36" s="665"/>
      <c r="IT36" s="665"/>
      <c r="IU36" s="665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665" t="s">
        <v>59</v>
      </c>
      <c r="JC36" s="665"/>
      <c r="JD36" s="665"/>
      <c r="JE36" s="665"/>
      <c r="JF36" s="665"/>
      <c r="JG36" s="665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665" t="s">
        <v>59</v>
      </c>
      <c r="KI36" s="665"/>
      <c r="KJ36" s="665"/>
      <c r="KK36" s="665"/>
      <c r="KL36" s="665"/>
      <c r="KM36" s="665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665" t="s">
        <v>59</v>
      </c>
      <c r="KW36" s="665"/>
      <c r="KX36" s="665"/>
      <c r="KY36" s="665"/>
      <c r="KZ36" s="665"/>
      <c r="LA36" s="665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665" t="s">
        <v>59</v>
      </c>
      <c r="LJ36" s="665"/>
      <c r="LK36" s="665"/>
      <c r="LL36" s="665"/>
      <c r="LM36" s="665"/>
      <c r="LN36" s="665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665" t="s">
        <v>59</v>
      </c>
      <c r="MI36" s="665"/>
      <c r="MJ36" s="665"/>
      <c r="MK36" s="665"/>
      <c r="ML36" s="665"/>
      <c r="MM36" s="665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665" t="s">
        <v>59</v>
      </c>
      <c r="NH36" s="665"/>
      <c r="NI36" s="665"/>
      <c r="NJ36" s="665"/>
      <c r="NK36" s="665"/>
      <c r="NL36" s="665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47"/>
      <c r="B37" s="12"/>
      <c r="C37" s="665" t="s">
        <v>18</v>
      </c>
      <c r="D37" s="665"/>
      <c r="E37" s="665"/>
      <c r="F37" s="665"/>
      <c r="G37" s="665"/>
      <c r="H37" s="665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665" t="s">
        <v>18</v>
      </c>
      <c r="Q37" s="665"/>
      <c r="R37" s="665"/>
      <c r="S37" s="665"/>
      <c r="T37" s="665"/>
      <c r="U37" s="665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665" t="s">
        <v>18</v>
      </c>
      <c r="AI37" s="665"/>
      <c r="AJ37" s="665"/>
      <c r="AK37" s="665"/>
      <c r="AL37" s="665"/>
      <c r="AM37" s="665"/>
      <c r="AN37" s="13"/>
      <c r="AO37" s="19"/>
      <c r="AP37" s="23">
        <f t="shared" si="12"/>
        <v>0</v>
      </c>
      <c r="AQ37" s="19">
        <f t="shared" si="13"/>
        <v>0</v>
      </c>
      <c r="AS37" s="653" t="s">
        <v>18</v>
      </c>
      <c r="AT37" s="653"/>
      <c r="AU37" s="653"/>
      <c r="AV37" s="653"/>
      <c r="AW37" s="653"/>
      <c r="AX37" s="653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653" t="s">
        <v>18</v>
      </c>
      <c r="BH37" s="653"/>
      <c r="BI37" s="653"/>
      <c r="BJ37" s="653"/>
      <c r="BK37" s="653"/>
      <c r="BL37" s="653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653" t="s">
        <v>18</v>
      </c>
      <c r="BT37" s="653"/>
      <c r="BU37" s="653"/>
      <c r="BV37" s="653"/>
      <c r="BW37" s="653"/>
      <c r="BX37" s="653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653" t="s">
        <v>18</v>
      </c>
      <c r="CM37" s="653"/>
      <c r="CN37" s="653"/>
      <c r="CO37" s="653"/>
      <c r="CP37" s="653"/>
      <c r="CQ37" s="653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653" t="s">
        <v>18</v>
      </c>
      <c r="DE37" s="653"/>
      <c r="DF37" s="653"/>
      <c r="DG37" s="653"/>
      <c r="DH37" s="653"/>
      <c r="DI37" s="653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653" t="s">
        <v>18</v>
      </c>
      <c r="DY37" s="653"/>
      <c r="DZ37" s="653"/>
      <c r="EA37" s="653"/>
      <c r="EB37" s="653"/>
      <c r="EC37" s="653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653" t="s">
        <v>18</v>
      </c>
      <c r="ES37" s="653"/>
      <c r="ET37" s="653"/>
      <c r="EU37" s="653"/>
      <c r="EV37" s="653"/>
      <c r="EW37" s="653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653" t="s">
        <v>18</v>
      </c>
      <c r="FX37" s="653"/>
      <c r="FY37" s="653"/>
      <c r="FZ37" s="653"/>
      <c r="GA37" s="653"/>
      <c r="GB37" s="653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653" t="s">
        <v>18</v>
      </c>
      <c r="GU37" s="653"/>
      <c r="GV37" s="653"/>
      <c r="GW37" s="653"/>
      <c r="GX37" s="653"/>
      <c r="GY37" s="653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653" t="s">
        <v>18</v>
      </c>
      <c r="HP37" s="653"/>
      <c r="HQ37" s="653"/>
      <c r="HR37" s="653"/>
      <c r="HS37" s="653"/>
      <c r="HT37" s="653"/>
      <c r="HU37" s="28">
        <v>250</v>
      </c>
      <c r="HV37" s="28"/>
      <c r="HW37" s="30">
        <f t="shared" si="33"/>
        <v>0</v>
      </c>
      <c r="HX37" s="28">
        <f t="shared" si="0"/>
        <v>0</v>
      </c>
      <c r="HZ37" s="653" t="s">
        <v>18</v>
      </c>
      <c r="IA37" s="653"/>
      <c r="IB37" s="653"/>
      <c r="IC37" s="653"/>
      <c r="ID37" s="653"/>
      <c r="IE37" s="653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653" t="s">
        <v>18</v>
      </c>
      <c r="IQ37" s="653"/>
      <c r="IR37" s="653"/>
      <c r="IS37" s="653"/>
      <c r="IT37" s="653"/>
      <c r="IU37" s="653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653" t="s">
        <v>18</v>
      </c>
      <c r="JC37" s="653"/>
      <c r="JD37" s="653"/>
      <c r="JE37" s="653"/>
      <c r="JF37" s="653"/>
      <c r="JG37" s="653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653" t="s">
        <v>18</v>
      </c>
      <c r="KI37" s="653"/>
      <c r="KJ37" s="653"/>
      <c r="KK37" s="653"/>
      <c r="KL37" s="653"/>
      <c r="KM37" s="653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653" t="s">
        <v>18</v>
      </c>
      <c r="KW37" s="653"/>
      <c r="KX37" s="653"/>
      <c r="KY37" s="653"/>
      <c r="KZ37" s="653"/>
      <c r="LA37" s="653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653" t="s">
        <v>18</v>
      </c>
      <c r="LJ37" s="653"/>
      <c r="LK37" s="653"/>
      <c r="LL37" s="653"/>
      <c r="LM37" s="653"/>
      <c r="LN37" s="653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653" t="s">
        <v>18</v>
      </c>
      <c r="MI37" s="653"/>
      <c r="MJ37" s="653"/>
      <c r="MK37" s="653"/>
      <c r="ML37" s="653"/>
      <c r="MM37" s="653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653" t="s">
        <v>18</v>
      </c>
      <c r="NH37" s="653"/>
      <c r="NI37" s="653"/>
      <c r="NJ37" s="653"/>
      <c r="NK37" s="653"/>
      <c r="NL37" s="653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47"/>
      <c r="B38" s="12"/>
      <c r="C38" s="665" t="s">
        <v>19</v>
      </c>
      <c r="D38" s="665"/>
      <c r="E38" s="665"/>
      <c r="F38" s="665"/>
      <c r="G38" s="665"/>
      <c r="H38" s="665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665" t="s">
        <v>19</v>
      </c>
      <c r="Q38" s="665"/>
      <c r="R38" s="665"/>
      <c r="S38" s="665"/>
      <c r="T38" s="665"/>
      <c r="U38" s="665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665" t="s">
        <v>19</v>
      </c>
      <c r="AI38" s="665"/>
      <c r="AJ38" s="665"/>
      <c r="AK38" s="665"/>
      <c r="AL38" s="665"/>
      <c r="AM38" s="665"/>
      <c r="AN38" s="13"/>
      <c r="AO38" s="19"/>
      <c r="AP38" s="23">
        <f t="shared" si="12"/>
        <v>0</v>
      </c>
      <c r="AQ38" s="19">
        <f t="shared" si="13"/>
        <v>0</v>
      </c>
      <c r="AS38" s="665" t="s">
        <v>19</v>
      </c>
      <c r="AT38" s="665"/>
      <c r="AU38" s="665"/>
      <c r="AV38" s="665"/>
      <c r="AW38" s="665"/>
      <c r="AX38" s="665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665" t="s">
        <v>19</v>
      </c>
      <c r="BH38" s="665"/>
      <c r="BI38" s="665"/>
      <c r="BJ38" s="665"/>
      <c r="BK38" s="665"/>
      <c r="BL38" s="665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665" t="s">
        <v>19</v>
      </c>
      <c r="BT38" s="665"/>
      <c r="BU38" s="665"/>
      <c r="BV38" s="665"/>
      <c r="BW38" s="665"/>
      <c r="BX38" s="665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665" t="s">
        <v>19</v>
      </c>
      <c r="CM38" s="665"/>
      <c r="CN38" s="665"/>
      <c r="CO38" s="665"/>
      <c r="CP38" s="665"/>
      <c r="CQ38" s="665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665" t="s">
        <v>19</v>
      </c>
      <c r="DE38" s="665"/>
      <c r="DF38" s="665"/>
      <c r="DG38" s="665"/>
      <c r="DH38" s="665"/>
      <c r="DI38" s="665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665" t="s">
        <v>19</v>
      </c>
      <c r="DY38" s="665"/>
      <c r="DZ38" s="665"/>
      <c r="EA38" s="665"/>
      <c r="EB38" s="665"/>
      <c r="EC38" s="665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665" t="s">
        <v>19</v>
      </c>
      <c r="ES38" s="665"/>
      <c r="ET38" s="665"/>
      <c r="EU38" s="665"/>
      <c r="EV38" s="665"/>
      <c r="EW38" s="665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665" t="s">
        <v>19</v>
      </c>
      <c r="FX38" s="665"/>
      <c r="FY38" s="665"/>
      <c r="FZ38" s="665"/>
      <c r="GA38" s="665"/>
      <c r="GB38" s="665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665" t="s">
        <v>19</v>
      </c>
      <c r="GU38" s="665"/>
      <c r="GV38" s="665"/>
      <c r="GW38" s="665"/>
      <c r="GX38" s="665"/>
      <c r="GY38" s="665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665" t="s">
        <v>19</v>
      </c>
      <c r="HP38" s="665"/>
      <c r="HQ38" s="665"/>
      <c r="HR38" s="665"/>
      <c r="HS38" s="665"/>
      <c r="HT38" s="665"/>
      <c r="HU38" s="13"/>
      <c r="HV38" s="19"/>
      <c r="HW38" s="30">
        <f t="shared" si="33"/>
        <v>0</v>
      </c>
      <c r="HX38" s="28">
        <f t="shared" si="0"/>
        <v>0</v>
      </c>
      <c r="HZ38" s="665" t="s">
        <v>19</v>
      </c>
      <c r="IA38" s="665"/>
      <c r="IB38" s="665"/>
      <c r="IC38" s="665"/>
      <c r="ID38" s="665"/>
      <c r="IE38" s="665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665" t="s">
        <v>19</v>
      </c>
      <c r="IQ38" s="665"/>
      <c r="IR38" s="665"/>
      <c r="IS38" s="665"/>
      <c r="IT38" s="665"/>
      <c r="IU38" s="665"/>
      <c r="IV38" s="13"/>
      <c r="IW38" s="19"/>
      <c r="IX38" s="23"/>
      <c r="IY38" s="30">
        <f t="shared" si="2"/>
        <v>0</v>
      </c>
      <c r="IZ38" s="28">
        <f t="shared" si="3"/>
        <v>0</v>
      </c>
      <c r="JB38" s="665" t="s">
        <v>19</v>
      </c>
      <c r="JC38" s="665"/>
      <c r="JD38" s="665"/>
      <c r="JE38" s="665"/>
      <c r="JF38" s="665"/>
      <c r="JG38" s="665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665" t="s">
        <v>19</v>
      </c>
      <c r="KI38" s="665"/>
      <c r="KJ38" s="665"/>
      <c r="KK38" s="665"/>
      <c r="KL38" s="665"/>
      <c r="KM38" s="665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665" t="s">
        <v>19</v>
      </c>
      <c r="KW38" s="665"/>
      <c r="KX38" s="665"/>
      <c r="KY38" s="665"/>
      <c r="KZ38" s="665"/>
      <c r="LA38" s="665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665" t="s">
        <v>19</v>
      </c>
      <c r="LJ38" s="665"/>
      <c r="LK38" s="665"/>
      <c r="LL38" s="665"/>
      <c r="LM38" s="665"/>
      <c r="LN38" s="665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665" t="s">
        <v>19</v>
      </c>
      <c r="MI38" s="665"/>
      <c r="MJ38" s="665"/>
      <c r="MK38" s="665"/>
      <c r="ML38" s="665"/>
      <c r="MM38" s="665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665" t="s">
        <v>19</v>
      </c>
      <c r="NH38" s="665"/>
      <c r="NI38" s="665"/>
      <c r="NJ38" s="665"/>
      <c r="NK38" s="665"/>
      <c r="NL38" s="665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47"/>
      <c r="B39" s="12"/>
      <c r="C39" s="665" t="s">
        <v>20</v>
      </c>
      <c r="D39" s="665"/>
      <c r="E39" s="665"/>
      <c r="F39" s="665"/>
      <c r="G39" s="665"/>
      <c r="H39" s="665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665" t="s">
        <v>20</v>
      </c>
      <c r="Q39" s="665"/>
      <c r="R39" s="665"/>
      <c r="S39" s="665"/>
      <c r="T39" s="665"/>
      <c r="U39" s="665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665" t="s">
        <v>20</v>
      </c>
      <c r="AI39" s="665"/>
      <c r="AJ39" s="665"/>
      <c r="AK39" s="665"/>
      <c r="AL39" s="665"/>
      <c r="AM39" s="665"/>
      <c r="AN39" s="13"/>
      <c r="AO39" s="19"/>
      <c r="AP39" s="23">
        <f t="shared" si="12"/>
        <v>0</v>
      </c>
      <c r="AQ39" s="19">
        <f t="shared" si="13"/>
        <v>0</v>
      </c>
      <c r="AS39" s="653" t="s">
        <v>20</v>
      </c>
      <c r="AT39" s="653"/>
      <c r="AU39" s="653"/>
      <c r="AV39" s="653"/>
      <c r="AW39" s="653"/>
      <c r="AX39" s="653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653" t="s">
        <v>20</v>
      </c>
      <c r="BH39" s="653"/>
      <c r="BI39" s="653"/>
      <c r="BJ39" s="653"/>
      <c r="BK39" s="653"/>
      <c r="BL39" s="653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653" t="s">
        <v>20</v>
      </c>
      <c r="BT39" s="653"/>
      <c r="BU39" s="653"/>
      <c r="BV39" s="653"/>
      <c r="BW39" s="653"/>
      <c r="BX39" s="653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653" t="s">
        <v>20</v>
      </c>
      <c r="CM39" s="653"/>
      <c r="CN39" s="653"/>
      <c r="CO39" s="653"/>
      <c r="CP39" s="653"/>
      <c r="CQ39" s="653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653" t="s">
        <v>20</v>
      </c>
      <c r="DE39" s="653"/>
      <c r="DF39" s="653"/>
      <c r="DG39" s="653"/>
      <c r="DH39" s="653"/>
      <c r="DI39" s="653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653" t="s">
        <v>20</v>
      </c>
      <c r="DY39" s="653"/>
      <c r="DZ39" s="653"/>
      <c r="EA39" s="653"/>
      <c r="EB39" s="653"/>
      <c r="EC39" s="653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653" t="s">
        <v>20</v>
      </c>
      <c r="ES39" s="653"/>
      <c r="ET39" s="653"/>
      <c r="EU39" s="653"/>
      <c r="EV39" s="653"/>
      <c r="EW39" s="653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653" t="s">
        <v>20</v>
      </c>
      <c r="FX39" s="653"/>
      <c r="FY39" s="653"/>
      <c r="FZ39" s="653"/>
      <c r="GA39" s="653"/>
      <c r="GB39" s="653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653" t="s">
        <v>20</v>
      </c>
      <c r="GU39" s="653"/>
      <c r="GV39" s="653"/>
      <c r="GW39" s="653"/>
      <c r="GX39" s="653"/>
      <c r="GY39" s="653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653" t="s">
        <v>20</v>
      </c>
      <c r="HP39" s="653"/>
      <c r="HQ39" s="653"/>
      <c r="HR39" s="653"/>
      <c r="HS39" s="653"/>
      <c r="HT39" s="653"/>
      <c r="HU39" s="28">
        <v>5.5</v>
      </c>
      <c r="HV39" s="28"/>
      <c r="HW39" s="30">
        <f t="shared" si="33"/>
        <v>0</v>
      </c>
      <c r="HX39" s="28">
        <f t="shared" si="0"/>
        <v>0</v>
      </c>
      <c r="HZ39" s="653" t="s">
        <v>20</v>
      </c>
      <c r="IA39" s="653"/>
      <c r="IB39" s="653"/>
      <c r="IC39" s="653"/>
      <c r="ID39" s="653"/>
      <c r="IE39" s="653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653" t="s">
        <v>20</v>
      </c>
      <c r="IQ39" s="653"/>
      <c r="IR39" s="653"/>
      <c r="IS39" s="653"/>
      <c r="IT39" s="653"/>
      <c r="IU39" s="653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653" t="s">
        <v>20</v>
      </c>
      <c r="JC39" s="653"/>
      <c r="JD39" s="653"/>
      <c r="JE39" s="653"/>
      <c r="JF39" s="653"/>
      <c r="JG39" s="653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653" t="s">
        <v>20</v>
      </c>
      <c r="KI39" s="653"/>
      <c r="KJ39" s="653"/>
      <c r="KK39" s="653"/>
      <c r="KL39" s="653"/>
      <c r="KM39" s="653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653" t="s">
        <v>20</v>
      </c>
      <c r="KW39" s="653"/>
      <c r="KX39" s="653"/>
      <c r="KY39" s="653"/>
      <c r="KZ39" s="653"/>
      <c r="LA39" s="653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653" t="s">
        <v>20</v>
      </c>
      <c r="LJ39" s="653"/>
      <c r="LK39" s="653"/>
      <c r="LL39" s="653"/>
      <c r="LM39" s="653"/>
      <c r="LN39" s="653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653" t="s">
        <v>20</v>
      </c>
      <c r="MI39" s="653"/>
      <c r="MJ39" s="653"/>
      <c r="MK39" s="653"/>
      <c r="ML39" s="653"/>
      <c r="MM39" s="653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653" t="s">
        <v>20</v>
      </c>
      <c r="NH39" s="653"/>
      <c r="NI39" s="653"/>
      <c r="NJ39" s="653"/>
      <c r="NK39" s="653"/>
      <c r="NL39" s="653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47"/>
      <c r="B40" s="12"/>
      <c r="C40" s="665" t="s">
        <v>21</v>
      </c>
      <c r="D40" s="665"/>
      <c r="E40" s="665"/>
      <c r="F40" s="665"/>
      <c r="G40" s="665"/>
      <c r="H40" s="665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665" t="s">
        <v>21</v>
      </c>
      <c r="Q40" s="665"/>
      <c r="R40" s="665"/>
      <c r="S40" s="665"/>
      <c r="T40" s="665"/>
      <c r="U40" s="665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665" t="s">
        <v>21</v>
      </c>
      <c r="AI40" s="665"/>
      <c r="AJ40" s="665"/>
      <c r="AK40" s="665"/>
      <c r="AL40" s="665"/>
      <c r="AM40" s="665"/>
      <c r="AN40" s="13"/>
      <c r="AO40" s="19"/>
      <c r="AP40" s="23">
        <f t="shared" si="12"/>
        <v>0</v>
      </c>
      <c r="AQ40" s="19">
        <f t="shared" si="13"/>
        <v>0</v>
      </c>
      <c r="AS40" s="665" t="s">
        <v>21</v>
      </c>
      <c r="AT40" s="665"/>
      <c r="AU40" s="665"/>
      <c r="AV40" s="665"/>
      <c r="AW40" s="665"/>
      <c r="AX40" s="665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665" t="s">
        <v>21</v>
      </c>
      <c r="BH40" s="665"/>
      <c r="BI40" s="665"/>
      <c r="BJ40" s="665"/>
      <c r="BK40" s="665"/>
      <c r="BL40" s="665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665" t="s">
        <v>21</v>
      </c>
      <c r="BT40" s="665"/>
      <c r="BU40" s="665"/>
      <c r="BV40" s="665"/>
      <c r="BW40" s="665"/>
      <c r="BX40" s="665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665" t="s">
        <v>21</v>
      </c>
      <c r="CM40" s="665"/>
      <c r="CN40" s="665"/>
      <c r="CO40" s="665"/>
      <c r="CP40" s="665"/>
      <c r="CQ40" s="665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665" t="s">
        <v>21</v>
      </c>
      <c r="DE40" s="665"/>
      <c r="DF40" s="665"/>
      <c r="DG40" s="665"/>
      <c r="DH40" s="665"/>
      <c r="DI40" s="665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665" t="s">
        <v>21</v>
      </c>
      <c r="DY40" s="665"/>
      <c r="DZ40" s="665"/>
      <c r="EA40" s="665"/>
      <c r="EB40" s="665"/>
      <c r="EC40" s="665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665" t="s">
        <v>21</v>
      </c>
      <c r="ES40" s="665"/>
      <c r="ET40" s="665"/>
      <c r="EU40" s="665"/>
      <c r="EV40" s="665"/>
      <c r="EW40" s="665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665" t="s">
        <v>21</v>
      </c>
      <c r="FX40" s="665"/>
      <c r="FY40" s="665"/>
      <c r="FZ40" s="665"/>
      <c r="GA40" s="665"/>
      <c r="GB40" s="665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665" t="s">
        <v>21</v>
      </c>
      <c r="GU40" s="665"/>
      <c r="GV40" s="665"/>
      <c r="GW40" s="665"/>
      <c r="GX40" s="665"/>
      <c r="GY40" s="665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665" t="s">
        <v>21</v>
      </c>
      <c r="HP40" s="665"/>
      <c r="HQ40" s="665"/>
      <c r="HR40" s="665"/>
      <c r="HS40" s="665"/>
      <c r="HT40" s="665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665" t="s">
        <v>21</v>
      </c>
      <c r="IA40" s="665"/>
      <c r="IB40" s="665"/>
      <c r="IC40" s="665"/>
      <c r="ID40" s="665"/>
      <c r="IE40" s="665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665" t="s">
        <v>21</v>
      </c>
      <c r="IQ40" s="665"/>
      <c r="IR40" s="665"/>
      <c r="IS40" s="665"/>
      <c r="IT40" s="665"/>
      <c r="IU40" s="665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665" t="s">
        <v>21</v>
      </c>
      <c r="JC40" s="665"/>
      <c r="JD40" s="665"/>
      <c r="JE40" s="665"/>
      <c r="JF40" s="665"/>
      <c r="JG40" s="665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665" t="s">
        <v>21</v>
      </c>
      <c r="KI40" s="665"/>
      <c r="KJ40" s="665"/>
      <c r="KK40" s="665"/>
      <c r="KL40" s="665"/>
      <c r="KM40" s="665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665" t="s">
        <v>21</v>
      </c>
      <c r="KW40" s="665"/>
      <c r="KX40" s="665"/>
      <c r="KY40" s="665"/>
      <c r="KZ40" s="665"/>
      <c r="LA40" s="665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665" t="s">
        <v>21</v>
      </c>
      <c r="LJ40" s="665"/>
      <c r="LK40" s="665"/>
      <c r="LL40" s="665"/>
      <c r="LM40" s="665"/>
      <c r="LN40" s="665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665" t="s">
        <v>21</v>
      </c>
      <c r="MI40" s="665"/>
      <c r="MJ40" s="665"/>
      <c r="MK40" s="665"/>
      <c r="ML40" s="665"/>
      <c r="MM40" s="665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665" t="s">
        <v>21</v>
      </c>
      <c r="NH40" s="665"/>
      <c r="NI40" s="665"/>
      <c r="NJ40" s="665"/>
      <c r="NK40" s="665"/>
      <c r="NL40" s="665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47"/>
      <c r="B41" s="12"/>
      <c r="C41" s="665" t="s">
        <v>22</v>
      </c>
      <c r="D41" s="665"/>
      <c r="E41" s="665"/>
      <c r="F41" s="665"/>
      <c r="G41" s="665"/>
      <c r="H41" s="665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665" t="s">
        <v>22</v>
      </c>
      <c r="Q41" s="665"/>
      <c r="R41" s="665"/>
      <c r="S41" s="665"/>
      <c r="T41" s="665"/>
      <c r="U41" s="665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665" t="s">
        <v>22</v>
      </c>
      <c r="AI41" s="665"/>
      <c r="AJ41" s="665"/>
      <c r="AK41" s="665"/>
      <c r="AL41" s="665"/>
      <c r="AM41" s="665"/>
      <c r="AN41" s="13"/>
      <c r="AO41" s="19"/>
      <c r="AP41" s="23">
        <f t="shared" si="12"/>
        <v>0</v>
      </c>
      <c r="AQ41" s="19">
        <f t="shared" si="13"/>
        <v>0</v>
      </c>
      <c r="AS41" s="653" t="s">
        <v>22</v>
      </c>
      <c r="AT41" s="653"/>
      <c r="AU41" s="653"/>
      <c r="AV41" s="653"/>
      <c r="AW41" s="653"/>
      <c r="AX41" s="653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653" t="s">
        <v>22</v>
      </c>
      <c r="BH41" s="653"/>
      <c r="BI41" s="653"/>
      <c r="BJ41" s="653"/>
      <c r="BK41" s="653"/>
      <c r="BL41" s="653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653" t="s">
        <v>22</v>
      </c>
      <c r="BT41" s="653"/>
      <c r="BU41" s="653"/>
      <c r="BV41" s="653"/>
      <c r="BW41" s="653"/>
      <c r="BX41" s="653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653" t="s">
        <v>22</v>
      </c>
      <c r="CM41" s="653"/>
      <c r="CN41" s="653"/>
      <c r="CO41" s="653"/>
      <c r="CP41" s="653"/>
      <c r="CQ41" s="653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653" t="s">
        <v>22</v>
      </c>
      <c r="DE41" s="653"/>
      <c r="DF41" s="653"/>
      <c r="DG41" s="653"/>
      <c r="DH41" s="653"/>
      <c r="DI41" s="653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653" t="s">
        <v>22</v>
      </c>
      <c r="DY41" s="653"/>
      <c r="DZ41" s="653"/>
      <c r="EA41" s="653"/>
      <c r="EB41" s="653"/>
      <c r="EC41" s="653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653" t="s">
        <v>22</v>
      </c>
      <c r="ES41" s="653"/>
      <c r="ET41" s="653"/>
      <c r="EU41" s="653"/>
      <c r="EV41" s="653"/>
      <c r="EW41" s="653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653" t="s">
        <v>22</v>
      </c>
      <c r="FX41" s="653"/>
      <c r="FY41" s="653"/>
      <c r="FZ41" s="653"/>
      <c r="GA41" s="653"/>
      <c r="GB41" s="653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653" t="s">
        <v>22</v>
      </c>
      <c r="GU41" s="653"/>
      <c r="GV41" s="653"/>
      <c r="GW41" s="653"/>
      <c r="GX41" s="653"/>
      <c r="GY41" s="653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653" t="s">
        <v>22</v>
      </c>
      <c r="HP41" s="653"/>
      <c r="HQ41" s="653"/>
      <c r="HR41" s="653"/>
      <c r="HS41" s="653"/>
      <c r="HT41" s="653"/>
      <c r="HU41" s="28"/>
      <c r="HV41" s="28"/>
      <c r="HW41" s="30">
        <f t="shared" si="44"/>
        <v>0</v>
      </c>
      <c r="HX41" s="28">
        <f t="shared" si="45"/>
        <v>0</v>
      </c>
      <c r="HZ41" s="653" t="s">
        <v>22</v>
      </c>
      <c r="IA41" s="653"/>
      <c r="IB41" s="653"/>
      <c r="IC41" s="653"/>
      <c r="ID41" s="653"/>
      <c r="IE41" s="653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653" t="s">
        <v>22</v>
      </c>
      <c r="IQ41" s="653"/>
      <c r="IR41" s="653"/>
      <c r="IS41" s="653"/>
      <c r="IT41" s="653"/>
      <c r="IU41" s="653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653" t="s">
        <v>22</v>
      </c>
      <c r="JC41" s="653"/>
      <c r="JD41" s="653"/>
      <c r="JE41" s="653"/>
      <c r="JF41" s="653"/>
      <c r="JG41" s="653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653" t="s">
        <v>22</v>
      </c>
      <c r="KI41" s="653"/>
      <c r="KJ41" s="653"/>
      <c r="KK41" s="653"/>
      <c r="KL41" s="653"/>
      <c r="KM41" s="653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653" t="s">
        <v>22</v>
      </c>
      <c r="KW41" s="653"/>
      <c r="KX41" s="653"/>
      <c r="KY41" s="653"/>
      <c r="KZ41" s="653"/>
      <c r="LA41" s="653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653" t="s">
        <v>22</v>
      </c>
      <c r="LJ41" s="653"/>
      <c r="LK41" s="653"/>
      <c r="LL41" s="653"/>
      <c r="LM41" s="653"/>
      <c r="LN41" s="653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653" t="s">
        <v>22</v>
      </c>
      <c r="MI41" s="653"/>
      <c r="MJ41" s="653"/>
      <c r="MK41" s="653"/>
      <c r="ML41" s="653"/>
      <c r="MM41" s="653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653" t="s">
        <v>22</v>
      </c>
      <c r="NH41" s="653"/>
      <c r="NI41" s="653"/>
      <c r="NJ41" s="653"/>
      <c r="NK41" s="653"/>
      <c r="NL41" s="653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47"/>
      <c r="B42" s="12"/>
      <c r="C42" s="665" t="s">
        <v>23</v>
      </c>
      <c r="D42" s="665"/>
      <c r="E42" s="665"/>
      <c r="F42" s="665"/>
      <c r="G42" s="665"/>
      <c r="H42" s="665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665" t="s">
        <v>23</v>
      </c>
      <c r="Q42" s="665"/>
      <c r="R42" s="665"/>
      <c r="S42" s="665"/>
      <c r="T42" s="665"/>
      <c r="U42" s="665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665" t="s">
        <v>23</v>
      </c>
      <c r="AI42" s="665"/>
      <c r="AJ42" s="665"/>
      <c r="AK42" s="665"/>
      <c r="AL42" s="665"/>
      <c r="AM42" s="665"/>
      <c r="AN42" s="13"/>
      <c r="AO42" s="19"/>
      <c r="AP42" s="23">
        <f t="shared" si="12"/>
        <v>0</v>
      </c>
      <c r="AQ42" s="19">
        <f t="shared" si="13"/>
        <v>0</v>
      </c>
      <c r="AS42" s="665" t="s">
        <v>23</v>
      </c>
      <c r="AT42" s="665"/>
      <c r="AU42" s="665"/>
      <c r="AV42" s="665"/>
      <c r="AW42" s="665"/>
      <c r="AX42" s="665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665" t="s">
        <v>23</v>
      </c>
      <c r="BH42" s="665"/>
      <c r="BI42" s="665"/>
      <c r="BJ42" s="665"/>
      <c r="BK42" s="665"/>
      <c r="BL42" s="665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665" t="s">
        <v>23</v>
      </c>
      <c r="BT42" s="665"/>
      <c r="BU42" s="665"/>
      <c r="BV42" s="665"/>
      <c r="BW42" s="665"/>
      <c r="BX42" s="665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665" t="s">
        <v>23</v>
      </c>
      <c r="CM42" s="665"/>
      <c r="CN42" s="665"/>
      <c r="CO42" s="665"/>
      <c r="CP42" s="665"/>
      <c r="CQ42" s="665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665" t="s">
        <v>23</v>
      </c>
      <c r="DE42" s="665"/>
      <c r="DF42" s="665"/>
      <c r="DG42" s="665"/>
      <c r="DH42" s="665"/>
      <c r="DI42" s="665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665" t="s">
        <v>23</v>
      </c>
      <c r="DY42" s="665"/>
      <c r="DZ42" s="665"/>
      <c r="EA42" s="665"/>
      <c r="EB42" s="665"/>
      <c r="EC42" s="665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665" t="s">
        <v>23</v>
      </c>
      <c r="ES42" s="665"/>
      <c r="ET42" s="665"/>
      <c r="EU42" s="665"/>
      <c r="EV42" s="665"/>
      <c r="EW42" s="665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665" t="s">
        <v>23</v>
      </c>
      <c r="FX42" s="665"/>
      <c r="FY42" s="665"/>
      <c r="FZ42" s="665"/>
      <c r="GA42" s="665"/>
      <c r="GB42" s="665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665" t="s">
        <v>23</v>
      </c>
      <c r="GU42" s="665"/>
      <c r="GV42" s="665"/>
      <c r="GW42" s="665"/>
      <c r="GX42" s="665"/>
      <c r="GY42" s="665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665" t="s">
        <v>23</v>
      </c>
      <c r="HP42" s="665"/>
      <c r="HQ42" s="665"/>
      <c r="HR42" s="665"/>
      <c r="HS42" s="665"/>
      <c r="HT42" s="665"/>
      <c r="HU42" s="13"/>
      <c r="HV42" s="19"/>
      <c r="HW42" s="30">
        <f t="shared" si="44"/>
        <v>0</v>
      </c>
      <c r="HX42" s="28">
        <f t="shared" si="45"/>
        <v>0</v>
      </c>
      <c r="HZ42" s="665" t="s">
        <v>23</v>
      </c>
      <c r="IA42" s="665"/>
      <c r="IB42" s="665"/>
      <c r="IC42" s="665"/>
      <c r="ID42" s="665"/>
      <c r="IE42" s="665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665" t="s">
        <v>23</v>
      </c>
      <c r="IQ42" s="665"/>
      <c r="IR42" s="665"/>
      <c r="IS42" s="665"/>
      <c r="IT42" s="665"/>
      <c r="IU42" s="665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665" t="s">
        <v>23</v>
      </c>
      <c r="JC42" s="665"/>
      <c r="JD42" s="665"/>
      <c r="JE42" s="665"/>
      <c r="JF42" s="665"/>
      <c r="JG42" s="665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665" t="s">
        <v>23</v>
      </c>
      <c r="KI42" s="665"/>
      <c r="KJ42" s="665"/>
      <c r="KK42" s="665"/>
      <c r="KL42" s="665"/>
      <c r="KM42" s="665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665" t="s">
        <v>23</v>
      </c>
      <c r="KW42" s="665"/>
      <c r="KX42" s="665"/>
      <c r="KY42" s="665"/>
      <c r="KZ42" s="665"/>
      <c r="LA42" s="665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665" t="s">
        <v>23</v>
      </c>
      <c r="LJ42" s="665"/>
      <c r="LK42" s="665"/>
      <c r="LL42" s="665"/>
      <c r="LM42" s="665"/>
      <c r="LN42" s="665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665" t="s">
        <v>23</v>
      </c>
      <c r="MI42" s="665"/>
      <c r="MJ42" s="665"/>
      <c r="MK42" s="665"/>
      <c r="ML42" s="665"/>
      <c r="MM42" s="665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665" t="s">
        <v>23</v>
      </c>
      <c r="NH42" s="665"/>
      <c r="NI42" s="665"/>
      <c r="NJ42" s="665"/>
      <c r="NK42" s="665"/>
      <c r="NL42" s="665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47"/>
      <c r="B43" s="12"/>
      <c r="C43" s="665" t="s">
        <v>24</v>
      </c>
      <c r="D43" s="665"/>
      <c r="E43" s="665"/>
      <c r="F43" s="665"/>
      <c r="G43" s="665"/>
      <c r="H43" s="665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665" t="s">
        <v>24</v>
      </c>
      <c r="Q43" s="665"/>
      <c r="R43" s="665"/>
      <c r="S43" s="665"/>
      <c r="T43" s="665"/>
      <c r="U43" s="665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665" t="s">
        <v>24</v>
      </c>
      <c r="AI43" s="665"/>
      <c r="AJ43" s="665"/>
      <c r="AK43" s="665"/>
      <c r="AL43" s="665"/>
      <c r="AM43" s="665"/>
      <c r="AN43" s="13"/>
      <c r="AO43" s="19"/>
      <c r="AP43" s="23">
        <f t="shared" si="12"/>
        <v>0</v>
      </c>
      <c r="AQ43" s="19">
        <f t="shared" si="13"/>
        <v>0</v>
      </c>
      <c r="AS43" s="653" t="s">
        <v>24</v>
      </c>
      <c r="AT43" s="653"/>
      <c r="AU43" s="653"/>
      <c r="AV43" s="653"/>
      <c r="AW43" s="653"/>
      <c r="AX43" s="653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653" t="s">
        <v>24</v>
      </c>
      <c r="BH43" s="653"/>
      <c r="BI43" s="653"/>
      <c r="BJ43" s="653"/>
      <c r="BK43" s="653"/>
      <c r="BL43" s="653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653" t="s">
        <v>24</v>
      </c>
      <c r="BT43" s="653"/>
      <c r="BU43" s="653"/>
      <c r="BV43" s="653"/>
      <c r="BW43" s="653"/>
      <c r="BX43" s="653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653" t="s">
        <v>24</v>
      </c>
      <c r="CM43" s="653"/>
      <c r="CN43" s="653"/>
      <c r="CO43" s="653"/>
      <c r="CP43" s="653"/>
      <c r="CQ43" s="653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653" t="s">
        <v>24</v>
      </c>
      <c r="DE43" s="653"/>
      <c r="DF43" s="653"/>
      <c r="DG43" s="653"/>
      <c r="DH43" s="653"/>
      <c r="DI43" s="653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653" t="s">
        <v>24</v>
      </c>
      <c r="DY43" s="653"/>
      <c r="DZ43" s="653"/>
      <c r="EA43" s="653"/>
      <c r="EB43" s="653"/>
      <c r="EC43" s="653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653" t="s">
        <v>24</v>
      </c>
      <c r="ES43" s="653"/>
      <c r="ET43" s="653"/>
      <c r="EU43" s="653"/>
      <c r="EV43" s="653"/>
      <c r="EW43" s="653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653" t="s">
        <v>24</v>
      </c>
      <c r="FX43" s="653"/>
      <c r="FY43" s="653"/>
      <c r="FZ43" s="653"/>
      <c r="GA43" s="653"/>
      <c r="GB43" s="653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653" t="s">
        <v>24</v>
      </c>
      <c r="GU43" s="653"/>
      <c r="GV43" s="653"/>
      <c r="GW43" s="653"/>
      <c r="GX43" s="653"/>
      <c r="GY43" s="653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653" t="s">
        <v>24</v>
      </c>
      <c r="HP43" s="653"/>
      <c r="HQ43" s="653"/>
      <c r="HR43" s="653"/>
      <c r="HS43" s="653"/>
      <c r="HT43" s="653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653" t="s">
        <v>24</v>
      </c>
      <c r="IA43" s="653"/>
      <c r="IB43" s="653"/>
      <c r="IC43" s="653"/>
      <c r="ID43" s="653"/>
      <c r="IE43" s="653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653" t="s">
        <v>24</v>
      </c>
      <c r="IQ43" s="653"/>
      <c r="IR43" s="653"/>
      <c r="IS43" s="653"/>
      <c r="IT43" s="653"/>
      <c r="IU43" s="653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653" t="s">
        <v>24</v>
      </c>
      <c r="JC43" s="653"/>
      <c r="JD43" s="653"/>
      <c r="JE43" s="653"/>
      <c r="JF43" s="653"/>
      <c r="JG43" s="653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653" t="s">
        <v>24</v>
      </c>
      <c r="KI43" s="653"/>
      <c r="KJ43" s="653"/>
      <c r="KK43" s="653"/>
      <c r="KL43" s="653"/>
      <c r="KM43" s="653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653" t="s">
        <v>24</v>
      </c>
      <c r="KW43" s="653"/>
      <c r="KX43" s="653"/>
      <c r="KY43" s="653"/>
      <c r="KZ43" s="653"/>
      <c r="LA43" s="653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653" t="s">
        <v>24</v>
      </c>
      <c r="LJ43" s="653"/>
      <c r="LK43" s="653"/>
      <c r="LL43" s="653"/>
      <c r="LM43" s="653"/>
      <c r="LN43" s="653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653" t="s">
        <v>24</v>
      </c>
      <c r="MI43" s="653"/>
      <c r="MJ43" s="653"/>
      <c r="MK43" s="653"/>
      <c r="ML43" s="653"/>
      <c r="MM43" s="653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653" t="s">
        <v>24</v>
      </c>
      <c r="NH43" s="653"/>
      <c r="NI43" s="653"/>
      <c r="NJ43" s="653"/>
      <c r="NK43" s="653"/>
      <c r="NL43" s="653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47"/>
      <c r="B44" s="12"/>
      <c r="C44" s="665" t="s">
        <v>25</v>
      </c>
      <c r="D44" s="665"/>
      <c r="E44" s="665"/>
      <c r="F44" s="665"/>
      <c r="G44" s="665"/>
      <c r="H44" s="665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665" t="s">
        <v>25</v>
      </c>
      <c r="Q44" s="665"/>
      <c r="R44" s="665"/>
      <c r="S44" s="665"/>
      <c r="T44" s="665"/>
      <c r="U44" s="665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665" t="s">
        <v>25</v>
      </c>
      <c r="AI44" s="665"/>
      <c r="AJ44" s="665"/>
      <c r="AK44" s="665"/>
      <c r="AL44" s="665"/>
      <c r="AM44" s="665"/>
      <c r="AN44" s="13"/>
      <c r="AO44" s="19"/>
      <c r="AP44" s="23">
        <f t="shared" si="12"/>
        <v>0</v>
      </c>
      <c r="AQ44" s="19">
        <f t="shared" si="13"/>
        <v>0</v>
      </c>
      <c r="AS44" s="665" t="s">
        <v>25</v>
      </c>
      <c r="AT44" s="665"/>
      <c r="AU44" s="665"/>
      <c r="AV44" s="665"/>
      <c r="AW44" s="665"/>
      <c r="AX44" s="665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665" t="s">
        <v>25</v>
      </c>
      <c r="BH44" s="665"/>
      <c r="BI44" s="665"/>
      <c r="BJ44" s="665"/>
      <c r="BK44" s="665"/>
      <c r="BL44" s="665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665" t="s">
        <v>25</v>
      </c>
      <c r="BT44" s="665"/>
      <c r="BU44" s="665"/>
      <c r="BV44" s="665"/>
      <c r="BW44" s="665"/>
      <c r="BX44" s="665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665" t="s">
        <v>25</v>
      </c>
      <c r="CM44" s="665"/>
      <c r="CN44" s="665"/>
      <c r="CO44" s="665"/>
      <c r="CP44" s="665"/>
      <c r="CQ44" s="665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665" t="s">
        <v>25</v>
      </c>
      <c r="DE44" s="665"/>
      <c r="DF44" s="665"/>
      <c r="DG44" s="665"/>
      <c r="DH44" s="665"/>
      <c r="DI44" s="665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665" t="s">
        <v>25</v>
      </c>
      <c r="DY44" s="665"/>
      <c r="DZ44" s="665"/>
      <c r="EA44" s="665"/>
      <c r="EB44" s="665"/>
      <c r="EC44" s="665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665" t="s">
        <v>25</v>
      </c>
      <c r="ES44" s="665"/>
      <c r="ET44" s="665"/>
      <c r="EU44" s="665"/>
      <c r="EV44" s="665"/>
      <c r="EW44" s="665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665" t="s">
        <v>25</v>
      </c>
      <c r="FX44" s="665"/>
      <c r="FY44" s="665"/>
      <c r="FZ44" s="665"/>
      <c r="GA44" s="665"/>
      <c r="GB44" s="665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665" t="s">
        <v>25</v>
      </c>
      <c r="GU44" s="665"/>
      <c r="GV44" s="665"/>
      <c r="GW44" s="665"/>
      <c r="GX44" s="665"/>
      <c r="GY44" s="665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665" t="s">
        <v>25</v>
      </c>
      <c r="HP44" s="665"/>
      <c r="HQ44" s="665"/>
      <c r="HR44" s="665"/>
      <c r="HS44" s="665"/>
      <c r="HT44" s="665"/>
      <c r="HU44" s="13"/>
      <c r="HV44" s="19"/>
      <c r="HW44" s="30">
        <f t="shared" si="44"/>
        <v>0</v>
      </c>
      <c r="HX44" s="28">
        <f t="shared" si="45"/>
        <v>0</v>
      </c>
      <c r="HZ44" s="665" t="s">
        <v>25</v>
      </c>
      <c r="IA44" s="665"/>
      <c r="IB44" s="665"/>
      <c r="IC44" s="665"/>
      <c r="ID44" s="665"/>
      <c r="IE44" s="665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665" t="s">
        <v>25</v>
      </c>
      <c r="IQ44" s="665"/>
      <c r="IR44" s="665"/>
      <c r="IS44" s="665"/>
      <c r="IT44" s="665"/>
      <c r="IU44" s="665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665" t="s">
        <v>25</v>
      </c>
      <c r="JC44" s="665"/>
      <c r="JD44" s="665"/>
      <c r="JE44" s="665"/>
      <c r="JF44" s="665"/>
      <c r="JG44" s="665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665" t="s">
        <v>25</v>
      </c>
      <c r="KI44" s="665"/>
      <c r="KJ44" s="665"/>
      <c r="KK44" s="665"/>
      <c r="KL44" s="665"/>
      <c r="KM44" s="665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665" t="s">
        <v>25</v>
      </c>
      <c r="KW44" s="665"/>
      <c r="KX44" s="665"/>
      <c r="KY44" s="665"/>
      <c r="KZ44" s="665"/>
      <c r="LA44" s="665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665" t="s">
        <v>25</v>
      </c>
      <c r="LJ44" s="665"/>
      <c r="LK44" s="665"/>
      <c r="LL44" s="665"/>
      <c r="LM44" s="665"/>
      <c r="LN44" s="665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665" t="s">
        <v>25</v>
      </c>
      <c r="MI44" s="665"/>
      <c r="MJ44" s="665"/>
      <c r="MK44" s="665"/>
      <c r="ML44" s="665"/>
      <c r="MM44" s="665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665" t="s">
        <v>25</v>
      </c>
      <c r="NH44" s="665"/>
      <c r="NI44" s="665"/>
      <c r="NJ44" s="665"/>
      <c r="NK44" s="665"/>
      <c r="NL44" s="665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47"/>
      <c r="B45" s="12"/>
      <c r="C45" s="665" t="s">
        <v>26</v>
      </c>
      <c r="D45" s="665"/>
      <c r="E45" s="665"/>
      <c r="F45" s="665"/>
      <c r="G45" s="665"/>
      <c r="H45" s="665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665" t="s">
        <v>26</v>
      </c>
      <c r="Q45" s="665"/>
      <c r="R45" s="665"/>
      <c r="S45" s="665"/>
      <c r="T45" s="665"/>
      <c r="U45" s="665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665" t="s">
        <v>26</v>
      </c>
      <c r="AI45" s="665"/>
      <c r="AJ45" s="665"/>
      <c r="AK45" s="665"/>
      <c r="AL45" s="665"/>
      <c r="AM45" s="665"/>
      <c r="AN45" s="13"/>
      <c r="AO45" s="19"/>
      <c r="AP45" s="23">
        <f t="shared" si="12"/>
        <v>0</v>
      </c>
      <c r="AQ45" s="19">
        <f t="shared" si="13"/>
        <v>0</v>
      </c>
      <c r="AS45" s="653" t="s">
        <v>26</v>
      </c>
      <c r="AT45" s="653"/>
      <c r="AU45" s="653"/>
      <c r="AV45" s="653"/>
      <c r="AW45" s="653"/>
      <c r="AX45" s="653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653" t="s">
        <v>26</v>
      </c>
      <c r="BH45" s="653"/>
      <c r="BI45" s="653"/>
      <c r="BJ45" s="653"/>
      <c r="BK45" s="653"/>
      <c r="BL45" s="653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653" t="s">
        <v>26</v>
      </c>
      <c r="BT45" s="653"/>
      <c r="BU45" s="653"/>
      <c r="BV45" s="653"/>
      <c r="BW45" s="653"/>
      <c r="BX45" s="653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653" t="s">
        <v>26</v>
      </c>
      <c r="CM45" s="653"/>
      <c r="CN45" s="653"/>
      <c r="CO45" s="653"/>
      <c r="CP45" s="653"/>
      <c r="CQ45" s="653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653" t="s">
        <v>26</v>
      </c>
      <c r="DE45" s="653"/>
      <c r="DF45" s="653"/>
      <c r="DG45" s="653"/>
      <c r="DH45" s="653"/>
      <c r="DI45" s="653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653" t="s">
        <v>26</v>
      </c>
      <c r="DY45" s="653"/>
      <c r="DZ45" s="653"/>
      <c r="EA45" s="653"/>
      <c r="EB45" s="653"/>
      <c r="EC45" s="653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653" t="s">
        <v>26</v>
      </c>
      <c r="ES45" s="653"/>
      <c r="ET45" s="653"/>
      <c r="EU45" s="653"/>
      <c r="EV45" s="653"/>
      <c r="EW45" s="653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653" t="s">
        <v>26</v>
      </c>
      <c r="FX45" s="653"/>
      <c r="FY45" s="653"/>
      <c r="FZ45" s="653"/>
      <c r="GA45" s="653"/>
      <c r="GB45" s="653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653" t="s">
        <v>26</v>
      </c>
      <c r="GU45" s="653"/>
      <c r="GV45" s="653"/>
      <c r="GW45" s="653"/>
      <c r="GX45" s="653"/>
      <c r="GY45" s="653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653" t="s">
        <v>26</v>
      </c>
      <c r="HP45" s="653"/>
      <c r="HQ45" s="653"/>
      <c r="HR45" s="653"/>
      <c r="HS45" s="653"/>
      <c r="HT45" s="653"/>
      <c r="HU45" s="28"/>
      <c r="HV45" s="28"/>
      <c r="HW45" s="30">
        <f t="shared" si="44"/>
        <v>0</v>
      </c>
      <c r="HX45" s="28">
        <f t="shared" si="45"/>
        <v>0</v>
      </c>
      <c r="HZ45" s="653" t="s">
        <v>26</v>
      </c>
      <c r="IA45" s="653"/>
      <c r="IB45" s="653"/>
      <c r="IC45" s="653"/>
      <c r="ID45" s="653"/>
      <c r="IE45" s="653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653" t="s">
        <v>26</v>
      </c>
      <c r="IQ45" s="653"/>
      <c r="IR45" s="653"/>
      <c r="IS45" s="653"/>
      <c r="IT45" s="653"/>
      <c r="IU45" s="653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653" t="s">
        <v>26</v>
      </c>
      <c r="JC45" s="653"/>
      <c r="JD45" s="653"/>
      <c r="JE45" s="653"/>
      <c r="JF45" s="653"/>
      <c r="JG45" s="653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653" t="s">
        <v>26</v>
      </c>
      <c r="KI45" s="653"/>
      <c r="KJ45" s="653"/>
      <c r="KK45" s="653"/>
      <c r="KL45" s="653"/>
      <c r="KM45" s="653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653" t="s">
        <v>26</v>
      </c>
      <c r="KW45" s="653"/>
      <c r="KX45" s="653"/>
      <c r="KY45" s="653"/>
      <c r="KZ45" s="653"/>
      <c r="LA45" s="653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653" t="s">
        <v>26</v>
      </c>
      <c r="LJ45" s="653"/>
      <c r="LK45" s="653"/>
      <c r="LL45" s="653"/>
      <c r="LM45" s="653"/>
      <c r="LN45" s="653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653" t="s">
        <v>26</v>
      </c>
      <c r="MI45" s="653"/>
      <c r="MJ45" s="653"/>
      <c r="MK45" s="653"/>
      <c r="ML45" s="653"/>
      <c r="MM45" s="653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653" t="s">
        <v>26</v>
      </c>
      <c r="NH45" s="653"/>
      <c r="NI45" s="653"/>
      <c r="NJ45" s="653"/>
      <c r="NK45" s="653"/>
      <c r="NL45" s="653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47"/>
      <c r="B46" s="12"/>
      <c r="C46" s="665" t="s">
        <v>27</v>
      </c>
      <c r="D46" s="665"/>
      <c r="E46" s="665"/>
      <c r="F46" s="665"/>
      <c r="G46" s="665"/>
      <c r="H46" s="665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665" t="s">
        <v>27</v>
      </c>
      <c r="Q46" s="665"/>
      <c r="R46" s="665"/>
      <c r="S46" s="665"/>
      <c r="T46" s="665"/>
      <c r="U46" s="665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665" t="s">
        <v>27</v>
      </c>
      <c r="AI46" s="665"/>
      <c r="AJ46" s="665"/>
      <c r="AK46" s="665"/>
      <c r="AL46" s="665"/>
      <c r="AM46" s="665"/>
      <c r="AN46" s="13"/>
      <c r="AO46" s="19"/>
      <c r="AP46" s="23">
        <f t="shared" si="12"/>
        <v>0</v>
      </c>
      <c r="AQ46" s="19">
        <f t="shared" si="13"/>
        <v>0</v>
      </c>
      <c r="AS46" s="665" t="s">
        <v>27</v>
      </c>
      <c r="AT46" s="665"/>
      <c r="AU46" s="665"/>
      <c r="AV46" s="665"/>
      <c r="AW46" s="665"/>
      <c r="AX46" s="665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665" t="s">
        <v>27</v>
      </c>
      <c r="BH46" s="665"/>
      <c r="BI46" s="665"/>
      <c r="BJ46" s="665"/>
      <c r="BK46" s="665"/>
      <c r="BL46" s="665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665" t="s">
        <v>27</v>
      </c>
      <c r="BT46" s="665"/>
      <c r="BU46" s="665"/>
      <c r="BV46" s="665"/>
      <c r="BW46" s="665"/>
      <c r="BX46" s="665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665" t="s">
        <v>27</v>
      </c>
      <c r="CM46" s="665"/>
      <c r="CN46" s="665"/>
      <c r="CO46" s="665"/>
      <c r="CP46" s="665"/>
      <c r="CQ46" s="665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665" t="s">
        <v>27</v>
      </c>
      <c r="DE46" s="665"/>
      <c r="DF46" s="665"/>
      <c r="DG46" s="665"/>
      <c r="DH46" s="665"/>
      <c r="DI46" s="665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665" t="s">
        <v>27</v>
      </c>
      <c r="DY46" s="665"/>
      <c r="DZ46" s="665"/>
      <c r="EA46" s="665"/>
      <c r="EB46" s="665"/>
      <c r="EC46" s="665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665" t="s">
        <v>27</v>
      </c>
      <c r="ES46" s="665"/>
      <c r="ET46" s="665"/>
      <c r="EU46" s="665"/>
      <c r="EV46" s="665"/>
      <c r="EW46" s="665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665" t="s">
        <v>27</v>
      </c>
      <c r="FX46" s="665"/>
      <c r="FY46" s="665"/>
      <c r="FZ46" s="665"/>
      <c r="GA46" s="665"/>
      <c r="GB46" s="665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665" t="s">
        <v>27</v>
      </c>
      <c r="GU46" s="665"/>
      <c r="GV46" s="665"/>
      <c r="GW46" s="665"/>
      <c r="GX46" s="665"/>
      <c r="GY46" s="665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665" t="s">
        <v>27</v>
      </c>
      <c r="HP46" s="665"/>
      <c r="HQ46" s="665"/>
      <c r="HR46" s="665"/>
      <c r="HS46" s="665"/>
      <c r="HT46" s="665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665" t="s">
        <v>27</v>
      </c>
      <c r="IA46" s="665"/>
      <c r="IB46" s="665"/>
      <c r="IC46" s="665"/>
      <c r="ID46" s="665"/>
      <c r="IE46" s="665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665" t="s">
        <v>27</v>
      </c>
      <c r="IQ46" s="665"/>
      <c r="IR46" s="665"/>
      <c r="IS46" s="665"/>
      <c r="IT46" s="665"/>
      <c r="IU46" s="665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665" t="s">
        <v>27</v>
      </c>
      <c r="JC46" s="665"/>
      <c r="JD46" s="665"/>
      <c r="JE46" s="665"/>
      <c r="JF46" s="665"/>
      <c r="JG46" s="665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665" t="s">
        <v>27</v>
      </c>
      <c r="KI46" s="665"/>
      <c r="KJ46" s="665"/>
      <c r="KK46" s="665"/>
      <c r="KL46" s="665"/>
      <c r="KM46" s="665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665" t="s">
        <v>27</v>
      </c>
      <c r="KW46" s="665"/>
      <c r="KX46" s="665"/>
      <c r="KY46" s="665"/>
      <c r="KZ46" s="665"/>
      <c r="LA46" s="665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665" t="s">
        <v>27</v>
      </c>
      <c r="LJ46" s="665"/>
      <c r="LK46" s="665"/>
      <c r="LL46" s="665"/>
      <c r="LM46" s="665"/>
      <c r="LN46" s="665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665" t="s">
        <v>27</v>
      </c>
      <c r="MI46" s="665"/>
      <c r="MJ46" s="665"/>
      <c r="MK46" s="665"/>
      <c r="ML46" s="665"/>
      <c r="MM46" s="665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665" t="s">
        <v>27</v>
      </c>
      <c r="NH46" s="665"/>
      <c r="NI46" s="665"/>
      <c r="NJ46" s="665"/>
      <c r="NK46" s="665"/>
      <c r="NL46" s="665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47"/>
      <c r="B47" s="12"/>
      <c r="C47" s="665" t="s">
        <v>28</v>
      </c>
      <c r="D47" s="665"/>
      <c r="E47" s="665"/>
      <c r="F47" s="665"/>
      <c r="G47" s="665"/>
      <c r="H47" s="665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665" t="s">
        <v>28</v>
      </c>
      <c r="Q47" s="665"/>
      <c r="R47" s="665"/>
      <c r="S47" s="665"/>
      <c r="T47" s="665"/>
      <c r="U47" s="665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665" t="s">
        <v>28</v>
      </c>
      <c r="AI47" s="665"/>
      <c r="AJ47" s="665"/>
      <c r="AK47" s="665"/>
      <c r="AL47" s="665"/>
      <c r="AM47" s="665"/>
      <c r="AN47" s="13"/>
      <c r="AO47" s="19"/>
      <c r="AP47" s="23">
        <f t="shared" si="12"/>
        <v>0</v>
      </c>
      <c r="AQ47" s="19">
        <f t="shared" si="13"/>
        <v>0</v>
      </c>
      <c r="AS47" s="653" t="s">
        <v>28</v>
      </c>
      <c r="AT47" s="653"/>
      <c r="AU47" s="653"/>
      <c r="AV47" s="653"/>
      <c r="AW47" s="653"/>
      <c r="AX47" s="653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653" t="s">
        <v>28</v>
      </c>
      <c r="BH47" s="653"/>
      <c r="BI47" s="653"/>
      <c r="BJ47" s="653"/>
      <c r="BK47" s="653"/>
      <c r="BL47" s="653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653" t="s">
        <v>28</v>
      </c>
      <c r="BT47" s="653"/>
      <c r="BU47" s="653"/>
      <c r="BV47" s="653"/>
      <c r="BW47" s="653"/>
      <c r="BX47" s="653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653" t="s">
        <v>28</v>
      </c>
      <c r="CM47" s="653"/>
      <c r="CN47" s="653"/>
      <c r="CO47" s="653"/>
      <c r="CP47" s="653"/>
      <c r="CQ47" s="653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653" t="s">
        <v>28</v>
      </c>
      <c r="DE47" s="653"/>
      <c r="DF47" s="653"/>
      <c r="DG47" s="653"/>
      <c r="DH47" s="653"/>
      <c r="DI47" s="653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653" t="s">
        <v>28</v>
      </c>
      <c r="DY47" s="653"/>
      <c r="DZ47" s="653"/>
      <c r="EA47" s="653"/>
      <c r="EB47" s="653"/>
      <c r="EC47" s="653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653" t="s">
        <v>28</v>
      </c>
      <c r="ES47" s="653"/>
      <c r="ET47" s="653"/>
      <c r="EU47" s="653"/>
      <c r="EV47" s="653"/>
      <c r="EW47" s="653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653" t="s">
        <v>28</v>
      </c>
      <c r="FX47" s="653"/>
      <c r="FY47" s="653"/>
      <c r="FZ47" s="653"/>
      <c r="GA47" s="653"/>
      <c r="GB47" s="653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653" t="s">
        <v>28</v>
      </c>
      <c r="GU47" s="653"/>
      <c r="GV47" s="653"/>
      <c r="GW47" s="653"/>
      <c r="GX47" s="653"/>
      <c r="GY47" s="653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653" t="s">
        <v>28</v>
      </c>
      <c r="HP47" s="653"/>
      <c r="HQ47" s="653"/>
      <c r="HR47" s="653"/>
      <c r="HS47" s="653"/>
      <c r="HT47" s="653"/>
      <c r="HU47" s="28">
        <v>35</v>
      </c>
      <c r="HV47" s="28"/>
      <c r="HW47" s="30">
        <f t="shared" si="44"/>
        <v>0</v>
      </c>
      <c r="HX47" s="28">
        <f t="shared" si="45"/>
        <v>0</v>
      </c>
      <c r="HZ47" s="653" t="s">
        <v>28</v>
      </c>
      <c r="IA47" s="653"/>
      <c r="IB47" s="653"/>
      <c r="IC47" s="653"/>
      <c r="ID47" s="653"/>
      <c r="IE47" s="653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653" t="s">
        <v>28</v>
      </c>
      <c r="IQ47" s="653"/>
      <c r="IR47" s="653"/>
      <c r="IS47" s="653"/>
      <c r="IT47" s="653"/>
      <c r="IU47" s="653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653" t="s">
        <v>28</v>
      </c>
      <c r="JC47" s="653"/>
      <c r="JD47" s="653"/>
      <c r="JE47" s="653"/>
      <c r="JF47" s="653"/>
      <c r="JG47" s="653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653" t="s">
        <v>28</v>
      </c>
      <c r="KI47" s="653"/>
      <c r="KJ47" s="653"/>
      <c r="KK47" s="653"/>
      <c r="KL47" s="653"/>
      <c r="KM47" s="653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653" t="s">
        <v>28</v>
      </c>
      <c r="KW47" s="653"/>
      <c r="KX47" s="653"/>
      <c r="KY47" s="653"/>
      <c r="KZ47" s="653"/>
      <c r="LA47" s="653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653" t="s">
        <v>28</v>
      </c>
      <c r="LJ47" s="653"/>
      <c r="LK47" s="653"/>
      <c r="LL47" s="653"/>
      <c r="LM47" s="653"/>
      <c r="LN47" s="653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653" t="s">
        <v>28</v>
      </c>
      <c r="MI47" s="653"/>
      <c r="MJ47" s="653"/>
      <c r="MK47" s="653"/>
      <c r="ML47" s="653"/>
      <c r="MM47" s="653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653" t="s">
        <v>28</v>
      </c>
      <c r="NH47" s="653"/>
      <c r="NI47" s="653"/>
      <c r="NJ47" s="653"/>
      <c r="NK47" s="653"/>
      <c r="NL47" s="653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47"/>
      <c r="B48" s="12"/>
      <c r="C48" s="665" t="s">
        <v>29</v>
      </c>
      <c r="D48" s="665"/>
      <c r="E48" s="665"/>
      <c r="F48" s="665"/>
      <c r="G48" s="665"/>
      <c r="H48" s="665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665" t="s">
        <v>29</v>
      </c>
      <c r="Q48" s="665"/>
      <c r="R48" s="665"/>
      <c r="S48" s="665"/>
      <c r="T48" s="665"/>
      <c r="U48" s="665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665" t="s">
        <v>29</v>
      </c>
      <c r="AI48" s="665"/>
      <c r="AJ48" s="665"/>
      <c r="AK48" s="665"/>
      <c r="AL48" s="665"/>
      <c r="AM48" s="665"/>
      <c r="AN48" s="13"/>
      <c r="AO48" s="19"/>
      <c r="AP48" s="23">
        <f t="shared" si="12"/>
        <v>0</v>
      </c>
      <c r="AQ48" s="19">
        <f t="shared" si="13"/>
        <v>0</v>
      </c>
      <c r="AS48" s="665" t="s">
        <v>29</v>
      </c>
      <c r="AT48" s="665"/>
      <c r="AU48" s="665"/>
      <c r="AV48" s="665"/>
      <c r="AW48" s="665"/>
      <c r="AX48" s="665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665" t="s">
        <v>29</v>
      </c>
      <c r="BH48" s="665"/>
      <c r="BI48" s="665"/>
      <c r="BJ48" s="665"/>
      <c r="BK48" s="665"/>
      <c r="BL48" s="665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665" t="s">
        <v>29</v>
      </c>
      <c r="BT48" s="665"/>
      <c r="BU48" s="665"/>
      <c r="BV48" s="665"/>
      <c r="BW48" s="665"/>
      <c r="BX48" s="665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665" t="s">
        <v>29</v>
      </c>
      <c r="CM48" s="665"/>
      <c r="CN48" s="665"/>
      <c r="CO48" s="665"/>
      <c r="CP48" s="665"/>
      <c r="CQ48" s="665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665" t="s">
        <v>29</v>
      </c>
      <c r="DE48" s="665"/>
      <c r="DF48" s="665"/>
      <c r="DG48" s="665"/>
      <c r="DH48" s="665"/>
      <c r="DI48" s="665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665" t="s">
        <v>29</v>
      </c>
      <c r="DY48" s="665"/>
      <c r="DZ48" s="665"/>
      <c r="EA48" s="665"/>
      <c r="EB48" s="665"/>
      <c r="EC48" s="665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665" t="s">
        <v>29</v>
      </c>
      <c r="ES48" s="665"/>
      <c r="ET48" s="665"/>
      <c r="EU48" s="665"/>
      <c r="EV48" s="665"/>
      <c r="EW48" s="665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665" t="s">
        <v>29</v>
      </c>
      <c r="FX48" s="665"/>
      <c r="FY48" s="665"/>
      <c r="FZ48" s="665"/>
      <c r="GA48" s="665"/>
      <c r="GB48" s="665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665" t="s">
        <v>29</v>
      </c>
      <c r="GU48" s="665"/>
      <c r="GV48" s="665"/>
      <c r="GW48" s="665"/>
      <c r="GX48" s="665"/>
      <c r="GY48" s="665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665" t="s">
        <v>29</v>
      </c>
      <c r="HP48" s="665"/>
      <c r="HQ48" s="665"/>
      <c r="HR48" s="665"/>
      <c r="HS48" s="665"/>
      <c r="HT48" s="665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665" t="s">
        <v>29</v>
      </c>
      <c r="IA48" s="665"/>
      <c r="IB48" s="665"/>
      <c r="IC48" s="665"/>
      <c r="ID48" s="665"/>
      <c r="IE48" s="665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665" t="s">
        <v>29</v>
      </c>
      <c r="IQ48" s="665"/>
      <c r="IR48" s="665"/>
      <c r="IS48" s="665"/>
      <c r="IT48" s="665"/>
      <c r="IU48" s="665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665" t="s">
        <v>29</v>
      </c>
      <c r="JC48" s="665"/>
      <c r="JD48" s="665"/>
      <c r="JE48" s="665"/>
      <c r="JF48" s="665"/>
      <c r="JG48" s="665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665" t="s">
        <v>29</v>
      </c>
      <c r="KI48" s="665"/>
      <c r="KJ48" s="665"/>
      <c r="KK48" s="665"/>
      <c r="KL48" s="665"/>
      <c r="KM48" s="665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665" t="s">
        <v>29</v>
      </c>
      <c r="KW48" s="665"/>
      <c r="KX48" s="665"/>
      <c r="KY48" s="665"/>
      <c r="KZ48" s="665"/>
      <c r="LA48" s="665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665" t="s">
        <v>29</v>
      </c>
      <c r="LJ48" s="665"/>
      <c r="LK48" s="665"/>
      <c r="LL48" s="665"/>
      <c r="LM48" s="665"/>
      <c r="LN48" s="665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665" t="s">
        <v>29</v>
      </c>
      <c r="MI48" s="665"/>
      <c r="MJ48" s="665"/>
      <c r="MK48" s="665"/>
      <c r="ML48" s="665"/>
      <c r="MM48" s="665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665" t="s">
        <v>29</v>
      </c>
      <c r="NH48" s="665"/>
      <c r="NI48" s="665"/>
      <c r="NJ48" s="665"/>
      <c r="NK48" s="665"/>
      <c r="NL48" s="665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47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665" t="s">
        <v>113</v>
      </c>
      <c r="ES49" s="665"/>
      <c r="ET49" s="665"/>
      <c r="EU49" s="665"/>
      <c r="EV49" s="665"/>
      <c r="EW49" s="665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665" t="s">
        <v>113</v>
      </c>
      <c r="FX49" s="665"/>
      <c r="FY49" s="665"/>
      <c r="FZ49" s="665"/>
      <c r="GA49" s="665"/>
      <c r="GB49" s="665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665" t="s">
        <v>113</v>
      </c>
      <c r="GU49" s="665"/>
      <c r="GV49" s="665"/>
      <c r="GW49" s="665"/>
      <c r="GX49" s="665"/>
      <c r="GY49" s="665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665" t="s">
        <v>113</v>
      </c>
      <c r="HP49" s="665"/>
      <c r="HQ49" s="665"/>
      <c r="HR49" s="665"/>
      <c r="HS49" s="665"/>
      <c r="HT49" s="665"/>
      <c r="HU49" s="13"/>
      <c r="HV49" s="19"/>
      <c r="HW49" s="30">
        <f t="shared" si="44"/>
        <v>0</v>
      </c>
      <c r="HX49" s="28">
        <f t="shared" si="45"/>
        <v>0</v>
      </c>
      <c r="HZ49" s="665" t="s">
        <v>113</v>
      </c>
      <c r="IA49" s="665"/>
      <c r="IB49" s="665"/>
      <c r="IC49" s="665"/>
      <c r="ID49" s="665"/>
      <c r="IE49" s="665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665" t="s">
        <v>113</v>
      </c>
      <c r="IQ49" s="665"/>
      <c r="IR49" s="665"/>
      <c r="IS49" s="665"/>
      <c r="IT49" s="665"/>
      <c r="IU49" s="665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665" t="s">
        <v>113</v>
      </c>
      <c r="JC49" s="665"/>
      <c r="JD49" s="665"/>
      <c r="JE49" s="665"/>
      <c r="JF49" s="665"/>
      <c r="JG49" s="665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665" t="s">
        <v>113</v>
      </c>
      <c r="KI49" s="665"/>
      <c r="KJ49" s="665"/>
      <c r="KK49" s="665"/>
      <c r="KL49" s="665"/>
      <c r="KM49" s="665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665" t="s">
        <v>113</v>
      </c>
      <c r="KW49" s="665"/>
      <c r="KX49" s="665"/>
      <c r="KY49" s="665"/>
      <c r="KZ49" s="665"/>
      <c r="LA49" s="665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665" t="s">
        <v>113</v>
      </c>
      <c r="LJ49" s="665"/>
      <c r="LK49" s="665"/>
      <c r="LL49" s="665"/>
      <c r="LM49" s="665"/>
      <c r="LN49" s="665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665" t="s">
        <v>113</v>
      </c>
      <c r="MI49" s="665"/>
      <c r="MJ49" s="665"/>
      <c r="MK49" s="665"/>
      <c r="ML49" s="665"/>
      <c r="MM49" s="665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665" t="s">
        <v>113</v>
      </c>
      <c r="NH49" s="665"/>
      <c r="NI49" s="665"/>
      <c r="NJ49" s="665"/>
      <c r="NK49" s="665"/>
      <c r="NL49" s="665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47"/>
      <c r="B50" s="12"/>
      <c r="C50" s="665" t="s">
        <v>30</v>
      </c>
      <c r="D50" s="665"/>
      <c r="E50" s="665"/>
      <c r="F50" s="665"/>
      <c r="G50" s="665"/>
      <c r="H50" s="665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665" t="s">
        <v>30</v>
      </c>
      <c r="Q50" s="665"/>
      <c r="R50" s="665"/>
      <c r="S50" s="665"/>
      <c r="T50" s="665"/>
      <c r="U50" s="665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665" t="s">
        <v>30</v>
      </c>
      <c r="AI50" s="665"/>
      <c r="AJ50" s="665"/>
      <c r="AK50" s="665"/>
      <c r="AL50" s="665"/>
      <c r="AM50" s="665"/>
      <c r="AN50" s="13"/>
      <c r="AO50" s="19"/>
      <c r="AP50" s="23">
        <f t="shared" si="12"/>
        <v>0</v>
      </c>
      <c r="AQ50" s="19">
        <f t="shared" si="13"/>
        <v>0</v>
      </c>
      <c r="AS50" s="653" t="s">
        <v>30</v>
      </c>
      <c r="AT50" s="653"/>
      <c r="AU50" s="653"/>
      <c r="AV50" s="653"/>
      <c r="AW50" s="653"/>
      <c r="AX50" s="653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653" t="s">
        <v>30</v>
      </c>
      <c r="BH50" s="653"/>
      <c r="BI50" s="653"/>
      <c r="BJ50" s="653"/>
      <c r="BK50" s="653"/>
      <c r="BL50" s="653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653" t="s">
        <v>30</v>
      </c>
      <c r="BT50" s="653"/>
      <c r="BU50" s="653"/>
      <c r="BV50" s="653"/>
      <c r="BW50" s="653"/>
      <c r="BX50" s="653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653" t="s">
        <v>30</v>
      </c>
      <c r="CM50" s="653"/>
      <c r="CN50" s="653"/>
      <c r="CO50" s="653"/>
      <c r="CP50" s="653"/>
      <c r="CQ50" s="653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653" t="s">
        <v>30</v>
      </c>
      <c r="DE50" s="653"/>
      <c r="DF50" s="653"/>
      <c r="DG50" s="653"/>
      <c r="DH50" s="653"/>
      <c r="DI50" s="653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653" t="s">
        <v>30</v>
      </c>
      <c r="DY50" s="653"/>
      <c r="DZ50" s="653"/>
      <c r="EA50" s="653"/>
      <c r="EB50" s="653"/>
      <c r="EC50" s="653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653" t="s">
        <v>30</v>
      </c>
      <c r="ES50" s="653"/>
      <c r="ET50" s="653"/>
      <c r="EU50" s="653"/>
      <c r="EV50" s="653"/>
      <c r="EW50" s="653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653" t="s">
        <v>30</v>
      </c>
      <c r="FX50" s="653"/>
      <c r="FY50" s="653"/>
      <c r="FZ50" s="653"/>
      <c r="GA50" s="653"/>
      <c r="GB50" s="653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653" t="s">
        <v>30</v>
      </c>
      <c r="GU50" s="653"/>
      <c r="GV50" s="653"/>
      <c r="GW50" s="653"/>
      <c r="GX50" s="653"/>
      <c r="GY50" s="653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653" t="s">
        <v>30</v>
      </c>
      <c r="HP50" s="653"/>
      <c r="HQ50" s="653"/>
      <c r="HR50" s="653"/>
      <c r="HS50" s="653"/>
      <c r="HT50" s="653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653" t="s">
        <v>30</v>
      </c>
      <c r="IA50" s="653"/>
      <c r="IB50" s="653"/>
      <c r="IC50" s="653"/>
      <c r="ID50" s="653"/>
      <c r="IE50" s="653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653" t="s">
        <v>30</v>
      </c>
      <c r="IQ50" s="653"/>
      <c r="IR50" s="653"/>
      <c r="IS50" s="653"/>
      <c r="IT50" s="653"/>
      <c r="IU50" s="653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653" t="s">
        <v>30</v>
      </c>
      <c r="JC50" s="653"/>
      <c r="JD50" s="653"/>
      <c r="JE50" s="653"/>
      <c r="JF50" s="653"/>
      <c r="JG50" s="653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653" t="s">
        <v>30</v>
      </c>
      <c r="KI50" s="653"/>
      <c r="KJ50" s="653"/>
      <c r="KK50" s="653"/>
      <c r="KL50" s="653"/>
      <c r="KM50" s="653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653" t="s">
        <v>30</v>
      </c>
      <c r="KW50" s="653"/>
      <c r="KX50" s="653"/>
      <c r="KY50" s="653"/>
      <c r="KZ50" s="653"/>
      <c r="LA50" s="653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653" t="s">
        <v>30</v>
      </c>
      <c r="LJ50" s="653"/>
      <c r="LK50" s="653"/>
      <c r="LL50" s="653"/>
      <c r="LM50" s="653"/>
      <c r="LN50" s="653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653" t="s">
        <v>30</v>
      </c>
      <c r="MI50" s="653"/>
      <c r="MJ50" s="653"/>
      <c r="MK50" s="653"/>
      <c r="ML50" s="653"/>
      <c r="MM50" s="653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653" t="s">
        <v>30</v>
      </c>
      <c r="NH50" s="653"/>
      <c r="NI50" s="653"/>
      <c r="NJ50" s="653"/>
      <c r="NK50" s="653"/>
      <c r="NL50" s="653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47"/>
      <c r="B51" s="12"/>
      <c r="C51" s="665" t="s">
        <v>31</v>
      </c>
      <c r="D51" s="665"/>
      <c r="E51" s="665"/>
      <c r="F51" s="665"/>
      <c r="G51" s="665"/>
      <c r="H51" s="665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665" t="s">
        <v>31</v>
      </c>
      <c r="Q51" s="665"/>
      <c r="R51" s="665"/>
      <c r="S51" s="665"/>
      <c r="T51" s="665"/>
      <c r="U51" s="665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665" t="s">
        <v>31</v>
      </c>
      <c r="AI51" s="665"/>
      <c r="AJ51" s="665"/>
      <c r="AK51" s="665"/>
      <c r="AL51" s="665"/>
      <c r="AM51" s="665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665" t="s">
        <v>31</v>
      </c>
      <c r="AT51" s="665"/>
      <c r="AU51" s="665"/>
      <c r="AV51" s="665"/>
      <c r="AW51" s="665"/>
      <c r="AX51" s="665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665" t="s">
        <v>31</v>
      </c>
      <c r="BH51" s="665"/>
      <c r="BI51" s="665"/>
      <c r="BJ51" s="665"/>
      <c r="BK51" s="665"/>
      <c r="BL51" s="665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665" t="s">
        <v>31</v>
      </c>
      <c r="BT51" s="665"/>
      <c r="BU51" s="665"/>
      <c r="BV51" s="665"/>
      <c r="BW51" s="665"/>
      <c r="BX51" s="665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665" t="s">
        <v>31</v>
      </c>
      <c r="CM51" s="665"/>
      <c r="CN51" s="665"/>
      <c r="CO51" s="665"/>
      <c r="CP51" s="665"/>
      <c r="CQ51" s="665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665" t="s">
        <v>31</v>
      </c>
      <c r="DE51" s="665"/>
      <c r="DF51" s="665"/>
      <c r="DG51" s="665"/>
      <c r="DH51" s="665"/>
      <c r="DI51" s="665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665" t="s">
        <v>31</v>
      </c>
      <c r="DY51" s="665"/>
      <c r="DZ51" s="665"/>
      <c r="EA51" s="665"/>
      <c r="EB51" s="665"/>
      <c r="EC51" s="665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665" t="s">
        <v>31</v>
      </c>
      <c r="ES51" s="665"/>
      <c r="ET51" s="665"/>
      <c r="EU51" s="665"/>
      <c r="EV51" s="665"/>
      <c r="EW51" s="665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665" t="s">
        <v>31</v>
      </c>
      <c r="FX51" s="665"/>
      <c r="FY51" s="665"/>
      <c r="FZ51" s="665"/>
      <c r="GA51" s="665"/>
      <c r="GB51" s="665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665" t="s">
        <v>31</v>
      </c>
      <c r="GU51" s="665"/>
      <c r="GV51" s="665"/>
      <c r="GW51" s="665"/>
      <c r="GX51" s="665"/>
      <c r="GY51" s="665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665" t="s">
        <v>31</v>
      </c>
      <c r="HP51" s="665"/>
      <c r="HQ51" s="665"/>
      <c r="HR51" s="665"/>
      <c r="HS51" s="665"/>
      <c r="HT51" s="665"/>
      <c r="HU51" s="13">
        <v>35</v>
      </c>
      <c r="HV51" s="19"/>
      <c r="HW51" s="30">
        <f t="shared" si="44"/>
        <v>0</v>
      </c>
      <c r="HX51" s="28">
        <f t="shared" si="45"/>
        <v>0</v>
      </c>
      <c r="HZ51" s="665" t="s">
        <v>31</v>
      </c>
      <c r="IA51" s="665"/>
      <c r="IB51" s="665"/>
      <c r="IC51" s="665"/>
      <c r="ID51" s="665"/>
      <c r="IE51" s="665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665" t="s">
        <v>31</v>
      </c>
      <c r="IQ51" s="665"/>
      <c r="IR51" s="665"/>
      <c r="IS51" s="665"/>
      <c r="IT51" s="665"/>
      <c r="IU51" s="665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665" t="s">
        <v>31</v>
      </c>
      <c r="JC51" s="665"/>
      <c r="JD51" s="665"/>
      <c r="JE51" s="665"/>
      <c r="JF51" s="665"/>
      <c r="JG51" s="665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665" t="s">
        <v>31</v>
      </c>
      <c r="KI51" s="665"/>
      <c r="KJ51" s="665"/>
      <c r="KK51" s="665"/>
      <c r="KL51" s="665"/>
      <c r="KM51" s="665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665" t="s">
        <v>31</v>
      </c>
      <c r="KW51" s="665"/>
      <c r="KX51" s="665"/>
      <c r="KY51" s="665"/>
      <c r="KZ51" s="665"/>
      <c r="LA51" s="665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665" t="s">
        <v>31</v>
      </c>
      <c r="LJ51" s="665"/>
      <c r="LK51" s="665"/>
      <c r="LL51" s="665"/>
      <c r="LM51" s="665"/>
      <c r="LN51" s="665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665" t="s">
        <v>31</v>
      </c>
      <c r="MI51" s="665"/>
      <c r="MJ51" s="665"/>
      <c r="MK51" s="665"/>
      <c r="ML51" s="665"/>
      <c r="MM51" s="665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665" t="s">
        <v>31</v>
      </c>
      <c r="NH51" s="665"/>
      <c r="NI51" s="665"/>
      <c r="NJ51" s="665"/>
      <c r="NK51" s="665"/>
      <c r="NL51" s="665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47"/>
      <c r="B52" s="12"/>
      <c r="C52" s="665" t="s">
        <v>32</v>
      </c>
      <c r="D52" s="665"/>
      <c r="E52" s="665"/>
      <c r="F52" s="665"/>
      <c r="G52" s="665"/>
      <c r="H52" s="665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665" t="s">
        <v>32</v>
      </c>
      <c r="Q52" s="665"/>
      <c r="R52" s="665"/>
      <c r="S52" s="665"/>
      <c r="T52" s="665"/>
      <c r="U52" s="665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665" t="s">
        <v>32</v>
      </c>
      <c r="AI52" s="665"/>
      <c r="AJ52" s="665"/>
      <c r="AK52" s="665"/>
      <c r="AL52" s="665"/>
      <c r="AM52" s="665"/>
      <c r="AN52" s="13"/>
      <c r="AO52" s="19"/>
      <c r="AP52" s="23">
        <f t="shared" si="12"/>
        <v>0</v>
      </c>
      <c r="AQ52" s="19">
        <f t="shared" si="13"/>
        <v>0</v>
      </c>
      <c r="AS52" s="653" t="s">
        <v>32</v>
      </c>
      <c r="AT52" s="653"/>
      <c r="AU52" s="653"/>
      <c r="AV52" s="653"/>
      <c r="AW52" s="653"/>
      <c r="AX52" s="653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653" t="s">
        <v>32</v>
      </c>
      <c r="BH52" s="653"/>
      <c r="BI52" s="653"/>
      <c r="BJ52" s="653"/>
      <c r="BK52" s="653"/>
      <c r="BL52" s="653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653" t="s">
        <v>32</v>
      </c>
      <c r="BT52" s="653"/>
      <c r="BU52" s="653"/>
      <c r="BV52" s="653"/>
      <c r="BW52" s="653"/>
      <c r="BX52" s="653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653" t="s">
        <v>32</v>
      </c>
      <c r="CM52" s="653"/>
      <c r="CN52" s="653"/>
      <c r="CO52" s="653"/>
      <c r="CP52" s="653"/>
      <c r="CQ52" s="653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653" t="s">
        <v>32</v>
      </c>
      <c r="DE52" s="653"/>
      <c r="DF52" s="653"/>
      <c r="DG52" s="653"/>
      <c r="DH52" s="653"/>
      <c r="DI52" s="653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653" t="s">
        <v>32</v>
      </c>
      <c r="DY52" s="653"/>
      <c r="DZ52" s="653"/>
      <c r="EA52" s="653"/>
      <c r="EB52" s="653"/>
      <c r="EC52" s="653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653" t="s">
        <v>32</v>
      </c>
      <c r="ES52" s="653"/>
      <c r="ET52" s="653"/>
      <c r="EU52" s="653"/>
      <c r="EV52" s="653"/>
      <c r="EW52" s="653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653" t="s">
        <v>32</v>
      </c>
      <c r="FX52" s="653"/>
      <c r="FY52" s="653"/>
      <c r="FZ52" s="653"/>
      <c r="GA52" s="653"/>
      <c r="GB52" s="653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653" t="s">
        <v>32</v>
      </c>
      <c r="GU52" s="653"/>
      <c r="GV52" s="653"/>
      <c r="GW52" s="653"/>
      <c r="GX52" s="653"/>
      <c r="GY52" s="653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653" t="s">
        <v>32</v>
      </c>
      <c r="HP52" s="653"/>
      <c r="HQ52" s="653"/>
      <c r="HR52" s="653"/>
      <c r="HS52" s="653"/>
      <c r="HT52" s="653"/>
      <c r="HU52" s="28">
        <v>18</v>
      </c>
      <c r="HV52" s="28"/>
      <c r="HW52" s="30">
        <f t="shared" si="44"/>
        <v>0</v>
      </c>
      <c r="HX52" s="28">
        <f t="shared" si="45"/>
        <v>0</v>
      </c>
      <c r="HZ52" s="653" t="s">
        <v>32</v>
      </c>
      <c r="IA52" s="653"/>
      <c r="IB52" s="653"/>
      <c r="IC52" s="653"/>
      <c r="ID52" s="653"/>
      <c r="IE52" s="653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653" t="s">
        <v>32</v>
      </c>
      <c r="IQ52" s="653"/>
      <c r="IR52" s="653"/>
      <c r="IS52" s="653"/>
      <c r="IT52" s="653"/>
      <c r="IU52" s="653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653" t="s">
        <v>32</v>
      </c>
      <c r="JC52" s="653"/>
      <c r="JD52" s="653"/>
      <c r="JE52" s="653"/>
      <c r="JF52" s="653"/>
      <c r="JG52" s="653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653" t="s">
        <v>32</v>
      </c>
      <c r="KI52" s="653"/>
      <c r="KJ52" s="653"/>
      <c r="KK52" s="653"/>
      <c r="KL52" s="653"/>
      <c r="KM52" s="653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653" t="s">
        <v>32</v>
      </c>
      <c r="KW52" s="653"/>
      <c r="KX52" s="653"/>
      <c r="KY52" s="653"/>
      <c r="KZ52" s="653"/>
      <c r="LA52" s="653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653" t="s">
        <v>32</v>
      </c>
      <c r="LJ52" s="653"/>
      <c r="LK52" s="653"/>
      <c r="LL52" s="653"/>
      <c r="LM52" s="653"/>
      <c r="LN52" s="653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653" t="s">
        <v>32</v>
      </c>
      <c r="MI52" s="653"/>
      <c r="MJ52" s="653"/>
      <c r="MK52" s="653"/>
      <c r="ML52" s="653"/>
      <c r="MM52" s="653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653" t="s">
        <v>32</v>
      </c>
      <c r="NH52" s="653"/>
      <c r="NI52" s="653"/>
      <c r="NJ52" s="653"/>
      <c r="NK52" s="653"/>
      <c r="NL52" s="653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47"/>
      <c r="B53" s="12"/>
      <c r="C53" s="665" t="s">
        <v>33</v>
      </c>
      <c r="D53" s="665"/>
      <c r="E53" s="665"/>
      <c r="F53" s="665"/>
      <c r="G53" s="665"/>
      <c r="H53" s="665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665" t="s">
        <v>33</v>
      </c>
      <c r="Q53" s="665"/>
      <c r="R53" s="665"/>
      <c r="S53" s="665"/>
      <c r="T53" s="665"/>
      <c r="U53" s="665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665" t="s">
        <v>33</v>
      </c>
      <c r="AI53" s="665"/>
      <c r="AJ53" s="665"/>
      <c r="AK53" s="665"/>
      <c r="AL53" s="665"/>
      <c r="AM53" s="665"/>
      <c r="AN53" s="13"/>
      <c r="AO53" s="19"/>
      <c r="AP53" s="23">
        <f t="shared" si="12"/>
        <v>0</v>
      </c>
      <c r="AQ53" s="19">
        <f t="shared" si="13"/>
        <v>0</v>
      </c>
      <c r="AS53" s="665" t="s">
        <v>33</v>
      </c>
      <c r="AT53" s="665"/>
      <c r="AU53" s="665"/>
      <c r="AV53" s="665"/>
      <c r="AW53" s="665"/>
      <c r="AX53" s="665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665" t="s">
        <v>33</v>
      </c>
      <c r="BH53" s="665"/>
      <c r="BI53" s="665"/>
      <c r="BJ53" s="665"/>
      <c r="BK53" s="665"/>
      <c r="BL53" s="665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665" t="s">
        <v>33</v>
      </c>
      <c r="BT53" s="665"/>
      <c r="BU53" s="665"/>
      <c r="BV53" s="665"/>
      <c r="BW53" s="665"/>
      <c r="BX53" s="665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665" t="s">
        <v>33</v>
      </c>
      <c r="CM53" s="665"/>
      <c r="CN53" s="665"/>
      <c r="CO53" s="665"/>
      <c r="CP53" s="665"/>
      <c r="CQ53" s="665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665" t="s">
        <v>33</v>
      </c>
      <c r="DE53" s="665"/>
      <c r="DF53" s="665"/>
      <c r="DG53" s="665"/>
      <c r="DH53" s="665"/>
      <c r="DI53" s="665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665" t="s">
        <v>33</v>
      </c>
      <c r="DY53" s="665"/>
      <c r="DZ53" s="665"/>
      <c r="EA53" s="665"/>
      <c r="EB53" s="665"/>
      <c r="EC53" s="665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665" t="s">
        <v>33</v>
      </c>
      <c r="ES53" s="665"/>
      <c r="ET53" s="665"/>
      <c r="EU53" s="665"/>
      <c r="EV53" s="665"/>
      <c r="EW53" s="665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665" t="s">
        <v>33</v>
      </c>
      <c r="FX53" s="665"/>
      <c r="FY53" s="665"/>
      <c r="FZ53" s="665"/>
      <c r="GA53" s="665"/>
      <c r="GB53" s="665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665" t="s">
        <v>33</v>
      </c>
      <c r="GU53" s="665"/>
      <c r="GV53" s="665"/>
      <c r="GW53" s="665"/>
      <c r="GX53" s="665"/>
      <c r="GY53" s="665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665" t="s">
        <v>33</v>
      </c>
      <c r="HP53" s="665"/>
      <c r="HQ53" s="665"/>
      <c r="HR53" s="665"/>
      <c r="HS53" s="665"/>
      <c r="HT53" s="665"/>
      <c r="HU53" s="13"/>
      <c r="HV53" s="19"/>
      <c r="HW53" s="30">
        <f t="shared" si="44"/>
        <v>0</v>
      </c>
      <c r="HX53" s="28">
        <f t="shared" si="45"/>
        <v>0</v>
      </c>
      <c r="HZ53" s="665" t="s">
        <v>33</v>
      </c>
      <c r="IA53" s="665"/>
      <c r="IB53" s="665"/>
      <c r="IC53" s="665"/>
      <c r="ID53" s="665"/>
      <c r="IE53" s="665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665" t="s">
        <v>33</v>
      </c>
      <c r="IQ53" s="665"/>
      <c r="IR53" s="665"/>
      <c r="IS53" s="665"/>
      <c r="IT53" s="665"/>
      <c r="IU53" s="665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665" t="s">
        <v>33</v>
      </c>
      <c r="JC53" s="665"/>
      <c r="JD53" s="665"/>
      <c r="JE53" s="665"/>
      <c r="JF53" s="665"/>
      <c r="JG53" s="665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665" t="s">
        <v>33</v>
      </c>
      <c r="KI53" s="665"/>
      <c r="KJ53" s="665"/>
      <c r="KK53" s="665"/>
      <c r="KL53" s="665"/>
      <c r="KM53" s="665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665" t="s">
        <v>33</v>
      </c>
      <c r="KW53" s="665"/>
      <c r="KX53" s="665"/>
      <c r="KY53" s="665"/>
      <c r="KZ53" s="665"/>
      <c r="LA53" s="665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665" t="s">
        <v>33</v>
      </c>
      <c r="LJ53" s="665"/>
      <c r="LK53" s="665"/>
      <c r="LL53" s="665"/>
      <c r="LM53" s="665"/>
      <c r="LN53" s="665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665" t="s">
        <v>33</v>
      </c>
      <c r="MI53" s="665"/>
      <c r="MJ53" s="665"/>
      <c r="MK53" s="665"/>
      <c r="ML53" s="665"/>
      <c r="MM53" s="665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665" t="s">
        <v>33</v>
      </c>
      <c r="NH53" s="665"/>
      <c r="NI53" s="665"/>
      <c r="NJ53" s="665"/>
      <c r="NK53" s="665"/>
      <c r="NL53" s="665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47"/>
      <c r="B54" s="12"/>
      <c r="C54" s="665" t="s">
        <v>34</v>
      </c>
      <c r="D54" s="665"/>
      <c r="E54" s="665"/>
      <c r="F54" s="665"/>
      <c r="G54" s="665"/>
      <c r="H54" s="665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665" t="s">
        <v>34</v>
      </c>
      <c r="Q54" s="665"/>
      <c r="R54" s="665"/>
      <c r="S54" s="665"/>
      <c r="T54" s="665"/>
      <c r="U54" s="665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665" t="s">
        <v>34</v>
      </c>
      <c r="AI54" s="665"/>
      <c r="AJ54" s="665"/>
      <c r="AK54" s="665"/>
      <c r="AL54" s="665"/>
      <c r="AM54" s="665"/>
      <c r="AN54" s="13"/>
      <c r="AO54" s="19"/>
      <c r="AP54" s="23">
        <f t="shared" si="12"/>
        <v>0</v>
      </c>
      <c r="AQ54" s="19">
        <f t="shared" si="13"/>
        <v>0</v>
      </c>
      <c r="AS54" s="653" t="s">
        <v>34</v>
      </c>
      <c r="AT54" s="653"/>
      <c r="AU54" s="653"/>
      <c r="AV54" s="653"/>
      <c r="AW54" s="653"/>
      <c r="AX54" s="653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653" t="s">
        <v>34</v>
      </c>
      <c r="BH54" s="653"/>
      <c r="BI54" s="653"/>
      <c r="BJ54" s="653"/>
      <c r="BK54" s="653"/>
      <c r="BL54" s="653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653" t="s">
        <v>34</v>
      </c>
      <c r="BT54" s="653"/>
      <c r="BU54" s="653"/>
      <c r="BV54" s="653"/>
      <c r="BW54" s="653"/>
      <c r="BX54" s="653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653" t="s">
        <v>34</v>
      </c>
      <c r="CM54" s="653"/>
      <c r="CN54" s="653"/>
      <c r="CO54" s="653"/>
      <c r="CP54" s="653"/>
      <c r="CQ54" s="653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653" t="s">
        <v>34</v>
      </c>
      <c r="DE54" s="653"/>
      <c r="DF54" s="653"/>
      <c r="DG54" s="653"/>
      <c r="DH54" s="653"/>
      <c r="DI54" s="653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653" t="s">
        <v>34</v>
      </c>
      <c r="DY54" s="653"/>
      <c r="DZ54" s="653"/>
      <c r="EA54" s="653"/>
      <c r="EB54" s="653"/>
      <c r="EC54" s="653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653" t="s">
        <v>34</v>
      </c>
      <c r="ES54" s="653"/>
      <c r="ET54" s="653"/>
      <c r="EU54" s="653"/>
      <c r="EV54" s="653"/>
      <c r="EW54" s="653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653" t="s">
        <v>34</v>
      </c>
      <c r="FX54" s="653"/>
      <c r="FY54" s="653"/>
      <c r="FZ54" s="653"/>
      <c r="GA54" s="653"/>
      <c r="GB54" s="653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653" t="s">
        <v>34</v>
      </c>
      <c r="GU54" s="653"/>
      <c r="GV54" s="653"/>
      <c r="GW54" s="653"/>
      <c r="GX54" s="653"/>
      <c r="GY54" s="653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653" t="s">
        <v>34</v>
      </c>
      <c r="HP54" s="653"/>
      <c r="HQ54" s="653"/>
      <c r="HR54" s="653"/>
      <c r="HS54" s="653"/>
      <c r="HT54" s="653"/>
      <c r="HU54" s="28">
        <v>17</v>
      </c>
      <c r="HV54" s="28"/>
      <c r="HW54" s="30">
        <f t="shared" si="44"/>
        <v>0</v>
      </c>
      <c r="HX54" s="28">
        <f t="shared" si="45"/>
        <v>0</v>
      </c>
      <c r="HZ54" s="653" t="s">
        <v>34</v>
      </c>
      <c r="IA54" s="653"/>
      <c r="IB54" s="653"/>
      <c r="IC54" s="653"/>
      <c r="ID54" s="653"/>
      <c r="IE54" s="653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653" t="s">
        <v>34</v>
      </c>
      <c r="IQ54" s="653"/>
      <c r="IR54" s="653"/>
      <c r="IS54" s="653"/>
      <c r="IT54" s="653"/>
      <c r="IU54" s="653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653" t="s">
        <v>34</v>
      </c>
      <c r="JC54" s="653"/>
      <c r="JD54" s="653"/>
      <c r="JE54" s="653"/>
      <c r="JF54" s="653"/>
      <c r="JG54" s="653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653" t="s">
        <v>34</v>
      </c>
      <c r="KI54" s="653"/>
      <c r="KJ54" s="653"/>
      <c r="KK54" s="653"/>
      <c r="KL54" s="653"/>
      <c r="KM54" s="653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653" t="s">
        <v>34</v>
      </c>
      <c r="KW54" s="653"/>
      <c r="KX54" s="653"/>
      <c r="KY54" s="653"/>
      <c r="KZ54" s="653"/>
      <c r="LA54" s="653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653" t="s">
        <v>34</v>
      </c>
      <c r="LJ54" s="653"/>
      <c r="LK54" s="653"/>
      <c r="LL54" s="653"/>
      <c r="LM54" s="653"/>
      <c r="LN54" s="653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653" t="s">
        <v>34</v>
      </c>
      <c r="MI54" s="653"/>
      <c r="MJ54" s="653"/>
      <c r="MK54" s="653"/>
      <c r="ML54" s="653"/>
      <c r="MM54" s="653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653" t="s">
        <v>34</v>
      </c>
      <c r="NH54" s="653"/>
      <c r="NI54" s="653"/>
      <c r="NJ54" s="653"/>
      <c r="NK54" s="653"/>
      <c r="NL54" s="653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47"/>
      <c r="B55" s="12"/>
      <c r="C55" s="665" t="s">
        <v>35</v>
      </c>
      <c r="D55" s="665"/>
      <c r="E55" s="665"/>
      <c r="F55" s="665"/>
      <c r="G55" s="665"/>
      <c r="H55" s="665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665" t="s">
        <v>35</v>
      </c>
      <c r="Q55" s="665"/>
      <c r="R55" s="665"/>
      <c r="S55" s="665"/>
      <c r="T55" s="665"/>
      <c r="U55" s="665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665" t="s">
        <v>35</v>
      </c>
      <c r="AI55" s="665"/>
      <c r="AJ55" s="665"/>
      <c r="AK55" s="665"/>
      <c r="AL55" s="665"/>
      <c r="AM55" s="665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665" t="s">
        <v>35</v>
      </c>
      <c r="AT55" s="665"/>
      <c r="AU55" s="665"/>
      <c r="AV55" s="665"/>
      <c r="AW55" s="665"/>
      <c r="AX55" s="665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665" t="s">
        <v>35</v>
      </c>
      <c r="BH55" s="665"/>
      <c r="BI55" s="665"/>
      <c r="BJ55" s="665"/>
      <c r="BK55" s="665"/>
      <c r="BL55" s="665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665" t="s">
        <v>35</v>
      </c>
      <c r="BT55" s="665"/>
      <c r="BU55" s="665"/>
      <c r="BV55" s="665"/>
      <c r="BW55" s="665"/>
      <c r="BX55" s="665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665" t="s">
        <v>35</v>
      </c>
      <c r="CM55" s="665"/>
      <c r="CN55" s="665"/>
      <c r="CO55" s="665"/>
      <c r="CP55" s="665"/>
      <c r="CQ55" s="665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665" t="s">
        <v>35</v>
      </c>
      <c r="DE55" s="665"/>
      <c r="DF55" s="665"/>
      <c r="DG55" s="665"/>
      <c r="DH55" s="665"/>
      <c r="DI55" s="665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665" t="s">
        <v>35</v>
      </c>
      <c r="DY55" s="665"/>
      <c r="DZ55" s="665"/>
      <c r="EA55" s="665"/>
      <c r="EB55" s="665"/>
      <c r="EC55" s="665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665" t="s">
        <v>35</v>
      </c>
      <c r="ES55" s="665"/>
      <c r="ET55" s="665"/>
      <c r="EU55" s="665"/>
      <c r="EV55" s="665"/>
      <c r="EW55" s="665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665" t="s">
        <v>35</v>
      </c>
      <c r="FX55" s="665"/>
      <c r="FY55" s="665"/>
      <c r="FZ55" s="665"/>
      <c r="GA55" s="665"/>
      <c r="GB55" s="665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665" t="s">
        <v>35</v>
      </c>
      <c r="GU55" s="665"/>
      <c r="GV55" s="665"/>
      <c r="GW55" s="665"/>
      <c r="GX55" s="665"/>
      <c r="GY55" s="665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665" t="s">
        <v>35</v>
      </c>
      <c r="HP55" s="665"/>
      <c r="HQ55" s="665"/>
      <c r="HR55" s="665"/>
      <c r="HS55" s="665"/>
      <c r="HT55" s="665"/>
      <c r="HU55" s="13">
        <v>7</v>
      </c>
      <c r="HV55" s="19"/>
      <c r="HW55" s="30">
        <f t="shared" si="44"/>
        <v>0</v>
      </c>
      <c r="HX55" s="28">
        <f t="shared" si="45"/>
        <v>0</v>
      </c>
      <c r="HZ55" s="665" t="s">
        <v>35</v>
      </c>
      <c r="IA55" s="665"/>
      <c r="IB55" s="665"/>
      <c r="IC55" s="665"/>
      <c r="ID55" s="665"/>
      <c r="IE55" s="665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665" t="s">
        <v>35</v>
      </c>
      <c r="IQ55" s="665"/>
      <c r="IR55" s="665"/>
      <c r="IS55" s="665"/>
      <c r="IT55" s="665"/>
      <c r="IU55" s="665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665" t="s">
        <v>35</v>
      </c>
      <c r="JC55" s="665"/>
      <c r="JD55" s="665"/>
      <c r="JE55" s="665"/>
      <c r="JF55" s="665"/>
      <c r="JG55" s="665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665" t="s">
        <v>35</v>
      </c>
      <c r="KI55" s="665"/>
      <c r="KJ55" s="665"/>
      <c r="KK55" s="665"/>
      <c r="KL55" s="665"/>
      <c r="KM55" s="665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665" t="s">
        <v>35</v>
      </c>
      <c r="KW55" s="665"/>
      <c r="KX55" s="665"/>
      <c r="KY55" s="665"/>
      <c r="KZ55" s="665"/>
      <c r="LA55" s="665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665" t="s">
        <v>35</v>
      </c>
      <c r="LJ55" s="665"/>
      <c r="LK55" s="665"/>
      <c r="LL55" s="665"/>
      <c r="LM55" s="665"/>
      <c r="LN55" s="665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665" t="s">
        <v>35</v>
      </c>
      <c r="MI55" s="665"/>
      <c r="MJ55" s="665"/>
      <c r="MK55" s="665"/>
      <c r="ML55" s="665"/>
      <c r="MM55" s="665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665" t="s">
        <v>35</v>
      </c>
      <c r="NH55" s="665"/>
      <c r="NI55" s="665"/>
      <c r="NJ55" s="665"/>
      <c r="NK55" s="665"/>
      <c r="NL55" s="665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47"/>
      <c r="B56" s="12"/>
      <c r="C56" s="665" t="s">
        <v>36</v>
      </c>
      <c r="D56" s="665"/>
      <c r="E56" s="665"/>
      <c r="F56" s="665"/>
      <c r="G56" s="665"/>
      <c r="H56" s="665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665" t="s">
        <v>36</v>
      </c>
      <c r="Q56" s="665"/>
      <c r="R56" s="665"/>
      <c r="S56" s="665"/>
      <c r="T56" s="665"/>
      <c r="U56" s="665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665" t="s">
        <v>36</v>
      </c>
      <c r="AI56" s="665"/>
      <c r="AJ56" s="665"/>
      <c r="AK56" s="665"/>
      <c r="AL56" s="665"/>
      <c r="AM56" s="665"/>
      <c r="AN56" s="13"/>
      <c r="AO56" s="19"/>
      <c r="AP56" s="23">
        <f t="shared" si="12"/>
        <v>0</v>
      </c>
      <c r="AQ56" s="19">
        <f t="shared" si="13"/>
        <v>0</v>
      </c>
      <c r="AS56" s="653" t="s">
        <v>36</v>
      </c>
      <c r="AT56" s="653"/>
      <c r="AU56" s="653"/>
      <c r="AV56" s="653"/>
      <c r="AW56" s="653"/>
      <c r="AX56" s="653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653" t="s">
        <v>36</v>
      </c>
      <c r="BH56" s="653"/>
      <c r="BI56" s="653"/>
      <c r="BJ56" s="653"/>
      <c r="BK56" s="653"/>
      <c r="BL56" s="653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653" t="s">
        <v>36</v>
      </c>
      <c r="BT56" s="653"/>
      <c r="BU56" s="653"/>
      <c r="BV56" s="653"/>
      <c r="BW56" s="653"/>
      <c r="BX56" s="653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653" t="s">
        <v>36</v>
      </c>
      <c r="CM56" s="653"/>
      <c r="CN56" s="653"/>
      <c r="CO56" s="653"/>
      <c r="CP56" s="653"/>
      <c r="CQ56" s="653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653" t="s">
        <v>36</v>
      </c>
      <c r="DE56" s="653"/>
      <c r="DF56" s="653"/>
      <c r="DG56" s="653"/>
      <c r="DH56" s="653"/>
      <c r="DI56" s="653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653" t="s">
        <v>36</v>
      </c>
      <c r="DY56" s="653"/>
      <c r="DZ56" s="653"/>
      <c r="EA56" s="653"/>
      <c r="EB56" s="653"/>
      <c r="EC56" s="653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653" t="s">
        <v>36</v>
      </c>
      <c r="ES56" s="653"/>
      <c r="ET56" s="653"/>
      <c r="EU56" s="653"/>
      <c r="EV56" s="653"/>
      <c r="EW56" s="653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653" t="s">
        <v>36</v>
      </c>
      <c r="FX56" s="653"/>
      <c r="FY56" s="653"/>
      <c r="FZ56" s="653"/>
      <c r="GA56" s="653"/>
      <c r="GB56" s="653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653" t="s">
        <v>36</v>
      </c>
      <c r="GU56" s="653"/>
      <c r="GV56" s="653"/>
      <c r="GW56" s="653"/>
      <c r="GX56" s="653"/>
      <c r="GY56" s="653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653" t="s">
        <v>36</v>
      </c>
      <c r="HP56" s="653"/>
      <c r="HQ56" s="653"/>
      <c r="HR56" s="653"/>
      <c r="HS56" s="653"/>
      <c r="HT56" s="653"/>
      <c r="HU56" s="28"/>
      <c r="HV56" s="28"/>
      <c r="HW56" s="30">
        <f t="shared" si="44"/>
        <v>0</v>
      </c>
      <c r="HX56" s="28">
        <f t="shared" si="45"/>
        <v>0</v>
      </c>
      <c r="HZ56" s="653" t="s">
        <v>36</v>
      </c>
      <c r="IA56" s="653"/>
      <c r="IB56" s="653"/>
      <c r="IC56" s="653"/>
      <c r="ID56" s="653"/>
      <c r="IE56" s="653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653" t="s">
        <v>36</v>
      </c>
      <c r="IQ56" s="653"/>
      <c r="IR56" s="653"/>
      <c r="IS56" s="653"/>
      <c r="IT56" s="653"/>
      <c r="IU56" s="653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653" t="s">
        <v>36</v>
      </c>
      <c r="JC56" s="653"/>
      <c r="JD56" s="653"/>
      <c r="JE56" s="653"/>
      <c r="JF56" s="653"/>
      <c r="JG56" s="653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653" t="s">
        <v>36</v>
      </c>
      <c r="KI56" s="653"/>
      <c r="KJ56" s="653"/>
      <c r="KK56" s="653"/>
      <c r="KL56" s="653"/>
      <c r="KM56" s="653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653" t="s">
        <v>36</v>
      </c>
      <c r="KW56" s="653"/>
      <c r="KX56" s="653"/>
      <c r="KY56" s="653"/>
      <c r="KZ56" s="653"/>
      <c r="LA56" s="653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653" t="s">
        <v>36</v>
      </c>
      <c r="LJ56" s="653"/>
      <c r="LK56" s="653"/>
      <c r="LL56" s="653"/>
      <c r="LM56" s="653"/>
      <c r="LN56" s="653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653" t="s">
        <v>36</v>
      </c>
      <c r="MI56" s="653"/>
      <c r="MJ56" s="653"/>
      <c r="MK56" s="653"/>
      <c r="ML56" s="653"/>
      <c r="MM56" s="653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653" t="s">
        <v>36</v>
      </c>
      <c r="NH56" s="653"/>
      <c r="NI56" s="653"/>
      <c r="NJ56" s="653"/>
      <c r="NK56" s="653"/>
      <c r="NL56" s="653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47"/>
      <c r="B57" s="12"/>
      <c r="C57" s="665" t="s">
        <v>37</v>
      </c>
      <c r="D57" s="665"/>
      <c r="E57" s="665"/>
      <c r="F57" s="665"/>
      <c r="G57" s="665"/>
      <c r="H57" s="665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665" t="s">
        <v>37</v>
      </c>
      <c r="Q57" s="665"/>
      <c r="R57" s="665"/>
      <c r="S57" s="665"/>
      <c r="T57" s="665"/>
      <c r="U57" s="665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665" t="s">
        <v>37</v>
      </c>
      <c r="AI57" s="665"/>
      <c r="AJ57" s="665"/>
      <c r="AK57" s="665"/>
      <c r="AL57" s="665"/>
      <c r="AM57" s="665"/>
      <c r="AN57" s="13"/>
      <c r="AO57" s="19"/>
      <c r="AP57" s="23">
        <f t="shared" si="12"/>
        <v>0</v>
      </c>
      <c r="AQ57" s="19">
        <f t="shared" si="13"/>
        <v>0</v>
      </c>
      <c r="AS57" s="665" t="s">
        <v>37</v>
      </c>
      <c r="AT57" s="665"/>
      <c r="AU57" s="665"/>
      <c r="AV57" s="665"/>
      <c r="AW57" s="665"/>
      <c r="AX57" s="665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665" t="s">
        <v>37</v>
      </c>
      <c r="BH57" s="665"/>
      <c r="BI57" s="665"/>
      <c r="BJ57" s="665"/>
      <c r="BK57" s="665"/>
      <c r="BL57" s="665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665" t="s">
        <v>37</v>
      </c>
      <c r="BT57" s="665"/>
      <c r="BU57" s="665"/>
      <c r="BV57" s="665"/>
      <c r="BW57" s="665"/>
      <c r="BX57" s="665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665" t="s">
        <v>37</v>
      </c>
      <c r="CM57" s="665"/>
      <c r="CN57" s="665"/>
      <c r="CO57" s="665"/>
      <c r="CP57" s="665"/>
      <c r="CQ57" s="665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665" t="s">
        <v>37</v>
      </c>
      <c r="DE57" s="665"/>
      <c r="DF57" s="665"/>
      <c r="DG57" s="665"/>
      <c r="DH57" s="665"/>
      <c r="DI57" s="665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665" t="s">
        <v>37</v>
      </c>
      <c r="DY57" s="665"/>
      <c r="DZ57" s="665"/>
      <c r="EA57" s="665"/>
      <c r="EB57" s="665"/>
      <c r="EC57" s="665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665" t="s">
        <v>37</v>
      </c>
      <c r="ES57" s="665"/>
      <c r="ET57" s="665"/>
      <c r="EU57" s="665"/>
      <c r="EV57" s="665"/>
      <c r="EW57" s="665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665" t="s">
        <v>37</v>
      </c>
      <c r="FX57" s="665"/>
      <c r="FY57" s="665"/>
      <c r="FZ57" s="665"/>
      <c r="GA57" s="665"/>
      <c r="GB57" s="665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665" t="s">
        <v>37</v>
      </c>
      <c r="GU57" s="665"/>
      <c r="GV57" s="665"/>
      <c r="GW57" s="665"/>
      <c r="GX57" s="665"/>
      <c r="GY57" s="665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665" t="s">
        <v>37</v>
      </c>
      <c r="HP57" s="665"/>
      <c r="HQ57" s="665"/>
      <c r="HR57" s="665"/>
      <c r="HS57" s="665"/>
      <c r="HT57" s="665"/>
      <c r="HU57" s="13"/>
      <c r="HV57" s="19"/>
      <c r="HW57" s="30">
        <f t="shared" si="44"/>
        <v>0</v>
      </c>
      <c r="HX57" s="28">
        <f t="shared" si="45"/>
        <v>0</v>
      </c>
      <c r="HZ57" s="665" t="s">
        <v>37</v>
      </c>
      <c r="IA57" s="665"/>
      <c r="IB57" s="665"/>
      <c r="IC57" s="665"/>
      <c r="ID57" s="665"/>
      <c r="IE57" s="665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665" t="s">
        <v>37</v>
      </c>
      <c r="IQ57" s="665"/>
      <c r="IR57" s="665"/>
      <c r="IS57" s="665"/>
      <c r="IT57" s="665"/>
      <c r="IU57" s="665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665" t="s">
        <v>37</v>
      </c>
      <c r="JC57" s="665"/>
      <c r="JD57" s="665"/>
      <c r="JE57" s="665"/>
      <c r="JF57" s="665"/>
      <c r="JG57" s="665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665" t="s">
        <v>37</v>
      </c>
      <c r="KI57" s="665"/>
      <c r="KJ57" s="665"/>
      <c r="KK57" s="665"/>
      <c r="KL57" s="665"/>
      <c r="KM57" s="665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665" t="s">
        <v>37</v>
      </c>
      <c r="KW57" s="665"/>
      <c r="KX57" s="665"/>
      <c r="KY57" s="665"/>
      <c r="KZ57" s="665"/>
      <c r="LA57" s="665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665" t="s">
        <v>37</v>
      </c>
      <c r="LJ57" s="665"/>
      <c r="LK57" s="665"/>
      <c r="LL57" s="665"/>
      <c r="LM57" s="665"/>
      <c r="LN57" s="665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665" t="s">
        <v>37</v>
      </c>
      <c r="MI57" s="665"/>
      <c r="MJ57" s="665"/>
      <c r="MK57" s="665"/>
      <c r="ML57" s="665"/>
      <c r="MM57" s="665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665" t="s">
        <v>37</v>
      </c>
      <c r="NH57" s="665"/>
      <c r="NI57" s="665"/>
      <c r="NJ57" s="665"/>
      <c r="NK57" s="665"/>
      <c r="NL57" s="665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47"/>
      <c r="B58" s="12"/>
      <c r="C58" s="665" t="s">
        <v>38</v>
      </c>
      <c r="D58" s="665"/>
      <c r="E58" s="665"/>
      <c r="F58" s="665"/>
      <c r="G58" s="665"/>
      <c r="H58" s="665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665" t="s">
        <v>38</v>
      </c>
      <c r="Q58" s="665"/>
      <c r="R58" s="665"/>
      <c r="S58" s="665"/>
      <c r="T58" s="665"/>
      <c r="U58" s="665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665" t="s">
        <v>38</v>
      </c>
      <c r="AI58" s="665"/>
      <c r="AJ58" s="665"/>
      <c r="AK58" s="665"/>
      <c r="AL58" s="665"/>
      <c r="AM58" s="665"/>
      <c r="AN58" s="13"/>
      <c r="AO58" s="19"/>
      <c r="AP58" s="23">
        <f t="shared" si="12"/>
        <v>0</v>
      </c>
      <c r="AQ58" s="19">
        <f t="shared" si="13"/>
        <v>0</v>
      </c>
      <c r="AS58" s="653" t="s">
        <v>38</v>
      </c>
      <c r="AT58" s="653"/>
      <c r="AU58" s="653"/>
      <c r="AV58" s="653"/>
      <c r="AW58" s="653"/>
      <c r="AX58" s="653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653" t="s">
        <v>38</v>
      </c>
      <c r="BH58" s="653"/>
      <c r="BI58" s="653"/>
      <c r="BJ58" s="653"/>
      <c r="BK58" s="653"/>
      <c r="BL58" s="653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653" t="s">
        <v>38</v>
      </c>
      <c r="BT58" s="653"/>
      <c r="BU58" s="653"/>
      <c r="BV58" s="653"/>
      <c r="BW58" s="653"/>
      <c r="BX58" s="653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653" t="s">
        <v>38</v>
      </c>
      <c r="CM58" s="653"/>
      <c r="CN58" s="653"/>
      <c r="CO58" s="653"/>
      <c r="CP58" s="653"/>
      <c r="CQ58" s="653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653" t="s">
        <v>38</v>
      </c>
      <c r="DE58" s="653"/>
      <c r="DF58" s="653"/>
      <c r="DG58" s="653"/>
      <c r="DH58" s="653"/>
      <c r="DI58" s="653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653" t="s">
        <v>38</v>
      </c>
      <c r="DY58" s="653"/>
      <c r="DZ58" s="653"/>
      <c r="EA58" s="653"/>
      <c r="EB58" s="653"/>
      <c r="EC58" s="653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653" t="s">
        <v>38</v>
      </c>
      <c r="ES58" s="653"/>
      <c r="ET58" s="653"/>
      <c r="EU58" s="653"/>
      <c r="EV58" s="653"/>
      <c r="EW58" s="653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653" t="s">
        <v>38</v>
      </c>
      <c r="FX58" s="653"/>
      <c r="FY58" s="653"/>
      <c r="FZ58" s="653"/>
      <c r="GA58" s="653"/>
      <c r="GB58" s="653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653" t="s">
        <v>38</v>
      </c>
      <c r="GU58" s="653"/>
      <c r="GV58" s="653"/>
      <c r="GW58" s="653"/>
      <c r="GX58" s="653"/>
      <c r="GY58" s="653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653" t="s">
        <v>38</v>
      </c>
      <c r="HP58" s="653"/>
      <c r="HQ58" s="653"/>
      <c r="HR58" s="653"/>
      <c r="HS58" s="653"/>
      <c r="HT58" s="653"/>
      <c r="HU58" s="28">
        <v>13</v>
      </c>
      <c r="HV58" s="28"/>
      <c r="HW58" s="30">
        <f t="shared" si="44"/>
        <v>0</v>
      </c>
      <c r="HX58" s="28">
        <f t="shared" si="45"/>
        <v>0</v>
      </c>
      <c r="HZ58" s="653" t="s">
        <v>38</v>
      </c>
      <c r="IA58" s="653"/>
      <c r="IB58" s="653"/>
      <c r="IC58" s="653"/>
      <c r="ID58" s="653"/>
      <c r="IE58" s="653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653" t="s">
        <v>38</v>
      </c>
      <c r="IQ58" s="653"/>
      <c r="IR58" s="653"/>
      <c r="IS58" s="653"/>
      <c r="IT58" s="653"/>
      <c r="IU58" s="653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653" t="s">
        <v>38</v>
      </c>
      <c r="JC58" s="653"/>
      <c r="JD58" s="653"/>
      <c r="JE58" s="653"/>
      <c r="JF58" s="653"/>
      <c r="JG58" s="653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653" t="s">
        <v>38</v>
      </c>
      <c r="KI58" s="653"/>
      <c r="KJ58" s="653"/>
      <c r="KK58" s="653"/>
      <c r="KL58" s="653"/>
      <c r="KM58" s="653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653" t="s">
        <v>38</v>
      </c>
      <c r="KW58" s="653"/>
      <c r="KX58" s="653"/>
      <c r="KY58" s="653"/>
      <c r="KZ58" s="653"/>
      <c r="LA58" s="653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653" t="s">
        <v>38</v>
      </c>
      <c r="LJ58" s="653"/>
      <c r="LK58" s="653"/>
      <c r="LL58" s="653"/>
      <c r="LM58" s="653"/>
      <c r="LN58" s="653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653" t="s">
        <v>38</v>
      </c>
      <c r="MI58" s="653"/>
      <c r="MJ58" s="653"/>
      <c r="MK58" s="653"/>
      <c r="ML58" s="653"/>
      <c r="MM58" s="653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653" t="s">
        <v>38</v>
      </c>
      <c r="NH58" s="653"/>
      <c r="NI58" s="653"/>
      <c r="NJ58" s="653"/>
      <c r="NK58" s="653"/>
      <c r="NL58" s="653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47"/>
      <c r="B59" s="12"/>
      <c r="C59" s="665" t="s">
        <v>39</v>
      </c>
      <c r="D59" s="665"/>
      <c r="E59" s="665"/>
      <c r="F59" s="665"/>
      <c r="G59" s="665"/>
      <c r="H59" s="665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665" t="s">
        <v>39</v>
      </c>
      <c r="Q59" s="665"/>
      <c r="R59" s="665"/>
      <c r="S59" s="665"/>
      <c r="T59" s="665"/>
      <c r="U59" s="665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665" t="s">
        <v>39</v>
      </c>
      <c r="AI59" s="665"/>
      <c r="AJ59" s="665"/>
      <c r="AK59" s="665"/>
      <c r="AL59" s="665"/>
      <c r="AM59" s="665"/>
      <c r="AN59" s="13"/>
      <c r="AO59" s="19"/>
      <c r="AP59" s="23">
        <f t="shared" si="12"/>
        <v>0</v>
      </c>
      <c r="AQ59" s="19">
        <f t="shared" si="13"/>
        <v>0</v>
      </c>
      <c r="AS59" s="665" t="s">
        <v>39</v>
      </c>
      <c r="AT59" s="665"/>
      <c r="AU59" s="665"/>
      <c r="AV59" s="665"/>
      <c r="AW59" s="665"/>
      <c r="AX59" s="665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665" t="s">
        <v>39</v>
      </c>
      <c r="BH59" s="665"/>
      <c r="BI59" s="665"/>
      <c r="BJ59" s="665"/>
      <c r="BK59" s="665"/>
      <c r="BL59" s="665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665" t="s">
        <v>39</v>
      </c>
      <c r="BT59" s="665"/>
      <c r="BU59" s="665"/>
      <c r="BV59" s="665"/>
      <c r="BW59" s="665"/>
      <c r="BX59" s="665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665" t="s">
        <v>39</v>
      </c>
      <c r="CM59" s="665"/>
      <c r="CN59" s="665"/>
      <c r="CO59" s="665"/>
      <c r="CP59" s="665"/>
      <c r="CQ59" s="665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665" t="s">
        <v>39</v>
      </c>
      <c r="DE59" s="665"/>
      <c r="DF59" s="665"/>
      <c r="DG59" s="665"/>
      <c r="DH59" s="665"/>
      <c r="DI59" s="665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665" t="s">
        <v>39</v>
      </c>
      <c r="DY59" s="665"/>
      <c r="DZ59" s="665"/>
      <c r="EA59" s="665"/>
      <c r="EB59" s="665"/>
      <c r="EC59" s="665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665" t="s">
        <v>39</v>
      </c>
      <c r="ES59" s="665"/>
      <c r="ET59" s="665"/>
      <c r="EU59" s="665"/>
      <c r="EV59" s="665"/>
      <c r="EW59" s="665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665" t="s">
        <v>39</v>
      </c>
      <c r="FX59" s="665"/>
      <c r="FY59" s="665"/>
      <c r="FZ59" s="665"/>
      <c r="GA59" s="665"/>
      <c r="GB59" s="665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665" t="s">
        <v>39</v>
      </c>
      <c r="GU59" s="665"/>
      <c r="GV59" s="665"/>
      <c r="GW59" s="665"/>
      <c r="GX59" s="665"/>
      <c r="GY59" s="665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665" t="s">
        <v>39</v>
      </c>
      <c r="HP59" s="665"/>
      <c r="HQ59" s="665"/>
      <c r="HR59" s="665"/>
      <c r="HS59" s="665"/>
      <c r="HT59" s="665"/>
      <c r="HU59" s="13"/>
      <c r="HV59" s="19"/>
      <c r="HW59" s="30">
        <f t="shared" si="44"/>
        <v>0</v>
      </c>
      <c r="HX59" s="28">
        <f t="shared" si="45"/>
        <v>0</v>
      </c>
      <c r="HZ59" s="665" t="s">
        <v>39</v>
      </c>
      <c r="IA59" s="665"/>
      <c r="IB59" s="665"/>
      <c r="IC59" s="665"/>
      <c r="ID59" s="665"/>
      <c r="IE59" s="665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665" t="s">
        <v>39</v>
      </c>
      <c r="IQ59" s="665"/>
      <c r="IR59" s="665"/>
      <c r="IS59" s="665"/>
      <c r="IT59" s="665"/>
      <c r="IU59" s="665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665" t="s">
        <v>39</v>
      </c>
      <c r="JC59" s="665"/>
      <c r="JD59" s="665"/>
      <c r="JE59" s="665"/>
      <c r="JF59" s="665"/>
      <c r="JG59" s="665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665" t="s">
        <v>39</v>
      </c>
      <c r="KI59" s="665"/>
      <c r="KJ59" s="665"/>
      <c r="KK59" s="665"/>
      <c r="KL59" s="665"/>
      <c r="KM59" s="665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665" t="s">
        <v>39</v>
      </c>
      <c r="KW59" s="665"/>
      <c r="KX59" s="665"/>
      <c r="KY59" s="665"/>
      <c r="KZ59" s="665"/>
      <c r="LA59" s="665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665" t="s">
        <v>39</v>
      </c>
      <c r="LJ59" s="665"/>
      <c r="LK59" s="665"/>
      <c r="LL59" s="665"/>
      <c r="LM59" s="665"/>
      <c r="LN59" s="665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665" t="s">
        <v>39</v>
      </c>
      <c r="MI59" s="665"/>
      <c r="MJ59" s="665"/>
      <c r="MK59" s="665"/>
      <c r="ML59" s="665"/>
      <c r="MM59" s="665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665" t="s">
        <v>39</v>
      </c>
      <c r="NH59" s="665"/>
      <c r="NI59" s="665"/>
      <c r="NJ59" s="665"/>
      <c r="NK59" s="665"/>
      <c r="NL59" s="665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47"/>
      <c r="B60" s="12"/>
      <c r="C60" s="665" t="s">
        <v>48</v>
      </c>
      <c r="D60" s="665"/>
      <c r="E60" s="665"/>
      <c r="F60" s="665"/>
      <c r="G60" s="665"/>
      <c r="H60" s="665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665" t="s">
        <v>48</v>
      </c>
      <c r="Q60" s="665"/>
      <c r="R60" s="665"/>
      <c r="S60" s="665"/>
      <c r="T60" s="665"/>
      <c r="U60" s="665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665" t="s">
        <v>48</v>
      </c>
      <c r="AI60" s="665"/>
      <c r="AJ60" s="665"/>
      <c r="AK60" s="665"/>
      <c r="AL60" s="665"/>
      <c r="AM60" s="665"/>
      <c r="AN60" s="13"/>
      <c r="AO60" s="19"/>
      <c r="AP60" s="23">
        <f t="shared" si="12"/>
        <v>0</v>
      </c>
      <c r="AQ60" s="19">
        <f t="shared" si="13"/>
        <v>0</v>
      </c>
      <c r="AS60" s="653" t="s">
        <v>48</v>
      </c>
      <c r="AT60" s="653"/>
      <c r="AU60" s="653"/>
      <c r="AV60" s="653"/>
      <c r="AW60" s="653"/>
      <c r="AX60" s="653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653" t="s">
        <v>48</v>
      </c>
      <c r="BH60" s="653"/>
      <c r="BI60" s="653"/>
      <c r="BJ60" s="653"/>
      <c r="BK60" s="653"/>
      <c r="BL60" s="653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653" t="s">
        <v>48</v>
      </c>
      <c r="BT60" s="653"/>
      <c r="BU60" s="653"/>
      <c r="BV60" s="653"/>
      <c r="BW60" s="653"/>
      <c r="BX60" s="653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653" t="s">
        <v>48</v>
      </c>
      <c r="CM60" s="653"/>
      <c r="CN60" s="653"/>
      <c r="CO60" s="653"/>
      <c r="CP60" s="653"/>
      <c r="CQ60" s="653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653" t="s">
        <v>48</v>
      </c>
      <c r="DE60" s="653"/>
      <c r="DF60" s="653"/>
      <c r="DG60" s="653"/>
      <c r="DH60" s="653"/>
      <c r="DI60" s="653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653" t="s">
        <v>48</v>
      </c>
      <c r="DY60" s="653"/>
      <c r="DZ60" s="653"/>
      <c r="EA60" s="653"/>
      <c r="EB60" s="653"/>
      <c r="EC60" s="653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653" t="s">
        <v>48</v>
      </c>
      <c r="ES60" s="653"/>
      <c r="ET60" s="653"/>
      <c r="EU60" s="653"/>
      <c r="EV60" s="653"/>
      <c r="EW60" s="653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653" t="s">
        <v>48</v>
      </c>
      <c r="FX60" s="653"/>
      <c r="FY60" s="653"/>
      <c r="FZ60" s="653"/>
      <c r="GA60" s="653"/>
      <c r="GB60" s="653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653" t="s">
        <v>48</v>
      </c>
      <c r="GU60" s="653"/>
      <c r="GV60" s="653"/>
      <c r="GW60" s="653"/>
      <c r="GX60" s="653"/>
      <c r="GY60" s="653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653" t="s">
        <v>48</v>
      </c>
      <c r="HP60" s="653"/>
      <c r="HQ60" s="653"/>
      <c r="HR60" s="653"/>
      <c r="HS60" s="653"/>
      <c r="HT60" s="653"/>
      <c r="HU60" s="28"/>
      <c r="HV60" s="28"/>
      <c r="HW60" s="30">
        <f t="shared" si="44"/>
        <v>0</v>
      </c>
      <c r="HX60" s="28">
        <f t="shared" si="45"/>
        <v>0</v>
      </c>
      <c r="HZ60" s="653" t="s">
        <v>48</v>
      </c>
      <c r="IA60" s="653"/>
      <c r="IB60" s="653"/>
      <c r="IC60" s="653"/>
      <c r="ID60" s="653"/>
      <c r="IE60" s="653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653" t="s">
        <v>48</v>
      </c>
      <c r="IQ60" s="653"/>
      <c r="IR60" s="653"/>
      <c r="IS60" s="653"/>
      <c r="IT60" s="653"/>
      <c r="IU60" s="653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653" t="s">
        <v>48</v>
      </c>
      <c r="JC60" s="653"/>
      <c r="JD60" s="653"/>
      <c r="JE60" s="653"/>
      <c r="JF60" s="653"/>
      <c r="JG60" s="653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653" t="s">
        <v>48</v>
      </c>
      <c r="KI60" s="653"/>
      <c r="KJ60" s="653"/>
      <c r="KK60" s="653"/>
      <c r="KL60" s="653"/>
      <c r="KM60" s="653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653" t="s">
        <v>48</v>
      </c>
      <c r="KW60" s="653"/>
      <c r="KX60" s="653"/>
      <c r="KY60" s="653"/>
      <c r="KZ60" s="653"/>
      <c r="LA60" s="653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653" t="s">
        <v>48</v>
      </c>
      <c r="LJ60" s="653"/>
      <c r="LK60" s="653"/>
      <c r="LL60" s="653"/>
      <c r="LM60" s="653"/>
      <c r="LN60" s="653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653" t="s">
        <v>48</v>
      </c>
      <c r="MI60" s="653"/>
      <c r="MJ60" s="653"/>
      <c r="MK60" s="653"/>
      <c r="ML60" s="653"/>
      <c r="MM60" s="653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653" t="s">
        <v>48</v>
      </c>
      <c r="NH60" s="653"/>
      <c r="NI60" s="653"/>
      <c r="NJ60" s="653"/>
      <c r="NK60" s="653"/>
      <c r="NL60" s="653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47"/>
      <c r="B61" s="12"/>
      <c r="C61" s="665" t="s">
        <v>40</v>
      </c>
      <c r="D61" s="665"/>
      <c r="E61" s="665"/>
      <c r="F61" s="665"/>
      <c r="G61" s="665"/>
      <c r="H61" s="665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665" t="s">
        <v>40</v>
      </c>
      <c r="Q61" s="665"/>
      <c r="R61" s="665"/>
      <c r="S61" s="665"/>
      <c r="T61" s="665"/>
      <c r="U61" s="665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665" t="s">
        <v>40</v>
      </c>
      <c r="AI61" s="665"/>
      <c r="AJ61" s="665"/>
      <c r="AK61" s="665"/>
      <c r="AL61" s="665"/>
      <c r="AM61" s="665"/>
      <c r="AN61" s="13"/>
      <c r="AO61" s="19"/>
      <c r="AP61" s="23">
        <f t="shared" si="12"/>
        <v>0</v>
      </c>
      <c r="AQ61" s="19">
        <f t="shared" si="13"/>
        <v>0</v>
      </c>
      <c r="AS61" s="665" t="s">
        <v>40</v>
      </c>
      <c r="AT61" s="665"/>
      <c r="AU61" s="665"/>
      <c r="AV61" s="665"/>
      <c r="AW61" s="665"/>
      <c r="AX61" s="665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665" t="s">
        <v>40</v>
      </c>
      <c r="BH61" s="665"/>
      <c r="BI61" s="665"/>
      <c r="BJ61" s="665"/>
      <c r="BK61" s="665"/>
      <c r="BL61" s="665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665" t="s">
        <v>40</v>
      </c>
      <c r="BT61" s="665"/>
      <c r="BU61" s="665"/>
      <c r="BV61" s="665"/>
      <c r="BW61" s="665"/>
      <c r="BX61" s="665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665" t="s">
        <v>40</v>
      </c>
      <c r="CM61" s="665"/>
      <c r="CN61" s="665"/>
      <c r="CO61" s="665"/>
      <c r="CP61" s="665"/>
      <c r="CQ61" s="665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665" t="s">
        <v>40</v>
      </c>
      <c r="DE61" s="665"/>
      <c r="DF61" s="665"/>
      <c r="DG61" s="665"/>
      <c r="DH61" s="665"/>
      <c r="DI61" s="665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665" t="s">
        <v>40</v>
      </c>
      <c r="DY61" s="665"/>
      <c r="DZ61" s="665"/>
      <c r="EA61" s="665"/>
      <c r="EB61" s="665"/>
      <c r="EC61" s="665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665" t="s">
        <v>40</v>
      </c>
      <c r="ES61" s="665"/>
      <c r="ET61" s="665"/>
      <c r="EU61" s="665"/>
      <c r="EV61" s="665"/>
      <c r="EW61" s="665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665" t="s">
        <v>40</v>
      </c>
      <c r="FX61" s="665"/>
      <c r="FY61" s="665"/>
      <c r="FZ61" s="665"/>
      <c r="GA61" s="665"/>
      <c r="GB61" s="665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665" t="s">
        <v>40</v>
      </c>
      <c r="GU61" s="665"/>
      <c r="GV61" s="665"/>
      <c r="GW61" s="665"/>
      <c r="GX61" s="665"/>
      <c r="GY61" s="665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665" t="s">
        <v>40</v>
      </c>
      <c r="HP61" s="665"/>
      <c r="HQ61" s="665"/>
      <c r="HR61" s="665"/>
      <c r="HS61" s="665"/>
      <c r="HT61" s="665"/>
      <c r="HU61" s="13"/>
      <c r="HV61" s="19"/>
      <c r="HW61" s="30">
        <f t="shared" si="44"/>
        <v>0</v>
      </c>
      <c r="HX61" s="28">
        <f t="shared" si="45"/>
        <v>0</v>
      </c>
      <c r="HZ61" s="665" t="s">
        <v>40</v>
      </c>
      <c r="IA61" s="665"/>
      <c r="IB61" s="665"/>
      <c r="IC61" s="665"/>
      <c r="ID61" s="665"/>
      <c r="IE61" s="665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665" t="s">
        <v>40</v>
      </c>
      <c r="IQ61" s="665"/>
      <c r="IR61" s="665"/>
      <c r="IS61" s="665"/>
      <c r="IT61" s="665"/>
      <c r="IU61" s="665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665" t="s">
        <v>40</v>
      </c>
      <c r="JC61" s="665"/>
      <c r="JD61" s="665"/>
      <c r="JE61" s="665"/>
      <c r="JF61" s="665"/>
      <c r="JG61" s="665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665" t="s">
        <v>40</v>
      </c>
      <c r="KI61" s="665"/>
      <c r="KJ61" s="665"/>
      <c r="KK61" s="665"/>
      <c r="KL61" s="665"/>
      <c r="KM61" s="665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665" t="s">
        <v>40</v>
      </c>
      <c r="KW61" s="665"/>
      <c r="KX61" s="665"/>
      <c r="KY61" s="665"/>
      <c r="KZ61" s="665"/>
      <c r="LA61" s="665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665" t="s">
        <v>40</v>
      </c>
      <c r="LJ61" s="665"/>
      <c r="LK61" s="665"/>
      <c r="LL61" s="665"/>
      <c r="LM61" s="665"/>
      <c r="LN61" s="665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665" t="s">
        <v>40</v>
      </c>
      <c r="MI61" s="665"/>
      <c r="MJ61" s="665"/>
      <c r="MK61" s="665"/>
      <c r="ML61" s="665"/>
      <c r="MM61" s="665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665" t="s">
        <v>40</v>
      </c>
      <c r="NH61" s="665"/>
      <c r="NI61" s="665"/>
      <c r="NJ61" s="665"/>
      <c r="NK61" s="665"/>
      <c r="NL61" s="665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47"/>
      <c r="B62" s="12"/>
      <c r="C62" s="665" t="s">
        <v>41</v>
      </c>
      <c r="D62" s="665"/>
      <c r="E62" s="665"/>
      <c r="F62" s="665"/>
      <c r="G62" s="665"/>
      <c r="H62" s="665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665" t="s">
        <v>41</v>
      </c>
      <c r="Q62" s="665"/>
      <c r="R62" s="665"/>
      <c r="S62" s="665"/>
      <c r="T62" s="665"/>
      <c r="U62" s="665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665" t="s">
        <v>41</v>
      </c>
      <c r="AI62" s="665"/>
      <c r="AJ62" s="665"/>
      <c r="AK62" s="665"/>
      <c r="AL62" s="665"/>
      <c r="AM62" s="665"/>
      <c r="AN62" s="13"/>
      <c r="AO62" s="19"/>
      <c r="AP62" s="23">
        <f t="shared" si="12"/>
        <v>0</v>
      </c>
      <c r="AQ62" s="19">
        <f t="shared" si="13"/>
        <v>0</v>
      </c>
      <c r="AS62" s="653" t="s">
        <v>41</v>
      </c>
      <c r="AT62" s="653"/>
      <c r="AU62" s="653"/>
      <c r="AV62" s="653"/>
      <c r="AW62" s="653"/>
      <c r="AX62" s="653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653" t="s">
        <v>41</v>
      </c>
      <c r="BH62" s="653"/>
      <c r="BI62" s="653"/>
      <c r="BJ62" s="653"/>
      <c r="BK62" s="653"/>
      <c r="BL62" s="653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653" t="s">
        <v>41</v>
      </c>
      <c r="BT62" s="653"/>
      <c r="BU62" s="653"/>
      <c r="BV62" s="653"/>
      <c r="BW62" s="653"/>
      <c r="BX62" s="653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653" t="s">
        <v>41</v>
      </c>
      <c r="CM62" s="653"/>
      <c r="CN62" s="653"/>
      <c r="CO62" s="653"/>
      <c r="CP62" s="653"/>
      <c r="CQ62" s="653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653" t="s">
        <v>41</v>
      </c>
      <c r="DE62" s="653"/>
      <c r="DF62" s="653"/>
      <c r="DG62" s="653"/>
      <c r="DH62" s="653"/>
      <c r="DI62" s="653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653" t="s">
        <v>41</v>
      </c>
      <c r="DY62" s="653"/>
      <c r="DZ62" s="653"/>
      <c r="EA62" s="653"/>
      <c r="EB62" s="653"/>
      <c r="EC62" s="653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653" t="s">
        <v>41</v>
      </c>
      <c r="ES62" s="653"/>
      <c r="ET62" s="653"/>
      <c r="EU62" s="653"/>
      <c r="EV62" s="653"/>
      <c r="EW62" s="653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653" t="s">
        <v>41</v>
      </c>
      <c r="FX62" s="653"/>
      <c r="FY62" s="653"/>
      <c r="FZ62" s="653"/>
      <c r="GA62" s="653"/>
      <c r="GB62" s="653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653" t="s">
        <v>41</v>
      </c>
      <c r="GU62" s="653"/>
      <c r="GV62" s="653"/>
      <c r="GW62" s="653"/>
      <c r="GX62" s="653"/>
      <c r="GY62" s="653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653" t="s">
        <v>41</v>
      </c>
      <c r="HP62" s="653"/>
      <c r="HQ62" s="653"/>
      <c r="HR62" s="653"/>
      <c r="HS62" s="653"/>
      <c r="HT62" s="653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653" t="s">
        <v>41</v>
      </c>
      <c r="IA62" s="653"/>
      <c r="IB62" s="653"/>
      <c r="IC62" s="653"/>
      <c r="ID62" s="653"/>
      <c r="IE62" s="653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653" t="s">
        <v>41</v>
      </c>
      <c r="IQ62" s="653"/>
      <c r="IR62" s="653"/>
      <c r="IS62" s="653"/>
      <c r="IT62" s="653"/>
      <c r="IU62" s="653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653" t="s">
        <v>41</v>
      </c>
      <c r="JC62" s="653"/>
      <c r="JD62" s="653"/>
      <c r="JE62" s="653"/>
      <c r="JF62" s="653"/>
      <c r="JG62" s="653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653" t="s">
        <v>41</v>
      </c>
      <c r="KI62" s="653"/>
      <c r="KJ62" s="653"/>
      <c r="KK62" s="653"/>
      <c r="KL62" s="653"/>
      <c r="KM62" s="653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653" t="s">
        <v>41</v>
      </c>
      <c r="KW62" s="653"/>
      <c r="KX62" s="653"/>
      <c r="KY62" s="653"/>
      <c r="KZ62" s="653"/>
      <c r="LA62" s="653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653" t="s">
        <v>41</v>
      </c>
      <c r="LJ62" s="653"/>
      <c r="LK62" s="653"/>
      <c r="LL62" s="653"/>
      <c r="LM62" s="653"/>
      <c r="LN62" s="653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653" t="s">
        <v>41</v>
      </c>
      <c r="MI62" s="653"/>
      <c r="MJ62" s="653"/>
      <c r="MK62" s="653"/>
      <c r="ML62" s="653"/>
      <c r="MM62" s="653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653" t="s">
        <v>41</v>
      </c>
      <c r="NH62" s="653"/>
      <c r="NI62" s="653"/>
      <c r="NJ62" s="653"/>
      <c r="NK62" s="653"/>
      <c r="NL62" s="653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47"/>
      <c r="B63" s="12"/>
      <c r="C63" s="665" t="s">
        <v>42</v>
      </c>
      <c r="D63" s="665"/>
      <c r="E63" s="665"/>
      <c r="F63" s="665"/>
      <c r="G63" s="665"/>
      <c r="H63" s="665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665" t="s">
        <v>42</v>
      </c>
      <c r="Q63" s="665"/>
      <c r="R63" s="665"/>
      <c r="S63" s="665"/>
      <c r="T63" s="665"/>
      <c r="U63" s="665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665" t="s">
        <v>42</v>
      </c>
      <c r="AI63" s="665"/>
      <c r="AJ63" s="665"/>
      <c r="AK63" s="665"/>
      <c r="AL63" s="665"/>
      <c r="AM63" s="665"/>
      <c r="AN63" s="13"/>
      <c r="AO63" s="19"/>
      <c r="AP63" s="23">
        <f t="shared" si="12"/>
        <v>0</v>
      </c>
      <c r="AQ63" s="19">
        <f t="shared" si="13"/>
        <v>0</v>
      </c>
      <c r="AS63" s="665" t="s">
        <v>42</v>
      </c>
      <c r="AT63" s="665"/>
      <c r="AU63" s="665"/>
      <c r="AV63" s="665"/>
      <c r="AW63" s="665"/>
      <c r="AX63" s="665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665" t="s">
        <v>42</v>
      </c>
      <c r="BH63" s="665"/>
      <c r="BI63" s="665"/>
      <c r="BJ63" s="665"/>
      <c r="BK63" s="665"/>
      <c r="BL63" s="665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665" t="s">
        <v>42</v>
      </c>
      <c r="BT63" s="665"/>
      <c r="BU63" s="665"/>
      <c r="BV63" s="665"/>
      <c r="BW63" s="665"/>
      <c r="BX63" s="665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665" t="s">
        <v>42</v>
      </c>
      <c r="CM63" s="665"/>
      <c r="CN63" s="665"/>
      <c r="CO63" s="665"/>
      <c r="CP63" s="665"/>
      <c r="CQ63" s="665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665" t="s">
        <v>42</v>
      </c>
      <c r="DE63" s="665"/>
      <c r="DF63" s="665"/>
      <c r="DG63" s="665"/>
      <c r="DH63" s="665"/>
      <c r="DI63" s="665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665" t="s">
        <v>42</v>
      </c>
      <c r="DY63" s="665"/>
      <c r="DZ63" s="665"/>
      <c r="EA63" s="665"/>
      <c r="EB63" s="665"/>
      <c r="EC63" s="665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665" t="s">
        <v>42</v>
      </c>
      <c r="ES63" s="665"/>
      <c r="ET63" s="665"/>
      <c r="EU63" s="665"/>
      <c r="EV63" s="665"/>
      <c r="EW63" s="665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665" t="s">
        <v>42</v>
      </c>
      <c r="FX63" s="665"/>
      <c r="FY63" s="665"/>
      <c r="FZ63" s="665"/>
      <c r="GA63" s="665"/>
      <c r="GB63" s="665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665" t="s">
        <v>42</v>
      </c>
      <c r="GU63" s="665"/>
      <c r="GV63" s="665"/>
      <c r="GW63" s="665"/>
      <c r="GX63" s="665"/>
      <c r="GY63" s="665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665" t="s">
        <v>42</v>
      </c>
      <c r="HP63" s="665"/>
      <c r="HQ63" s="665"/>
      <c r="HR63" s="665"/>
      <c r="HS63" s="665"/>
      <c r="HT63" s="665"/>
      <c r="HU63" s="13">
        <v>6</v>
      </c>
      <c r="HV63" s="19"/>
      <c r="HW63" s="30">
        <f t="shared" si="44"/>
        <v>0</v>
      </c>
      <c r="HX63" s="28">
        <f t="shared" si="45"/>
        <v>0</v>
      </c>
      <c r="HZ63" s="665" t="s">
        <v>42</v>
      </c>
      <c r="IA63" s="665"/>
      <c r="IB63" s="665"/>
      <c r="IC63" s="665"/>
      <c r="ID63" s="665"/>
      <c r="IE63" s="665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665" t="s">
        <v>42</v>
      </c>
      <c r="IQ63" s="665"/>
      <c r="IR63" s="665"/>
      <c r="IS63" s="665"/>
      <c r="IT63" s="665"/>
      <c r="IU63" s="665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665" t="s">
        <v>42</v>
      </c>
      <c r="JC63" s="665"/>
      <c r="JD63" s="665"/>
      <c r="JE63" s="665"/>
      <c r="JF63" s="665"/>
      <c r="JG63" s="665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665" t="s">
        <v>42</v>
      </c>
      <c r="KI63" s="665"/>
      <c r="KJ63" s="665"/>
      <c r="KK63" s="665"/>
      <c r="KL63" s="665"/>
      <c r="KM63" s="665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665" t="s">
        <v>42</v>
      </c>
      <c r="KW63" s="665"/>
      <c r="KX63" s="665"/>
      <c r="KY63" s="665"/>
      <c r="KZ63" s="665"/>
      <c r="LA63" s="665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665" t="s">
        <v>42</v>
      </c>
      <c r="LJ63" s="665"/>
      <c r="LK63" s="665"/>
      <c r="LL63" s="665"/>
      <c r="LM63" s="665"/>
      <c r="LN63" s="665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665" t="s">
        <v>42</v>
      </c>
      <c r="MI63" s="665"/>
      <c r="MJ63" s="665"/>
      <c r="MK63" s="665"/>
      <c r="ML63" s="665"/>
      <c r="MM63" s="665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665" t="s">
        <v>42</v>
      </c>
      <c r="NH63" s="665"/>
      <c r="NI63" s="665"/>
      <c r="NJ63" s="665"/>
      <c r="NK63" s="665"/>
      <c r="NL63" s="665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47"/>
      <c r="B64" s="12"/>
      <c r="C64" s="665" t="s">
        <v>45</v>
      </c>
      <c r="D64" s="665"/>
      <c r="E64" s="665"/>
      <c r="F64" s="665"/>
      <c r="G64" s="665"/>
      <c r="H64" s="665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665" t="s">
        <v>45</v>
      </c>
      <c r="Q64" s="665"/>
      <c r="R64" s="665"/>
      <c r="S64" s="665"/>
      <c r="T64" s="665"/>
      <c r="U64" s="665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665" t="s">
        <v>45</v>
      </c>
      <c r="AI64" s="665"/>
      <c r="AJ64" s="665"/>
      <c r="AK64" s="665"/>
      <c r="AL64" s="665"/>
      <c r="AM64" s="665"/>
      <c r="AN64" s="13"/>
      <c r="AO64" s="19"/>
      <c r="AP64" s="23">
        <f t="shared" si="12"/>
        <v>0</v>
      </c>
      <c r="AQ64" s="19">
        <f t="shared" si="13"/>
        <v>0</v>
      </c>
      <c r="AS64" s="653" t="s">
        <v>45</v>
      </c>
      <c r="AT64" s="653"/>
      <c r="AU64" s="653"/>
      <c r="AV64" s="653"/>
      <c r="AW64" s="653"/>
      <c r="AX64" s="653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653" t="s">
        <v>45</v>
      </c>
      <c r="BH64" s="653"/>
      <c r="BI64" s="653"/>
      <c r="BJ64" s="653"/>
      <c r="BK64" s="653"/>
      <c r="BL64" s="653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653" t="s">
        <v>45</v>
      </c>
      <c r="BT64" s="653"/>
      <c r="BU64" s="653"/>
      <c r="BV64" s="653"/>
      <c r="BW64" s="653"/>
      <c r="BX64" s="653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653" t="s">
        <v>45</v>
      </c>
      <c r="CM64" s="653"/>
      <c r="CN64" s="653"/>
      <c r="CO64" s="653"/>
      <c r="CP64" s="653"/>
      <c r="CQ64" s="653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653" t="s">
        <v>45</v>
      </c>
      <c r="DE64" s="653"/>
      <c r="DF64" s="653"/>
      <c r="DG64" s="653"/>
      <c r="DH64" s="653"/>
      <c r="DI64" s="653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653" t="s">
        <v>45</v>
      </c>
      <c r="DY64" s="653"/>
      <c r="DZ64" s="653"/>
      <c r="EA64" s="653"/>
      <c r="EB64" s="653"/>
      <c r="EC64" s="653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653" t="s">
        <v>45</v>
      </c>
      <c r="ES64" s="653"/>
      <c r="ET64" s="653"/>
      <c r="EU64" s="653"/>
      <c r="EV64" s="653"/>
      <c r="EW64" s="653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653" t="s">
        <v>45</v>
      </c>
      <c r="FX64" s="653"/>
      <c r="FY64" s="653"/>
      <c r="FZ64" s="653"/>
      <c r="GA64" s="653"/>
      <c r="GB64" s="653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653" t="s">
        <v>45</v>
      </c>
      <c r="GU64" s="653"/>
      <c r="GV64" s="653"/>
      <c r="GW64" s="653"/>
      <c r="GX64" s="653"/>
      <c r="GY64" s="653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653" t="s">
        <v>45</v>
      </c>
      <c r="HP64" s="653"/>
      <c r="HQ64" s="653"/>
      <c r="HR64" s="653"/>
      <c r="HS64" s="653"/>
      <c r="HT64" s="653"/>
      <c r="HU64" s="28"/>
      <c r="HV64" s="28"/>
      <c r="HW64" s="30">
        <f t="shared" si="44"/>
        <v>0</v>
      </c>
      <c r="HX64" s="28">
        <f t="shared" si="45"/>
        <v>0</v>
      </c>
      <c r="HZ64" s="653" t="s">
        <v>45</v>
      </c>
      <c r="IA64" s="653"/>
      <c r="IB64" s="653"/>
      <c r="IC64" s="653"/>
      <c r="ID64" s="653"/>
      <c r="IE64" s="653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653" t="s">
        <v>45</v>
      </c>
      <c r="IQ64" s="653"/>
      <c r="IR64" s="653"/>
      <c r="IS64" s="653"/>
      <c r="IT64" s="653"/>
      <c r="IU64" s="653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653" t="s">
        <v>45</v>
      </c>
      <c r="JC64" s="653"/>
      <c r="JD64" s="653"/>
      <c r="JE64" s="653"/>
      <c r="JF64" s="653"/>
      <c r="JG64" s="653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653" t="s">
        <v>45</v>
      </c>
      <c r="KI64" s="653"/>
      <c r="KJ64" s="653"/>
      <c r="KK64" s="653"/>
      <c r="KL64" s="653"/>
      <c r="KM64" s="653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653" t="s">
        <v>45</v>
      </c>
      <c r="KW64" s="653"/>
      <c r="KX64" s="653"/>
      <c r="KY64" s="653"/>
      <c r="KZ64" s="653"/>
      <c r="LA64" s="653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653" t="s">
        <v>45</v>
      </c>
      <c r="LJ64" s="653"/>
      <c r="LK64" s="653"/>
      <c r="LL64" s="653"/>
      <c r="LM64" s="653"/>
      <c r="LN64" s="653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653" t="s">
        <v>45</v>
      </c>
      <c r="MI64" s="653"/>
      <c r="MJ64" s="653"/>
      <c r="MK64" s="653"/>
      <c r="ML64" s="653"/>
      <c r="MM64" s="653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653" t="s">
        <v>45</v>
      </c>
      <c r="NH64" s="653"/>
      <c r="NI64" s="653"/>
      <c r="NJ64" s="653"/>
      <c r="NK64" s="653"/>
      <c r="NL64" s="653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47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653" t="s">
        <v>115</v>
      </c>
      <c r="ES65" s="653"/>
      <c r="ET65" s="653"/>
      <c r="EU65" s="653"/>
      <c r="EV65" s="653"/>
      <c r="EW65" s="653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653" t="s">
        <v>115</v>
      </c>
      <c r="FX65" s="653"/>
      <c r="FY65" s="653"/>
      <c r="FZ65" s="653"/>
      <c r="GA65" s="653"/>
      <c r="GB65" s="653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653" t="s">
        <v>115</v>
      </c>
      <c r="GU65" s="653"/>
      <c r="GV65" s="653"/>
      <c r="GW65" s="653"/>
      <c r="GX65" s="653"/>
      <c r="GY65" s="653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653" t="s">
        <v>115</v>
      </c>
      <c r="HP65" s="653"/>
      <c r="HQ65" s="653"/>
      <c r="HR65" s="653"/>
      <c r="HS65" s="653"/>
      <c r="HT65" s="653"/>
      <c r="HU65" s="28"/>
      <c r="HV65" s="28"/>
      <c r="HW65" s="30">
        <f t="shared" si="44"/>
        <v>0</v>
      </c>
      <c r="HX65" s="28">
        <f t="shared" si="45"/>
        <v>0</v>
      </c>
      <c r="HZ65" s="653" t="s">
        <v>115</v>
      </c>
      <c r="IA65" s="653"/>
      <c r="IB65" s="653"/>
      <c r="IC65" s="653"/>
      <c r="ID65" s="653"/>
      <c r="IE65" s="653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653" t="s">
        <v>115</v>
      </c>
      <c r="IQ65" s="653"/>
      <c r="IR65" s="653"/>
      <c r="IS65" s="653"/>
      <c r="IT65" s="653"/>
      <c r="IU65" s="653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653" t="s">
        <v>115</v>
      </c>
      <c r="JC65" s="653"/>
      <c r="JD65" s="653"/>
      <c r="JE65" s="653"/>
      <c r="JF65" s="653"/>
      <c r="JG65" s="653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653" t="s">
        <v>115</v>
      </c>
      <c r="KI65" s="653"/>
      <c r="KJ65" s="653"/>
      <c r="KK65" s="653"/>
      <c r="KL65" s="653"/>
      <c r="KM65" s="653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653" t="s">
        <v>115</v>
      </c>
      <c r="KW65" s="653"/>
      <c r="KX65" s="653"/>
      <c r="KY65" s="653"/>
      <c r="KZ65" s="653"/>
      <c r="LA65" s="653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653" t="s">
        <v>115</v>
      </c>
      <c r="LJ65" s="653"/>
      <c r="LK65" s="653"/>
      <c r="LL65" s="653"/>
      <c r="LM65" s="653"/>
      <c r="LN65" s="653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653" t="s">
        <v>115</v>
      </c>
      <c r="MI65" s="653"/>
      <c r="MJ65" s="653"/>
      <c r="MK65" s="653"/>
      <c r="ML65" s="653"/>
      <c r="MM65" s="653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653" t="s">
        <v>115</v>
      </c>
      <c r="NH65" s="653"/>
      <c r="NI65" s="653"/>
      <c r="NJ65" s="653"/>
      <c r="NK65" s="653"/>
      <c r="NL65" s="653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47"/>
      <c r="B66" s="12"/>
      <c r="C66" s="665" t="s">
        <v>43</v>
      </c>
      <c r="D66" s="665"/>
      <c r="E66" s="665"/>
      <c r="F66" s="665"/>
      <c r="G66" s="665"/>
      <c r="H66" s="665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665" t="s">
        <v>43</v>
      </c>
      <c r="Q66" s="665"/>
      <c r="R66" s="665"/>
      <c r="S66" s="665"/>
      <c r="T66" s="665"/>
      <c r="U66" s="665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665" t="s">
        <v>43</v>
      </c>
      <c r="AI66" s="665"/>
      <c r="AJ66" s="665"/>
      <c r="AK66" s="665"/>
      <c r="AL66" s="665"/>
      <c r="AM66" s="665"/>
      <c r="AN66" s="13"/>
      <c r="AO66" s="19"/>
      <c r="AP66" s="23">
        <f t="shared" si="12"/>
        <v>0</v>
      </c>
      <c r="AQ66" s="19">
        <f t="shared" si="13"/>
        <v>0</v>
      </c>
      <c r="AS66" s="665" t="s">
        <v>43</v>
      </c>
      <c r="AT66" s="665"/>
      <c r="AU66" s="665"/>
      <c r="AV66" s="665"/>
      <c r="AW66" s="665"/>
      <c r="AX66" s="665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665" t="s">
        <v>43</v>
      </c>
      <c r="BH66" s="665"/>
      <c r="BI66" s="665"/>
      <c r="BJ66" s="665"/>
      <c r="BK66" s="665"/>
      <c r="BL66" s="665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665" t="s">
        <v>43</v>
      </c>
      <c r="BT66" s="665"/>
      <c r="BU66" s="665"/>
      <c r="BV66" s="665"/>
      <c r="BW66" s="665"/>
      <c r="BX66" s="665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665" t="s">
        <v>43</v>
      </c>
      <c r="CM66" s="665"/>
      <c r="CN66" s="665"/>
      <c r="CO66" s="665"/>
      <c r="CP66" s="665"/>
      <c r="CQ66" s="665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665" t="s">
        <v>43</v>
      </c>
      <c r="DE66" s="665"/>
      <c r="DF66" s="665"/>
      <c r="DG66" s="665"/>
      <c r="DH66" s="665"/>
      <c r="DI66" s="665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665" t="s">
        <v>43</v>
      </c>
      <c r="DY66" s="665"/>
      <c r="DZ66" s="665"/>
      <c r="EA66" s="665"/>
      <c r="EB66" s="665"/>
      <c r="EC66" s="665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665" t="s">
        <v>43</v>
      </c>
      <c r="ES66" s="665"/>
      <c r="ET66" s="665"/>
      <c r="EU66" s="665"/>
      <c r="EV66" s="665"/>
      <c r="EW66" s="665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665" t="s">
        <v>43</v>
      </c>
      <c r="FX66" s="665"/>
      <c r="FY66" s="665"/>
      <c r="FZ66" s="665"/>
      <c r="GA66" s="665"/>
      <c r="GB66" s="665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665" t="s">
        <v>43</v>
      </c>
      <c r="GU66" s="665"/>
      <c r="GV66" s="665"/>
      <c r="GW66" s="665"/>
      <c r="GX66" s="665"/>
      <c r="GY66" s="665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665" t="s">
        <v>43</v>
      </c>
      <c r="HP66" s="665"/>
      <c r="HQ66" s="665"/>
      <c r="HR66" s="665"/>
      <c r="HS66" s="665"/>
      <c r="HT66" s="665"/>
      <c r="HU66" s="13">
        <v>6</v>
      </c>
      <c r="HV66" s="19"/>
      <c r="HW66" s="30">
        <f t="shared" si="44"/>
        <v>0</v>
      </c>
      <c r="HX66" s="28">
        <f t="shared" si="45"/>
        <v>0</v>
      </c>
      <c r="HZ66" s="665" t="s">
        <v>43</v>
      </c>
      <c r="IA66" s="665"/>
      <c r="IB66" s="665"/>
      <c r="IC66" s="665"/>
      <c r="ID66" s="665"/>
      <c r="IE66" s="665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665" t="s">
        <v>43</v>
      </c>
      <c r="IQ66" s="665"/>
      <c r="IR66" s="665"/>
      <c r="IS66" s="665"/>
      <c r="IT66" s="665"/>
      <c r="IU66" s="665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665" t="s">
        <v>43</v>
      </c>
      <c r="JC66" s="665"/>
      <c r="JD66" s="665"/>
      <c r="JE66" s="665"/>
      <c r="JF66" s="665"/>
      <c r="JG66" s="665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665" t="s">
        <v>43</v>
      </c>
      <c r="KI66" s="665"/>
      <c r="KJ66" s="665"/>
      <c r="KK66" s="665"/>
      <c r="KL66" s="665"/>
      <c r="KM66" s="665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665" t="s">
        <v>43</v>
      </c>
      <c r="KW66" s="665"/>
      <c r="KX66" s="665"/>
      <c r="KY66" s="665"/>
      <c r="KZ66" s="665"/>
      <c r="LA66" s="665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665" t="s">
        <v>43</v>
      </c>
      <c r="LJ66" s="665"/>
      <c r="LK66" s="665"/>
      <c r="LL66" s="665"/>
      <c r="LM66" s="665"/>
      <c r="LN66" s="665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665" t="s">
        <v>43</v>
      </c>
      <c r="MI66" s="665"/>
      <c r="MJ66" s="665"/>
      <c r="MK66" s="665"/>
      <c r="ML66" s="665"/>
      <c r="MM66" s="665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665" t="s">
        <v>43</v>
      </c>
      <c r="NH66" s="665"/>
      <c r="NI66" s="665"/>
      <c r="NJ66" s="665"/>
      <c r="NK66" s="665"/>
      <c r="NL66" s="665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47"/>
      <c r="B67" s="12"/>
      <c r="C67" s="665" t="s">
        <v>46</v>
      </c>
      <c r="D67" s="665"/>
      <c r="E67" s="665"/>
      <c r="F67" s="665"/>
      <c r="G67" s="665"/>
      <c r="H67" s="665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665" t="s">
        <v>46</v>
      </c>
      <c r="Q67" s="665"/>
      <c r="R67" s="665"/>
      <c r="S67" s="665"/>
      <c r="T67" s="665"/>
      <c r="U67" s="665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665" t="s">
        <v>46</v>
      </c>
      <c r="AI67" s="665"/>
      <c r="AJ67" s="665"/>
      <c r="AK67" s="665"/>
      <c r="AL67" s="665"/>
      <c r="AM67" s="665"/>
      <c r="AN67" s="13"/>
      <c r="AO67" s="19"/>
      <c r="AP67" s="23">
        <f t="shared" si="12"/>
        <v>0</v>
      </c>
      <c r="AQ67" s="19">
        <f t="shared" si="13"/>
        <v>0</v>
      </c>
      <c r="AS67" s="653" t="s">
        <v>46</v>
      </c>
      <c r="AT67" s="653"/>
      <c r="AU67" s="653"/>
      <c r="AV67" s="653"/>
      <c r="AW67" s="653"/>
      <c r="AX67" s="653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653" t="s">
        <v>46</v>
      </c>
      <c r="BH67" s="653"/>
      <c r="BI67" s="653"/>
      <c r="BJ67" s="653"/>
      <c r="BK67" s="653"/>
      <c r="BL67" s="653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653" t="s">
        <v>46</v>
      </c>
      <c r="BT67" s="653"/>
      <c r="BU67" s="653"/>
      <c r="BV67" s="653"/>
      <c r="BW67" s="653"/>
      <c r="BX67" s="653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653" t="s">
        <v>46</v>
      </c>
      <c r="CM67" s="653"/>
      <c r="CN67" s="653"/>
      <c r="CO67" s="653"/>
      <c r="CP67" s="653"/>
      <c r="CQ67" s="653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653" t="s">
        <v>46</v>
      </c>
      <c r="DE67" s="653"/>
      <c r="DF67" s="653"/>
      <c r="DG67" s="653"/>
      <c r="DH67" s="653"/>
      <c r="DI67" s="653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653" t="s">
        <v>46</v>
      </c>
      <c r="DY67" s="653"/>
      <c r="DZ67" s="653"/>
      <c r="EA67" s="653"/>
      <c r="EB67" s="653"/>
      <c r="EC67" s="653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653" t="s">
        <v>46</v>
      </c>
      <c r="ES67" s="653"/>
      <c r="ET67" s="653"/>
      <c r="EU67" s="653"/>
      <c r="EV67" s="653"/>
      <c r="EW67" s="653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653" t="s">
        <v>46</v>
      </c>
      <c r="FX67" s="653"/>
      <c r="FY67" s="653"/>
      <c r="FZ67" s="653"/>
      <c r="GA67" s="653"/>
      <c r="GB67" s="653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653" t="s">
        <v>46</v>
      </c>
      <c r="GU67" s="653"/>
      <c r="GV67" s="653"/>
      <c r="GW67" s="653"/>
      <c r="GX67" s="653"/>
      <c r="GY67" s="653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653" t="s">
        <v>46</v>
      </c>
      <c r="HP67" s="653"/>
      <c r="HQ67" s="653"/>
      <c r="HR67" s="653"/>
      <c r="HS67" s="653"/>
      <c r="HT67" s="653"/>
      <c r="HU67" s="28"/>
      <c r="HV67" s="28"/>
      <c r="HW67" s="30">
        <f t="shared" si="44"/>
        <v>0</v>
      </c>
      <c r="HX67" s="28">
        <f t="shared" si="45"/>
        <v>0</v>
      </c>
      <c r="HZ67" s="653" t="s">
        <v>46</v>
      </c>
      <c r="IA67" s="653"/>
      <c r="IB67" s="653"/>
      <c r="IC67" s="653"/>
      <c r="ID67" s="653"/>
      <c r="IE67" s="653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653" t="s">
        <v>46</v>
      </c>
      <c r="IQ67" s="653"/>
      <c r="IR67" s="653"/>
      <c r="IS67" s="653"/>
      <c r="IT67" s="653"/>
      <c r="IU67" s="653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653" t="s">
        <v>46</v>
      </c>
      <c r="JC67" s="653"/>
      <c r="JD67" s="653"/>
      <c r="JE67" s="653"/>
      <c r="JF67" s="653"/>
      <c r="JG67" s="653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653" t="s">
        <v>46</v>
      </c>
      <c r="KI67" s="653"/>
      <c r="KJ67" s="653"/>
      <c r="KK67" s="653"/>
      <c r="KL67" s="653"/>
      <c r="KM67" s="653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653" t="s">
        <v>46</v>
      </c>
      <c r="KW67" s="653"/>
      <c r="KX67" s="653"/>
      <c r="KY67" s="653"/>
      <c r="KZ67" s="653"/>
      <c r="LA67" s="653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653" t="s">
        <v>46</v>
      </c>
      <c r="LJ67" s="653"/>
      <c r="LK67" s="653"/>
      <c r="LL67" s="653"/>
      <c r="LM67" s="653"/>
      <c r="LN67" s="653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653" t="s">
        <v>46</v>
      </c>
      <c r="MI67" s="653"/>
      <c r="MJ67" s="653"/>
      <c r="MK67" s="653"/>
      <c r="ML67" s="653"/>
      <c r="MM67" s="653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653" t="s">
        <v>46</v>
      </c>
      <c r="NH67" s="653"/>
      <c r="NI67" s="653"/>
      <c r="NJ67" s="653"/>
      <c r="NK67" s="653"/>
      <c r="NL67" s="653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47"/>
      <c r="B68" s="12"/>
      <c r="C68" s="665" t="s">
        <v>44</v>
      </c>
      <c r="D68" s="665"/>
      <c r="E68" s="665"/>
      <c r="F68" s="665"/>
      <c r="G68" s="665"/>
      <c r="H68" s="665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665" t="s">
        <v>44</v>
      </c>
      <c r="Q68" s="665"/>
      <c r="R68" s="665"/>
      <c r="S68" s="665"/>
      <c r="T68" s="665"/>
      <c r="U68" s="665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665" t="s">
        <v>44</v>
      </c>
      <c r="AI68" s="665"/>
      <c r="AJ68" s="665"/>
      <c r="AK68" s="665"/>
      <c r="AL68" s="665"/>
      <c r="AM68" s="665"/>
      <c r="AN68" s="13"/>
      <c r="AO68" s="19"/>
      <c r="AP68" s="23">
        <f t="shared" si="12"/>
        <v>0</v>
      </c>
      <c r="AQ68" s="19">
        <f t="shared" si="13"/>
        <v>0</v>
      </c>
      <c r="AS68" s="665" t="s">
        <v>44</v>
      </c>
      <c r="AT68" s="665"/>
      <c r="AU68" s="665"/>
      <c r="AV68" s="665"/>
      <c r="AW68" s="665"/>
      <c r="AX68" s="665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665" t="s">
        <v>44</v>
      </c>
      <c r="BH68" s="665"/>
      <c r="BI68" s="665"/>
      <c r="BJ68" s="665"/>
      <c r="BK68" s="665"/>
      <c r="BL68" s="665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665" t="s">
        <v>44</v>
      </c>
      <c r="BT68" s="665"/>
      <c r="BU68" s="665"/>
      <c r="BV68" s="665"/>
      <c r="BW68" s="665"/>
      <c r="BX68" s="665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665" t="s">
        <v>44</v>
      </c>
      <c r="CM68" s="665"/>
      <c r="CN68" s="665"/>
      <c r="CO68" s="665"/>
      <c r="CP68" s="665"/>
      <c r="CQ68" s="665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665" t="s">
        <v>44</v>
      </c>
      <c r="DE68" s="665"/>
      <c r="DF68" s="665"/>
      <c r="DG68" s="665"/>
      <c r="DH68" s="665"/>
      <c r="DI68" s="665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665" t="s">
        <v>44</v>
      </c>
      <c r="DY68" s="665"/>
      <c r="DZ68" s="665"/>
      <c r="EA68" s="665"/>
      <c r="EB68" s="665"/>
      <c r="EC68" s="665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665" t="s">
        <v>44</v>
      </c>
      <c r="ES68" s="665"/>
      <c r="ET68" s="665"/>
      <c r="EU68" s="665"/>
      <c r="EV68" s="665"/>
      <c r="EW68" s="665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665" t="s">
        <v>44</v>
      </c>
      <c r="FX68" s="665"/>
      <c r="FY68" s="665"/>
      <c r="FZ68" s="665"/>
      <c r="GA68" s="665"/>
      <c r="GB68" s="665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665" t="s">
        <v>44</v>
      </c>
      <c r="GU68" s="665"/>
      <c r="GV68" s="665"/>
      <c r="GW68" s="665"/>
      <c r="GX68" s="665"/>
      <c r="GY68" s="665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665" t="s">
        <v>44</v>
      </c>
      <c r="HP68" s="665"/>
      <c r="HQ68" s="665"/>
      <c r="HR68" s="665"/>
      <c r="HS68" s="665"/>
      <c r="HT68" s="665"/>
      <c r="HU68" s="13">
        <v>6</v>
      </c>
      <c r="HV68" s="19"/>
      <c r="HW68" s="30">
        <f t="shared" si="44"/>
        <v>0</v>
      </c>
      <c r="HX68" s="28">
        <f t="shared" si="45"/>
        <v>0</v>
      </c>
      <c r="HZ68" s="665" t="s">
        <v>219</v>
      </c>
      <c r="IA68" s="665"/>
      <c r="IB68" s="665"/>
      <c r="IC68" s="665"/>
      <c r="ID68" s="665"/>
      <c r="IE68" s="665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665" t="s">
        <v>219</v>
      </c>
      <c r="IQ68" s="665"/>
      <c r="IR68" s="665"/>
      <c r="IS68" s="665"/>
      <c r="IT68" s="665"/>
      <c r="IU68" s="665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665" t="s">
        <v>219</v>
      </c>
      <c r="JC68" s="665"/>
      <c r="JD68" s="665"/>
      <c r="JE68" s="665"/>
      <c r="JF68" s="665"/>
      <c r="JG68" s="665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665" t="s">
        <v>219</v>
      </c>
      <c r="KI68" s="665"/>
      <c r="KJ68" s="665"/>
      <c r="KK68" s="665"/>
      <c r="KL68" s="665"/>
      <c r="KM68" s="665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665" t="s">
        <v>219</v>
      </c>
      <c r="KW68" s="665"/>
      <c r="KX68" s="665"/>
      <c r="KY68" s="665"/>
      <c r="KZ68" s="665"/>
      <c r="LA68" s="665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665" t="s">
        <v>219</v>
      </c>
      <c r="LJ68" s="665"/>
      <c r="LK68" s="665"/>
      <c r="LL68" s="665"/>
      <c r="LM68" s="665"/>
      <c r="LN68" s="665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665" t="s">
        <v>219</v>
      </c>
      <c r="MI68" s="665"/>
      <c r="MJ68" s="665"/>
      <c r="MK68" s="665"/>
      <c r="ML68" s="665"/>
      <c r="MM68" s="665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665" t="s">
        <v>219</v>
      </c>
      <c r="NH68" s="665"/>
      <c r="NI68" s="665"/>
      <c r="NJ68" s="665"/>
      <c r="NK68" s="665"/>
      <c r="NL68" s="665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47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665" t="s">
        <v>114</v>
      </c>
      <c r="ES69" s="665"/>
      <c r="ET69" s="665"/>
      <c r="EU69" s="665"/>
      <c r="EV69" s="665"/>
      <c r="EW69" s="665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665" t="s">
        <v>114</v>
      </c>
      <c r="FX69" s="665"/>
      <c r="FY69" s="665"/>
      <c r="FZ69" s="665"/>
      <c r="GA69" s="665"/>
      <c r="GB69" s="665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665" t="s">
        <v>114</v>
      </c>
      <c r="GU69" s="665"/>
      <c r="GV69" s="665"/>
      <c r="GW69" s="665"/>
      <c r="GX69" s="665"/>
      <c r="GY69" s="665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665" t="s">
        <v>114</v>
      </c>
      <c r="HP69" s="665"/>
      <c r="HQ69" s="665"/>
      <c r="HR69" s="665"/>
      <c r="HS69" s="665"/>
      <c r="HT69" s="665"/>
      <c r="HU69" s="13"/>
      <c r="HV69" s="19"/>
      <c r="HW69" s="30">
        <f t="shared" si="44"/>
        <v>0</v>
      </c>
      <c r="HX69" s="28">
        <f t="shared" si="45"/>
        <v>0</v>
      </c>
      <c r="HZ69" s="665" t="s">
        <v>114</v>
      </c>
      <c r="IA69" s="665"/>
      <c r="IB69" s="665"/>
      <c r="IC69" s="665"/>
      <c r="ID69" s="665"/>
      <c r="IE69" s="665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665" t="s">
        <v>114</v>
      </c>
      <c r="IQ69" s="665"/>
      <c r="IR69" s="665"/>
      <c r="IS69" s="665"/>
      <c r="IT69" s="665"/>
      <c r="IU69" s="665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665" t="s">
        <v>114</v>
      </c>
      <c r="JC69" s="665"/>
      <c r="JD69" s="665"/>
      <c r="JE69" s="665"/>
      <c r="JF69" s="665"/>
      <c r="JG69" s="665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665" t="s">
        <v>114</v>
      </c>
      <c r="KI69" s="665"/>
      <c r="KJ69" s="665"/>
      <c r="KK69" s="665"/>
      <c r="KL69" s="665"/>
      <c r="KM69" s="665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665" t="s">
        <v>114</v>
      </c>
      <c r="KW69" s="665"/>
      <c r="KX69" s="665"/>
      <c r="KY69" s="665"/>
      <c r="KZ69" s="665"/>
      <c r="LA69" s="665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665" t="s">
        <v>114</v>
      </c>
      <c r="LJ69" s="665"/>
      <c r="LK69" s="665"/>
      <c r="LL69" s="665"/>
      <c r="LM69" s="665"/>
      <c r="LN69" s="665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665" t="s">
        <v>114</v>
      </c>
      <c r="MI69" s="665"/>
      <c r="MJ69" s="665"/>
      <c r="MK69" s="665"/>
      <c r="ML69" s="665"/>
      <c r="MM69" s="665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665" t="s">
        <v>114</v>
      </c>
      <c r="NH69" s="665"/>
      <c r="NI69" s="665"/>
      <c r="NJ69" s="665"/>
      <c r="NK69" s="665"/>
      <c r="NL69" s="665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47"/>
      <c r="B70" s="12"/>
      <c r="C70" s="665" t="s">
        <v>47</v>
      </c>
      <c r="D70" s="665"/>
      <c r="E70" s="665"/>
      <c r="F70" s="665"/>
      <c r="G70" s="665"/>
      <c r="H70" s="665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665" t="s">
        <v>47</v>
      </c>
      <c r="Q70" s="665"/>
      <c r="R70" s="665"/>
      <c r="S70" s="665"/>
      <c r="T70" s="665"/>
      <c r="U70" s="665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665" t="s">
        <v>47</v>
      </c>
      <c r="AI70" s="665"/>
      <c r="AJ70" s="665"/>
      <c r="AK70" s="665"/>
      <c r="AL70" s="665"/>
      <c r="AM70" s="665"/>
      <c r="AN70" s="13"/>
      <c r="AO70" s="20"/>
      <c r="AP70" s="23">
        <f t="shared" si="12"/>
        <v>0</v>
      </c>
      <c r="AQ70" s="19">
        <f t="shared" si="13"/>
        <v>0</v>
      </c>
      <c r="AS70" s="653" t="s">
        <v>47</v>
      </c>
      <c r="AT70" s="653"/>
      <c r="AU70" s="653"/>
      <c r="AV70" s="653"/>
      <c r="AW70" s="653"/>
      <c r="AX70" s="653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653" t="s">
        <v>47</v>
      </c>
      <c r="BH70" s="653"/>
      <c r="BI70" s="653"/>
      <c r="BJ70" s="653"/>
      <c r="BK70" s="653"/>
      <c r="BL70" s="653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653" t="s">
        <v>47</v>
      </c>
      <c r="BT70" s="653"/>
      <c r="BU70" s="653"/>
      <c r="BV70" s="653"/>
      <c r="BW70" s="653"/>
      <c r="BX70" s="653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653" t="s">
        <v>47</v>
      </c>
      <c r="CM70" s="653"/>
      <c r="CN70" s="653"/>
      <c r="CO70" s="653"/>
      <c r="CP70" s="653"/>
      <c r="CQ70" s="653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653" t="s">
        <v>47</v>
      </c>
      <c r="DE70" s="653"/>
      <c r="DF70" s="653"/>
      <c r="DG70" s="653"/>
      <c r="DH70" s="653"/>
      <c r="DI70" s="653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653" t="s">
        <v>47</v>
      </c>
      <c r="DY70" s="653"/>
      <c r="DZ70" s="653"/>
      <c r="EA70" s="653"/>
      <c r="EB70" s="653"/>
      <c r="EC70" s="653"/>
      <c r="ED70" s="28"/>
      <c r="EE70" s="29"/>
      <c r="EF70" s="29"/>
      <c r="EG70" s="29"/>
      <c r="EH70" s="29"/>
      <c r="EI70" s="29"/>
      <c r="EJ70" s="29"/>
      <c r="EK70" s="29"/>
      <c r="EL70" s="29"/>
      <c r="EM70" s="92"/>
      <c r="EN70" s="92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653" t="s">
        <v>47</v>
      </c>
      <c r="ES70" s="653"/>
      <c r="ET70" s="653"/>
      <c r="EU70" s="653"/>
      <c r="EV70" s="653"/>
      <c r="EW70" s="653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92"/>
      <c r="FJ70" s="92"/>
      <c r="FK70" s="92"/>
      <c r="FL70" s="92"/>
      <c r="FM70" s="92"/>
      <c r="FN70" s="92"/>
      <c r="FO70" s="92"/>
      <c r="FP70" s="92"/>
      <c r="FQ70" s="92"/>
      <c r="FR70" s="92"/>
      <c r="FS70" s="92"/>
      <c r="FT70" s="30">
        <f t="shared" si="27"/>
        <v>0</v>
      </c>
      <c r="FU70" s="28">
        <f t="shared" si="28"/>
        <v>0</v>
      </c>
      <c r="FW70" s="653" t="s">
        <v>47</v>
      </c>
      <c r="FX70" s="653"/>
      <c r="FY70" s="653"/>
      <c r="FZ70" s="653"/>
      <c r="GA70" s="653"/>
      <c r="GB70" s="653"/>
      <c r="GC70" s="28"/>
      <c r="GD70" s="92"/>
      <c r="GE70" s="29"/>
      <c r="GF70" s="29"/>
      <c r="GG70" s="29"/>
      <c r="GH70" s="29"/>
      <c r="GI70" s="29"/>
      <c r="GJ70" s="29"/>
      <c r="GK70" s="29"/>
      <c r="GL70" s="29"/>
      <c r="GM70" s="29"/>
      <c r="GN70" s="92"/>
      <c r="GO70" s="92"/>
      <c r="GP70" s="92"/>
      <c r="GQ70" s="30">
        <f t="shared" si="29"/>
        <v>0</v>
      </c>
      <c r="GR70" s="28">
        <f t="shared" si="30"/>
        <v>0</v>
      </c>
      <c r="GT70" s="653" t="s">
        <v>47</v>
      </c>
      <c r="GU70" s="653"/>
      <c r="GV70" s="653"/>
      <c r="GW70" s="653"/>
      <c r="GX70" s="653"/>
      <c r="GY70" s="653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92"/>
      <c r="HK70" s="92"/>
      <c r="HL70" s="30">
        <f t="shared" si="43"/>
        <v>0</v>
      </c>
      <c r="HM70" s="28">
        <f t="shared" si="32"/>
        <v>0</v>
      </c>
      <c r="HO70" s="653" t="s">
        <v>47</v>
      </c>
      <c r="HP70" s="653"/>
      <c r="HQ70" s="653"/>
      <c r="HR70" s="653"/>
      <c r="HS70" s="653"/>
      <c r="HT70" s="653"/>
      <c r="HU70" s="28"/>
      <c r="HV70" s="29"/>
      <c r="HW70" s="30">
        <f t="shared" si="44"/>
        <v>0</v>
      </c>
      <c r="HX70" s="28">
        <f t="shared" si="45"/>
        <v>0</v>
      </c>
      <c r="HZ70" s="653" t="s">
        <v>47</v>
      </c>
      <c r="IA70" s="653"/>
      <c r="IB70" s="653"/>
      <c r="IC70" s="653"/>
      <c r="ID70" s="653"/>
      <c r="IE70" s="653"/>
      <c r="IF70" s="28">
        <v>11.5</v>
      </c>
      <c r="IG70" s="29"/>
      <c r="IH70" s="92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653" t="s">
        <v>47</v>
      </c>
      <c r="IQ70" s="653"/>
      <c r="IR70" s="653"/>
      <c r="IS70" s="653"/>
      <c r="IT70" s="653"/>
      <c r="IU70" s="653"/>
      <c r="IV70" s="28">
        <v>11.5</v>
      </c>
      <c r="IW70" s="29"/>
      <c r="IX70" s="92"/>
      <c r="IY70" s="30">
        <f t="shared" si="47"/>
        <v>0</v>
      </c>
      <c r="IZ70" s="28">
        <f t="shared" si="48"/>
        <v>0</v>
      </c>
      <c r="JB70" s="653" t="s">
        <v>47</v>
      </c>
      <c r="JC70" s="653"/>
      <c r="JD70" s="653"/>
      <c r="JE70" s="653"/>
      <c r="JF70" s="653"/>
      <c r="JG70" s="653"/>
      <c r="JH70" s="28">
        <v>11.5</v>
      </c>
      <c r="JI70" s="29"/>
      <c r="JJ70" s="92"/>
      <c r="JK70" s="92"/>
      <c r="JL70" s="92"/>
      <c r="JM70" s="92"/>
      <c r="JN70" s="92"/>
      <c r="JO70" s="92"/>
      <c r="JP70" s="92"/>
      <c r="JQ70" s="92"/>
      <c r="JR70" s="92"/>
      <c r="JS70" s="92"/>
      <c r="JT70" s="92"/>
      <c r="JU70" s="92"/>
      <c r="JV70" s="92"/>
      <c r="JW70" s="92"/>
      <c r="JX70" s="92"/>
      <c r="JY70" s="92"/>
      <c r="JZ70" s="92"/>
      <c r="KA70" s="92"/>
      <c r="KB70" s="92"/>
      <c r="KC70" s="92"/>
      <c r="KD70" s="92"/>
      <c r="KE70" s="30">
        <f t="shared" si="34"/>
        <v>0</v>
      </c>
      <c r="KF70" s="28">
        <f t="shared" si="49"/>
        <v>0</v>
      </c>
      <c r="KH70" s="653" t="s">
        <v>47</v>
      </c>
      <c r="KI70" s="653"/>
      <c r="KJ70" s="653"/>
      <c r="KK70" s="653"/>
      <c r="KL70" s="653"/>
      <c r="KM70" s="653"/>
      <c r="KN70" s="28">
        <v>11.5</v>
      </c>
      <c r="KO70" s="29"/>
      <c r="KP70" s="92"/>
      <c r="KQ70" s="92"/>
      <c r="KR70" s="92"/>
      <c r="KS70" s="30">
        <f t="shared" si="50"/>
        <v>0</v>
      </c>
      <c r="KT70" s="28">
        <f t="shared" si="51"/>
        <v>0</v>
      </c>
      <c r="KV70" s="653" t="s">
        <v>47</v>
      </c>
      <c r="KW70" s="653"/>
      <c r="KX70" s="653"/>
      <c r="KY70" s="653"/>
      <c r="KZ70" s="653"/>
      <c r="LA70" s="653"/>
      <c r="LB70" s="28">
        <v>17</v>
      </c>
      <c r="LC70" s="29"/>
      <c r="LD70" s="92"/>
      <c r="LE70" s="92"/>
      <c r="LF70" s="30">
        <f t="shared" si="52"/>
        <v>0</v>
      </c>
      <c r="LG70" s="28">
        <f t="shared" si="53"/>
        <v>0</v>
      </c>
      <c r="LI70" s="653" t="s">
        <v>47</v>
      </c>
      <c r="LJ70" s="653"/>
      <c r="LK70" s="653"/>
      <c r="LL70" s="653"/>
      <c r="LM70" s="653"/>
      <c r="LN70" s="653"/>
      <c r="LO70" s="28">
        <v>17</v>
      </c>
      <c r="LP70" s="29"/>
      <c r="LQ70" s="92"/>
      <c r="LR70" s="92"/>
      <c r="LS70" s="92"/>
      <c r="LT70" s="92"/>
      <c r="LU70" s="92"/>
      <c r="LV70" s="92"/>
      <c r="LW70" s="92"/>
      <c r="LX70" s="92"/>
      <c r="LY70" s="92"/>
      <c r="LZ70" s="92"/>
      <c r="MA70" s="92"/>
      <c r="MB70" s="92"/>
      <c r="MC70" s="92"/>
      <c r="MD70" s="92"/>
      <c r="ME70" s="30">
        <f t="shared" si="35"/>
        <v>0</v>
      </c>
      <c r="MF70" s="28">
        <f t="shared" si="8"/>
        <v>0</v>
      </c>
      <c r="MH70" s="653" t="s">
        <v>47</v>
      </c>
      <c r="MI70" s="653"/>
      <c r="MJ70" s="653"/>
      <c r="MK70" s="653"/>
      <c r="ML70" s="653"/>
      <c r="MM70" s="653"/>
      <c r="MN70" s="28">
        <v>17</v>
      </c>
      <c r="MO70" s="29"/>
      <c r="MP70" s="92"/>
      <c r="MQ70" s="92"/>
      <c r="MR70" s="92"/>
      <c r="MS70" s="92"/>
      <c r="MT70" s="92"/>
      <c r="MU70" s="92"/>
      <c r="MV70" s="92"/>
      <c r="MW70" s="92"/>
      <c r="MX70" s="92"/>
      <c r="MY70" s="92"/>
      <c r="MZ70" s="92"/>
      <c r="NA70" s="92"/>
      <c r="NB70" s="92"/>
      <c r="NC70" s="92"/>
      <c r="ND70" s="30">
        <f t="shared" si="36"/>
        <v>0</v>
      </c>
      <c r="NE70" s="28">
        <f t="shared" si="37"/>
        <v>0</v>
      </c>
      <c r="NG70" s="653" t="s">
        <v>47</v>
      </c>
      <c r="NH70" s="653"/>
      <c r="NI70" s="653"/>
      <c r="NJ70" s="653"/>
      <c r="NK70" s="653"/>
      <c r="NL70" s="653"/>
      <c r="NM70" s="28">
        <v>17</v>
      </c>
      <c r="NN70" s="92"/>
      <c r="NO70" s="92"/>
      <c r="NP70" s="92"/>
      <c r="NQ70" s="92"/>
      <c r="NR70" s="92"/>
      <c r="NS70" s="92"/>
      <c r="NT70" s="92"/>
      <c r="NU70" s="92"/>
      <c r="NV70" s="92"/>
      <c r="NW70" s="92"/>
      <c r="NX70" s="92"/>
      <c r="NY70" s="92"/>
      <c r="NZ70" s="92"/>
      <c r="OA70" s="92"/>
      <c r="OB70" s="92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47"/>
      <c r="B71" s="12"/>
      <c r="C71" s="665" t="s">
        <v>58</v>
      </c>
      <c r="D71" s="665"/>
      <c r="E71" s="665"/>
      <c r="F71" s="665"/>
      <c r="G71" s="665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665" t="s">
        <v>58</v>
      </c>
      <c r="Q71" s="665"/>
      <c r="R71" s="665"/>
      <c r="S71" s="665"/>
      <c r="T71" s="665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665" t="s">
        <v>58</v>
      </c>
      <c r="AI71" s="665"/>
      <c r="AJ71" s="665"/>
      <c r="AK71" s="665"/>
      <c r="AL71" s="665"/>
      <c r="AM71" s="13"/>
      <c r="AN71" s="13"/>
      <c r="AO71" s="20"/>
      <c r="AP71" s="23">
        <f t="shared" si="12"/>
        <v>0</v>
      </c>
      <c r="AQ71" s="19">
        <f t="shared" si="13"/>
        <v>0</v>
      </c>
      <c r="AS71" s="662" t="s">
        <v>58</v>
      </c>
      <c r="AT71" s="663"/>
      <c r="AU71" s="663"/>
      <c r="AV71" s="663"/>
      <c r="AW71" s="663"/>
      <c r="AX71" s="664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662" t="s">
        <v>58</v>
      </c>
      <c r="BH71" s="663"/>
      <c r="BI71" s="663"/>
      <c r="BJ71" s="663"/>
      <c r="BK71" s="663"/>
      <c r="BL71" s="664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662" t="s">
        <v>58</v>
      </c>
      <c r="BT71" s="663"/>
      <c r="BU71" s="663"/>
      <c r="BV71" s="663"/>
      <c r="BW71" s="663"/>
      <c r="BX71" s="664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662" t="s">
        <v>58</v>
      </c>
      <c r="CM71" s="663"/>
      <c r="CN71" s="663"/>
      <c r="CO71" s="663"/>
      <c r="CP71" s="663"/>
      <c r="CQ71" s="664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662" t="s">
        <v>58</v>
      </c>
      <c r="DE71" s="663"/>
      <c r="DF71" s="663"/>
      <c r="DG71" s="663"/>
      <c r="DH71" s="663"/>
      <c r="DI71" s="664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662" t="s">
        <v>58</v>
      </c>
      <c r="DY71" s="663"/>
      <c r="DZ71" s="663"/>
      <c r="EA71" s="663"/>
      <c r="EB71" s="663"/>
      <c r="EC71" s="664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93"/>
      <c r="EN71" s="93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662" t="s">
        <v>58</v>
      </c>
      <c r="ES71" s="663"/>
      <c r="ET71" s="663"/>
      <c r="EU71" s="663"/>
      <c r="EV71" s="663"/>
      <c r="EW71" s="664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93"/>
      <c r="FJ71" s="93"/>
      <c r="FK71" s="93"/>
      <c r="FL71" s="93"/>
      <c r="FM71" s="93"/>
      <c r="FN71" s="93"/>
      <c r="FO71" s="93"/>
      <c r="FP71" s="93"/>
      <c r="FQ71" s="93"/>
      <c r="FR71" s="93"/>
      <c r="FS71" s="93"/>
      <c r="FT71" s="30">
        <f t="shared" si="27"/>
        <v>15</v>
      </c>
      <c r="FU71" s="28">
        <f t="shared" si="28"/>
        <v>225</v>
      </c>
      <c r="FW71" s="662" t="s">
        <v>58</v>
      </c>
      <c r="FX71" s="663"/>
      <c r="FY71" s="663"/>
      <c r="FZ71" s="663"/>
      <c r="GA71" s="663"/>
      <c r="GB71" s="664"/>
      <c r="GC71" s="13">
        <v>17</v>
      </c>
      <c r="GD71" s="93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93"/>
      <c r="GO71" s="93"/>
      <c r="GP71" s="93"/>
      <c r="GQ71" s="30">
        <f t="shared" si="29"/>
        <v>1</v>
      </c>
      <c r="GR71" s="28">
        <f t="shared" si="30"/>
        <v>17</v>
      </c>
      <c r="GT71" s="662" t="s">
        <v>58</v>
      </c>
      <c r="GU71" s="663"/>
      <c r="GV71" s="663"/>
      <c r="GW71" s="663"/>
      <c r="GX71" s="663"/>
      <c r="GY71" s="664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93"/>
      <c r="HK71" s="93"/>
      <c r="HL71" s="30">
        <f t="shared" si="43"/>
        <v>0</v>
      </c>
      <c r="HM71" s="28">
        <f t="shared" si="32"/>
        <v>0</v>
      </c>
      <c r="HO71" s="662" t="s">
        <v>58</v>
      </c>
      <c r="HP71" s="663"/>
      <c r="HQ71" s="663"/>
      <c r="HR71" s="663"/>
      <c r="HS71" s="663"/>
      <c r="HT71" s="664"/>
      <c r="HU71" s="13">
        <v>17</v>
      </c>
      <c r="HV71" s="32"/>
      <c r="HW71" s="30">
        <f t="shared" si="44"/>
        <v>0</v>
      </c>
      <c r="HX71" s="28">
        <f t="shared" si="45"/>
        <v>0</v>
      </c>
      <c r="HZ71" s="662" t="s">
        <v>58</v>
      </c>
      <c r="IA71" s="663"/>
      <c r="IB71" s="663"/>
      <c r="IC71" s="663"/>
      <c r="ID71" s="663"/>
      <c r="IE71" s="664"/>
      <c r="IF71" s="13">
        <v>16.5</v>
      </c>
      <c r="IG71" s="32"/>
      <c r="IH71" s="93"/>
      <c r="II71" s="93"/>
      <c r="IJ71" s="23"/>
      <c r="IK71" s="23"/>
      <c r="IL71" s="23"/>
      <c r="IM71" s="30">
        <f t="shared" si="41"/>
        <v>0</v>
      </c>
      <c r="IN71" s="28">
        <f t="shared" si="46"/>
        <v>0</v>
      </c>
      <c r="IP71" s="662" t="s">
        <v>58</v>
      </c>
      <c r="IQ71" s="663"/>
      <c r="IR71" s="663"/>
      <c r="IS71" s="663"/>
      <c r="IT71" s="663"/>
      <c r="IU71" s="664"/>
      <c r="IV71" s="13">
        <v>16.5</v>
      </c>
      <c r="IW71" s="32"/>
      <c r="IX71" s="93">
        <v>35</v>
      </c>
      <c r="IY71" s="30">
        <f t="shared" si="47"/>
        <v>35</v>
      </c>
      <c r="IZ71" s="28">
        <f t="shared" si="48"/>
        <v>577.5</v>
      </c>
      <c r="JB71" s="662" t="s">
        <v>58</v>
      </c>
      <c r="JC71" s="663"/>
      <c r="JD71" s="663"/>
      <c r="JE71" s="663"/>
      <c r="JF71" s="663"/>
      <c r="JG71" s="664"/>
      <c r="JH71" s="13">
        <v>17</v>
      </c>
      <c r="JI71" s="32"/>
      <c r="JJ71" s="93"/>
      <c r="JK71" s="93"/>
      <c r="JL71" s="93"/>
      <c r="JM71" s="93"/>
      <c r="JN71" s="93"/>
      <c r="JO71" s="93"/>
      <c r="JP71" s="93"/>
      <c r="JQ71" s="93"/>
      <c r="JR71" s="93"/>
      <c r="JS71" s="93"/>
      <c r="JT71" s="93"/>
      <c r="JU71" s="93"/>
      <c r="JV71" s="93"/>
      <c r="JW71" s="93"/>
      <c r="JX71" s="93"/>
      <c r="JY71" s="93"/>
      <c r="JZ71" s="93"/>
      <c r="KA71" s="93"/>
      <c r="KB71" s="93"/>
      <c r="KC71" s="93"/>
      <c r="KD71" s="93"/>
      <c r="KE71" s="30">
        <f t="shared" si="34"/>
        <v>0</v>
      </c>
      <c r="KF71" s="28">
        <f t="shared" si="49"/>
        <v>0</v>
      </c>
      <c r="KH71" s="662" t="s">
        <v>58</v>
      </c>
      <c r="KI71" s="663"/>
      <c r="KJ71" s="663"/>
      <c r="KK71" s="663"/>
      <c r="KL71" s="663"/>
      <c r="KM71" s="664"/>
      <c r="KN71" s="13">
        <v>17</v>
      </c>
      <c r="KO71" s="32"/>
      <c r="KP71" s="93"/>
      <c r="KQ71" s="93"/>
      <c r="KR71" s="93"/>
      <c r="KS71" s="30">
        <f t="shared" si="50"/>
        <v>0</v>
      </c>
      <c r="KT71" s="28">
        <f t="shared" si="51"/>
        <v>0</v>
      </c>
      <c r="KV71" s="662" t="s">
        <v>58</v>
      </c>
      <c r="KW71" s="663"/>
      <c r="KX71" s="663"/>
      <c r="KY71" s="663"/>
      <c r="KZ71" s="663"/>
      <c r="LA71" s="664"/>
      <c r="LB71" s="13">
        <v>17</v>
      </c>
      <c r="LC71" s="32"/>
      <c r="LD71" s="93"/>
      <c r="LE71" s="93"/>
      <c r="LF71" s="30">
        <f t="shared" si="52"/>
        <v>0</v>
      </c>
      <c r="LG71" s="28">
        <f t="shared" si="53"/>
        <v>0</v>
      </c>
      <c r="LI71" s="662" t="s">
        <v>58</v>
      </c>
      <c r="LJ71" s="663"/>
      <c r="LK71" s="663"/>
      <c r="LL71" s="663"/>
      <c r="LM71" s="663"/>
      <c r="LN71" s="664"/>
      <c r="LO71" s="13">
        <v>17</v>
      </c>
      <c r="LP71" s="32"/>
      <c r="LQ71" s="93"/>
      <c r="LR71" s="93"/>
      <c r="LS71" s="93"/>
      <c r="LT71" s="93"/>
      <c r="LU71" s="93"/>
      <c r="LV71" s="93"/>
      <c r="LW71" s="93"/>
      <c r="LX71" s="93"/>
      <c r="LY71" s="93"/>
      <c r="LZ71" s="93"/>
      <c r="MA71" s="93"/>
      <c r="MB71" s="93"/>
      <c r="MC71" s="93"/>
      <c r="MD71" s="93"/>
      <c r="ME71" s="30">
        <f t="shared" si="35"/>
        <v>0</v>
      </c>
      <c r="MF71" s="28">
        <f t="shared" si="8"/>
        <v>0</v>
      </c>
      <c r="MH71" s="662" t="s">
        <v>58</v>
      </c>
      <c r="MI71" s="663"/>
      <c r="MJ71" s="663"/>
      <c r="MK71" s="663"/>
      <c r="ML71" s="663"/>
      <c r="MM71" s="664"/>
      <c r="MN71" s="13">
        <v>17</v>
      </c>
      <c r="MO71" s="32"/>
      <c r="MP71" s="93"/>
      <c r="MQ71" s="93"/>
      <c r="MR71" s="93"/>
      <c r="MS71" s="93"/>
      <c r="MT71" s="93"/>
      <c r="MU71" s="93"/>
      <c r="MV71" s="93"/>
      <c r="MW71" s="93"/>
      <c r="MX71" s="93"/>
      <c r="MY71" s="93"/>
      <c r="MZ71" s="93"/>
      <c r="NA71" s="93"/>
      <c r="NB71" s="93"/>
      <c r="NC71" s="93"/>
      <c r="ND71" s="30">
        <f t="shared" si="36"/>
        <v>0</v>
      </c>
      <c r="NE71" s="28">
        <f t="shared" si="37"/>
        <v>0</v>
      </c>
      <c r="NG71" s="662" t="s">
        <v>58</v>
      </c>
      <c r="NH71" s="663"/>
      <c r="NI71" s="663"/>
      <c r="NJ71" s="663"/>
      <c r="NK71" s="663"/>
      <c r="NL71" s="664"/>
      <c r="NM71" s="13">
        <v>18</v>
      </c>
      <c r="NN71" s="93">
        <v>2</v>
      </c>
      <c r="NO71" s="93"/>
      <c r="NP71" s="93"/>
      <c r="NQ71" s="93"/>
      <c r="NR71" s="93"/>
      <c r="NS71" s="93"/>
      <c r="NT71" s="93">
        <v>8</v>
      </c>
      <c r="NU71" s="93"/>
      <c r="NV71" s="93"/>
      <c r="NW71" s="93"/>
      <c r="NX71" s="93"/>
      <c r="NY71" s="93"/>
      <c r="NZ71" s="93"/>
      <c r="OA71" s="93"/>
      <c r="OB71" s="93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47"/>
      <c r="B72" s="12"/>
      <c r="C72" s="12"/>
      <c r="D72" s="12"/>
      <c r="E72" s="12"/>
      <c r="F72" s="12"/>
      <c r="G72" s="12"/>
      <c r="H72" s="12"/>
      <c r="I72" s="12"/>
      <c r="J72" s="12"/>
      <c r="K72" s="99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99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99"/>
      <c r="AP72" s="34"/>
      <c r="AQ72" s="19"/>
      <c r="AS72" s="12"/>
      <c r="AT72" s="12"/>
      <c r="AU72" s="12"/>
      <c r="AV72" s="12"/>
      <c r="AW72" s="12"/>
      <c r="AX72" s="12"/>
      <c r="AY72" s="12"/>
      <c r="AZ72" s="99"/>
      <c r="BA72" s="99"/>
      <c r="BB72" s="99"/>
      <c r="BC72" s="99"/>
      <c r="BD72" s="100"/>
      <c r="BE72" s="28"/>
      <c r="BF72" s="25"/>
      <c r="BG72" s="12"/>
      <c r="BH72" s="12"/>
      <c r="BI72" s="12"/>
      <c r="BJ72" s="12"/>
      <c r="BK72" s="12"/>
      <c r="BL72" s="12"/>
      <c r="BM72" s="12"/>
      <c r="BN72" s="99"/>
      <c r="BO72" s="99"/>
      <c r="BP72" s="100"/>
      <c r="BQ72" s="28"/>
      <c r="BR72" s="25"/>
      <c r="BS72" s="89"/>
      <c r="BT72" s="97"/>
      <c r="BU72" s="97"/>
      <c r="BV72" s="97"/>
      <c r="BW72" s="97"/>
      <c r="BX72" s="98"/>
      <c r="BY72" s="12"/>
      <c r="BZ72" s="99"/>
      <c r="CA72" s="99"/>
      <c r="CB72" s="99"/>
      <c r="CC72" s="99"/>
      <c r="CD72" s="99"/>
      <c r="CE72" s="99"/>
      <c r="CF72" s="99"/>
      <c r="CG72" s="99"/>
      <c r="CH72" s="99"/>
      <c r="CI72" s="100"/>
      <c r="CJ72" s="28"/>
      <c r="CL72" s="89"/>
      <c r="CM72" s="97"/>
      <c r="CN72" s="97"/>
      <c r="CO72" s="97"/>
      <c r="CP72" s="97"/>
      <c r="CQ72" s="98"/>
      <c r="CR72" s="12"/>
      <c r="CS72" s="99"/>
      <c r="CT72" s="99"/>
      <c r="CU72" s="99"/>
      <c r="CV72" s="99"/>
      <c r="CW72" s="99"/>
      <c r="CX72" s="99"/>
      <c r="CY72" s="99"/>
      <c r="CZ72" s="101"/>
      <c r="DA72" s="100"/>
      <c r="DB72" s="28"/>
      <c r="DC72" s="33"/>
      <c r="DD72" s="12"/>
      <c r="DE72" s="12"/>
      <c r="DF72" s="12"/>
      <c r="DG72" s="12"/>
      <c r="DH72" s="12"/>
      <c r="DI72" s="12"/>
      <c r="DJ72" s="12"/>
      <c r="DK72" s="101"/>
      <c r="DL72" s="101"/>
      <c r="DM72" s="101"/>
      <c r="DN72" s="101"/>
      <c r="DO72" s="101"/>
      <c r="DP72" s="101"/>
      <c r="DQ72" s="101"/>
      <c r="DR72" s="101"/>
      <c r="DS72" s="101"/>
      <c r="DT72" s="101"/>
      <c r="DU72" s="100"/>
      <c r="DV72" s="28"/>
      <c r="DX72" s="12"/>
      <c r="DY72" s="12"/>
      <c r="DZ72" s="12"/>
      <c r="EA72" s="12"/>
      <c r="EB72" s="12"/>
      <c r="EC72" s="12"/>
      <c r="ED72" s="12"/>
      <c r="EE72" s="101"/>
      <c r="EF72" s="101"/>
      <c r="EG72" s="101"/>
      <c r="EH72" s="101"/>
      <c r="EI72" s="101"/>
      <c r="EJ72" s="101"/>
      <c r="EK72" s="101"/>
      <c r="EL72" s="101"/>
      <c r="EM72" s="101"/>
      <c r="EN72" s="101"/>
      <c r="EO72" s="100"/>
      <c r="EP72" s="28"/>
      <c r="EQ72" t="str">
        <f t="shared" si="26"/>
        <v>DIFERENTE</v>
      </c>
      <c r="ER72" s="665" t="s">
        <v>117</v>
      </c>
      <c r="ES72" s="665"/>
      <c r="ET72" s="665"/>
      <c r="EU72" s="665"/>
      <c r="EV72" s="665"/>
      <c r="EW72" s="665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93"/>
      <c r="FJ72" s="93"/>
      <c r="FK72" s="93"/>
      <c r="FL72" s="93"/>
      <c r="FM72" s="93"/>
      <c r="FN72" s="93"/>
      <c r="FO72" s="93"/>
      <c r="FP72" s="93"/>
      <c r="FQ72" s="93"/>
      <c r="FR72" s="93"/>
      <c r="FS72" s="93"/>
      <c r="FT72" s="30">
        <f t="shared" si="27"/>
        <v>0</v>
      </c>
      <c r="FU72" s="28">
        <f t="shared" si="28"/>
        <v>0</v>
      </c>
      <c r="FW72" s="665" t="s">
        <v>117</v>
      </c>
      <c r="FX72" s="665"/>
      <c r="FY72" s="665"/>
      <c r="FZ72" s="665"/>
      <c r="GA72" s="665"/>
      <c r="GB72" s="665"/>
      <c r="GC72" s="13">
        <v>18</v>
      </c>
      <c r="GD72" s="93"/>
      <c r="GE72" s="32"/>
      <c r="GF72" s="32"/>
      <c r="GG72" s="32"/>
      <c r="GH72" s="32"/>
      <c r="GI72" s="32"/>
      <c r="GJ72" s="32"/>
      <c r="GK72" s="32"/>
      <c r="GL72" s="32"/>
      <c r="GM72" s="32"/>
      <c r="GN72" s="93"/>
      <c r="GO72" s="93"/>
      <c r="GP72" s="93"/>
      <c r="GQ72" s="30">
        <f t="shared" si="29"/>
        <v>0</v>
      </c>
      <c r="GR72" s="28">
        <f t="shared" si="30"/>
        <v>0</v>
      </c>
      <c r="GT72" s="665" t="s">
        <v>117</v>
      </c>
      <c r="GU72" s="665"/>
      <c r="GV72" s="665"/>
      <c r="GW72" s="665"/>
      <c r="GX72" s="665"/>
      <c r="GY72" s="665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93"/>
      <c r="HK72" s="93"/>
      <c r="HL72" s="30">
        <f>SUM(HA72:HK72)</f>
        <v>0</v>
      </c>
      <c r="HM72" s="28">
        <f t="shared" si="32"/>
        <v>0</v>
      </c>
      <c r="HO72" s="665" t="s">
        <v>117</v>
      </c>
      <c r="HP72" s="665"/>
      <c r="HQ72" s="665"/>
      <c r="HR72" s="665"/>
      <c r="HS72" s="665"/>
      <c r="HT72" s="665"/>
      <c r="HU72" s="13">
        <v>18</v>
      </c>
      <c r="HV72" s="32"/>
      <c r="HW72" s="30">
        <f>SUM(HV72:HV72)</f>
        <v>0</v>
      </c>
      <c r="HX72" s="28">
        <f>HW72*HU72</f>
        <v>0</v>
      </c>
      <c r="HZ72" s="665" t="s">
        <v>117</v>
      </c>
      <c r="IA72" s="665"/>
      <c r="IB72" s="665"/>
      <c r="IC72" s="665"/>
      <c r="ID72" s="665"/>
      <c r="IE72" s="665"/>
      <c r="IF72" s="13">
        <v>18</v>
      </c>
      <c r="IG72" s="32"/>
      <c r="IH72" s="93"/>
      <c r="II72" s="93"/>
      <c r="IJ72" s="93"/>
      <c r="IK72" s="93"/>
      <c r="IL72" s="93"/>
      <c r="IM72" s="30">
        <f t="shared" si="41"/>
        <v>0</v>
      </c>
      <c r="IN72" s="28">
        <f>IM72*IF72</f>
        <v>0</v>
      </c>
      <c r="IP72" s="665" t="s">
        <v>117</v>
      </c>
      <c r="IQ72" s="665"/>
      <c r="IR72" s="665"/>
      <c r="IS72" s="665"/>
      <c r="IT72" s="665"/>
      <c r="IU72" s="665"/>
      <c r="IV72" s="13">
        <v>18</v>
      </c>
      <c r="IW72" s="32"/>
      <c r="IX72" s="93"/>
      <c r="IY72" s="30">
        <f>SUM(IW72:IX72)</f>
        <v>0</v>
      </c>
      <c r="IZ72" s="28">
        <f>IY72*IV72</f>
        <v>0</v>
      </c>
      <c r="JB72" s="665" t="s">
        <v>117</v>
      </c>
      <c r="JC72" s="665"/>
      <c r="JD72" s="665"/>
      <c r="JE72" s="665"/>
      <c r="JF72" s="665"/>
      <c r="JG72" s="665"/>
      <c r="JH72" s="13">
        <v>18</v>
      </c>
      <c r="JI72" s="32"/>
      <c r="JJ72" s="93"/>
      <c r="JK72" s="93"/>
      <c r="JL72" s="93"/>
      <c r="JM72" s="93"/>
      <c r="JN72" s="93"/>
      <c r="JO72" s="93"/>
      <c r="JP72" s="93"/>
      <c r="JQ72" s="93"/>
      <c r="JR72" s="93"/>
      <c r="JS72" s="93"/>
      <c r="JT72" s="93"/>
      <c r="JU72" s="93"/>
      <c r="JV72" s="93"/>
      <c r="JW72" s="93"/>
      <c r="JX72" s="93"/>
      <c r="JY72" s="93"/>
      <c r="JZ72" s="93"/>
      <c r="KA72" s="93">
        <v>4</v>
      </c>
      <c r="KB72" s="93"/>
      <c r="KC72" s="93"/>
      <c r="KD72" s="93"/>
      <c r="KE72" s="30">
        <f t="shared" si="34"/>
        <v>4</v>
      </c>
      <c r="KF72" s="28">
        <f>KE72*JH72</f>
        <v>72</v>
      </c>
      <c r="KH72" s="665" t="s">
        <v>117</v>
      </c>
      <c r="KI72" s="665"/>
      <c r="KJ72" s="665"/>
      <c r="KK72" s="665"/>
      <c r="KL72" s="665"/>
      <c r="KM72" s="665"/>
      <c r="KN72" s="13">
        <v>18</v>
      </c>
      <c r="KO72" s="32"/>
      <c r="KP72" s="93"/>
      <c r="KQ72" s="93"/>
      <c r="KR72" s="93"/>
      <c r="KS72" s="30">
        <f>SUM(KO72:KR72)</f>
        <v>0</v>
      </c>
      <c r="KT72" s="28">
        <f>KS72*KN72</f>
        <v>0</v>
      </c>
      <c r="KV72" s="653" t="s">
        <v>117</v>
      </c>
      <c r="KW72" s="653"/>
      <c r="KX72" s="653"/>
      <c r="KY72" s="653"/>
      <c r="KZ72" s="653"/>
      <c r="LA72" s="653"/>
      <c r="LB72" s="28">
        <v>18</v>
      </c>
      <c r="LC72" s="51"/>
      <c r="LD72" s="73"/>
      <c r="LE72" s="73"/>
      <c r="LF72" s="30">
        <f>SUM(LC72:LE72)</f>
        <v>0</v>
      </c>
      <c r="LG72" s="28">
        <f>LF72*LB72</f>
        <v>0</v>
      </c>
      <c r="LI72" s="653" t="s">
        <v>117</v>
      </c>
      <c r="LJ72" s="653"/>
      <c r="LK72" s="653"/>
      <c r="LL72" s="653"/>
      <c r="LM72" s="653"/>
      <c r="LN72" s="653"/>
      <c r="LO72" s="28">
        <v>18</v>
      </c>
      <c r="LP72" s="51"/>
      <c r="LQ72" s="73"/>
      <c r="LR72" s="73"/>
      <c r="LS72" s="73"/>
      <c r="LT72" s="73"/>
      <c r="LU72" s="73"/>
      <c r="LV72" s="73"/>
      <c r="LW72" s="73"/>
      <c r="LX72" s="73"/>
      <c r="LY72" s="73"/>
      <c r="LZ72" s="73"/>
      <c r="MA72" s="73"/>
      <c r="MB72" s="73"/>
      <c r="MC72" s="73"/>
      <c r="MD72" s="73"/>
      <c r="ME72" s="30">
        <f t="shared" si="35"/>
        <v>0</v>
      </c>
      <c r="MF72" s="28">
        <f t="shared" ref="MF72:MF90" si="54">ME72*LO72</f>
        <v>0</v>
      </c>
      <c r="MH72" s="653" t="s">
        <v>117</v>
      </c>
      <c r="MI72" s="653"/>
      <c r="MJ72" s="653"/>
      <c r="MK72" s="653"/>
      <c r="ML72" s="653"/>
      <c r="MM72" s="653"/>
      <c r="MN72" s="28">
        <v>18</v>
      </c>
      <c r="MO72" s="51"/>
      <c r="MP72" s="73"/>
      <c r="MQ72" s="73"/>
      <c r="MR72" s="73"/>
      <c r="MS72" s="73"/>
      <c r="MT72" s="73"/>
      <c r="MU72" s="73"/>
      <c r="MV72" s="73"/>
      <c r="MW72" s="73"/>
      <c r="MX72" s="73"/>
      <c r="MY72" s="73"/>
      <c r="MZ72" s="73"/>
      <c r="NA72" s="73"/>
      <c r="NB72" s="73"/>
      <c r="NC72" s="73"/>
      <c r="ND72" s="30">
        <f t="shared" si="36"/>
        <v>0</v>
      </c>
      <c r="NE72" s="28">
        <f t="shared" ref="NE72:NE90" si="55">ND72*MN72</f>
        <v>0</v>
      </c>
      <c r="NG72" s="653" t="s">
        <v>117</v>
      </c>
      <c r="NH72" s="653"/>
      <c r="NI72" s="653"/>
      <c r="NJ72" s="653"/>
      <c r="NK72" s="653"/>
      <c r="NL72" s="653"/>
      <c r="NM72" s="28">
        <v>18</v>
      </c>
      <c r="NN72" s="73"/>
      <c r="NO72" s="73"/>
      <c r="NP72" s="73"/>
      <c r="NQ72" s="73"/>
      <c r="NR72" s="73"/>
      <c r="NS72" s="73">
        <v>5</v>
      </c>
      <c r="NT72" s="73"/>
      <c r="NU72" s="73"/>
      <c r="NV72" s="73"/>
      <c r="NW72" s="73"/>
      <c r="NX72" s="73"/>
      <c r="NY72" s="73"/>
      <c r="NZ72" s="73"/>
      <c r="OA72" s="73"/>
      <c r="OB72" s="73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47"/>
      <c r="B73" s="12"/>
      <c r="C73" s="12"/>
      <c r="D73" s="12"/>
      <c r="E73" s="12"/>
      <c r="F73" s="12"/>
      <c r="G73" s="12"/>
      <c r="H73" s="12"/>
      <c r="I73" s="12"/>
      <c r="J73" s="12"/>
      <c r="K73" s="99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99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99"/>
      <c r="AP73" s="34"/>
      <c r="AQ73" s="19"/>
      <c r="AS73" s="12"/>
      <c r="AT73" s="12"/>
      <c r="AU73" s="12"/>
      <c r="AV73" s="12"/>
      <c r="AW73" s="12"/>
      <c r="AX73" s="12"/>
      <c r="AY73" s="12"/>
      <c r="AZ73" s="99"/>
      <c r="BA73" s="99"/>
      <c r="BB73" s="99"/>
      <c r="BC73" s="99"/>
      <c r="BD73" s="100"/>
      <c r="BE73" s="28"/>
      <c r="BF73" s="25"/>
      <c r="BG73" s="12"/>
      <c r="BH73" s="12"/>
      <c r="BI73" s="12"/>
      <c r="BJ73" s="12"/>
      <c r="BK73" s="12"/>
      <c r="BL73" s="12"/>
      <c r="BM73" s="12"/>
      <c r="BN73" s="99"/>
      <c r="BO73" s="99"/>
      <c r="BP73" s="100"/>
      <c r="BQ73" s="28"/>
      <c r="BR73" s="25"/>
      <c r="BS73" s="89"/>
      <c r="BT73" s="97"/>
      <c r="BU73" s="97"/>
      <c r="BV73" s="97"/>
      <c r="BW73" s="97"/>
      <c r="BX73" s="98"/>
      <c r="BY73" s="12"/>
      <c r="BZ73" s="99"/>
      <c r="CA73" s="99"/>
      <c r="CB73" s="99"/>
      <c r="CC73" s="99"/>
      <c r="CD73" s="99"/>
      <c r="CE73" s="99"/>
      <c r="CF73" s="99"/>
      <c r="CG73" s="99"/>
      <c r="CH73" s="99"/>
      <c r="CI73" s="100"/>
      <c r="CJ73" s="28"/>
      <c r="CL73" s="89"/>
      <c r="CM73" s="97"/>
      <c r="CN73" s="97"/>
      <c r="CO73" s="97"/>
      <c r="CP73" s="97"/>
      <c r="CQ73" s="98"/>
      <c r="CR73" s="12"/>
      <c r="CS73" s="99"/>
      <c r="CT73" s="99"/>
      <c r="CU73" s="99"/>
      <c r="CV73" s="99"/>
      <c r="CW73" s="99"/>
      <c r="CX73" s="99"/>
      <c r="CY73" s="99"/>
      <c r="CZ73" s="101"/>
      <c r="DA73" s="100"/>
      <c r="DB73" s="28"/>
      <c r="DC73" s="33"/>
      <c r="DD73" s="12"/>
      <c r="DE73" s="12"/>
      <c r="DF73" s="12"/>
      <c r="DG73" s="12"/>
      <c r="DH73" s="12"/>
      <c r="DI73" s="12"/>
      <c r="DJ73" s="12"/>
      <c r="DK73" s="101"/>
      <c r="DL73" s="101"/>
      <c r="DM73" s="101"/>
      <c r="DN73" s="101"/>
      <c r="DO73" s="101"/>
      <c r="DP73" s="101"/>
      <c r="DQ73" s="101"/>
      <c r="DR73" s="101"/>
      <c r="DS73" s="101"/>
      <c r="DT73" s="101"/>
      <c r="DU73" s="100"/>
      <c r="DV73" s="28"/>
      <c r="DX73" s="12"/>
      <c r="DY73" s="12"/>
      <c r="DZ73" s="12"/>
      <c r="EA73" s="12"/>
      <c r="EB73" s="12"/>
      <c r="EC73" s="12"/>
      <c r="ED73" s="12"/>
      <c r="EE73" s="101"/>
      <c r="EF73" s="101"/>
      <c r="EG73" s="101"/>
      <c r="EH73" s="101"/>
      <c r="EI73" s="101"/>
      <c r="EJ73" s="101"/>
      <c r="EK73" s="101"/>
      <c r="EL73" s="101"/>
      <c r="EM73" s="101"/>
      <c r="EN73" s="101"/>
      <c r="EO73" s="100"/>
      <c r="EP73" s="28"/>
      <c r="ER73" s="12"/>
      <c r="ES73" s="12"/>
      <c r="ET73" s="12"/>
      <c r="EU73" s="12"/>
      <c r="EV73" s="12"/>
      <c r="EW73" s="12"/>
      <c r="EX73" s="12"/>
      <c r="EY73" s="101"/>
      <c r="EZ73" s="101"/>
      <c r="FA73" s="101"/>
      <c r="FB73" s="101"/>
      <c r="FC73" s="101"/>
      <c r="FD73" s="101"/>
      <c r="FE73" s="101"/>
      <c r="FF73" s="101"/>
      <c r="FG73" s="101"/>
      <c r="FH73" s="101"/>
      <c r="FI73" s="101"/>
      <c r="FJ73" s="101"/>
      <c r="FK73" s="101"/>
      <c r="FL73" s="101"/>
      <c r="FM73" s="101"/>
      <c r="FN73" s="101"/>
      <c r="FO73" s="101"/>
      <c r="FP73" s="101"/>
      <c r="FQ73" s="101"/>
      <c r="FR73" s="101"/>
      <c r="FS73" s="101"/>
      <c r="FT73" s="100"/>
      <c r="FU73" s="114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100"/>
      <c r="GR73" s="114"/>
      <c r="GT73" s="665" t="s">
        <v>194</v>
      </c>
      <c r="GU73" s="665"/>
      <c r="GV73" s="665"/>
      <c r="GW73" s="665"/>
      <c r="GX73" s="665"/>
      <c r="GY73" s="665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665" t="s">
        <v>194</v>
      </c>
      <c r="HP73" s="665"/>
      <c r="HQ73" s="665"/>
      <c r="HR73" s="665"/>
      <c r="HS73" s="665"/>
      <c r="HT73" s="665"/>
      <c r="HU73" s="13">
        <v>75</v>
      </c>
      <c r="HV73" s="32"/>
      <c r="HW73" s="30">
        <f>SUM(HV73:HV73)</f>
        <v>0</v>
      </c>
      <c r="HX73" s="28">
        <f>HW73*HU73</f>
        <v>0</v>
      </c>
      <c r="HZ73" s="665" t="s">
        <v>194</v>
      </c>
      <c r="IA73" s="665"/>
      <c r="IB73" s="665"/>
      <c r="IC73" s="665"/>
      <c r="ID73" s="665"/>
      <c r="IE73" s="665"/>
      <c r="IF73" s="13">
        <v>75</v>
      </c>
      <c r="IG73" s="32"/>
      <c r="IH73" s="93"/>
      <c r="II73" s="93"/>
      <c r="IJ73" s="93"/>
      <c r="IK73" s="93"/>
      <c r="IL73" s="93"/>
      <c r="IM73" s="30">
        <f>SUM(IG73:IL73)</f>
        <v>0</v>
      </c>
      <c r="IN73" s="28">
        <f>IM73*IF73</f>
        <v>0</v>
      </c>
      <c r="IP73" s="665" t="s">
        <v>194</v>
      </c>
      <c r="IQ73" s="665"/>
      <c r="IR73" s="665"/>
      <c r="IS73" s="665"/>
      <c r="IT73" s="665"/>
      <c r="IU73" s="665"/>
      <c r="IV73" s="13">
        <v>75</v>
      </c>
      <c r="IW73" s="32"/>
      <c r="IX73" s="93"/>
      <c r="IY73" s="30">
        <f>SUM(IW73:IX73)</f>
        <v>0</v>
      </c>
      <c r="IZ73" s="28">
        <f>IY73*IV73</f>
        <v>0</v>
      </c>
      <c r="JB73" s="665" t="s">
        <v>194</v>
      </c>
      <c r="JC73" s="665"/>
      <c r="JD73" s="665"/>
      <c r="JE73" s="665"/>
      <c r="JF73" s="665"/>
      <c r="JG73" s="665"/>
      <c r="JH73" s="13">
        <v>75</v>
      </c>
      <c r="JI73" s="32"/>
      <c r="JJ73" s="93"/>
      <c r="JK73" s="93"/>
      <c r="JL73" s="93"/>
      <c r="JM73" s="93"/>
      <c r="JN73" s="93"/>
      <c r="JO73" s="93"/>
      <c r="JP73" s="93"/>
      <c r="JQ73" s="93"/>
      <c r="JR73" s="93"/>
      <c r="JS73" s="93"/>
      <c r="JT73" s="93"/>
      <c r="JU73" s="93"/>
      <c r="JV73" s="93"/>
      <c r="JW73" s="93"/>
      <c r="JX73" s="93"/>
      <c r="JY73" s="93"/>
      <c r="JZ73" s="93"/>
      <c r="KA73" s="93"/>
      <c r="KB73" s="93"/>
      <c r="KC73" s="93"/>
      <c r="KD73" s="93"/>
      <c r="KE73" s="30">
        <f>SUM(JI73:KD73)</f>
        <v>0</v>
      </c>
      <c r="KF73" s="28">
        <f>KE73*JH73</f>
        <v>0</v>
      </c>
      <c r="KH73" s="665" t="s">
        <v>194</v>
      </c>
      <c r="KI73" s="665"/>
      <c r="KJ73" s="665"/>
      <c r="KK73" s="665"/>
      <c r="KL73" s="665"/>
      <c r="KM73" s="665"/>
      <c r="KN73" s="13">
        <v>75</v>
      </c>
      <c r="KO73" s="32"/>
      <c r="KP73" s="93"/>
      <c r="KQ73" s="93"/>
      <c r="KR73" s="93"/>
      <c r="KS73" s="30">
        <f>SUM(KO73:KR73)</f>
        <v>0</v>
      </c>
      <c r="KT73" s="28">
        <f>KS73*KN73</f>
        <v>0</v>
      </c>
      <c r="KV73" s="665" t="s">
        <v>194</v>
      </c>
      <c r="KW73" s="665"/>
      <c r="KX73" s="665"/>
      <c r="KY73" s="665"/>
      <c r="KZ73" s="665"/>
      <c r="LA73" s="665"/>
      <c r="LB73" s="13">
        <v>75</v>
      </c>
      <c r="LC73" s="32"/>
      <c r="LD73" s="93"/>
      <c r="LE73" s="93"/>
      <c r="LF73" s="30">
        <f>SUM(LC73:LE73)</f>
        <v>0</v>
      </c>
      <c r="LG73" s="28">
        <f>LF73*LB73</f>
        <v>0</v>
      </c>
      <c r="LI73" s="665" t="s">
        <v>194</v>
      </c>
      <c r="LJ73" s="665"/>
      <c r="LK73" s="665"/>
      <c r="LL73" s="665"/>
      <c r="LM73" s="665"/>
      <c r="LN73" s="665"/>
      <c r="LO73" s="13">
        <v>75</v>
      </c>
      <c r="LP73" s="32"/>
      <c r="LQ73" s="93"/>
      <c r="LR73" s="93"/>
      <c r="LS73" s="93"/>
      <c r="LT73" s="93"/>
      <c r="LU73" s="93"/>
      <c r="LV73" s="93"/>
      <c r="LW73" s="93"/>
      <c r="LX73" s="93"/>
      <c r="LY73" s="93"/>
      <c r="LZ73" s="93"/>
      <c r="MA73" s="93"/>
      <c r="MB73" s="93"/>
      <c r="MC73" s="93"/>
      <c r="MD73" s="93"/>
      <c r="ME73" s="30">
        <f t="shared" ref="ME73:ME90" si="57">SUM(LP73:MD73)</f>
        <v>0</v>
      </c>
      <c r="MF73" s="28">
        <f t="shared" si="54"/>
        <v>0</v>
      </c>
      <c r="MH73" s="665" t="s">
        <v>194</v>
      </c>
      <c r="MI73" s="665"/>
      <c r="MJ73" s="665"/>
      <c r="MK73" s="665"/>
      <c r="ML73" s="665"/>
      <c r="MM73" s="665"/>
      <c r="MN73" s="13">
        <v>75</v>
      </c>
      <c r="MO73" s="32"/>
      <c r="MP73" s="93"/>
      <c r="MQ73" s="93"/>
      <c r="MR73" s="93"/>
      <c r="MS73" s="93"/>
      <c r="MT73" s="93"/>
      <c r="MU73" s="93"/>
      <c r="MV73" s="93"/>
      <c r="MW73" s="93"/>
      <c r="MX73" s="93"/>
      <c r="MY73" s="93"/>
      <c r="MZ73" s="93"/>
      <c r="NA73" s="93"/>
      <c r="NB73" s="93"/>
      <c r="NC73" s="93"/>
      <c r="ND73" s="30">
        <f t="shared" ref="ND73:ND99" si="58">SUM(MO73:NC73)</f>
        <v>0</v>
      </c>
      <c r="NE73" s="28">
        <f t="shared" si="55"/>
        <v>0</v>
      </c>
      <c r="NG73" s="665" t="s">
        <v>194</v>
      </c>
      <c r="NH73" s="665"/>
      <c r="NI73" s="665"/>
      <c r="NJ73" s="665"/>
      <c r="NK73" s="665"/>
      <c r="NL73" s="665"/>
      <c r="NM73" s="13">
        <v>75</v>
      </c>
      <c r="NN73" s="93"/>
      <c r="NO73" s="93"/>
      <c r="NP73" s="93"/>
      <c r="NQ73" s="93"/>
      <c r="NR73" s="93"/>
      <c r="NS73" s="93"/>
      <c r="NT73" s="93"/>
      <c r="NU73" s="93"/>
      <c r="NV73" s="93"/>
      <c r="NW73" s="93"/>
      <c r="NX73" s="93"/>
      <c r="NY73" s="93"/>
      <c r="NZ73" s="93"/>
      <c r="OA73" s="93"/>
      <c r="OB73" s="93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47"/>
      <c r="B74" s="12"/>
      <c r="C74" s="12"/>
      <c r="D74" s="12"/>
      <c r="E74" s="12"/>
      <c r="F74" s="12"/>
      <c r="G74" s="12"/>
      <c r="H74" s="12"/>
      <c r="I74" s="12"/>
      <c r="J74" s="12"/>
      <c r="K74" s="99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99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99"/>
      <c r="AP74" s="34"/>
      <c r="AQ74" s="19"/>
      <c r="AS74" s="12"/>
      <c r="AT74" s="12"/>
      <c r="AU74" s="12"/>
      <c r="AV74" s="12"/>
      <c r="AW74" s="12"/>
      <c r="AX74" s="12"/>
      <c r="AY74" s="12"/>
      <c r="AZ74" s="99"/>
      <c r="BA74" s="99"/>
      <c r="BB74" s="99"/>
      <c r="BC74" s="99"/>
      <c r="BD74" s="100"/>
      <c r="BE74" s="28"/>
      <c r="BF74" s="25"/>
      <c r="BG74" s="12"/>
      <c r="BH74" s="12"/>
      <c r="BI74" s="12"/>
      <c r="BJ74" s="12"/>
      <c r="BK74" s="12"/>
      <c r="BL74" s="12"/>
      <c r="BM74" s="12"/>
      <c r="BN74" s="99"/>
      <c r="BO74" s="99"/>
      <c r="BP74" s="100"/>
      <c r="BQ74" s="28"/>
      <c r="BR74" s="25"/>
      <c r="BS74" s="89"/>
      <c r="BT74" s="97"/>
      <c r="BU74" s="97"/>
      <c r="BV74" s="97"/>
      <c r="BW74" s="97"/>
      <c r="BX74" s="98"/>
      <c r="BY74" s="12"/>
      <c r="BZ74" s="99"/>
      <c r="CA74" s="99"/>
      <c r="CB74" s="99"/>
      <c r="CC74" s="99"/>
      <c r="CD74" s="99"/>
      <c r="CE74" s="99"/>
      <c r="CF74" s="99"/>
      <c r="CG74" s="99"/>
      <c r="CH74" s="99"/>
      <c r="CI74" s="100"/>
      <c r="CJ74" s="28"/>
      <c r="CL74" s="89"/>
      <c r="CM74" s="97"/>
      <c r="CN74" s="97"/>
      <c r="CO74" s="97"/>
      <c r="CP74" s="97"/>
      <c r="CQ74" s="98"/>
      <c r="CR74" s="12"/>
      <c r="CS74" s="99"/>
      <c r="CT74" s="99"/>
      <c r="CU74" s="99"/>
      <c r="CV74" s="99"/>
      <c r="CW74" s="99"/>
      <c r="CX74" s="99"/>
      <c r="CY74" s="99"/>
      <c r="CZ74" s="101"/>
      <c r="DA74" s="100"/>
      <c r="DB74" s="28"/>
      <c r="DC74" s="33"/>
      <c r="DD74" s="12"/>
      <c r="DE74" s="12"/>
      <c r="DF74" s="12"/>
      <c r="DG74" s="12"/>
      <c r="DH74" s="12"/>
      <c r="DI74" s="12"/>
      <c r="DJ74" s="12"/>
      <c r="DK74" s="101"/>
      <c r="DL74" s="101"/>
      <c r="DM74" s="101"/>
      <c r="DN74" s="101"/>
      <c r="DO74" s="101"/>
      <c r="DP74" s="101"/>
      <c r="DQ74" s="101"/>
      <c r="DR74" s="101"/>
      <c r="DS74" s="101"/>
      <c r="DT74" s="101"/>
      <c r="DU74" s="100"/>
      <c r="DV74" s="28"/>
      <c r="DX74" s="12"/>
      <c r="DY74" s="12"/>
      <c r="DZ74" s="12"/>
      <c r="EA74" s="12"/>
      <c r="EB74" s="12"/>
      <c r="EC74" s="12"/>
      <c r="ED74" s="12"/>
      <c r="EE74" s="101"/>
      <c r="EF74" s="101"/>
      <c r="EG74" s="101"/>
      <c r="EH74" s="101"/>
      <c r="EI74" s="101"/>
      <c r="EJ74" s="101"/>
      <c r="EK74" s="101"/>
      <c r="EL74" s="101"/>
      <c r="EM74" s="101"/>
      <c r="EN74" s="101"/>
      <c r="EO74" s="100"/>
      <c r="EP74" s="28"/>
      <c r="ER74" s="12"/>
      <c r="ES74" s="12"/>
      <c r="ET74" s="12"/>
      <c r="EU74" s="12"/>
      <c r="EV74" s="12"/>
      <c r="EW74" s="12"/>
      <c r="EX74" s="12"/>
      <c r="EY74" s="101"/>
      <c r="EZ74" s="101"/>
      <c r="FA74" s="101"/>
      <c r="FB74" s="101"/>
      <c r="FC74" s="101"/>
      <c r="FD74" s="101"/>
      <c r="FE74" s="101"/>
      <c r="FF74" s="101"/>
      <c r="FG74" s="101"/>
      <c r="FH74" s="101"/>
      <c r="FI74" s="101"/>
      <c r="FJ74" s="101"/>
      <c r="FK74" s="101"/>
      <c r="FL74" s="101"/>
      <c r="FM74" s="101"/>
      <c r="FN74" s="101"/>
      <c r="FO74" s="101"/>
      <c r="FP74" s="101"/>
      <c r="FQ74" s="101"/>
      <c r="FR74" s="101"/>
      <c r="FS74" s="101"/>
      <c r="FT74" s="100"/>
      <c r="FU74" s="114"/>
      <c r="FW74" s="12"/>
      <c r="FX74" s="12"/>
      <c r="FY74" s="12"/>
      <c r="FZ74" s="12"/>
      <c r="GA74" s="12"/>
      <c r="GB74" s="12"/>
      <c r="GC74" s="12"/>
      <c r="GD74" s="103"/>
      <c r="GE74" s="103"/>
      <c r="GF74" s="103"/>
      <c r="GG74" s="103"/>
      <c r="GH74" s="103"/>
      <c r="GI74" s="103"/>
      <c r="GJ74" s="103"/>
      <c r="GK74" s="103"/>
      <c r="GL74" s="103"/>
      <c r="GM74" s="103"/>
      <c r="GN74" s="103"/>
      <c r="GO74" s="103"/>
      <c r="GP74" s="103"/>
      <c r="GQ74" s="100"/>
      <c r="GR74" s="114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100"/>
      <c r="HM74" s="114"/>
      <c r="HO74" s="12"/>
      <c r="HP74" s="12"/>
      <c r="HQ74" s="12"/>
      <c r="HR74" s="12"/>
      <c r="HS74" s="12"/>
      <c r="HT74" s="12"/>
      <c r="HU74" s="12"/>
      <c r="HV74" s="32"/>
      <c r="HW74" s="100"/>
      <c r="HX74" s="114"/>
      <c r="HZ74" s="12"/>
      <c r="IA74" s="12"/>
      <c r="IB74" s="12"/>
      <c r="IC74" s="12"/>
      <c r="ID74" s="12"/>
      <c r="IE74" s="12"/>
      <c r="IF74" s="12"/>
      <c r="IG74" s="32"/>
      <c r="IH74" s="93"/>
      <c r="II74" s="93"/>
      <c r="IJ74" s="93"/>
      <c r="IK74" s="93"/>
      <c r="IL74" s="93"/>
      <c r="IM74" s="100"/>
      <c r="IN74" s="114"/>
      <c r="IP74" s="12"/>
      <c r="IQ74" s="12"/>
      <c r="IR74" s="12"/>
      <c r="IS74" s="12"/>
      <c r="IT74" s="12"/>
      <c r="IU74" s="12"/>
      <c r="IV74" s="12"/>
      <c r="IW74" s="32"/>
      <c r="IX74" s="93"/>
      <c r="IY74" s="100"/>
      <c r="IZ74" s="114"/>
      <c r="JB74" s="665" t="s">
        <v>232</v>
      </c>
      <c r="JC74" s="665"/>
      <c r="JD74" s="665"/>
      <c r="JE74" s="665"/>
      <c r="JF74" s="665"/>
      <c r="JG74" s="665"/>
      <c r="JH74" s="13">
        <v>42</v>
      </c>
      <c r="JI74" s="32"/>
      <c r="JJ74" s="93"/>
      <c r="JK74" s="93"/>
      <c r="JL74" s="93"/>
      <c r="JM74" s="93"/>
      <c r="JN74" s="93"/>
      <c r="JO74" s="93"/>
      <c r="JP74" s="93"/>
      <c r="JQ74" s="93"/>
      <c r="JR74" s="93"/>
      <c r="JS74" s="93"/>
      <c r="JT74" s="93"/>
      <c r="JU74" s="93"/>
      <c r="JV74" s="93"/>
      <c r="JW74" s="93"/>
      <c r="JX74" s="93"/>
      <c r="JY74" s="93"/>
      <c r="JZ74" s="93"/>
      <c r="KA74" s="93"/>
      <c r="KB74" s="93"/>
      <c r="KC74" s="93"/>
      <c r="KD74" s="93"/>
      <c r="KE74" s="30">
        <f>SUM(JI74:KD74)</f>
        <v>0</v>
      </c>
      <c r="KF74" s="28">
        <f>KE74*JH74</f>
        <v>0</v>
      </c>
      <c r="KH74" s="665" t="s">
        <v>232</v>
      </c>
      <c r="KI74" s="665"/>
      <c r="KJ74" s="665"/>
      <c r="KK74" s="665"/>
      <c r="KL74" s="665"/>
      <c r="KM74" s="665"/>
      <c r="KN74" s="13">
        <v>42</v>
      </c>
      <c r="KO74" s="32"/>
      <c r="KP74" s="93"/>
      <c r="KQ74" s="93"/>
      <c r="KR74" s="93"/>
      <c r="KS74" s="30">
        <f>SUM(KO74:KR74)</f>
        <v>0</v>
      </c>
      <c r="KT74" s="28">
        <f>KS74*KN74</f>
        <v>0</v>
      </c>
      <c r="KV74" s="653" t="s">
        <v>232</v>
      </c>
      <c r="KW74" s="653"/>
      <c r="KX74" s="653"/>
      <c r="KY74" s="653"/>
      <c r="KZ74" s="653"/>
      <c r="LA74" s="653"/>
      <c r="LB74" s="28">
        <v>42</v>
      </c>
      <c r="LC74" s="51"/>
      <c r="LD74" s="73"/>
      <c r="LE74" s="73"/>
      <c r="LF74" s="30">
        <f>SUM(LC74:LE74)</f>
        <v>0</v>
      </c>
      <c r="LG74" s="28">
        <f>LF74*LB74</f>
        <v>0</v>
      </c>
      <c r="LI74" s="653" t="s">
        <v>232</v>
      </c>
      <c r="LJ74" s="653"/>
      <c r="LK74" s="653"/>
      <c r="LL74" s="653"/>
      <c r="LM74" s="653"/>
      <c r="LN74" s="653"/>
      <c r="LO74" s="28">
        <v>41</v>
      </c>
      <c r="LP74" s="51"/>
      <c r="LQ74" s="73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653" t="s">
        <v>232</v>
      </c>
      <c r="MI74" s="653"/>
      <c r="MJ74" s="653"/>
      <c r="MK74" s="653"/>
      <c r="ML74" s="653"/>
      <c r="MM74" s="653"/>
      <c r="MN74" s="28">
        <v>41</v>
      </c>
      <c r="MO74" s="51"/>
      <c r="MP74" s="73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653" t="s">
        <v>232</v>
      </c>
      <c r="NH74" s="653"/>
      <c r="NI74" s="653"/>
      <c r="NJ74" s="653"/>
      <c r="NK74" s="653"/>
      <c r="NL74" s="653"/>
      <c r="NM74" s="28">
        <v>38</v>
      </c>
      <c r="NN74" s="30"/>
      <c r="NO74" s="73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47"/>
      <c r="B75" s="12"/>
      <c r="C75" s="12"/>
      <c r="D75" s="12"/>
      <c r="E75" s="12"/>
      <c r="F75" s="12"/>
      <c r="G75" s="12"/>
      <c r="H75" s="12"/>
      <c r="I75" s="12"/>
      <c r="J75" s="12"/>
      <c r="K75" s="99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99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99"/>
      <c r="AP75" s="34"/>
      <c r="AQ75" s="19"/>
      <c r="AS75" s="12"/>
      <c r="AT75" s="12"/>
      <c r="AU75" s="12"/>
      <c r="AV75" s="12"/>
      <c r="AW75" s="12"/>
      <c r="AX75" s="12"/>
      <c r="AY75" s="12"/>
      <c r="AZ75" s="99"/>
      <c r="BA75" s="99"/>
      <c r="BB75" s="99"/>
      <c r="BC75" s="99"/>
      <c r="BD75" s="100"/>
      <c r="BE75" s="28"/>
      <c r="BF75" s="25"/>
      <c r="BG75" s="12"/>
      <c r="BH75" s="12"/>
      <c r="BI75" s="12"/>
      <c r="BJ75" s="12"/>
      <c r="BK75" s="12"/>
      <c r="BL75" s="12"/>
      <c r="BM75" s="12"/>
      <c r="BN75" s="99"/>
      <c r="BO75" s="99"/>
      <c r="BP75" s="100"/>
      <c r="BQ75" s="28"/>
      <c r="BR75" s="25"/>
      <c r="BS75" s="89"/>
      <c r="BT75" s="97"/>
      <c r="BU75" s="97"/>
      <c r="BV75" s="97"/>
      <c r="BW75" s="97"/>
      <c r="BX75" s="98"/>
      <c r="BY75" s="12"/>
      <c r="BZ75" s="99"/>
      <c r="CA75" s="99"/>
      <c r="CB75" s="99"/>
      <c r="CC75" s="99"/>
      <c r="CD75" s="99"/>
      <c r="CE75" s="99"/>
      <c r="CF75" s="99"/>
      <c r="CG75" s="99"/>
      <c r="CH75" s="99"/>
      <c r="CI75" s="100"/>
      <c r="CJ75" s="28"/>
      <c r="CL75" s="89"/>
      <c r="CM75" s="97"/>
      <c r="CN75" s="97"/>
      <c r="CO75" s="97"/>
      <c r="CP75" s="97"/>
      <c r="CQ75" s="98"/>
      <c r="CR75" s="12"/>
      <c r="CS75" s="99"/>
      <c r="CT75" s="99"/>
      <c r="CU75" s="99"/>
      <c r="CV75" s="99"/>
      <c r="CW75" s="99"/>
      <c r="CX75" s="99"/>
      <c r="CY75" s="99"/>
      <c r="CZ75" s="101"/>
      <c r="DA75" s="100"/>
      <c r="DB75" s="28"/>
      <c r="DC75" s="33"/>
      <c r="DD75" s="12"/>
      <c r="DE75" s="12"/>
      <c r="DF75" s="12"/>
      <c r="DG75" s="12"/>
      <c r="DH75" s="12"/>
      <c r="DI75" s="12"/>
      <c r="DJ75" s="12"/>
      <c r="DK75" s="101"/>
      <c r="DL75" s="101"/>
      <c r="DM75" s="101"/>
      <c r="DN75" s="101"/>
      <c r="DO75" s="101"/>
      <c r="DP75" s="101"/>
      <c r="DQ75" s="101"/>
      <c r="DR75" s="101"/>
      <c r="DS75" s="101"/>
      <c r="DT75" s="101"/>
      <c r="DU75" s="100"/>
      <c r="DV75" s="28"/>
      <c r="DX75" s="12"/>
      <c r="DY75" s="12"/>
      <c r="DZ75" s="12"/>
      <c r="EA75" s="12"/>
      <c r="EB75" s="12"/>
      <c r="EC75" s="12"/>
      <c r="ED75" s="12"/>
      <c r="EE75" s="101"/>
      <c r="EF75" s="101"/>
      <c r="EG75" s="101"/>
      <c r="EH75" s="101"/>
      <c r="EI75" s="101"/>
      <c r="EJ75" s="101"/>
      <c r="EK75" s="101"/>
      <c r="EL75" s="101"/>
      <c r="EM75" s="101"/>
      <c r="EN75" s="101"/>
      <c r="EO75" s="100"/>
      <c r="EP75" s="28"/>
      <c r="ER75" s="12"/>
      <c r="ES75" s="12"/>
      <c r="ET75" s="12"/>
      <c r="EU75" s="12"/>
      <c r="EV75" s="12"/>
      <c r="EW75" s="12"/>
      <c r="EX75" s="12"/>
      <c r="EY75" s="101"/>
      <c r="EZ75" s="101"/>
      <c r="FA75" s="101"/>
      <c r="FB75" s="101"/>
      <c r="FC75" s="101"/>
      <c r="FD75" s="101"/>
      <c r="FE75" s="101"/>
      <c r="FF75" s="101"/>
      <c r="FG75" s="101"/>
      <c r="FH75" s="101"/>
      <c r="FI75" s="101"/>
      <c r="FJ75" s="101"/>
      <c r="FK75" s="101"/>
      <c r="FL75" s="101"/>
      <c r="FM75" s="101"/>
      <c r="FN75" s="101"/>
      <c r="FO75" s="101"/>
      <c r="FP75" s="101"/>
      <c r="FQ75" s="101"/>
      <c r="FR75" s="101"/>
      <c r="FS75" s="101"/>
      <c r="FT75" s="100"/>
      <c r="FU75" s="114"/>
      <c r="FW75" s="12"/>
      <c r="FX75" s="12"/>
      <c r="FY75" s="12"/>
      <c r="FZ75" s="12"/>
      <c r="GA75" s="12"/>
      <c r="GB75" s="12"/>
      <c r="GC75" s="12"/>
      <c r="GD75" s="103"/>
      <c r="GE75" s="103"/>
      <c r="GF75" s="103"/>
      <c r="GG75" s="103"/>
      <c r="GH75" s="103"/>
      <c r="GI75" s="103"/>
      <c r="GJ75" s="103"/>
      <c r="GK75" s="103"/>
      <c r="GL75" s="103"/>
      <c r="GM75" s="103"/>
      <c r="GN75" s="103"/>
      <c r="GO75" s="103"/>
      <c r="GP75" s="103"/>
      <c r="GQ75" s="100"/>
      <c r="GR75" s="114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100"/>
      <c r="HM75" s="114"/>
      <c r="HO75" s="12"/>
      <c r="HP75" s="12"/>
      <c r="HQ75" s="12"/>
      <c r="HR75" s="12"/>
      <c r="HS75" s="12"/>
      <c r="HT75" s="12"/>
      <c r="HU75" s="12"/>
      <c r="HV75" s="32"/>
      <c r="HW75" s="100"/>
      <c r="HX75" s="114"/>
      <c r="HZ75" s="12"/>
      <c r="IA75" s="12"/>
      <c r="IB75" s="12"/>
      <c r="IC75" s="12"/>
      <c r="ID75" s="12"/>
      <c r="IE75" s="12"/>
      <c r="IF75" s="12"/>
      <c r="IG75" s="32"/>
      <c r="IH75" s="93"/>
      <c r="II75" s="93"/>
      <c r="IJ75" s="93"/>
      <c r="IK75" s="93"/>
      <c r="IL75" s="93"/>
      <c r="IM75" s="100"/>
      <c r="IN75" s="114"/>
      <c r="IP75" s="12"/>
      <c r="IQ75" s="12"/>
      <c r="IR75" s="12"/>
      <c r="IS75" s="12"/>
      <c r="IT75" s="12"/>
      <c r="IU75" s="12"/>
      <c r="IV75" s="12"/>
      <c r="IW75" s="32"/>
      <c r="IX75" s="93"/>
      <c r="IY75" s="100"/>
      <c r="IZ75" s="114"/>
      <c r="JB75" s="662" t="s">
        <v>235</v>
      </c>
      <c r="JC75" s="663"/>
      <c r="JD75" s="663"/>
      <c r="JE75" s="663"/>
      <c r="JF75" s="663"/>
      <c r="JG75" s="664"/>
      <c r="JH75" s="13">
        <v>15</v>
      </c>
      <c r="JI75" s="32"/>
      <c r="JJ75" s="93"/>
      <c r="JK75" s="93"/>
      <c r="JL75" s="93"/>
      <c r="JM75" s="93"/>
      <c r="JN75" s="93"/>
      <c r="JO75" s="93"/>
      <c r="JP75" s="93"/>
      <c r="JQ75" s="93"/>
      <c r="JR75" s="93"/>
      <c r="JS75" s="93"/>
      <c r="JT75" s="93"/>
      <c r="JU75" s="93"/>
      <c r="JV75" s="93"/>
      <c r="JW75" s="93"/>
      <c r="JX75" s="93"/>
      <c r="JY75" s="93"/>
      <c r="JZ75" s="93"/>
      <c r="KA75" s="93">
        <v>17</v>
      </c>
      <c r="KB75" s="93">
        <v>1</v>
      </c>
      <c r="KC75" s="93"/>
      <c r="KD75" s="93"/>
      <c r="KE75" s="30">
        <f>SUM(JI75:KD75)</f>
        <v>18</v>
      </c>
      <c r="KF75" s="28">
        <f>KE75*JH75</f>
        <v>270</v>
      </c>
      <c r="KH75" s="666" t="s">
        <v>235</v>
      </c>
      <c r="KI75" s="667"/>
      <c r="KJ75" s="667"/>
      <c r="KK75" s="667"/>
      <c r="KL75" s="667"/>
      <c r="KM75" s="668"/>
      <c r="KN75" s="13">
        <v>15</v>
      </c>
      <c r="KO75" s="32">
        <v>4</v>
      </c>
      <c r="KP75" s="93"/>
      <c r="KQ75" s="93"/>
      <c r="KR75" s="93">
        <v>4</v>
      </c>
      <c r="KS75" s="30">
        <f>SUM(KO75:KR75)</f>
        <v>8</v>
      </c>
      <c r="KT75" s="28">
        <f>KS75*KN75</f>
        <v>120</v>
      </c>
      <c r="KV75" s="666" t="s">
        <v>235</v>
      </c>
      <c r="KW75" s="667"/>
      <c r="KX75" s="667"/>
      <c r="KY75" s="667"/>
      <c r="KZ75" s="667"/>
      <c r="LA75" s="668"/>
      <c r="LB75" s="13">
        <v>15</v>
      </c>
      <c r="LC75" s="32"/>
      <c r="LD75" s="93"/>
      <c r="LE75" s="93"/>
      <c r="LF75" s="30">
        <f>SUM(LC75:LE75)</f>
        <v>0</v>
      </c>
      <c r="LG75" s="28">
        <f>LF75*LB75</f>
        <v>0</v>
      </c>
      <c r="LI75" s="666" t="s">
        <v>235</v>
      </c>
      <c r="LJ75" s="667"/>
      <c r="LK75" s="667"/>
      <c r="LL75" s="667"/>
      <c r="LM75" s="667"/>
      <c r="LN75" s="668"/>
      <c r="LO75" s="13">
        <v>15</v>
      </c>
      <c r="LP75" s="32"/>
      <c r="LQ75" s="93"/>
      <c r="LR75" s="93"/>
      <c r="LS75" s="93"/>
      <c r="LT75" s="93"/>
      <c r="LU75" s="93"/>
      <c r="LV75" s="93"/>
      <c r="LW75" s="93"/>
      <c r="LX75" s="93"/>
      <c r="LY75" s="93">
        <v>1</v>
      </c>
      <c r="LZ75" s="93"/>
      <c r="MA75" s="93"/>
      <c r="MB75" s="93"/>
      <c r="MC75" s="93">
        <v>17</v>
      </c>
      <c r="MD75" s="93"/>
      <c r="ME75" s="30">
        <f t="shared" si="57"/>
        <v>18</v>
      </c>
      <c r="MF75" s="28">
        <f t="shared" si="54"/>
        <v>270</v>
      </c>
      <c r="MH75" s="666" t="s">
        <v>235</v>
      </c>
      <c r="MI75" s="667"/>
      <c r="MJ75" s="667"/>
      <c r="MK75" s="667"/>
      <c r="ML75" s="667"/>
      <c r="MM75" s="668"/>
      <c r="MN75" s="13">
        <v>15</v>
      </c>
      <c r="MO75" s="32"/>
      <c r="MP75" s="93"/>
      <c r="MQ75" s="93"/>
      <c r="MR75" s="93"/>
      <c r="MS75" s="93">
        <v>2</v>
      </c>
      <c r="MT75" s="93">
        <v>8</v>
      </c>
      <c r="MU75" s="93"/>
      <c r="MV75" s="93"/>
      <c r="MW75" s="93"/>
      <c r="MX75" s="93"/>
      <c r="MY75" s="93"/>
      <c r="MZ75" s="93"/>
      <c r="NA75" s="93"/>
      <c r="NB75" s="93"/>
      <c r="NC75" s="93"/>
      <c r="ND75" s="30">
        <f t="shared" si="58"/>
        <v>10</v>
      </c>
      <c r="NE75" s="28">
        <f t="shared" si="55"/>
        <v>150</v>
      </c>
      <c r="NG75" s="666" t="s">
        <v>235</v>
      </c>
      <c r="NH75" s="667"/>
      <c r="NI75" s="667"/>
      <c r="NJ75" s="667"/>
      <c r="NK75" s="667"/>
      <c r="NL75" s="668"/>
      <c r="NM75" s="13">
        <v>15</v>
      </c>
      <c r="NN75" s="93"/>
      <c r="NO75" s="93"/>
      <c r="NP75" s="93"/>
      <c r="NQ75" s="93"/>
      <c r="NR75" s="93"/>
      <c r="NS75" s="93"/>
      <c r="NT75" s="93"/>
      <c r="NU75" s="93"/>
      <c r="NV75" s="93"/>
      <c r="NW75" s="93"/>
      <c r="NX75" s="93"/>
      <c r="NY75" s="93"/>
      <c r="NZ75" s="93"/>
      <c r="OA75" s="93"/>
      <c r="OB75" s="93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47"/>
      <c r="B76" s="12"/>
      <c r="C76" s="12"/>
      <c r="D76" s="12"/>
      <c r="E76" s="12"/>
      <c r="F76" s="12"/>
      <c r="G76" s="12"/>
      <c r="H76" s="12"/>
      <c r="I76" s="12"/>
      <c r="J76" s="12"/>
      <c r="K76" s="99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99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99"/>
      <c r="AP76" s="34"/>
      <c r="AQ76" s="19"/>
      <c r="AS76" s="12"/>
      <c r="AT76" s="12"/>
      <c r="AU76" s="12"/>
      <c r="AV76" s="12"/>
      <c r="AW76" s="12"/>
      <c r="AX76" s="12"/>
      <c r="AY76" s="12"/>
      <c r="AZ76" s="99"/>
      <c r="BA76" s="99"/>
      <c r="BB76" s="99"/>
      <c r="BC76" s="99"/>
      <c r="BD76" s="100"/>
      <c r="BE76" s="28"/>
      <c r="BF76" s="25"/>
      <c r="BG76" s="12"/>
      <c r="BH76" s="12"/>
      <c r="BI76" s="12"/>
      <c r="BJ76" s="12"/>
      <c r="BK76" s="12"/>
      <c r="BL76" s="12"/>
      <c r="BM76" s="12"/>
      <c r="BN76" s="99"/>
      <c r="BO76" s="99"/>
      <c r="BP76" s="100"/>
      <c r="BQ76" s="28"/>
      <c r="BR76" s="25"/>
      <c r="BS76" s="89"/>
      <c r="BT76" s="97"/>
      <c r="BU76" s="97"/>
      <c r="BV76" s="97"/>
      <c r="BW76" s="97"/>
      <c r="BX76" s="98"/>
      <c r="BY76" s="12"/>
      <c r="BZ76" s="99"/>
      <c r="CA76" s="99"/>
      <c r="CB76" s="99"/>
      <c r="CC76" s="99"/>
      <c r="CD76" s="99"/>
      <c r="CE76" s="99"/>
      <c r="CF76" s="99"/>
      <c r="CG76" s="99"/>
      <c r="CH76" s="99"/>
      <c r="CI76" s="100"/>
      <c r="CJ76" s="28"/>
      <c r="CL76" s="89"/>
      <c r="CM76" s="97"/>
      <c r="CN76" s="97"/>
      <c r="CO76" s="97"/>
      <c r="CP76" s="97"/>
      <c r="CQ76" s="98"/>
      <c r="CR76" s="12"/>
      <c r="CS76" s="99"/>
      <c r="CT76" s="99"/>
      <c r="CU76" s="99"/>
      <c r="CV76" s="99"/>
      <c r="CW76" s="99"/>
      <c r="CX76" s="99"/>
      <c r="CY76" s="99"/>
      <c r="CZ76" s="101"/>
      <c r="DA76" s="100"/>
      <c r="DB76" s="28"/>
      <c r="DC76" s="33"/>
      <c r="DD76" s="12"/>
      <c r="DE76" s="12"/>
      <c r="DF76" s="12"/>
      <c r="DG76" s="12"/>
      <c r="DH76" s="12"/>
      <c r="DI76" s="12"/>
      <c r="DJ76" s="12"/>
      <c r="DK76" s="101"/>
      <c r="DL76" s="101"/>
      <c r="DM76" s="101"/>
      <c r="DN76" s="101"/>
      <c r="DO76" s="101"/>
      <c r="DP76" s="101"/>
      <c r="DQ76" s="101"/>
      <c r="DR76" s="101"/>
      <c r="DS76" s="101"/>
      <c r="DT76" s="101"/>
      <c r="DU76" s="100"/>
      <c r="DV76" s="28"/>
      <c r="DX76" s="12"/>
      <c r="DY76" s="12"/>
      <c r="DZ76" s="12"/>
      <c r="EA76" s="12"/>
      <c r="EB76" s="12"/>
      <c r="EC76" s="12"/>
      <c r="ED76" s="12"/>
      <c r="EE76" s="101"/>
      <c r="EF76" s="101"/>
      <c r="EG76" s="101"/>
      <c r="EH76" s="101"/>
      <c r="EI76" s="101"/>
      <c r="EJ76" s="101"/>
      <c r="EK76" s="101"/>
      <c r="EL76" s="101"/>
      <c r="EM76" s="101"/>
      <c r="EN76" s="101"/>
      <c r="EO76" s="100"/>
      <c r="EP76" s="28"/>
      <c r="ER76" s="12"/>
      <c r="ES76" s="12"/>
      <c r="ET76" s="12"/>
      <c r="EU76" s="12"/>
      <c r="EV76" s="12"/>
      <c r="EW76" s="12"/>
      <c r="EX76" s="12"/>
      <c r="EY76" s="101"/>
      <c r="EZ76" s="101"/>
      <c r="FA76" s="101"/>
      <c r="FB76" s="101"/>
      <c r="FC76" s="101"/>
      <c r="FD76" s="101"/>
      <c r="FE76" s="101"/>
      <c r="FF76" s="101"/>
      <c r="FG76" s="101"/>
      <c r="FH76" s="101"/>
      <c r="FI76" s="101"/>
      <c r="FJ76" s="101"/>
      <c r="FK76" s="101"/>
      <c r="FL76" s="101"/>
      <c r="FM76" s="101"/>
      <c r="FN76" s="101"/>
      <c r="FO76" s="101"/>
      <c r="FP76" s="101"/>
      <c r="FQ76" s="101"/>
      <c r="FR76" s="101"/>
      <c r="FS76" s="101"/>
      <c r="FT76" s="100"/>
      <c r="FU76" s="114"/>
      <c r="FW76" s="12"/>
      <c r="FX76" s="12"/>
      <c r="FY76" s="12"/>
      <c r="FZ76" s="12"/>
      <c r="GA76" s="12"/>
      <c r="GB76" s="12"/>
      <c r="GC76" s="12"/>
      <c r="GD76" s="103"/>
      <c r="GE76" s="103"/>
      <c r="GF76" s="103"/>
      <c r="GG76" s="103"/>
      <c r="GH76" s="103"/>
      <c r="GI76" s="103"/>
      <c r="GJ76" s="103"/>
      <c r="GK76" s="103"/>
      <c r="GL76" s="103"/>
      <c r="GM76" s="103"/>
      <c r="GN76" s="103"/>
      <c r="GO76" s="103"/>
      <c r="GP76" s="103"/>
      <c r="GQ76" s="100"/>
      <c r="GR76" s="114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100"/>
      <c r="HM76" s="114"/>
      <c r="HO76" s="12"/>
      <c r="HP76" s="12"/>
      <c r="HQ76" s="12"/>
      <c r="HR76" s="12"/>
      <c r="HS76" s="12"/>
      <c r="HT76" s="12"/>
      <c r="HU76" s="12"/>
      <c r="HV76" s="32"/>
      <c r="HW76" s="100"/>
      <c r="HX76" s="114"/>
      <c r="HZ76" s="12"/>
      <c r="IA76" s="12"/>
      <c r="IB76" s="12"/>
      <c r="IC76" s="12"/>
      <c r="ID76" s="12"/>
      <c r="IE76" s="12"/>
      <c r="IF76" s="12"/>
      <c r="IG76" s="32"/>
      <c r="IH76" s="93"/>
      <c r="II76" s="93"/>
      <c r="IJ76" s="93"/>
      <c r="IK76" s="93"/>
      <c r="IL76" s="93"/>
      <c r="IM76" s="100"/>
      <c r="IN76" s="114"/>
      <c r="IP76" s="12"/>
      <c r="IQ76" s="12"/>
      <c r="IR76" s="12"/>
      <c r="IS76" s="12"/>
      <c r="IT76" s="12"/>
      <c r="IU76" s="12"/>
      <c r="IV76" s="12"/>
      <c r="IW76" s="32"/>
      <c r="IX76" s="93"/>
      <c r="IY76" s="100"/>
      <c r="IZ76" s="114"/>
      <c r="JB76" s="12"/>
      <c r="JC76" s="12"/>
      <c r="JD76" s="12"/>
      <c r="JE76" s="12"/>
      <c r="JF76" s="12"/>
      <c r="JG76" s="12"/>
      <c r="JH76" s="12"/>
      <c r="JI76" s="32"/>
      <c r="JJ76" s="93"/>
      <c r="JK76" s="93"/>
      <c r="JL76" s="93"/>
      <c r="JM76" s="93"/>
      <c r="JN76" s="93"/>
      <c r="JO76" s="93"/>
      <c r="JP76" s="93"/>
      <c r="JQ76" s="93"/>
      <c r="JR76" s="93"/>
      <c r="JS76" s="93"/>
      <c r="JT76" s="93"/>
      <c r="JU76" s="93"/>
      <c r="JV76" s="93"/>
      <c r="JW76" s="93"/>
      <c r="JX76" s="93"/>
      <c r="JY76" s="93"/>
      <c r="JZ76" s="93"/>
      <c r="KA76" s="93"/>
      <c r="KB76" s="93"/>
      <c r="KC76" s="93"/>
      <c r="KD76" s="101"/>
      <c r="KE76" s="100"/>
      <c r="KF76" s="114"/>
      <c r="KH76" s="12"/>
      <c r="KI76" s="12"/>
      <c r="KJ76" s="12"/>
      <c r="KK76" s="12"/>
      <c r="KL76" s="12"/>
      <c r="KM76" s="12"/>
      <c r="KN76" s="12"/>
      <c r="KO76" s="192"/>
      <c r="KP76" s="193"/>
      <c r="KQ76" s="193"/>
      <c r="KR76" s="193"/>
      <c r="KS76" s="100"/>
      <c r="KT76" s="114"/>
      <c r="KV76" s="669" t="s">
        <v>260</v>
      </c>
      <c r="KW76" s="670"/>
      <c r="KX76" s="670"/>
      <c r="KY76" s="670"/>
      <c r="KZ76" s="670"/>
      <c r="LA76" s="671"/>
      <c r="LB76" s="28">
        <v>9</v>
      </c>
      <c r="LC76" s="51">
        <v>1</v>
      </c>
      <c r="LD76" s="73"/>
      <c r="LE76" s="73"/>
      <c r="LF76" s="30">
        <f t="shared" ref="LF76:LF90" si="61">SUM(LC76:LE76)</f>
        <v>1</v>
      </c>
      <c r="LG76" s="28">
        <f t="shared" ref="LG76:LG90" si="62">LF76*LB76</f>
        <v>9</v>
      </c>
      <c r="LI76" s="669" t="s">
        <v>260</v>
      </c>
      <c r="LJ76" s="670"/>
      <c r="LK76" s="670"/>
      <c r="LL76" s="670"/>
      <c r="LM76" s="670"/>
      <c r="LN76" s="671"/>
      <c r="LO76" s="28">
        <v>9</v>
      </c>
      <c r="LP76" s="51"/>
      <c r="LQ76" s="73"/>
      <c r="LR76" s="73"/>
      <c r="LS76" s="73"/>
      <c r="LT76" s="73"/>
      <c r="LU76" s="73"/>
      <c r="LV76" s="73"/>
      <c r="LW76" s="73"/>
      <c r="LX76" s="73"/>
      <c r="LY76" s="73"/>
      <c r="LZ76" s="73"/>
      <c r="MA76" s="73"/>
      <c r="MB76" s="73"/>
      <c r="MC76" s="73"/>
      <c r="MD76" s="73"/>
      <c r="ME76" s="30">
        <f t="shared" si="57"/>
        <v>0</v>
      </c>
      <c r="MF76" s="28">
        <f t="shared" si="54"/>
        <v>0</v>
      </c>
      <c r="MH76" s="669" t="s">
        <v>260</v>
      </c>
      <c r="MI76" s="670"/>
      <c r="MJ76" s="670"/>
      <c r="MK76" s="670"/>
      <c r="ML76" s="670"/>
      <c r="MM76" s="671"/>
      <c r="MN76" s="28">
        <v>9</v>
      </c>
      <c r="MO76" s="51"/>
      <c r="MP76" s="73"/>
      <c r="MQ76" s="73"/>
      <c r="MR76" s="73"/>
      <c r="MS76" s="73"/>
      <c r="MT76" s="73"/>
      <c r="MU76" s="73"/>
      <c r="MV76" s="73"/>
      <c r="MW76" s="73"/>
      <c r="MX76" s="73"/>
      <c r="MY76" s="73"/>
      <c r="MZ76" s="73"/>
      <c r="NA76" s="73"/>
      <c r="NB76" s="73"/>
      <c r="NC76" s="73"/>
      <c r="ND76" s="30">
        <f t="shared" si="58"/>
        <v>0</v>
      </c>
      <c r="NE76" s="28">
        <f t="shared" si="55"/>
        <v>0</v>
      </c>
      <c r="NG76" s="669" t="s">
        <v>260</v>
      </c>
      <c r="NH76" s="670"/>
      <c r="NI76" s="670"/>
      <c r="NJ76" s="670"/>
      <c r="NK76" s="670"/>
      <c r="NL76" s="671"/>
      <c r="NM76" s="28">
        <v>9</v>
      </c>
      <c r="NN76" s="73"/>
      <c r="NO76" s="73"/>
      <c r="NP76" s="73"/>
      <c r="NQ76" s="73"/>
      <c r="NR76" s="73"/>
      <c r="NS76" s="73"/>
      <c r="NT76" s="73"/>
      <c r="NU76" s="73"/>
      <c r="NV76" s="73"/>
      <c r="NW76" s="73"/>
      <c r="NX76" s="73"/>
      <c r="NY76" s="73"/>
      <c r="NZ76" s="73"/>
      <c r="OA76" s="73"/>
      <c r="OB76" s="73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47"/>
      <c r="B77" s="12"/>
      <c r="C77" s="12"/>
      <c r="D77" s="12"/>
      <c r="E77" s="12"/>
      <c r="F77" s="12"/>
      <c r="G77" s="12"/>
      <c r="H77" s="12"/>
      <c r="I77" s="12"/>
      <c r="J77" s="12"/>
      <c r="K77" s="99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99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99"/>
      <c r="AP77" s="34"/>
      <c r="AQ77" s="19"/>
      <c r="AS77" s="12"/>
      <c r="AT77" s="12"/>
      <c r="AU77" s="12"/>
      <c r="AV77" s="12"/>
      <c r="AW77" s="12"/>
      <c r="AX77" s="12"/>
      <c r="AY77" s="12"/>
      <c r="AZ77" s="99"/>
      <c r="BA77" s="99"/>
      <c r="BB77" s="99"/>
      <c r="BC77" s="99"/>
      <c r="BD77" s="100"/>
      <c r="BE77" s="28"/>
      <c r="BF77" s="25"/>
      <c r="BG77" s="12"/>
      <c r="BH77" s="12"/>
      <c r="BI77" s="12"/>
      <c r="BJ77" s="12"/>
      <c r="BK77" s="12"/>
      <c r="BL77" s="12"/>
      <c r="BM77" s="12"/>
      <c r="BN77" s="99"/>
      <c r="BO77" s="99"/>
      <c r="BP77" s="100"/>
      <c r="BQ77" s="28"/>
      <c r="BR77" s="25"/>
      <c r="BS77" s="89"/>
      <c r="BT77" s="97"/>
      <c r="BU77" s="97"/>
      <c r="BV77" s="97"/>
      <c r="BW77" s="97"/>
      <c r="BX77" s="98"/>
      <c r="BY77" s="12"/>
      <c r="BZ77" s="99"/>
      <c r="CA77" s="99"/>
      <c r="CB77" s="99"/>
      <c r="CC77" s="99"/>
      <c r="CD77" s="99"/>
      <c r="CE77" s="99"/>
      <c r="CF77" s="99"/>
      <c r="CG77" s="99"/>
      <c r="CH77" s="99"/>
      <c r="CI77" s="100"/>
      <c r="CJ77" s="28"/>
      <c r="CL77" s="89"/>
      <c r="CM77" s="97"/>
      <c r="CN77" s="97"/>
      <c r="CO77" s="97"/>
      <c r="CP77" s="97"/>
      <c r="CQ77" s="98"/>
      <c r="CR77" s="12"/>
      <c r="CS77" s="99"/>
      <c r="CT77" s="99"/>
      <c r="CU77" s="99"/>
      <c r="CV77" s="99"/>
      <c r="CW77" s="99"/>
      <c r="CX77" s="99"/>
      <c r="CY77" s="99"/>
      <c r="CZ77" s="101"/>
      <c r="DA77" s="100"/>
      <c r="DB77" s="28"/>
      <c r="DC77" s="33"/>
      <c r="DD77" s="12"/>
      <c r="DE77" s="12"/>
      <c r="DF77" s="12"/>
      <c r="DG77" s="12"/>
      <c r="DH77" s="12"/>
      <c r="DI77" s="12"/>
      <c r="DJ77" s="12"/>
      <c r="DK77" s="101"/>
      <c r="DL77" s="101"/>
      <c r="DM77" s="101"/>
      <c r="DN77" s="101"/>
      <c r="DO77" s="101"/>
      <c r="DP77" s="101"/>
      <c r="DQ77" s="101"/>
      <c r="DR77" s="101"/>
      <c r="DS77" s="101"/>
      <c r="DT77" s="101"/>
      <c r="DU77" s="100"/>
      <c r="DV77" s="28"/>
      <c r="DX77" s="12"/>
      <c r="DY77" s="12"/>
      <c r="DZ77" s="12"/>
      <c r="EA77" s="12"/>
      <c r="EB77" s="12"/>
      <c r="EC77" s="12"/>
      <c r="ED77" s="12"/>
      <c r="EE77" s="101"/>
      <c r="EF77" s="101"/>
      <c r="EG77" s="101"/>
      <c r="EH77" s="101"/>
      <c r="EI77" s="101"/>
      <c r="EJ77" s="101"/>
      <c r="EK77" s="101"/>
      <c r="EL77" s="101"/>
      <c r="EM77" s="101"/>
      <c r="EN77" s="101"/>
      <c r="EO77" s="100"/>
      <c r="EP77" s="28"/>
      <c r="ER77" s="12"/>
      <c r="ES77" s="12"/>
      <c r="ET77" s="12"/>
      <c r="EU77" s="12"/>
      <c r="EV77" s="12"/>
      <c r="EW77" s="12"/>
      <c r="EX77" s="12"/>
      <c r="EY77" s="101"/>
      <c r="EZ77" s="101"/>
      <c r="FA77" s="101"/>
      <c r="FB77" s="101"/>
      <c r="FC77" s="101"/>
      <c r="FD77" s="101"/>
      <c r="FE77" s="101"/>
      <c r="FF77" s="101"/>
      <c r="FG77" s="101"/>
      <c r="FH77" s="101"/>
      <c r="FI77" s="101"/>
      <c r="FJ77" s="101"/>
      <c r="FK77" s="101"/>
      <c r="FL77" s="101"/>
      <c r="FM77" s="101"/>
      <c r="FN77" s="101"/>
      <c r="FO77" s="101"/>
      <c r="FP77" s="101"/>
      <c r="FQ77" s="101"/>
      <c r="FR77" s="101"/>
      <c r="FS77" s="101"/>
      <c r="FT77" s="100"/>
      <c r="FU77" s="114"/>
      <c r="FW77" s="12"/>
      <c r="FX77" s="12"/>
      <c r="FY77" s="12"/>
      <c r="FZ77" s="12"/>
      <c r="GA77" s="12"/>
      <c r="GB77" s="12"/>
      <c r="GC77" s="12"/>
      <c r="GD77" s="103"/>
      <c r="GE77" s="103"/>
      <c r="GF77" s="103"/>
      <c r="GG77" s="103"/>
      <c r="GH77" s="103"/>
      <c r="GI77" s="103"/>
      <c r="GJ77" s="103"/>
      <c r="GK77" s="103"/>
      <c r="GL77" s="103"/>
      <c r="GM77" s="103"/>
      <c r="GN77" s="103"/>
      <c r="GO77" s="103"/>
      <c r="GP77" s="103"/>
      <c r="GQ77" s="100"/>
      <c r="GR77" s="114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100"/>
      <c r="HM77" s="114"/>
      <c r="HO77" s="12"/>
      <c r="HP77" s="12"/>
      <c r="HQ77" s="12"/>
      <c r="HR77" s="12"/>
      <c r="HS77" s="12"/>
      <c r="HT77" s="12"/>
      <c r="HU77" s="12"/>
      <c r="HV77" s="32"/>
      <c r="HW77" s="100"/>
      <c r="HX77" s="114"/>
      <c r="HZ77" s="12"/>
      <c r="IA77" s="12"/>
      <c r="IB77" s="12"/>
      <c r="IC77" s="12"/>
      <c r="ID77" s="12"/>
      <c r="IE77" s="12"/>
      <c r="IF77" s="12"/>
      <c r="IG77" s="32"/>
      <c r="IH77" s="93"/>
      <c r="II77" s="93"/>
      <c r="IJ77" s="93"/>
      <c r="IK77" s="93"/>
      <c r="IL77" s="93"/>
      <c r="IM77" s="100"/>
      <c r="IN77" s="114"/>
      <c r="IP77" s="12"/>
      <c r="IQ77" s="12"/>
      <c r="IR77" s="12"/>
      <c r="IS77" s="12"/>
      <c r="IT77" s="12"/>
      <c r="IU77" s="12"/>
      <c r="IV77" s="12"/>
      <c r="IW77" s="32"/>
      <c r="IX77" s="93"/>
      <c r="IY77" s="100"/>
      <c r="IZ77" s="114"/>
      <c r="JB77" s="12"/>
      <c r="JC77" s="12"/>
      <c r="JD77" s="12"/>
      <c r="JE77" s="12"/>
      <c r="JF77" s="12"/>
      <c r="JG77" s="12"/>
      <c r="JH77" s="12"/>
      <c r="JI77" s="32"/>
      <c r="JJ77" s="93"/>
      <c r="JK77" s="93"/>
      <c r="JL77" s="93"/>
      <c r="JM77" s="93"/>
      <c r="JN77" s="93"/>
      <c r="JO77" s="93"/>
      <c r="JP77" s="93"/>
      <c r="JQ77" s="93"/>
      <c r="JR77" s="93"/>
      <c r="JS77" s="93"/>
      <c r="JT77" s="93"/>
      <c r="JU77" s="93"/>
      <c r="JV77" s="93"/>
      <c r="JW77" s="93"/>
      <c r="JX77" s="93"/>
      <c r="JY77" s="93"/>
      <c r="JZ77" s="93"/>
      <c r="KA77" s="93"/>
      <c r="KB77" s="93"/>
      <c r="KC77" s="93"/>
      <c r="KD77" s="101"/>
      <c r="KE77" s="100"/>
      <c r="KF77" s="114"/>
      <c r="KH77" s="12"/>
      <c r="KI77" s="12"/>
      <c r="KJ77" s="12"/>
      <c r="KK77" s="12"/>
      <c r="KL77" s="12"/>
      <c r="KM77" s="12"/>
      <c r="KN77" s="12"/>
      <c r="KO77" s="192"/>
      <c r="KP77" s="193"/>
      <c r="KQ77" s="193"/>
      <c r="KR77" s="193"/>
      <c r="KS77" s="100"/>
      <c r="KT77" s="114"/>
      <c r="KV77" s="647" t="s">
        <v>246</v>
      </c>
      <c r="KW77" s="648"/>
      <c r="KX77" s="648"/>
      <c r="KY77" s="648"/>
      <c r="KZ77" s="648"/>
      <c r="LA77" s="649"/>
      <c r="LB77" s="13">
        <v>13</v>
      </c>
      <c r="LC77" s="32"/>
      <c r="LD77" s="93"/>
      <c r="LE77" s="93"/>
      <c r="LF77" s="30">
        <f t="shared" si="61"/>
        <v>0</v>
      </c>
      <c r="LG77" s="28">
        <f t="shared" si="62"/>
        <v>0</v>
      </c>
      <c r="LI77" s="647" t="s">
        <v>246</v>
      </c>
      <c r="LJ77" s="648"/>
      <c r="LK77" s="648"/>
      <c r="LL77" s="648"/>
      <c r="LM77" s="648"/>
      <c r="LN77" s="649"/>
      <c r="LO77" s="13">
        <v>13</v>
      </c>
      <c r="LP77" s="32"/>
      <c r="LQ77" s="93"/>
      <c r="LR77" s="93"/>
      <c r="LS77" s="93"/>
      <c r="LT77" s="93"/>
      <c r="LU77" s="93"/>
      <c r="LV77" s="93"/>
      <c r="LW77" s="93"/>
      <c r="LX77" s="93"/>
      <c r="LY77" s="93"/>
      <c r="LZ77" s="93"/>
      <c r="MA77" s="93"/>
      <c r="MB77" s="93"/>
      <c r="MC77" s="93"/>
      <c r="MD77" s="93"/>
      <c r="ME77" s="30">
        <f t="shared" si="57"/>
        <v>0</v>
      </c>
      <c r="MF77" s="28">
        <f t="shared" si="54"/>
        <v>0</v>
      </c>
      <c r="MH77" s="647" t="s">
        <v>246</v>
      </c>
      <c r="MI77" s="648"/>
      <c r="MJ77" s="648"/>
      <c r="MK77" s="648"/>
      <c r="ML77" s="648"/>
      <c r="MM77" s="649"/>
      <c r="MN77" s="13">
        <v>13</v>
      </c>
      <c r="MO77" s="32"/>
      <c r="MP77" s="93"/>
      <c r="MQ77" s="93"/>
      <c r="MR77" s="93"/>
      <c r="MS77" s="93"/>
      <c r="MT77" s="93"/>
      <c r="MU77" s="93"/>
      <c r="MV77" s="93"/>
      <c r="MW77" s="93"/>
      <c r="MX77" s="93"/>
      <c r="MY77" s="93"/>
      <c r="MZ77" s="93"/>
      <c r="NA77" s="93"/>
      <c r="NB77" s="93"/>
      <c r="NC77" s="93"/>
      <c r="ND77" s="30">
        <f t="shared" si="58"/>
        <v>0</v>
      </c>
      <c r="NE77" s="28">
        <f t="shared" si="55"/>
        <v>0</v>
      </c>
      <c r="NG77" s="647" t="s">
        <v>246</v>
      </c>
      <c r="NH77" s="648"/>
      <c r="NI77" s="648"/>
      <c r="NJ77" s="648"/>
      <c r="NK77" s="648"/>
      <c r="NL77" s="649"/>
      <c r="NM77" s="13">
        <v>13</v>
      </c>
      <c r="NN77" s="93"/>
      <c r="NO77" s="93"/>
      <c r="NP77" s="93"/>
      <c r="NQ77" s="93"/>
      <c r="NR77" s="93"/>
      <c r="NS77" s="93">
        <v>5</v>
      </c>
      <c r="NT77" s="93"/>
      <c r="NU77" s="93"/>
      <c r="NV77" s="93"/>
      <c r="NW77" s="93"/>
      <c r="NX77" s="93"/>
      <c r="NY77" s="93"/>
      <c r="NZ77" s="93"/>
      <c r="OA77" s="93"/>
      <c r="OB77" s="93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47"/>
      <c r="B78" s="12"/>
      <c r="C78" s="12"/>
      <c r="D78" s="12"/>
      <c r="E78" s="12"/>
      <c r="F78" s="12"/>
      <c r="G78" s="12"/>
      <c r="H78" s="12"/>
      <c r="I78" s="12"/>
      <c r="J78" s="12"/>
      <c r="K78" s="99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99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99"/>
      <c r="AP78" s="34"/>
      <c r="AQ78" s="19"/>
      <c r="AS78" s="12"/>
      <c r="AT78" s="12"/>
      <c r="AU78" s="12"/>
      <c r="AV78" s="12"/>
      <c r="AW78" s="12"/>
      <c r="AX78" s="12"/>
      <c r="AY78" s="12"/>
      <c r="AZ78" s="99"/>
      <c r="BA78" s="99"/>
      <c r="BB78" s="99"/>
      <c r="BC78" s="99"/>
      <c r="BD78" s="100"/>
      <c r="BE78" s="28"/>
      <c r="BF78" s="25"/>
      <c r="BG78" s="12"/>
      <c r="BH78" s="12"/>
      <c r="BI78" s="12"/>
      <c r="BJ78" s="12"/>
      <c r="BK78" s="12"/>
      <c r="BL78" s="12"/>
      <c r="BM78" s="12"/>
      <c r="BN78" s="99"/>
      <c r="BO78" s="99"/>
      <c r="BP78" s="100"/>
      <c r="BQ78" s="28"/>
      <c r="BR78" s="25"/>
      <c r="BS78" s="89"/>
      <c r="BT78" s="97"/>
      <c r="BU78" s="97"/>
      <c r="BV78" s="97"/>
      <c r="BW78" s="97"/>
      <c r="BX78" s="98"/>
      <c r="BY78" s="12"/>
      <c r="BZ78" s="99"/>
      <c r="CA78" s="99"/>
      <c r="CB78" s="99"/>
      <c r="CC78" s="99"/>
      <c r="CD78" s="99"/>
      <c r="CE78" s="99"/>
      <c r="CF78" s="99"/>
      <c r="CG78" s="99"/>
      <c r="CH78" s="99"/>
      <c r="CI78" s="100"/>
      <c r="CJ78" s="28"/>
      <c r="CL78" s="89"/>
      <c r="CM78" s="97"/>
      <c r="CN78" s="97"/>
      <c r="CO78" s="97"/>
      <c r="CP78" s="97"/>
      <c r="CQ78" s="98"/>
      <c r="CR78" s="12"/>
      <c r="CS78" s="99"/>
      <c r="CT78" s="99"/>
      <c r="CU78" s="99"/>
      <c r="CV78" s="99"/>
      <c r="CW78" s="99"/>
      <c r="CX78" s="99"/>
      <c r="CY78" s="99"/>
      <c r="CZ78" s="101"/>
      <c r="DA78" s="100"/>
      <c r="DB78" s="28"/>
      <c r="DC78" s="33"/>
      <c r="DD78" s="12"/>
      <c r="DE78" s="12"/>
      <c r="DF78" s="12"/>
      <c r="DG78" s="12"/>
      <c r="DH78" s="12"/>
      <c r="DI78" s="12"/>
      <c r="DJ78" s="12"/>
      <c r="DK78" s="101"/>
      <c r="DL78" s="101"/>
      <c r="DM78" s="101"/>
      <c r="DN78" s="101"/>
      <c r="DO78" s="101"/>
      <c r="DP78" s="101"/>
      <c r="DQ78" s="101"/>
      <c r="DR78" s="101"/>
      <c r="DS78" s="101"/>
      <c r="DT78" s="101"/>
      <c r="DU78" s="100"/>
      <c r="DV78" s="28"/>
      <c r="DX78" s="12"/>
      <c r="DY78" s="12"/>
      <c r="DZ78" s="12"/>
      <c r="EA78" s="12"/>
      <c r="EB78" s="12"/>
      <c r="EC78" s="12"/>
      <c r="ED78" s="12"/>
      <c r="EE78" s="101"/>
      <c r="EF78" s="101"/>
      <c r="EG78" s="101"/>
      <c r="EH78" s="101"/>
      <c r="EI78" s="101"/>
      <c r="EJ78" s="101"/>
      <c r="EK78" s="101"/>
      <c r="EL78" s="101"/>
      <c r="EM78" s="101"/>
      <c r="EN78" s="101"/>
      <c r="EO78" s="100"/>
      <c r="EP78" s="28"/>
      <c r="ER78" s="12"/>
      <c r="ES78" s="12"/>
      <c r="ET78" s="12"/>
      <c r="EU78" s="12"/>
      <c r="EV78" s="12"/>
      <c r="EW78" s="12"/>
      <c r="EX78" s="12"/>
      <c r="EY78" s="101"/>
      <c r="EZ78" s="101"/>
      <c r="FA78" s="101"/>
      <c r="FB78" s="101"/>
      <c r="FC78" s="101"/>
      <c r="FD78" s="101"/>
      <c r="FE78" s="101"/>
      <c r="FF78" s="101"/>
      <c r="FG78" s="101"/>
      <c r="FH78" s="101"/>
      <c r="FI78" s="101"/>
      <c r="FJ78" s="101"/>
      <c r="FK78" s="101"/>
      <c r="FL78" s="101"/>
      <c r="FM78" s="101"/>
      <c r="FN78" s="101"/>
      <c r="FO78" s="101"/>
      <c r="FP78" s="101"/>
      <c r="FQ78" s="101"/>
      <c r="FR78" s="101"/>
      <c r="FS78" s="101"/>
      <c r="FT78" s="100"/>
      <c r="FU78" s="114"/>
      <c r="FW78" s="12"/>
      <c r="FX78" s="12"/>
      <c r="FY78" s="12"/>
      <c r="FZ78" s="12"/>
      <c r="GA78" s="12"/>
      <c r="GB78" s="12"/>
      <c r="GC78" s="12"/>
      <c r="GD78" s="103"/>
      <c r="GE78" s="103"/>
      <c r="GF78" s="103"/>
      <c r="GG78" s="103"/>
      <c r="GH78" s="103"/>
      <c r="GI78" s="103"/>
      <c r="GJ78" s="103"/>
      <c r="GK78" s="103"/>
      <c r="GL78" s="103"/>
      <c r="GM78" s="103"/>
      <c r="GN78" s="103"/>
      <c r="GO78" s="103"/>
      <c r="GP78" s="103"/>
      <c r="GQ78" s="100"/>
      <c r="GR78" s="114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100"/>
      <c r="HM78" s="114"/>
      <c r="HO78" s="12"/>
      <c r="HP78" s="12"/>
      <c r="HQ78" s="12"/>
      <c r="HR78" s="12"/>
      <c r="HS78" s="12"/>
      <c r="HT78" s="12"/>
      <c r="HU78" s="12"/>
      <c r="HV78" s="32"/>
      <c r="HW78" s="100"/>
      <c r="HX78" s="114"/>
      <c r="HZ78" s="12"/>
      <c r="IA78" s="12"/>
      <c r="IB78" s="12"/>
      <c r="IC78" s="12"/>
      <c r="ID78" s="12"/>
      <c r="IE78" s="12"/>
      <c r="IF78" s="12"/>
      <c r="IG78" s="32"/>
      <c r="IH78" s="93"/>
      <c r="II78" s="93"/>
      <c r="IJ78" s="93"/>
      <c r="IK78" s="93"/>
      <c r="IL78" s="93"/>
      <c r="IM78" s="100"/>
      <c r="IN78" s="114"/>
      <c r="IP78" s="12"/>
      <c r="IQ78" s="12"/>
      <c r="IR78" s="12"/>
      <c r="IS78" s="12"/>
      <c r="IT78" s="12"/>
      <c r="IU78" s="12"/>
      <c r="IV78" s="12"/>
      <c r="IW78" s="32"/>
      <c r="IX78" s="93"/>
      <c r="IY78" s="100"/>
      <c r="IZ78" s="114"/>
      <c r="JB78" s="12"/>
      <c r="JC78" s="12"/>
      <c r="JD78" s="12"/>
      <c r="JE78" s="12"/>
      <c r="JF78" s="12"/>
      <c r="JG78" s="12"/>
      <c r="JH78" s="12"/>
      <c r="JI78" s="32"/>
      <c r="JJ78" s="93"/>
      <c r="JK78" s="93"/>
      <c r="JL78" s="93"/>
      <c r="JM78" s="93"/>
      <c r="JN78" s="93"/>
      <c r="JO78" s="93"/>
      <c r="JP78" s="93"/>
      <c r="JQ78" s="93"/>
      <c r="JR78" s="93"/>
      <c r="JS78" s="93"/>
      <c r="JT78" s="93"/>
      <c r="JU78" s="93"/>
      <c r="JV78" s="93"/>
      <c r="JW78" s="93"/>
      <c r="JX78" s="93"/>
      <c r="JY78" s="93"/>
      <c r="JZ78" s="93"/>
      <c r="KA78" s="93"/>
      <c r="KB78" s="93"/>
      <c r="KC78" s="93"/>
      <c r="KD78" s="101"/>
      <c r="KE78" s="100"/>
      <c r="KF78" s="114"/>
      <c r="KH78" s="12"/>
      <c r="KI78" s="12"/>
      <c r="KJ78" s="12"/>
      <c r="KK78" s="12"/>
      <c r="KL78" s="12"/>
      <c r="KM78" s="12"/>
      <c r="KN78" s="12"/>
      <c r="KO78" s="192"/>
      <c r="KP78" s="193"/>
      <c r="KQ78" s="193"/>
      <c r="KR78" s="193"/>
      <c r="KS78" s="100"/>
      <c r="KT78" s="114"/>
      <c r="KV78" s="650" t="s">
        <v>247</v>
      </c>
      <c r="KW78" s="651"/>
      <c r="KX78" s="651"/>
      <c r="KY78" s="651"/>
      <c r="KZ78" s="651"/>
      <c r="LA78" s="652"/>
      <c r="LB78" s="28">
        <v>10</v>
      </c>
      <c r="LC78" s="51"/>
      <c r="LD78" s="73"/>
      <c r="LE78" s="73"/>
      <c r="LF78" s="30">
        <f t="shared" si="61"/>
        <v>0</v>
      </c>
      <c r="LG78" s="28">
        <f t="shared" si="62"/>
        <v>0</v>
      </c>
      <c r="LI78" s="650" t="s">
        <v>247</v>
      </c>
      <c r="LJ78" s="651"/>
      <c r="LK78" s="651"/>
      <c r="LL78" s="651"/>
      <c r="LM78" s="651"/>
      <c r="LN78" s="652"/>
      <c r="LO78" s="28">
        <v>10</v>
      </c>
      <c r="LP78" s="51"/>
      <c r="LQ78" s="73"/>
      <c r="LR78" s="73"/>
      <c r="LS78" s="73"/>
      <c r="LT78" s="73"/>
      <c r="LU78" s="73"/>
      <c r="LV78" s="73"/>
      <c r="LW78" s="73"/>
      <c r="LX78" s="73"/>
      <c r="LY78" s="73"/>
      <c r="LZ78" s="73"/>
      <c r="MA78" s="73"/>
      <c r="MB78" s="73"/>
      <c r="MC78" s="73"/>
      <c r="MD78" s="73"/>
      <c r="ME78" s="30">
        <f t="shared" si="57"/>
        <v>0</v>
      </c>
      <c r="MF78" s="28">
        <f t="shared" si="54"/>
        <v>0</v>
      </c>
      <c r="MH78" s="650" t="s">
        <v>247</v>
      </c>
      <c r="MI78" s="651"/>
      <c r="MJ78" s="651"/>
      <c r="MK78" s="651"/>
      <c r="ML78" s="651"/>
      <c r="MM78" s="652"/>
      <c r="MN78" s="28">
        <v>10</v>
      </c>
      <c r="MO78" s="51"/>
      <c r="MP78" s="73"/>
      <c r="MQ78" s="73"/>
      <c r="MR78" s="73"/>
      <c r="MS78" s="73"/>
      <c r="MT78" s="73"/>
      <c r="MU78" s="73"/>
      <c r="MV78" s="73"/>
      <c r="MW78" s="73"/>
      <c r="MX78" s="73"/>
      <c r="MY78" s="73"/>
      <c r="MZ78" s="73"/>
      <c r="NA78" s="73"/>
      <c r="NB78" s="73"/>
      <c r="NC78" s="73"/>
      <c r="ND78" s="30">
        <f t="shared" si="58"/>
        <v>0</v>
      </c>
      <c r="NE78" s="28">
        <f t="shared" si="55"/>
        <v>0</v>
      </c>
      <c r="NG78" s="650" t="s">
        <v>247</v>
      </c>
      <c r="NH78" s="651"/>
      <c r="NI78" s="651"/>
      <c r="NJ78" s="651"/>
      <c r="NK78" s="651"/>
      <c r="NL78" s="652"/>
      <c r="NM78" s="28">
        <v>10</v>
      </c>
      <c r="NN78" s="73"/>
      <c r="NO78" s="73"/>
      <c r="NP78" s="73"/>
      <c r="NQ78" s="73"/>
      <c r="NR78" s="73"/>
      <c r="NS78" s="73"/>
      <c r="NT78" s="73">
        <v>8</v>
      </c>
      <c r="NU78" s="73"/>
      <c r="NV78" s="73"/>
      <c r="NW78" s="73"/>
      <c r="NX78" s="73"/>
      <c r="NY78" s="73"/>
      <c r="NZ78" s="73"/>
      <c r="OA78" s="73"/>
      <c r="OB78" s="73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47"/>
      <c r="B79" s="12"/>
      <c r="C79" s="12"/>
      <c r="D79" s="12"/>
      <c r="E79" s="12"/>
      <c r="F79" s="12"/>
      <c r="G79" s="12"/>
      <c r="H79" s="12"/>
      <c r="I79" s="12"/>
      <c r="J79" s="12"/>
      <c r="K79" s="99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99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99"/>
      <c r="AP79" s="34"/>
      <c r="AQ79" s="19"/>
      <c r="AS79" s="12"/>
      <c r="AT79" s="12"/>
      <c r="AU79" s="12"/>
      <c r="AV79" s="12"/>
      <c r="AW79" s="12"/>
      <c r="AX79" s="12"/>
      <c r="AY79" s="12"/>
      <c r="AZ79" s="99"/>
      <c r="BA79" s="99"/>
      <c r="BB79" s="99"/>
      <c r="BC79" s="99"/>
      <c r="BD79" s="100"/>
      <c r="BE79" s="28"/>
      <c r="BF79" s="25"/>
      <c r="BG79" s="12"/>
      <c r="BH79" s="12"/>
      <c r="BI79" s="12"/>
      <c r="BJ79" s="12"/>
      <c r="BK79" s="12"/>
      <c r="BL79" s="12"/>
      <c r="BM79" s="12"/>
      <c r="BN79" s="99"/>
      <c r="BO79" s="99"/>
      <c r="BP79" s="100"/>
      <c r="BQ79" s="28"/>
      <c r="BR79" s="25"/>
      <c r="BS79" s="89"/>
      <c r="BT79" s="97"/>
      <c r="BU79" s="97"/>
      <c r="BV79" s="97"/>
      <c r="BW79" s="97"/>
      <c r="BX79" s="98"/>
      <c r="BY79" s="12"/>
      <c r="BZ79" s="99"/>
      <c r="CA79" s="99"/>
      <c r="CB79" s="99"/>
      <c r="CC79" s="99"/>
      <c r="CD79" s="99"/>
      <c r="CE79" s="99"/>
      <c r="CF79" s="99"/>
      <c r="CG79" s="99"/>
      <c r="CH79" s="99"/>
      <c r="CI79" s="100"/>
      <c r="CJ79" s="28"/>
      <c r="CL79" s="89"/>
      <c r="CM79" s="97"/>
      <c r="CN79" s="97"/>
      <c r="CO79" s="97"/>
      <c r="CP79" s="97"/>
      <c r="CQ79" s="98"/>
      <c r="CR79" s="12"/>
      <c r="CS79" s="99"/>
      <c r="CT79" s="99"/>
      <c r="CU79" s="99"/>
      <c r="CV79" s="99"/>
      <c r="CW79" s="99"/>
      <c r="CX79" s="99"/>
      <c r="CY79" s="99"/>
      <c r="CZ79" s="101"/>
      <c r="DA79" s="100"/>
      <c r="DB79" s="28"/>
      <c r="DC79" s="33"/>
      <c r="DD79" s="12"/>
      <c r="DE79" s="12"/>
      <c r="DF79" s="12"/>
      <c r="DG79" s="12"/>
      <c r="DH79" s="12"/>
      <c r="DI79" s="12"/>
      <c r="DJ79" s="12"/>
      <c r="DK79" s="101"/>
      <c r="DL79" s="101"/>
      <c r="DM79" s="101"/>
      <c r="DN79" s="101"/>
      <c r="DO79" s="101"/>
      <c r="DP79" s="101"/>
      <c r="DQ79" s="101"/>
      <c r="DR79" s="101"/>
      <c r="DS79" s="101"/>
      <c r="DT79" s="101"/>
      <c r="DU79" s="100"/>
      <c r="DV79" s="28"/>
      <c r="DX79" s="12"/>
      <c r="DY79" s="12"/>
      <c r="DZ79" s="12"/>
      <c r="EA79" s="12"/>
      <c r="EB79" s="12"/>
      <c r="EC79" s="12"/>
      <c r="ED79" s="12"/>
      <c r="EE79" s="101"/>
      <c r="EF79" s="101"/>
      <c r="EG79" s="101"/>
      <c r="EH79" s="101"/>
      <c r="EI79" s="101"/>
      <c r="EJ79" s="101"/>
      <c r="EK79" s="101"/>
      <c r="EL79" s="101"/>
      <c r="EM79" s="101"/>
      <c r="EN79" s="101"/>
      <c r="EO79" s="100"/>
      <c r="EP79" s="28"/>
      <c r="ER79" s="12"/>
      <c r="ES79" s="12"/>
      <c r="ET79" s="12"/>
      <c r="EU79" s="12"/>
      <c r="EV79" s="12"/>
      <c r="EW79" s="12"/>
      <c r="EX79" s="12"/>
      <c r="EY79" s="101"/>
      <c r="EZ79" s="101"/>
      <c r="FA79" s="101"/>
      <c r="FB79" s="101"/>
      <c r="FC79" s="101"/>
      <c r="FD79" s="101"/>
      <c r="FE79" s="101"/>
      <c r="FF79" s="101"/>
      <c r="FG79" s="101"/>
      <c r="FH79" s="101"/>
      <c r="FI79" s="101"/>
      <c r="FJ79" s="101"/>
      <c r="FK79" s="101"/>
      <c r="FL79" s="101"/>
      <c r="FM79" s="101"/>
      <c r="FN79" s="101"/>
      <c r="FO79" s="101"/>
      <c r="FP79" s="101"/>
      <c r="FQ79" s="101"/>
      <c r="FR79" s="101"/>
      <c r="FS79" s="101"/>
      <c r="FT79" s="100"/>
      <c r="FU79" s="114"/>
      <c r="FW79" s="12"/>
      <c r="FX79" s="12"/>
      <c r="FY79" s="12"/>
      <c r="FZ79" s="12"/>
      <c r="GA79" s="12"/>
      <c r="GB79" s="12"/>
      <c r="GC79" s="12"/>
      <c r="GD79" s="103"/>
      <c r="GE79" s="103"/>
      <c r="GF79" s="103"/>
      <c r="GG79" s="103"/>
      <c r="GH79" s="103"/>
      <c r="GI79" s="103"/>
      <c r="GJ79" s="103"/>
      <c r="GK79" s="103"/>
      <c r="GL79" s="103"/>
      <c r="GM79" s="103"/>
      <c r="GN79" s="103"/>
      <c r="GO79" s="103"/>
      <c r="GP79" s="103"/>
      <c r="GQ79" s="100"/>
      <c r="GR79" s="114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100"/>
      <c r="HM79" s="114"/>
      <c r="HO79" s="12"/>
      <c r="HP79" s="12"/>
      <c r="HQ79" s="12"/>
      <c r="HR79" s="12"/>
      <c r="HS79" s="12"/>
      <c r="HT79" s="12"/>
      <c r="HU79" s="12"/>
      <c r="HV79" s="32"/>
      <c r="HW79" s="100"/>
      <c r="HX79" s="114"/>
      <c r="HZ79" s="12"/>
      <c r="IA79" s="12"/>
      <c r="IB79" s="12"/>
      <c r="IC79" s="12"/>
      <c r="ID79" s="12"/>
      <c r="IE79" s="12"/>
      <c r="IF79" s="12"/>
      <c r="IG79" s="32"/>
      <c r="IH79" s="93"/>
      <c r="II79" s="93"/>
      <c r="IJ79" s="93"/>
      <c r="IK79" s="93"/>
      <c r="IL79" s="93"/>
      <c r="IM79" s="100"/>
      <c r="IN79" s="114"/>
      <c r="IP79" s="12"/>
      <c r="IQ79" s="12"/>
      <c r="IR79" s="12"/>
      <c r="IS79" s="12"/>
      <c r="IT79" s="12"/>
      <c r="IU79" s="12"/>
      <c r="IV79" s="12"/>
      <c r="IW79" s="32"/>
      <c r="IX79" s="93"/>
      <c r="IY79" s="100"/>
      <c r="IZ79" s="114"/>
      <c r="JB79" s="12"/>
      <c r="JC79" s="12"/>
      <c r="JD79" s="12"/>
      <c r="JE79" s="12"/>
      <c r="JF79" s="12"/>
      <c r="JG79" s="12"/>
      <c r="JH79" s="12"/>
      <c r="JI79" s="32"/>
      <c r="JJ79" s="93"/>
      <c r="JK79" s="93"/>
      <c r="JL79" s="93"/>
      <c r="JM79" s="93"/>
      <c r="JN79" s="93"/>
      <c r="JO79" s="93"/>
      <c r="JP79" s="93"/>
      <c r="JQ79" s="93"/>
      <c r="JR79" s="93"/>
      <c r="JS79" s="93"/>
      <c r="JT79" s="93"/>
      <c r="JU79" s="93"/>
      <c r="JV79" s="93"/>
      <c r="JW79" s="93"/>
      <c r="JX79" s="93"/>
      <c r="JY79" s="93"/>
      <c r="JZ79" s="93"/>
      <c r="KA79" s="93"/>
      <c r="KB79" s="93"/>
      <c r="KC79" s="93"/>
      <c r="KD79" s="101"/>
      <c r="KE79" s="100"/>
      <c r="KF79" s="114"/>
      <c r="KH79" s="12"/>
      <c r="KI79" s="12"/>
      <c r="KJ79" s="12"/>
      <c r="KK79" s="12"/>
      <c r="KL79" s="12"/>
      <c r="KM79" s="12"/>
      <c r="KN79" s="12"/>
      <c r="KO79" s="192"/>
      <c r="KP79" s="193"/>
      <c r="KQ79" s="193"/>
      <c r="KR79" s="193"/>
      <c r="KS79" s="100"/>
      <c r="KT79" s="114"/>
      <c r="KV79" s="647" t="s">
        <v>249</v>
      </c>
      <c r="KW79" s="648"/>
      <c r="KX79" s="648"/>
      <c r="KY79" s="648"/>
      <c r="KZ79" s="648"/>
      <c r="LA79" s="649"/>
      <c r="LB79" s="13">
        <v>33</v>
      </c>
      <c r="LC79" s="32"/>
      <c r="LD79" s="93"/>
      <c r="LE79" s="93"/>
      <c r="LF79" s="30">
        <f t="shared" si="61"/>
        <v>0</v>
      </c>
      <c r="LG79" s="28">
        <f t="shared" si="62"/>
        <v>0</v>
      </c>
      <c r="LI79" s="647" t="s">
        <v>249</v>
      </c>
      <c r="LJ79" s="648"/>
      <c r="LK79" s="648"/>
      <c r="LL79" s="648"/>
      <c r="LM79" s="648"/>
      <c r="LN79" s="649"/>
      <c r="LO79" s="13">
        <v>33</v>
      </c>
      <c r="LP79" s="32"/>
      <c r="LQ79" s="93"/>
      <c r="LR79" s="93"/>
      <c r="LS79" s="93"/>
      <c r="LT79" s="93"/>
      <c r="LU79" s="93"/>
      <c r="LV79" s="93"/>
      <c r="LW79" s="93"/>
      <c r="LX79" s="93"/>
      <c r="LY79" s="93"/>
      <c r="LZ79" s="93"/>
      <c r="MA79" s="93"/>
      <c r="MB79" s="93"/>
      <c r="MC79" s="93"/>
      <c r="MD79" s="93"/>
      <c r="ME79" s="30">
        <f t="shared" si="57"/>
        <v>0</v>
      </c>
      <c r="MF79" s="28">
        <f t="shared" si="54"/>
        <v>0</v>
      </c>
      <c r="MH79" s="647" t="s">
        <v>249</v>
      </c>
      <c r="MI79" s="648"/>
      <c r="MJ79" s="648"/>
      <c r="MK79" s="648"/>
      <c r="ML79" s="648"/>
      <c r="MM79" s="649"/>
      <c r="MN79" s="13">
        <v>33</v>
      </c>
      <c r="MO79" s="32"/>
      <c r="MP79" s="93"/>
      <c r="MQ79" s="93"/>
      <c r="MR79" s="93"/>
      <c r="MS79" s="93"/>
      <c r="MT79" s="93"/>
      <c r="MU79" s="93"/>
      <c r="MV79" s="93"/>
      <c r="MW79" s="93"/>
      <c r="MX79" s="93"/>
      <c r="MY79" s="93"/>
      <c r="MZ79" s="93"/>
      <c r="NA79" s="93"/>
      <c r="NB79" s="93"/>
      <c r="NC79" s="93"/>
      <c r="ND79" s="30">
        <f t="shared" si="58"/>
        <v>0</v>
      </c>
      <c r="NE79" s="28">
        <f t="shared" si="55"/>
        <v>0</v>
      </c>
      <c r="NG79" s="647" t="s">
        <v>249</v>
      </c>
      <c r="NH79" s="648"/>
      <c r="NI79" s="648"/>
      <c r="NJ79" s="648"/>
      <c r="NK79" s="648"/>
      <c r="NL79" s="649"/>
      <c r="NM79" s="13">
        <v>33</v>
      </c>
      <c r="NN79" s="93"/>
      <c r="NO79" s="93"/>
      <c r="NP79" s="93"/>
      <c r="NQ79" s="93"/>
      <c r="NR79" s="93"/>
      <c r="NS79" s="93"/>
      <c r="NT79" s="93"/>
      <c r="NU79" s="93"/>
      <c r="NV79" s="93"/>
      <c r="NW79" s="93"/>
      <c r="NX79" s="93"/>
      <c r="NY79" s="93"/>
      <c r="NZ79" s="93"/>
      <c r="OA79" s="93"/>
      <c r="OB79" s="93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47"/>
      <c r="B80" s="12"/>
      <c r="C80" s="12"/>
      <c r="D80" s="12"/>
      <c r="E80" s="12"/>
      <c r="F80" s="12"/>
      <c r="G80" s="12"/>
      <c r="H80" s="12"/>
      <c r="I80" s="12"/>
      <c r="J80" s="12"/>
      <c r="K80" s="99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99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99"/>
      <c r="AP80" s="34"/>
      <c r="AQ80" s="19"/>
      <c r="AS80" s="12"/>
      <c r="AT80" s="12"/>
      <c r="AU80" s="12"/>
      <c r="AV80" s="12"/>
      <c r="AW80" s="12"/>
      <c r="AX80" s="12"/>
      <c r="AY80" s="12"/>
      <c r="AZ80" s="99"/>
      <c r="BA80" s="99"/>
      <c r="BB80" s="99"/>
      <c r="BC80" s="99"/>
      <c r="BD80" s="100"/>
      <c r="BE80" s="28"/>
      <c r="BF80" s="25"/>
      <c r="BG80" s="12"/>
      <c r="BH80" s="12"/>
      <c r="BI80" s="12"/>
      <c r="BJ80" s="12"/>
      <c r="BK80" s="12"/>
      <c r="BL80" s="12"/>
      <c r="BM80" s="12"/>
      <c r="BN80" s="99"/>
      <c r="BO80" s="99"/>
      <c r="BP80" s="100"/>
      <c r="BQ80" s="28"/>
      <c r="BR80" s="25"/>
      <c r="BS80" s="89"/>
      <c r="BT80" s="97"/>
      <c r="BU80" s="97"/>
      <c r="BV80" s="97"/>
      <c r="BW80" s="97"/>
      <c r="BX80" s="98"/>
      <c r="BY80" s="12"/>
      <c r="BZ80" s="99"/>
      <c r="CA80" s="99"/>
      <c r="CB80" s="99"/>
      <c r="CC80" s="99"/>
      <c r="CD80" s="99"/>
      <c r="CE80" s="99"/>
      <c r="CF80" s="99"/>
      <c r="CG80" s="99"/>
      <c r="CH80" s="99"/>
      <c r="CI80" s="100"/>
      <c r="CJ80" s="28"/>
      <c r="CL80" s="89"/>
      <c r="CM80" s="97"/>
      <c r="CN80" s="97"/>
      <c r="CO80" s="97"/>
      <c r="CP80" s="97"/>
      <c r="CQ80" s="98"/>
      <c r="CR80" s="12"/>
      <c r="CS80" s="99"/>
      <c r="CT80" s="99"/>
      <c r="CU80" s="99"/>
      <c r="CV80" s="99"/>
      <c r="CW80" s="99"/>
      <c r="CX80" s="99"/>
      <c r="CY80" s="99"/>
      <c r="CZ80" s="101"/>
      <c r="DA80" s="100"/>
      <c r="DB80" s="28"/>
      <c r="DC80" s="33"/>
      <c r="DD80" s="12"/>
      <c r="DE80" s="12"/>
      <c r="DF80" s="12"/>
      <c r="DG80" s="12"/>
      <c r="DH80" s="12"/>
      <c r="DI80" s="12"/>
      <c r="DJ80" s="12"/>
      <c r="DK80" s="101"/>
      <c r="DL80" s="101"/>
      <c r="DM80" s="101"/>
      <c r="DN80" s="101"/>
      <c r="DO80" s="101"/>
      <c r="DP80" s="101"/>
      <c r="DQ80" s="101"/>
      <c r="DR80" s="101"/>
      <c r="DS80" s="101"/>
      <c r="DT80" s="101"/>
      <c r="DU80" s="100"/>
      <c r="DV80" s="28"/>
      <c r="DX80" s="12"/>
      <c r="DY80" s="12"/>
      <c r="DZ80" s="12"/>
      <c r="EA80" s="12"/>
      <c r="EB80" s="12"/>
      <c r="EC80" s="12"/>
      <c r="ED80" s="12"/>
      <c r="EE80" s="101"/>
      <c r="EF80" s="101"/>
      <c r="EG80" s="101"/>
      <c r="EH80" s="101"/>
      <c r="EI80" s="101"/>
      <c r="EJ80" s="101"/>
      <c r="EK80" s="101"/>
      <c r="EL80" s="101"/>
      <c r="EM80" s="101"/>
      <c r="EN80" s="101"/>
      <c r="EO80" s="100"/>
      <c r="EP80" s="28"/>
      <c r="ER80" s="12"/>
      <c r="ES80" s="12"/>
      <c r="ET80" s="12"/>
      <c r="EU80" s="12"/>
      <c r="EV80" s="12"/>
      <c r="EW80" s="12"/>
      <c r="EX80" s="12"/>
      <c r="EY80" s="101"/>
      <c r="EZ80" s="101"/>
      <c r="FA80" s="101"/>
      <c r="FB80" s="101"/>
      <c r="FC80" s="101"/>
      <c r="FD80" s="101"/>
      <c r="FE80" s="101"/>
      <c r="FF80" s="101"/>
      <c r="FG80" s="101"/>
      <c r="FH80" s="101"/>
      <c r="FI80" s="101"/>
      <c r="FJ80" s="101"/>
      <c r="FK80" s="101"/>
      <c r="FL80" s="101"/>
      <c r="FM80" s="101"/>
      <c r="FN80" s="101"/>
      <c r="FO80" s="101"/>
      <c r="FP80" s="101"/>
      <c r="FQ80" s="101"/>
      <c r="FR80" s="101"/>
      <c r="FS80" s="101"/>
      <c r="FT80" s="100"/>
      <c r="FU80" s="114"/>
      <c r="FW80" s="12"/>
      <c r="FX80" s="12"/>
      <c r="FY80" s="12"/>
      <c r="FZ80" s="12"/>
      <c r="GA80" s="12"/>
      <c r="GB80" s="12"/>
      <c r="GC80" s="12"/>
      <c r="GD80" s="103"/>
      <c r="GE80" s="103"/>
      <c r="GF80" s="103"/>
      <c r="GG80" s="103"/>
      <c r="GH80" s="103"/>
      <c r="GI80" s="103"/>
      <c r="GJ80" s="103"/>
      <c r="GK80" s="103"/>
      <c r="GL80" s="103"/>
      <c r="GM80" s="103"/>
      <c r="GN80" s="103"/>
      <c r="GO80" s="103"/>
      <c r="GP80" s="103"/>
      <c r="GQ80" s="100"/>
      <c r="GR80" s="114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100"/>
      <c r="HM80" s="114"/>
      <c r="HO80" s="12"/>
      <c r="HP80" s="12"/>
      <c r="HQ80" s="12"/>
      <c r="HR80" s="12"/>
      <c r="HS80" s="12"/>
      <c r="HT80" s="12"/>
      <c r="HU80" s="12"/>
      <c r="HV80" s="32"/>
      <c r="HW80" s="100"/>
      <c r="HX80" s="114"/>
      <c r="HZ80" s="12"/>
      <c r="IA80" s="12"/>
      <c r="IB80" s="12"/>
      <c r="IC80" s="12"/>
      <c r="ID80" s="12"/>
      <c r="IE80" s="12"/>
      <c r="IF80" s="12"/>
      <c r="IG80" s="32"/>
      <c r="IH80" s="93"/>
      <c r="II80" s="93"/>
      <c r="IJ80" s="93"/>
      <c r="IK80" s="93"/>
      <c r="IL80" s="93"/>
      <c r="IM80" s="100"/>
      <c r="IN80" s="114"/>
      <c r="IP80" s="12"/>
      <c r="IQ80" s="12"/>
      <c r="IR80" s="12"/>
      <c r="IS80" s="12"/>
      <c r="IT80" s="12"/>
      <c r="IU80" s="12"/>
      <c r="IV80" s="12"/>
      <c r="IW80" s="32"/>
      <c r="IX80" s="93"/>
      <c r="IY80" s="100"/>
      <c r="IZ80" s="114"/>
      <c r="JB80" s="12"/>
      <c r="JC80" s="12"/>
      <c r="JD80" s="12"/>
      <c r="JE80" s="12"/>
      <c r="JF80" s="12"/>
      <c r="JG80" s="12"/>
      <c r="JH80" s="12"/>
      <c r="JI80" s="32"/>
      <c r="JJ80" s="93"/>
      <c r="JK80" s="93"/>
      <c r="JL80" s="93"/>
      <c r="JM80" s="93"/>
      <c r="JN80" s="93"/>
      <c r="JO80" s="93"/>
      <c r="JP80" s="93"/>
      <c r="JQ80" s="93"/>
      <c r="JR80" s="93"/>
      <c r="JS80" s="93"/>
      <c r="JT80" s="93"/>
      <c r="JU80" s="93"/>
      <c r="JV80" s="93"/>
      <c r="JW80" s="93"/>
      <c r="JX80" s="93"/>
      <c r="JY80" s="93"/>
      <c r="JZ80" s="93"/>
      <c r="KA80" s="93"/>
      <c r="KB80" s="93"/>
      <c r="KC80" s="93"/>
      <c r="KD80" s="101"/>
      <c r="KE80" s="100"/>
      <c r="KF80" s="114"/>
      <c r="KH80" s="12"/>
      <c r="KI80" s="12"/>
      <c r="KJ80" s="12"/>
      <c r="KK80" s="12"/>
      <c r="KL80" s="12"/>
      <c r="KM80" s="12"/>
      <c r="KN80" s="12"/>
      <c r="KO80" s="192"/>
      <c r="KP80" s="193"/>
      <c r="KQ80" s="193"/>
      <c r="KR80" s="193"/>
      <c r="KS80" s="100"/>
      <c r="KT80" s="114"/>
      <c r="KV80" s="650" t="s">
        <v>250</v>
      </c>
      <c r="KW80" s="651"/>
      <c r="KX80" s="651"/>
      <c r="KY80" s="651"/>
      <c r="KZ80" s="651"/>
      <c r="LA80" s="652"/>
      <c r="LB80" s="28">
        <v>13</v>
      </c>
      <c r="LC80" s="51"/>
      <c r="LD80" s="73"/>
      <c r="LE80" s="73"/>
      <c r="LF80" s="30">
        <f t="shared" si="61"/>
        <v>0</v>
      </c>
      <c r="LG80" s="28">
        <f t="shared" si="62"/>
        <v>0</v>
      </c>
      <c r="LI80" s="650" t="s">
        <v>250</v>
      </c>
      <c r="LJ80" s="651"/>
      <c r="LK80" s="651"/>
      <c r="LL80" s="651"/>
      <c r="LM80" s="651"/>
      <c r="LN80" s="652"/>
      <c r="LO80" s="28">
        <v>13</v>
      </c>
      <c r="LP80" s="51"/>
      <c r="LQ80" s="73"/>
      <c r="LR80" s="73"/>
      <c r="LS80" s="73"/>
      <c r="LT80" s="73"/>
      <c r="LU80" s="73"/>
      <c r="LV80" s="73"/>
      <c r="LW80" s="73"/>
      <c r="LX80" s="73"/>
      <c r="LY80" s="73"/>
      <c r="LZ80" s="73"/>
      <c r="MA80" s="73"/>
      <c r="MB80" s="73"/>
      <c r="MC80" s="73"/>
      <c r="MD80" s="73"/>
      <c r="ME80" s="30">
        <f t="shared" si="57"/>
        <v>0</v>
      </c>
      <c r="MF80" s="28">
        <f t="shared" si="54"/>
        <v>0</v>
      </c>
      <c r="MH80" s="650" t="s">
        <v>250</v>
      </c>
      <c r="MI80" s="651"/>
      <c r="MJ80" s="651"/>
      <c r="MK80" s="651"/>
      <c r="ML80" s="651"/>
      <c r="MM80" s="652"/>
      <c r="MN80" s="28">
        <v>13</v>
      </c>
      <c r="MO80" s="51"/>
      <c r="MP80" s="73"/>
      <c r="MQ80" s="73"/>
      <c r="MR80" s="73"/>
      <c r="MS80" s="73"/>
      <c r="MT80" s="73"/>
      <c r="MU80" s="73"/>
      <c r="MV80" s="73"/>
      <c r="MW80" s="73"/>
      <c r="MX80" s="73"/>
      <c r="MY80" s="73"/>
      <c r="MZ80" s="73"/>
      <c r="NA80" s="73"/>
      <c r="NB80" s="73"/>
      <c r="NC80" s="73"/>
      <c r="ND80" s="30">
        <f t="shared" si="58"/>
        <v>0</v>
      </c>
      <c r="NE80" s="28">
        <f t="shared" si="55"/>
        <v>0</v>
      </c>
      <c r="NG80" s="650" t="s">
        <v>250</v>
      </c>
      <c r="NH80" s="651"/>
      <c r="NI80" s="651"/>
      <c r="NJ80" s="651"/>
      <c r="NK80" s="651"/>
      <c r="NL80" s="652"/>
      <c r="NM80" s="28">
        <v>13</v>
      </c>
      <c r="NN80" s="73"/>
      <c r="NO80" s="73"/>
      <c r="NP80" s="73"/>
      <c r="NQ80" s="73"/>
      <c r="NR80" s="73"/>
      <c r="NS80" s="73"/>
      <c r="NT80" s="73"/>
      <c r="NU80" s="73"/>
      <c r="NV80" s="73"/>
      <c r="NW80" s="73"/>
      <c r="NX80" s="73"/>
      <c r="NY80" s="73"/>
      <c r="NZ80" s="73"/>
      <c r="OA80" s="73"/>
      <c r="OB80" s="73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47"/>
      <c r="B81" s="12"/>
      <c r="C81" s="12"/>
      <c r="D81" s="12"/>
      <c r="E81" s="12"/>
      <c r="F81" s="12"/>
      <c r="G81" s="12"/>
      <c r="H81" s="12"/>
      <c r="I81" s="12"/>
      <c r="J81" s="12"/>
      <c r="K81" s="99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99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99"/>
      <c r="AP81" s="34"/>
      <c r="AQ81" s="19"/>
      <c r="AS81" s="12"/>
      <c r="AT81" s="12"/>
      <c r="AU81" s="12"/>
      <c r="AV81" s="12"/>
      <c r="AW81" s="12"/>
      <c r="AX81" s="12"/>
      <c r="AY81" s="12"/>
      <c r="AZ81" s="99"/>
      <c r="BA81" s="99"/>
      <c r="BB81" s="99"/>
      <c r="BC81" s="99"/>
      <c r="BD81" s="100"/>
      <c r="BE81" s="28"/>
      <c r="BF81" s="25"/>
      <c r="BG81" s="12"/>
      <c r="BH81" s="12"/>
      <c r="BI81" s="12"/>
      <c r="BJ81" s="12"/>
      <c r="BK81" s="12"/>
      <c r="BL81" s="12"/>
      <c r="BM81" s="12"/>
      <c r="BN81" s="99"/>
      <c r="BO81" s="99"/>
      <c r="BP81" s="100"/>
      <c r="BQ81" s="28"/>
      <c r="BR81" s="25"/>
      <c r="BS81" s="89"/>
      <c r="BT81" s="97"/>
      <c r="BU81" s="97"/>
      <c r="BV81" s="97"/>
      <c r="BW81" s="97"/>
      <c r="BX81" s="98"/>
      <c r="BY81" s="12"/>
      <c r="BZ81" s="99"/>
      <c r="CA81" s="99"/>
      <c r="CB81" s="99"/>
      <c r="CC81" s="99"/>
      <c r="CD81" s="99"/>
      <c r="CE81" s="99"/>
      <c r="CF81" s="99"/>
      <c r="CG81" s="99"/>
      <c r="CH81" s="99"/>
      <c r="CI81" s="100"/>
      <c r="CJ81" s="28"/>
      <c r="CL81" s="89"/>
      <c r="CM81" s="97"/>
      <c r="CN81" s="97"/>
      <c r="CO81" s="97"/>
      <c r="CP81" s="97"/>
      <c r="CQ81" s="98"/>
      <c r="CR81" s="12"/>
      <c r="CS81" s="99"/>
      <c r="CT81" s="99"/>
      <c r="CU81" s="99"/>
      <c r="CV81" s="99"/>
      <c r="CW81" s="99"/>
      <c r="CX81" s="99"/>
      <c r="CY81" s="99"/>
      <c r="CZ81" s="101"/>
      <c r="DA81" s="100"/>
      <c r="DB81" s="28"/>
      <c r="DC81" s="33"/>
      <c r="DD81" s="12"/>
      <c r="DE81" s="12"/>
      <c r="DF81" s="12"/>
      <c r="DG81" s="12"/>
      <c r="DH81" s="12"/>
      <c r="DI81" s="12"/>
      <c r="DJ81" s="12"/>
      <c r="DK81" s="101"/>
      <c r="DL81" s="101"/>
      <c r="DM81" s="101"/>
      <c r="DN81" s="101"/>
      <c r="DO81" s="101"/>
      <c r="DP81" s="101"/>
      <c r="DQ81" s="101"/>
      <c r="DR81" s="101"/>
      <c r="DS81" s="101"/>
      <c r="DT81" s="101"/>
      <c r="DU81" s="100"/>
      <c r="DV81" s="28"/>
      <c r="DX81" s="12"/>
      <c r="DY81" s="12"/>
      <c r="DZ81" s="12"/>
      <c r="EA81" s="12"/>
      <c r="EB81" s="12"/>
      <c r="EC81" s="12"/>
      <c r="ED81" s="12"/>
      <c r="EE81" s="101"/>
      <c r="EF81" s="101"/>
      <c r="EG81" s="101"/>
      <c r="EH81" s="101"/>
      <c r="EI81" s="101"/>
      <c r="EJ81" s="101"/>
      <c r="EK81" s="101"/>
      <c r="EL81" s="101"/>
      <c r="EM81" s="101"/>
      <c r="EN81" s="101"/>
      <c r="EO81" s="100"/>
      <c r="EP81" s="28"/>
      <c r="ER81" s="12"/>
      <c r="ES81" s="12"/>
      <c r="ET81" s="12"/>
      <c r="EU81" s="12"/>
      <c r="EV81" s="12"/>
      <c r="EW81" s="12"/>
      <c r="EX81" s="12"/>
      <c r="EY81" s="101"/>
      <c r="EZ81" s="101"/>
      <c r="FA81" s="101"/>
      <c r="FB81" s="101"/>
      <c r="FC81" s="101"/>
      <c r="FD81" s="101"/>
      <c r="FE81" s="101"/>
      <c r="FF81" s="101"/>
      <c r="FG81" s="101"/>
      <c r="FH81" s="101"/>
      <c r="FI81" s="101"/>
      <c r="FJ81" s="101"/>
      <c r="FK81" s="101"/>
      <c r="FL81" s="101"/>
      <c r="FM81" s="101"/>
      <c r="FN81" s="101"/>
      <c r="FO81" s="101"/>
      <c r="FP81" s="101"/>
      <c r="FQ81" s="101"/>
      <c r="FR81" s="101"/>
      <c r="FS81" s="101"/>
      <c r="FT81" s="100"/>
      <c r="FU81" s="114"/>
      <c r="FW81" s="12"/>
      <c r="FX81" s="12"/>
      <c r="FY81" s="12"/>
      <c r="FZ81" s="12"/>
      <c r="GA81" s="12"/>
      <c r="GB81" s="12"/>
      <c r="GC81" s="12"/>
      <c r="GD81" s="103"/>
      <c r="GE81" s="103"/>
      <c r="GF81" s="103"/>
      <c r="GG81" s="103"/>
      <c r="GH81" s="103"/>
      <c r="GI81" s="103"/>
      <c r="GJ81" s="103"/>
      <c r="GK81" s="103"/>
      <c r="GL81" s="103"/>
      <c r="GM81" s="103"/>
      <c r="GN81" s="103"/>
      <c r="GO81" s="103"/>
      <c r="GP81" s="103"/>
      <c r="GQ81" s="100"/>
      <c r="GR81" s="114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100"/>
      <c r="HM81" s="114"/>
      <c r="HO81" s="12"/>
      <c r="HP81" s="12"/>
      <c r="HQ81" s="12"/>
      <c r="HR81" s="12"/>
      <c r="HS81" s="12"/>
      <c r="HT81" s="12"/>
      <c r="HU81" s="12"/>
      <c r="HV81" s="32"/>
      <c r="HW81" s="100"/>
      <c r="HX81" s="114"/>
      <c r="HZ81" s="12"/>
      <c r="IA81" s="12"/>
      <c r="IB81" s="12"/>
      <c r="IC81" s="12"/>
      <c r="ID81" s="12"/>
      <c r="IE81" s="12"/>
      <c r="IF81" s="12"/>
      <c r="IG81" s="32"/>
      <c r="IH81" s="93"/>
      <c r="II81" s="93"/>
      <c r="IJ81" s="93"/>
      <c r="IK81" s="93"/>
      <c r="IL81" s="93"/>
      <c r="IM81" s="100"/>
      <c r="IN81" s="114"/>
      <c r="IP81" s="12"/>
      <c r="IQ81" s="12"/>
      <c r="IR81" s="12"/>
      <c r="IS81" s="12"/>
      <c r="IT81" s="12"/>
      <c r="IU81" s="12"/>
      <c r="IV81" s="12"/>
      <c r="IW81" s="32"/>
      <c r="IX81" s="93"/>
      <c r="IY81" s="100"/>
      <c r="IZ81" s="114"/>
      <c r="JB81" s="12"/>
      <c r="JC81" s="12"/>
      <c r="JD81" s="12"/>
      <c r="JE81" s="12"/>
      <c r="JF81" s="12"/>
      <c r="JG81" s="12"/>
      <c r="JH81" s="12"/>
      <c r="JI81" s="32"/>
      <c r="JJ81" s="93"/>
      <c r="JK81" s="93"/>
      <c r="JL81" s="93"/>
      <c r="JM81" s="93"/>
      <c r="JN81" s="93"/>
      <c r="JO81" s="93"/>
      <c r="JP81" s="93"/>
      <c r="JQ81" s="93"/>
      <c r="JR81" s="93"/>
      <c r="JS81" s="93"/>
      <c r="JT81" s="93"/>
      <c r="JU81" s="93"/>
      <c r="JV81" s="93"/>
      <c r="JW81" s="93"/>
      <c r="JX81" s="93"/>
      <c r="JY81" s="93"/>
      <c r="JZ81" s="93"/>
      <c r="KA81" s="93"/>
      <c r="KB81" s="93"/>
      <c r="KC81" s="93"/>
      <c r="KD81" s="101"/>
      <c r="KE81" s="100"/>
      <c r="KF81" s="114"/>
      <c r="KH81" s="12"/>
      <c r="KI81" s="12"/>
      <c r="KJ81" s="12"/>
      <c r="KK81" s="12"/>
      <c r="KL81" s="12"/>
      <c r="KM81" s="12"/>
      <c r="KN81" s="12"/>
      <c r="KO81" s="192"/>
      <c r="KP81" s="193"/>
      <c r="KQ81" s="193"/>
      <c r="KR81" s="193"/>
      <c r="KS81" s="100"/>
      <c r="KT81" s="114"/>
      <c r="KV81" s="647" t="s">
        <v>251</v>
      </c>
      <c r="KW81" s="648"/>
      <c r="KX81" s="648"/>
      <c r="KY81" s="648"/>
      <c r="KZ81" s="648"/>
      <c r="LA81" s="649"/>
      <c r="LB81" s="13">
        <v>9</v>
      </c>
      <c r="LC81" s="32"/>
      <c r="LD81" s="93"/>
      <c r="LE81" s="93"/>
      <c r="LF81" s="30">
        <f t="shared" si="61"/>
        <v>0</v>
      </c>
      <c r="LG81" s="28">
        <f t="shared" si="62"/>
        <v>0</v>
      </c>
      <c r="LI81" s="647" t="s">
        <v>251</v>
      </c>
      <c r="LJ81" s="648"/>
      <c r="LK81" s="648"/>
      <c r="LL81" s="648"/>
      <c r="LM81" s="648"/>
      <c r="LN81" s="649"/>
      <c r="LO81" s="13">
        <v>9</v>
      </c>
      <c r="LP81" s="32"/>
      <c r="LQ81" s="93"/>
      <c r="LR81" s="93"/>
      <c r="LS81" s="93"/>
      <c r="LT81" s="93"/>
      <c r="LU81" s="93"/>
      <c r="LV81" s="93"/>
      <c r="LW81" s="93"/>
      <c r="LX81" s="93"/>
      <c r="LY81" s="93"/>
      <c r="LZ81" s="93"/>
      <c r="MA81" s="93"/>
      <c r="MB81" s="93"/>
      <c r="MC81" s="93">
        <v>3</v>
      </c>
      <c r="MD81" s="93"/>
      <c r="ME81" s="30">
        <f t="shared" si="57"/>
        <v>3</v>
      </c>
      <c r="MF81" s="28">
        <f t="shared" si="54"/>
        <v>27</v>
      </c>
      <c r="MH81" s="647" t="s">
        <v>251</v>
      </c>
      <c r="MI81" s="648"/>
      <c r="MJ81" s="648"/>
      <c r="MK81" s="648"/>
      <c r="ML81" s="648"/>
      <c r="MM81" s="649"/>
      <c r="MN81" s="13">
        <v>9</v>
      </c>
      <c r="MO81" s="32"/>
      <c r="MP81" s="93"/>
      <c r="MQ81" s="93"/>
      <c r="MR81" s="93"/>
      <c r="MS81" s="93">
        <v>1</v>
      </c>
      <c r="MT81" s="93"/>
      <c r="MU81" s="93"/>
      <c r="MV81" s="93"/>
      <c r="MW81" s="93"/>
      <c r="MX81" s="93"/>
      <c r="MY81" s="93"/>
      <c r="MZ81" s="93"/>
      <c r="NA81" s="93"/>
      <c r="NB81" s="93"/>
      <c r="NC81" s="93"/>
      <c r="ND81" s="30">
        <f t="shared" si="58"/>
        <v>1</v>
      </c>
      <c r="NE81" s="28">
        <f t="shared" si="55"/>
        <v>9</v>
      </c>
      <c r="NG81" s="647" t="s">
        <v>251</v>
      </c>
      <c r="NH81" s="648"/>
      <c r="NI81" s="648"/>
      <c r="NJ81" s="648"/>
      <c r="NK81" s="648"/>
      <c r="NL81" s="649"/>
      <c r="NM81" s="13">
        <v>9</v>
      </c>
      <c r="NN81" s="93"/>
      <c r="NO81" s="93"/>
      <c r="NP81" s="93"/>
      <c r="NQ81" s="93"/>
      <c r="NR81" s="93"/>
      <c r="NS81" s="93">
        <v>3</v>
      </c>
      <c r="NT81" s="93"/>
      <c r="NU81" s="93"/>
      <c r="NV81" s="93"/>
      <c r="NW81" s="93"/>
      <c r="NX81" s="93"/>
      <c r="NY81" s="93"/>
      <c r="NZ81" s="93"/>
      <c r="OA81" s="93"/>
      <c r="OB81" s="93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47"/>
      <c r="B82" s="12"/>
      <c r="C82" s="12"/>
      <c r="D82" s="12"/>
      <c r="E82" s="12"/>
      <c r="F82" s="12"/>
      <c r="G82" s="12"/>
      <c r="H82" s="12"/>
      <c r="I82" s="12"/>
      <c r="J82" s="12"/>
      <c r="K82" s="99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99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99"/>
      <c r="AP82" s="34"/>
      <c r="AQ82" s="19"/>
      <c r="AS82" s="12"/>
      <c r="AT82" s="12"/>
      <c r="AU82" s="12"/>
      <c r="AV82" s="12"/>
      <c r="AW82" s="12"/>
      <c r="AX82" s="12"/>
      <c r="AY82" s="12"/>
      <c r="AZ82" s="99"/>
      <c r="BA82" s="99"/>
      <c r="BB82" s="99"/>
      <c r="BC82" s="99"/>
      <c r="BD82" s="100"/>
      <c r="BE82" s="28"/>
      <c r="BF82" s="25"/>
      <c r="BG82" s="12"/>
      <c r="BH82" s="12"/>
      <c r="BI82" s="12"/>
      <c r="BJ82" s="12"/>
      <c r="BK82" s="12"/>
      <c r="BL82" s="12"/>
      <c r="BM82" s="12"/>
      <c r="BN82" s="99"/>
      <c r="BO82" s="99"/>
      <c r="BP82" s="100"/>
      <c r="BQ82" s="28"/>
      <c r="BR82" s="25"/>
      <c r="BS82" s="89"/>
      <c r="BT82" s="97"/>
      <c r="BU82" s="97"/>
      <c r="BV82" s="97"/>
      <c r="BW82" s="97"/>
      <c r="BX82" s="98"/>
      <c r="BY82" s="12"/>
      <c r="BZ82" s="99"/>
      <c r="CA82" s="99"/>
      <c r="CB82" s="99"/>
      <c r="CC82" s="99"/>
      <c r="CD82" s="99"/>
      <c r="CE82" s="99"/>
      <c r="CF82" s="99"/>
      <c r="CG82" s="99"/>
      <c r="CH82" s="99"/>
      <c r="CI82" s="100"/>
      <c r="CJ82" s="28"/>
      <c r="CL82" s="89"/>
      <c r="CM82" s="97"/>
      <c r="CN82" s="97"/>
      <c r="CO82" s="97"/>
      <c r="CP82" s="97"/>
      <c r="CQ82" s="98"/>
      <c r="CR82" s="12"/>
      <c r="CS82" s="99"/>
      <c r="CT82" s="99"/>
      <c r="CU82" s="99"/>
      <c r="CV82" s="99"/>
      <c r="CW82" s="99"/>
      <c r="CX82" s="99"/>
      <c r="CY82" s="99"/>
      <c r="CZ82" s="101"/>
      <c r="DA82" s="100"/>
      <c r="DB82" s="28"/>
      <c r="DC82" s="33"/>
      <c r="DD82" s="12"/>
      <c r="DE82" s="12"/>
      <c r="DF82" s="12"/>
      <c r="DG82" s="12"/>
      <c r="DH82" s="12"/>
      <c r="DI82" s="12"/>
      <c r="DJ82" s="12"/>
      <c r="DK82" s="101"/>
      <c r="DL82" s="101"/>
      <c r="DM82" s="101"/>
      <c r="DN82" s="101"/>
      <c r="DO82" s="101"/>
      <c r="DP82" s="101"/>
      <c r="DQ82" s="101"/>
      <c r="DR82" s="101"/>
      <c r="DS82" s="101"/>
      <c r="DT82" s="101"/>
      <c r="DU82" s="100"/>
      <c r="DV82" s="28"/>
      <c r="DX82" s="12"/>
      <c r="DY82" s="12"/>
      <c r="DZ82" s="12"/>
      <c r="EA82" s="12"/>
      <c r="EB82" s="12"/>
      <c r="EC82" s="12"/>
      <c r="ED82" s="12"/>
      <c r="EE82" s="101"/>
      <c r="EF82" s="101"/>
      <c r="EG82" s="101"/>
      <c r="EH82" s="101"/>
      <c r="EI82" s="101"/>
      <c r="EJ82" s="101"/>
      <c r="EK82" s="101"/>
      <c r="EL82" s="101"/>
      <c r="EM82" s="101"/>
      <c r="EN82" s="101"/>
      <c r="EO82" s="100"/>
      <c r="EP82" s="28"/>
      <c r="ER82" s="12"/>
      <c r="ES82" s="12"/>
      <c r="ET82" s="12"/>
      <c r="EU82" s="12"/>
      <c r="EV82" s="12"/>
      <c r="EW82" s="12"/>
      <c r="EX82" s="12"/>
      <c r="EY82" s="101"/>
      <c r="EZ82" s="101"/>
      <c r="FA82" s="101"/>
      <c r="FB82" s="101"/>
      <c r="FC82" s="101"/>
      <c r="FD82" s="101"/>
      <c r="FE82" s="101"/>
      <c r="FF82" s="101"/>
      <c r="FG82" s="101"/>
      <c r="FH82" s="101"/>
      <c r="FI82" s="101"/>
      <c r="FJ82" s="101"/>
      <c r="FK82" s="101"/>
      <c r="FL82" s="101"/>
      <c r="FM82" s="101"/>
      <c r="FN82" s="101"/>
      <c r="FO82" s="101"/>
      <c r="FP82" s="101"/>
      <c r="FQ82" s="101"/>
      <c r="FR82" s="101"/>
      <c r="FS82" s="101"/>
      <c r="FT82" s="100"/>
      <c r="FU82" s="114"/>
      <c r="FW82" s="12"/>
      <c r="FX82" s="12"/>
      <c r="FY82" s="12"/>
      <c r="FZ82" s="12"/>
      <c r="GA82" s="12"/>
      <c r="GB82" s="12"/>
      <c r="GC82" s="12"/>
      <c r="GD82" s="103"/>
      <c r="GE82" s="103"/>
      <c r="GF82" s="103"/>
      <c r="GG82" s="103"/>
      <c r="GH82" s="103"/>
      <c r="GI82" s="103"/>
      <c r="GJ82" s="103"/>
      <c r="GK82" s="103"/>
      <c r="GL82" s="103"/>
      <c r="GM82" s="103"/>
      <c r="GN82" s="103"/>
      <c r="GO82" s="103"/>
      <c r="GP82" s="103"/>
      <c r="GQ82" s="100"/>
      <c r="GR82" s="114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100"/>
      <c r="HM82" s="114"/>
      <c r="HO82" s="12"/>
      <c r="HP82" s="12"/>
      <c r="HQ82" s="12"/>
      <c r="HR82" s="12"/>
      <c r="HS82" s="12"/>
      <c r="HT82" s="12"/>
      <c r="HU82" s="12"/>
      <c r="HV82" s="32"/>
      <c r="HW82" s="100"/>
      <c r="HX82" s="114"/>
      <c r="HZ82" s="12"/>
      <c r="IA82" s="12"/>
      <c r="IB82" s="12"/>
      <c r="IC82" s="12"/>
      <c r="ID82" s="12"/>
      <c r="IE82" s="12"/>
      <c r="IF82" s="12"/>
      <c r="IG82" s="32"/>
      <c r="IH82" s="93"/>
      <c r="II82" s="93"/>
      <c r="IJ82" s="93"/>
      <c r="IK82" s="93"/>
      <c r="IL82" s="93"/>
      <c r="IM82" s="100"/>
      <c r="IN82" s="114"/>
      <c r="IP82" s="12"/>
      <c r="IQ82" s="12"/>
      <c r="IR82" s="12"/>
      <c r="IS82" s="12"/>
      <c r="IT82" s="12"/>
      <c r="IU82" s="12"/>
      <c r="IV82" s="12"/>
      <c r="IW82" s="32"/>
      <c r="IX82" s="93"/>
      <c r="IY82" s="100"/>
      <c r="IZ82" s="114"/>
      <c r="JB82" s="12"/>
      <c r="JC82" s="12"/>
      <c r="JD82" s="12"/>
      <c r="JE82" s="12"/>
      <c r="JF82" s="12"/>
      <c r="JG82" s="12"/>
      <c r="JH82" s="12"/>
      <c r="JI82" s="32"/>
      <c r="JJ82" s="93"/>
      <c r="JK82" s="93"/>
      <c r="JL82" s="93"/>
      <c r="JM82" s="93"/>
      <c r="JN82" s="93"/>
      <c r="JO82" s="93"/>
      <c r="JP82" s="93"/>
      <c r="JQ82" s="93"/>
      <c r="JR82" s="93"/>
      <c r="JS82" s="93"/>
      <c r="JT82" s="93"/>
      <c r="JU82" s="93"/>
      <c r="JV82" s="93"/>
      <c r="JW82" s="93"/>
      <c r="JX82" s="93"/>
      <c r="JY82" s="93"/>
      <c r="JZ82" s="93"/>
      <c r="KA82" s="93"/>
      <c r="KB82" s="93"/>
      <c r="KC82" s="93"/>
      <c r="KD82" s="101"/>
      <c r="KE82" s="100"/>
      <c r="KF82" s="114"/>
      <c r="KH82" s="12"/>
      <c r="KI82" s="12"/>
      <c r="KJ82" s="12"/>
      <c r="KK82" s="12"/>
      <c r="KL82" s="12"/>
      <c r="KM82" s="12"/>
      <c r="KN82" s="12"/>
      <c r="KO82" s="192"/>
      <c r="KP82" s="193"/>
      <c r="KQ82" s="193"/>
      <c r="KR82" s="193"/>
      <c r="KS82" s="100"/>
      <c r="KT82" s="114"/>
      <c r="KV82" s="650" t="s">
        <v>252</v>
      </c>
      <c r="KW82" s="651"/>
      <c r="KX82" s="651"/>
      <c r="KY82" s="651"/>
      <c r="KZ82" s="651"/>
      <c r="LA82" s="652"/>
      <c r="LB82" s="28">
        <v>33</v>
      </c>
      <c r="LC82" s="51"/>
      <c r="LD82" s="73"/>
      <c r="LE82" s="73"/>
      <c r="LF82" s="30">
        <f t="shared" si="61"/>
        <v>0</v>
      </c>
      <c r="LG82" s="28">
        <f t="shared" si="62"/>
        <v>0</v>
      </c>
      <c r="LI82" s="650" t="s">
        <v>252</v>
      </c>
      <c r="LJ82" s="651"/>
      <c r="LK82" s="651"/>
      <c r="LL82" s="651"/>
      <c r="LM82" s="651"/>
      <c r="LN82" s="652"/>
      <c r="LO82" s="28">
        <v>33</v>
      </c>
      <c r="LP82" s="51"/>
      <c r="LQ82" s="73"/>
      <c r="LR82" s="73"/>
      <c r="LS82" s="73"/>
      <c r="LT82" s="73"/>
      <c r="LU82" s="73"/>
      <c r="LV82" s="73"/>
      <c r="LW82" s="73"/>
      <c r="LX82" s="73"/>
      <c r="LY82" s="73"/>
      <c r="LZ82" s="73"/>
      <c r="MA82" s="73"/>
      <c r="MB82" s="73"/>
      <c r="MC82" s="73"/>
      <c r="MD82" s="73"/>
      <c r="ME82" s="30">
        <f t="shared" si="57"/>
        <v>0</v>
      </c>
      <c r="MF82" s="28">
        <f t="shared" si="54"/>
        <v>0</v>
      </c>
      <c r="MH82" s="650" t="s">
        <v>252</v>
      </c>
      <c r="MI82" s="651"/>
      <c r="MJ82" s="651"/>
      <c r="MK82" s="651"/>
      <c r="ML82" s="651"/>
      <c r="MM82" s="652"/>
      <c r="MN82" s="28">
        <v>33</v>
      </c>
      <c r="MO82" s="51"/>
      <c r="MP82" s="73"/>
      <c r="MQ82" s="73"/>
      <c r="MR82" s="73"/>
      <c r="MS82" s="73"/>
      <c r="MT82" s="73"/>
      <c r="MU82" s="73"/>
      <c r="MV82" s="73"/>
      <c r="MW82" s="73"/>
      <c r="MX82" s="73"/>
      <c r="MY82" s="73"/>
      <c r="MZ82" s="73"/>
      <c r="NA82" s="73"/>
      <c r="NB82" s="73"/>
      <c r="NC82" s="73"/>
      <c r="ND82" s="30">
        <f t="shared" si="58"/>
        <v>0</v>
      </c>
      <c r="NE82" s="28">
        <f t="shared" si="55"/>
        <v>0</v>
      </c>
      <c r="NG82" s="650" t="s">
        <v>252</v>
      </c>
      <c r="NH82" s="651"/>
      <c r="NI82" s="651"/>
      <c r="NJ82" s="651"/>
      <c r="NK82" s="651"/>
      <c r="NL82" s="652"/>
      <c r="NM82" s="28">
        <v>33</v>
      </c>
      <c r="NN82" s="73"/>
      <c r="NO82" s="73"/>
      <c r="NP82" s="73"/>
      <c r="NQ82" s="73"/>
      <c r="NR82" s="73"/>
      <c r="NS82" s="73"/>
      <c r="NT82" s="73"/>
      <c r="NU82" s="73"/>
      <c r="NV82" s="73"/>
      <c r="NW82" s="73"/>
      <c r="NX82" s="73"/>
      <c r="NY82" s="73"/>
      <c r="NZ82" s="73"/>
      <c r="OA82" s="73"/>
      <c r="OB82" s="73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47"/>
      <c r="B83" s="12"/>
      <c r="C83" s="12"/>
      <c r="D83" s="12"/>
      <c r="E83" s="12"/>
      <c r="F83" s="12"/>
      <c r="G83" s="12"/>
      <c r="H83" s="12"/>
      <c r="I83" s="12"/>
      <c r="J83" s="12"/>
      <c r="K83" s="99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99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99"/>
      <c r="AP83" s="34"/>
      <c r="AQ83" s="19"/>
      <c r="AS83" s="12"/>
      <c r="AT83" s="12"/>
      <c r="AU83" s="12"/>
      <c r="AV83" s="12"/>
      <c r="AW83" s="12"/>
      <c r="AX83" s="12"/>
      <c r="AY83" s="12"/>
      <c r="AZ83" s="99"/>
      <c r="BA83" s="99"/>
      <c r="BB83" s="99"/>
      <c r="BC83" s="99"/>
      <c r="BD83" s="100"/>
      <c r="BE83" s="28"/>
      <c r="BF83" s="25"/>
      <c r="BG83" s="12"/>
      <c r="BH83" s="12"/>
      <c r="BI83" s="12"/>
      <c r="BJ83" s="12"/>
      <c r="BK83" s="12"/>
      <c r="BL83" s="12"/>
      <c r="BM83" s="12"/>
      <c r="BN83" s="99"/>
      <c r="BO83" s="99"/>
      <c r="BP83" s="100"/>
      <c r="BQ83" s="28"/>
      <c r="BR83" s="25"/>
      <c r="BS83" s="89"/>
      <c r="BT83" s="97"/>
      <c r="BU83" s="97"/>
      <c r="BV83" s="97"/>
      <c r="BW83" s="97"/>
      <c r="BX83" s="98"/>
      <c r="BY83" s="12"/>
      <c r="BZ83" s="99"/>
      <c r="CA83" s="99"/>
      <c r="CB83" s="99"/>
      <c r="CC83" s="99"/>
      <c r="CD83" s="99"/>
      <c r="CE83" s="99"/>
      <c r="CF83" s="99"/>
      <c r="CG83" s="99"/>
      <c r="CH83" s="99"/>
      <c r="CI83" s="100"/>
      <c r="CJ83" s="28"/>
      <c r="CL83" s="89"/>
      <c r="CM83" s="97"/>
      <c r="CN83" s="97"/>
      <c r="CO83" s="97"/>
      <c r="CP83" s="97"/>
      <c r="CQ83" s="98"/>
      <c r="CR83" s="12"/>
      <c r="CS83" s="99"/>
      <c r="CT83" s="99"/>
      <c r="CU83" s="99"/>
      <c r="CV83" s="99"/>
      <c r="CW83" s="99"/>
      <c r="CX83" s="99"/>
      <c r="CY83" s="99"/>
      <c r="CZ83" s="101"/>
      <c r="DA83" s="100"/>
      <c r="DB83" s="28"/>
      <c r="DC83" s="33"/>
      <c r="DD83" s="12"/>
      <c r="DE83" s="12"/>
      <c r="DF83" s="12"/>
      <c r="DG83" s="12"/>
      <c r="DH83" s="12"/>
      <c r="DI83" s="12"/>
      <c r="DJ83" s="12"/>
      <c r="DK83" s="101"/>
      <c r="DL83" s="101"/>
      <c r="DM83" s="101"/>
      <c r="DN83" s="101"/>
      <c r="DO83" s="101"/>
      <c r="DP83" s="101"/>
      <c r="DQ83" s="101"/>
      <c r="DR83" s="101"/>
      <c r="DS83" s="101"/>
      <c r="DT83" s="101"/>
      <c r="DU83" s="100"/>
      <c r="DV83" s="28"/>
      <c r="DX83" s="12"/>
      <c r="DY83" s="12"/>
      <c r="DZ83" s="12"/>
      <c r="EA83" s="12"/>
      <c r="EB83" s="12"/>
      <c r="EC83" s="12"/>
      <c r="ED83" s="12"/>
      <c r="EE83" s="101"/>
      <c r="EF83" s="101"/>
      <c r="EG83" s="101"/>
      <c r="EH83" s="101"/>
      <c r="EI83" s="101"/>
      <c r="EJ83" s="101"/>
      <c r="EK83" s="101"/>
      <c r="EL83" s="101"/>
      <c r="EM83" s="101"/>
      <c r="EN83" s="101"/>
      <c r="EO83" s="100"/>
      <c r="EP83" s="28"/>
      <c r="ER83" s="12"/>
      <c r="ES83" s="12"/>
      <c r="ET83" s="12"/>
      <c r="EU83" s="12"/>
      <c r="EV83" s="12"/>
      <c r="EW83" s="12"/>
      <c r="EX83" s="12"/>
      <c r="EY83" s="101"/>
      <c r="EZ83" s="101"/>
      <c r="FA83" s="101"/>
      <c r="FB83" s="101"/>
      <c r="FC83" s="101"/>
      <c r="FD83" s="101"/>
      <c r="FE83" s="101"/>
      <c r="FF83" s="101"/>
      <c r="FG83" s="101"/>
      <c r="FH83" s="101"/>
      <c r="FI83" s="101"/>
      <c r="FJ83" s="101"/>
      <c r="FK83" s="101"/>
      <c r="FL83" s="101"/>
      <c r="FM83" s="101"/>
      <c r="FN83" s="101"/>
      <c r="FO83" s="101"/>
      <c r="FP83" s="101"/>
      <c r="FQ83" s="101"/>
      <c r="FR83" s="101"/>
      <c r="FS83" s="101"/>
      <c r="FT83" s="100"/>
      <c r="FU83" s="114"/>
      <c r="FW83" s="12"/>
      <c r="FX83" s="12"/>
      <c r="FY83" s="12"/>
      <c r="FZ83" s="12"/>
      <c r="GA83" s="12"/>
      <c r="GB83" s="12"/>
      <c r="GC83" s="12"/>
      <c r="GD83" s="103"/>
      <c r="GE83" s="103"/>
      <c r="GF83" s="103"/>
      <c r="GG83" s="103"/>
      <c r="GH83" s="103"/>
      <c r="GI83" s="103"/>
      <c r="GJ83" s="103"/>
      <c r="GK83" s="103"/>
      <c r="GL83" s="103"/>
      <c r="GM83" s="103"/>
      <c r="GN83" s="103"/>
      <c r="GO83" s="103"/>
      <c r="GP83" s="103"/>
      <c r="GQ83" s="100"/>
      <c r="GR83" s="114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100"/>
      <c r="HM83" s="114"/>
      <c r="HO83" s="12"/>
      <c r="HP83" s="12"/>
      <c r="HQ83" s="12"/>
      <c r="HR83" s="12"/>
      <c r="HS83" s="12"/>
      <c r="HT83" s="12"/>
      <c r="HU83" s="12"/>
      <c r="HV83" s="32"/>
      <c r="HW83" s="100"/>
      <c r="HX83" s="114"/>
      <c r="HZ83" s="12"/>
      <c r="IA83" s="12"/>
      <c r="IB83" s="12"/>
      <c r="IC83" s="12"/>
      <c r="ID83" s="12"/>
      <c r="IE83" s="12"/>
      <c r="IF83" s="12"/>
      <c r="IG83" s="32"/>
      <c r="IH83" s="93"/>
      <c r="II83" s="93"/>
      <c r="IJ83" s="93"/>
      <c r="IK83" s="93"/>
      <c r="IL83" s="93"/>
      <c r="IM83" s="100"/>
      <c r="IN83" s="114"/>
      <c r="IP83" s="12"/>
      <c r="IQ83" s="12"/>
      <c r="IR83" s="12"/>
      <c r="IS83" s="12"/>
      <c r="IT83" s="12"/>
      <c r="IU83" s="12"/>
      <c r="IV83" s="12"/>
      <c r="IW83" s="32"/>
      <c r="IX83" s="93"/>
      <c r="IY83" s="100"/>
      <c r="IZ83" s="114"/>
      <c r="JB83" s="12"/>
      <c r="JC83" s="12"/>
      <c r="JD83" s="12"/>
      <c r="JE83" s="12"/>
      <c r="JF83" s="12"/>
      <c r="JG83" s="12"/>
      <c r="JH83" s="12"/>
      <c r="JI83" s="32"/>
      <c r="JJ83" s="93"/>
      <c r="JK83" s="93"/>
      <c r="JL83" s="93"/>
      <c r="JM83" s="93"/>
      <c r="JN83" s="93"/>
      <c r="JO83" s="93"/>
      <c r="JP83" s="93"/>
      <c r="JQ83" s="93"/>
      <c r="JR83" s="93"/>
      <c r="JS83" s="93"/>
      <c r="JT83" s="93"/>
      <c r="JU83" s="93"/>
      <c r="JV83" s="93"/>
      <c r="JW83" s="93"/>
      <c r="JX83" s="93"/>
      <c r="JY83" s="93"/>
      <c r="JZ83" s="93"/>
      <c r="KA83" s="93"/>
      <c r="KB83" s="93"/>
      <c r="KC83" s="93"/>
      <c r="KD83" s="101"/>
      <c r="KE83" s="100"/>
      <c r="KF83" s="114"/>
      <c r="KH83" s="12"/>
      <c r="KI83" s="12"/>
      <c r="KJ83" s="12"/>
      <c r="KK83" s="12"/>
      <c r="KL83" s="12"/>
      <c r="KM83" s="12"/>
      <c r="KN83" s="12"/>
      <c r="KO83" s="192"/>
      <c r="KP83" s="193"/>
      <c r="KQ83" s="193"/>
      <c r="KR83" s="193"/>
      <c r="KS83" s="100"/>
      <c r="KT83" s="114"/>
      <c r="KV83" s="647" t="s">
        <v>253</v>
      </c>
      <c r="KW83" s="648"/>
      <c r="KX83" s="648"/>
      <c r="KY83" s="648"/>
      <c r="KZ83" s="648"/>
      <c r="LA83" s="649"/>
      <c r="LB83" s="13">
        <v>16</v>
      </c>
      <c r="LC83" s="32"/>
      <c r="LD83" s="93"/>
      <c r="LE83" s="93"/>
      <c r="LF83" s="30">
        <f t="shared" si="61"/>
        <v>0</v>
      </c>
      <c r="LG83" s="28">
        <f t="shared" si="62"/>
        <v>0</v>
      </c>
      <c r="LI83" s="647" t="s">
        <v>253</v>
      </c>
      <c r="LJ83" s="648"/>
      <c r="LK83" s="648"/>
      <c r="LL83" s="648"/>
      <c r="LM83" s="648"/>
      <c r="LN83" s="649"/>
      <c r="LO83" s="13">
        <v>16</v>
      </c>
      <c r="LP83" s="32"/>
      <c r="LQ83" s="93"/>
      <c r="LR83" s="93"/>
      <c r="LS83" s="93"/>
      <c r="LT83" s="93"/>
      <c r="LU83" s="93"/>
      <c r="LV83" s="93"/>
      <c r="LW83" s="93"/>
      <c r="LX83" s="93"/>
      <c r="LY83" s="93"/>
      <c r="LZ83" s="93"/>
      <c r="MA83" s="93"/>
      <c r="MB83" s="93"/>
      <c r="MC83" s="93"/>
      <c r="MD83" s="93"/>
      <c r="ME83" s="30">
        <f t="shared" si="57"/>
        <v>0</v>
      </c>
      <c r="MF83" s="28">
        <f t="shared" si="54"/>
        <v>0</v>
      </c>
      <c r="MH83" s="647" t="s">
        <v>253</v>
      </c>
      <c r="MI83" s="648"/>
      <c r="MJ83" s="648"/>
      <c r="MK83" s="648"/>
      <c r="ML83" s="648"/>
      <c r="MM83" s="649"/>
      <c r="MN83" s="13">
        <v>16</v>
      </c>
      <c r="MO83" s="32"/>
      <c r="MP83" s="93"/>
      <c r="MQ83" s="93"/>
      <c r="MR83" s="93"/>
      <c r="MS83" s="93">
        <v>3</v>
      </c>
      <c r="MT83" s="93"/>
      <c r="MU83" s="93"/>
      <c r="MV83" s="93"/>
      <c r="MW83" s="93"/>
      <c r="MX83" s="93"/>
      <c r="MY83" s="93"/>
      <c r="MZ83" s="93"/>
      <c r="NA83" s="93"/>
      <c r="NB83" s="93"/>
      <c r="NC83" s="93"/>
      <c r="ND83" s="30">
        <f t="shared" si="58"/>
        <v>3</v>
      </c>
      <c r="NE83" s="28">
        <f t="shared" si="55"/>
        <v>48</v>
      </c>
      <c r="NG83" s="647" t="s">
        <v>253</v>
      </c>
      <c r="NH83" s="648"/>
      <c r="NI83" s="648"/>
      <c r="NJ83" s="648"/>
      <c r="NK83" s="648"/>
      <c r="NL83" s="649"/>
      <c r="NM83" s="13">
        <v>16</v>
      </c>
      <c r="NN83" s="93">
        <v>1</v>
      </c>
      <c r="NO83" s="93"/>
      <c r="NP83" s="93"/>
      <c r="NQ83" s="93"/>
      <c r="NR83" s="93"/>
      <c r="NS83" s="93"/>
      <c r="NT83" s="93"/>
      <c r="NU83" s="93"/>
      <c r="NV83" s="93"/>
      <c r="NW83" s="93"/>
      <c r="NX83" s="93"/>
      <c r="NY83" s="93"/>
      <c r="NZ83" s="93"/>
      <c r="OA83" s="93"/>
      <c r="OB83" s="93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47"/>
      <c r="B84" s="12"/>
      <c r="C84" s="12"/>
      <c r="D84" s="12"/>
      <c r="E84" s="12"/>
      <c r="F84" s="12"/>
      <c r="G84" s="12"/>
      <c r="H84" s="12"/>
      <c r="I84" s="12"/>
      <c r="J84" s="12"/>
      <c r="K84" s="99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99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99"/>
      <c r="AP84" s="34"/>
      <c r="AQ84" s="19"/>
      <c r="AS84" s="12"/>
      <c r="AT84" s="12"/>
      <c r="AU84" s="12"/>
      <c r="AV84" s="12"/>
      <c r="AW84" s="12"/>
      <c r="AX84" s="12"/>
      <c r="AY84" s="12"/>
      <c r="AZ84" s="99"/>
      <c r="BA84" s="99"/>
      <c r="BB84" s="99"/>
      <c r="BC84" s="99"/>
      <c r="BD84" s="100"/>
      <c r="BE84" s="28"/>
      <c r="BF84" s="25"/>
      <c r="BG84" s="12"/>
      <c r="BH84" s="12"/>
      <c r="BI84" s="12"/>
      <c r="BJ84" s="12"/>
      <c r="BK84" s="12"/>
      <c r="BL84" s="12"/>
      <c r="BM84" s="12"/>
      <c r="BN84" s="99"/>
      <c r="BO84" s="99"/>
      <c r="BP84" s="100"/>
      <c r="BQ84" s="28"/>
      <c r="BR84" s="25"/>
      <c r="BS84" s="89"/>
      <c r="BT84" s="97"/>
      <c r="BU84" s="97"/>
      <c r="BV84" s="97"/>
      <c r="BW84" s="97"/>
      <c r="BX84" s="98"/>
      <c r="BY84" s="12"/>
      <c r="BZ84" s="99"/>
      <c r="CA84" s="99"/>
      <c r="CB84" s="99"/>
      <c r="CC84" s="99"/>
      <c r="CD84" s="99"/>
      <c r="CE84" s="99"/>
      <c r="CF84" s="99"/>
      <c r="CG84" s="99"/>
      <c r="CH84" s="99"/>
      <c r="CI84" s="100"/>
      <c r="CJ84" s="28"/>
      <c r="CL84" s="89"/>
      <c r="CM84" s="97"/>
      <c r="CN84" s="97"/>
      <c r="CO84" s="97"/>
      <c r="CP84" s="97"/>
      <c r="CQ84" s="98"/>
      <c r="CR84" s="12"/>
      <c r="CS84" s="99"/>
      <c r="CT84" s="99"/>
      <c r="CU84" s="99"/>
      <c r="CV84" s="99"/>
      <c r="CW84" s="99"/>
      <c r="CX84" s="99"/>
      <c r="CY84" s="99"/>
      <c r="CZ84" s="101"/>
      <c r="DA84" s="100"/>
      <c r="DB84" s="28"/>
      <c r="DC84" s="33"/>
      <c r="DD84" s="12"/>
      <c r="DE84" s="12"/>
      <c r="DF84" s="12"/>
      <c r="DG84" s="12"/>
      <c r="DH84" s="12"/>
      <c r="DI84" s="12"/>
      <c r="DJ84" s="12"/>
      <c r="DK84" s="101"/>
      <c r="DL84" s="101"/>
      <c r="DM84" s="101"/>
      <c r="DN84" s="101"/>
      <c r="DO84" s="101"/>
      <c r="DP84" s="101"/>
      <c r="DQ84" s="101"/>
      <c r="DR84" s="101"/>
      <c r="DS84" s="101"/>
      <c r="DT84" s="101"/>
      <c r="DU84" s="100"/>
      <c r="DV84" s="28"/>
      <c r="DX84" s="12"/>
      <c r="DY84" s="12"/>
      <c r="DZ84" s="12"/>
      <c r="EA84" s="12"/>
      <c r="EB84" s="12"/>
      <c r="EC84" s="12"/>
      <c r="ED84" s="12"/>
      <c r="EE84" s="101"/>
      <c r="EF84" s="101"/>
      <c r="EG84" s="101"/>
      <c r="EH84" s="101"/>
      <c r="EI84" s="101"/>
      <c r="EJ84" s="101"/>
      <c r="EK84" s="101"/>
      <c r="EL84" s="101"/>
      <c r="EM84" s="101"/>
      <c r="EN84" s="101"/>
      <c r="EO84" s="100"/>
      <c r="EP84" s="28"/>
      <c r="ER84" s="12"/>
      <c r="ES84" s="12"/>
      <c r="ET84" s="12"/>
      <c r="EU84" s="12"/>
      <c r="EV84" s="12"/>
      <c r="EW84" s="12"/>
      <c r="EX84" s="12"/>
      <c r="EY84" s="101"/>
      <c r="EZ84" s="101"/>
      <c r="FA84" s="101"/>
      <c r="FB84" s="101"/>
      <c r="FC84" s="101"/>
      <c r="FD84" s="101"/>
      <c r="FE84" s="101"/>
      <c r="FF84" s="101"/>
      <c r="FG84" s="101"/>
      <c r="FH84" s="101"/>
      <c r="FI84" s="101"/>
      <c r="FJ84" s="101"/>
      <c r="FK84" s="101"/>
      <c r="FL84" s="101"/>
      <c r="FM84" s="101"/>
      <c r="FN84" s="101"/>
      <c r="FO84" s="101"/>
      <c r="FP84" s="101"/>
      <c r="FQ84" s="101"/>
      <c r="FR84" s="101"/>
      <c r="FS84" s="101"/>
      <c r="FT84" s="100"/>
      <c r="FU84" s="114"/>
      <c r="FW84" s="12"/>
      <c r="FX84" s="12"/>
      <c r="FY84" s="12"/>
      <c r="FZ84" s="12"/>
      <c r="GA84" s="12"/>
      <c r="GB84" s="12"/>
      <c r="GC84" s="12"/>
      <c r="GD84" s="103"/>
      <c r="GE84" s="103"/>
      <c r="GF84" s="103"/>
      <c r="GG84" s="103"/>
      <c r="GH84" s="103"/>
      <c r="GI84" s="103"/>
      <c r="GJ84" s="103"/>
      <c r="GK84" s="103"/>
      <c r="GL84" s="103"/>
      <c r="GM84" s="103"/>
      <c r="GN84" s="103"/>
      <c r="GO84" s="103"/>
      <c r="GP84" s="103"/>
      <c r="GQ84" s="100"/>
      <c r="GR84" s="114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100"/>
      <c r="HM84" s="114"/>
      <c r="HO84" s="12"/>
      <c r="HP84" s="12"/>
      <c r="HQ84" s="12"/>
      <c r="HR84" s="12"/>
      <c r="HS84" s="12"/>
      <c r="HT84" s="12"/>
      <c r="HU84" s="12"/>
      <c r="HV84" s="32"/>
      <c r="HW84" s="100"/>
      <c r="HX84" s="114"/>
      <c r="HZ84" s="12"/>
      <c r="IA84" s="12"/>
      <c r="IB84" s="12"/>
      <c r="IC84" s="12"/>
      <c r="ID84" s="12"/>
      <c r="IE84" s="12"/>
      <c r="IF84" s="12"/>
      <c r="IG84" s="32"/>
      <c r="IH84" s="93"/>
      <c r="II84" s="93"/>
      <c r="IJ84" s="93"/>
      <c r="IK84" s="93"/>
      <c r="IL84" s="93"/>
      <c r="IM84" s="100"/>
      <c r="IN84" s="114"/>
      <c r="IP84" s="12"/>
      <c r="IQ84" s="12"/>
      <c r="IR84" s="12"/>
      <c r="IS84" s="12"/>
      <c r="IT84" s="12"/>
      <c r="IU84" s="12"/>
      <c r="IV84" s="12"/>
      <c r="IW84" s="32"/>
      <c r="IX84" s="93"/>
      <c r="IY84" s="100"/>
      <c r="IZ84" s="114"/>
      <c r="JB84" s="12"/>
      <c r="JC84" s="12"/>
      <c r="JD84" s="12"/>
      <c r="JE84" s="12"/>
      <c r="JF84" s="12"/>
      <c r="JG84" s="12"/>
      <c r="JH84" s="12"/>
      <c r="JI84" s="32"/>
      <c r="JJ84" s="93"/>
      <c r="JK84" s="93"/>
      <c r="JL84" s="93"/>
      <c r="JM84" s="93"/>
      <c r="JN84" s="93"/>
      <c r="JO84" s="93"/>
      <c r="JP84" s="93"/>
      <c r="JQ84" s="93"/>
      <c r="JR84" s="93"/>
      <c r="JS84" s="93"/>
      <c r="JT84" s="93"/>
      <c r="JU84" s="93"/>
      <c r="JV84" s="93"/>
      <c r="JW84" s="93"/>
      <c r="JX84" s="93"/>
      <c r="JY84" s="93"/>
      <c r="JZ84" s="93"/>
      <c r="KA84" s="93"/>
      <c r="KB84" s="93"/>
      <c r="KC84" s="93"/>
      <c r="KD84" s="101"/>
      <c r="KE84" s="100"/>
      <c r="KF84" s="114"/>
      <c r="KH84" s="12"/>
      <c r="KI84" s="12"/>
      <c r="KJ84" s="12"/>
      <c r="KK84" s="12"/>
      <c r="KL84" s="12"/>
      <c r="KM84" s="12"/>
      <c r="KN84" s="12"/>
      <c r="KO84" s="192"/>
      <c r="KP84" s="193"/>
      <c r="KQ84" s="193"/>
      <c r="KR84" s="193"/>
      <c r="KS84" s="100"/>
      <c r="KT84" s="114"/>
      <c r="KV84" s="650" t="s">
        <v>248</v>
      </c>
      <c r="KW84" s="651"/>
      <c r="KX84" s="651"/>
      <c r="KY84" s="651"/>
      <c r="KZ84" s="651"/>
      <c r="LA84" s="652"/>
      <c r="LB84" s="28">
        <v>19</v>
      </c>
      <c r="LC84" s="51"/>
      <c r="LD84" s="73"/>
      <c r="LE84" s="73"/>
      <c r="LF84" s="30">
        <f t="shared" si="61"/>
        <v>0</v>
      </c>
      <c r="LG84" s="28">
        <f t="shared" si="62"/>
        <v>0</v>
      </c>
      <c r="LI84" s="650" t="s">
        <v>248</v>
      </c>
      <c r="LJ84" s="651"/>
      <c r="LK84" s="651"/>
      <c r="LL84" s="651"/>
      <c r="LM84" s="651"/>
      <c r="LN84" s="652"/>
      <c r="LO84" s="28">
        <v>19</v>
      </c>
      <c r="LP84" s="51"/>
      <c r="LQ84" s="73"/>
      <c r="LR84" s="73"/>
      <c r="LS84" s="73"/>
      <c r="LT84" s="73"/>
      <c r="LU84" s="73"/>
      <c r="LV84" s="73"/>
      <c r="LW84" s="73"/>
      <c r="LX84" s="73"/>
      <c r="LY84" s="73"/>
      <c r="LZ84" s="73"/>
      <c r="MA84" s="73"/>
      <c r="MB84" s="73"/>
      <c r="MC84" s="73"/>
      <c r="MD84" s="73"/>
      <c r="ME84" s="30">
        <f t="shared" si="57"/>
        <v>0</v>
      </c>
      <c r="MF84" s="28">
        <f t="shared" si="54"/>
        <v>0</v>
      </c>
      <c r="MH84" s="650" t="s">
        <v>248</v>
      </c>
      <c r="MI84" s="651"/>
      <c r="MJ84" s="651"/>
      <c r="MK84" s="651"/>
      <c r="ML84" s="651"/>
      <c r="MM84" s="652"/>
      <c r="MN84" s="28">
        <v>19</v>
      </c>
      <c r="MO84" s="51"/>
      <c r="MP84" s="73"/>
      <c r="MQ84" s="73"/>
      <c r="MR84" s="73"/>
      <c r="MS84" s="73"/>
      <c r="MT84" s="73"/>
      <c r="MU84" s="73"/>
      <c r="MV84" s="73"/>
      <c r="MW84" s="73"/>
      <c r="MX84" s="73"/>
      <c r="MY84" s="73"/>
      <c r="MZ84" s="73"/>
      <c r="NA84" s="73"/>
      <c r="NB84" s="73"/>
      <c r="NC84" s="73"/>
      <c r="ND84" s="30">
        <f t="shared" si="58"/>
        <v>0</v>
      </c>
      <c r="NE84" s="28">
        <f t="shared" si="55"/>
        <v>0</v>
      </c>
      <c r="NG84" s="650" t="s">
        <v>248</v>
      </c>
      <c r="NH84" s="651"/>
      <c r="NI84" s="651"/>
      <c r="NJ84" s="651"/>
      <c r="NK84" s="651"/>
      <c r="NL84" s="652"/>
      <c r="NM84" s="28">
        <v>19</v>
      </c>
      <c r="NN84" s="73"/>
      <c r="NO84" s="73"/>
      <c r="NP84" s="73"/>
      <c r="NQ84" s="73"/>
      <c r="NR84" s="73"/>
      <c r="NS84" s="73">
        <v>2</v>
      </c>
      <c r="NT84" s="73"/>
      <c r="NU84" s="73"/>
      <c r="NV84" s="73"/>
      <c r="NW84" s="73"/>
      <c r="NX84" s="73"/>
      <c r="NY84" s="73"/>
      <c r="NZ84" s="73"/>
      <c r="OA84" s="73"/>
      <c r="OB84" s="73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47"/>
      <c r="B85" s="12"/>
      <c r="C85" s="12"/>
      <c r="D85" s="12"/>
      <c r="E85" s="12"/>
      <c r="F85" s="12"/>
      <c r="G85" s="12"/>
      <c r="H85" s="12"/>
      <c r="I85" s="12"/>
      <c r="J85" s="12"/>
      <c r="K85" s="99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99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99"/>
      <c r="AP85" s="34"/>
      <c r="AQ85" s="19"/>
      <c r="AS85" s="12"/>
      <c r="AT85" s="12"/>
      <c r="AU85" s="12"/>
      <c r="AV85" s="12"/>
      <c r="AW85" s="12"/>
      <c r="AX85" s="12"/>
      <c r="AY85" s="12"/>
      <c r="AZ85" s="99"/>
      <c r="BA85" s="99"/>
      <c r="BB85" s="99"/>
      <c r="BC85" s="99"/>
      <c r="BD85" s="100"/>
      <c r="BE85" s="28"/>
      <c r="BF85" s="25"/>
      <c r="BG85" s="12"/>
      <c r="BH85" s="12"/>
      <c r="BI85" s="12"/>
      <c r="BJ85" s="12"/>
      <c r="BK85" s="12"/>
      <c r="BL85" s="12"/>
      <c r="BM85" s="12"/>
      <c r="BN85" s="99"/>
      <c r="BO85" s="99"/>
      <c r="BP85" s="100"/>
      <c r="BQ85" s="28"/>
      <c r="BR85" s="25"/>
      <c r="BS85" s="89"/>
      <c r="BT85" s="97"/>
      <c r="BU85" s="97"/>
      <c r="BV85" s="97"/>
      <c r="BW85" s="97"/>
      <c r="BX85" s="98"/>
      <c r="BY85" s="12"/>
      <c r="BZ85" s="99"/>
      <c r="CA85" s="99"/>
      <c r="CB85" s="99"/>
      <c r="CC85" s="99"/>
      <c r="CD85" s="99"/>
      <c r="CE85" s="99"/>
      <c r="CF85" s="99"/>
      <c r="CG85" s="99"/>
      <c r="CH85" s="99"/>
      <c r="CI85" s="100"/>
      <c r="CJ85" s="28"/>
      <c r="CL85" s="89"/>
      <c r="CM85" s="97"/>
      <c r="CN85" s="97"/>
      <c r="CO85" s="97"/>
      <c r="CP85" s="97"/>
      <c r="CQ85" s="98"/>
      <c r="CR85" s="12"/>
      <c r="CS85" s="99"/>
      <c r="CT85" s="99"/>
      <c r="CU85" s="99"/>
      <c r="CV85" s="99"/>
      <c r="CW85" s="99"/>
      <c r="CX85" s="99"/>
      <c r="CY85" s="99"/>
      <c r="CZ85" s="101"/>
      <c r="DA85" s="100"/>
      <c r="DB85" s="28"/>
      <c r="DC85" s="33"/>
      <c r="DD85" s="12"/>
      <c r="DE85" s="12"/>
      <c r="DF85" s="12"/>
      <c r="DG85" s="12"/>
      <c r="DH85" s="12"/>
      <c r="DI85" s="12"/>
      <c r="DJ85" s="12"/>
      <c r="DK85" s="101"/>
      <c r="DL85" s="101"/>
      <c r="DM85" s="101"/>
      <c r="DN85" s="101"/>
      <c r="DO85" s="101"/>
      <c r="DP85" s="101"/>
      <c r="DQ85" s="101"/>
      <c r="DR85" s="101"/>
      <c r="DS85" s="101"/>
      <c r="DT85" s="101"/>
      <c r="DU85" s="100"/>
      <c r="DV85" s="28"/>
      <c r="DX85" s="12"/>
      <c r="DY85" s="12"/>
      <c r="DZ85" s="12"/>
      <c r="EA85" s="12"/>
      <c r="EB85" s="12"/>
      <c r="EC85" s="12"/>
      <c r="ED85" s="12"/>
      <c r="EE85" s="101"/>
      <c r="EF85" s="101"/>
      <c r="EG85" s="101"/>
      <c r="EH85" s="101"/>
      <c r="EI85" s="101"/>
      <c r="EJ85" s="101"/>
      <c r="EK85" s="101"/>
      <c r="EL85" s="101"/>
      <c r="EM85" s="101"/>
      <c r="EN85" s="101"/>
      <c r="EO85" s="100"/>
      <c r="EP85" s="28"/>
      <c r="ER85" s="12"/>
      <c r="ES85" s="12"/>
      <c r="ET85" s="12"/>
      <c r="EU85" s="12"/>
      <c r="EV85" s="12"/>
      <c r="EW85" s="12"/>
      <c r="EX85" s="12"/>
      <c r="EY85" s="101"/>
      <c r="EZ85" s="101"/>
      <c r="FA85" s="101"/>
      <c r="FB85" s="101"/>
      <c r="FC85" s="101"/>
      <c r="FD85" s="101"/>
      <c r="FE85" s="101"/>
      <c r="FF85" s="101"/>
      <c r="FG85" s="101"/>
      <c r="FH85" s="101"/>
      <c r="FI85" s="101"/>
      <c r="FJ85" s="101"/>
      <c r="FK85" s="101"/>
      <c r="FL85" s="101"/>
      <c r="FM85" s="101"/>
      <c r="FN85" s="101"/>
      <c r="FO85" s="101"/>
      <c r="FP85" s="101"/>
      <c r="FQ85" s="101"/>
      <c r="FR85" s="101"/>
      <c r="FS85" s="101"/>
      <c r="FT85" s="100"/>
      <c r="FU85" s="114"/>
      <c r="FW85" s="12"/>
      <c r="FX85" s="12"/>
      <c r="FY85" s="12"/>
      <c r="FZ85" s="12"/>
      <c r="GA85" s="12"/>
      <c r="GB85" s="12"/>
      <c r="GC85" s="12"/>
      <c r="GD85" s="103"/>
      <c r="GE85" s="103"/>
      <c r="GF85" s="103"/>
      <c r="GG85" s="103"/>
      <c r="GH85" s="103"/>
      <c r="GI85" s="103"/>
      <c r="GJ85" s="103"/>
      <c r="GK85" s="103"/>
      <c r="GL85" s="103"/>
      <c r="GM85" s="103"/>
      <c r="GN85" s="103"/>
      <c r="GO85" s="103"/>
      <c r="GP85" s="103"/>
      <c r="GQ85" s="100"/>
      <c r="GR85" s="114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100"/>
      <c r="HM85" s="114"/>
      <c r="HO85" s="12"/>
      <c r="HP85" s="12"/>
      <c r="HQ85" s="12"/>
      <c r="HR85" s="12"/>
      <c r="HS85" s="12"/>
      <c r="HT85" s="12"/>
      <c r="HU85" s="12"/>
      <c r="HV85" s="32"/>
      <c r="HW85" s="100"/>
      <c r="HX85" s="114"/>
      <c r="HZ85" s="12"/>
      <c r="IA85" s="12"/>
      <c r="IB85" s="12"/>
      <c r="IC85" s="12"/>
      <c r="ID85" s="12"/>
      <c r="IE85" s="12"/>
      <c r="IF85" s="12"/>
      <c r="IG85" s="32"/>
      <c r="IH85" s="93"/>
      <c r="II85" s="93"/>
      <c r="IJ85" s="93"/>
      <c r="IK85" s="93"/>
      <c r="IL85" s="93"/>
      <c r="IM85" s="100"/>
      <c r="IN85" s="114"/>
      <c r="IP85" s="12"/>
      <c r="IQ85" s="12"/>
      <c r="IR85" s="12"/>
      <c r="IS85" s="12"/>
      <c r="IT85" s="12"/>
      <c r="IU85" s="12"/>
      <c r="IV85" s="12"/>
      <c r="IW85" s="32"/>
      <c r="IX85" s="93"/>
      <c r="IY85" s="100"/>
      <c r="IZ85" s="114"/>
      <c r="JB85" s="12"/>
      <c r="JC85" s="12"/>
      <c r="JD85" s="12"/>
      <c r="JE85" s="12"/>
      <c r="JF85" s="12"/>
      <c r="JG85" s="12"/>
      <c r="JH85" s="12"/>
      <c r="JI85" s="32"/>
      <c r="JJ85" s="93"/>
      <c r="JK85" s="93"/>
      <c r="JL85" s="93"/>
      <c r="JM85" s="93"/>
      <c r="JN85" s="93"/>
      <c r="JO85" s="93"/>
      <c r="JP85" s="93"/>
      <c r="JQ85" s="93"/>
      <c r="JR85" s="93"/>
      <c r="JS85" s="93"/>
      <c r="JT85" s="93"/>
      <c r="JU85" s="93"/>
      <c r="JV85" s="93"/>
      <c r="JW85" s="93"/>
      <c r="JX85" s="93"/>
      <c r="JY85" s="93"/>
      <c r="JZ85" s="93"/>
      <c r="KA85" s="93"/>
      <c r="KB85" s="93"/>
      <c r="KC85" s="93"/>
      <c r="KD85" s="101"/>
      <c r="KE85" s="100"/>
      <c r="KF85" s="114"/>
      <c r="KH85" s="12"/>
      <c r="KI85" s="12"/>
      <c r="KJ85" s="12"/>
      <c r="KK85" s="12"/>
      <c r="KL85" s="12"/>
      <c r="KM85" s="12"/>
      <c r="KN85" s="12"/>
      <c r="KO85" s="192"/>
      <c r="KP85" s="193"/>
      <c r="KQ85" s="193"/>
      <c r="KR85" s="193"/>
      <c r="KS85" s="100"/>
      <c r="KT85" s="114"/>
      <c r="KV85" s="647" t="s">
        <v>254</v>
      </c>
      <c r="KW85" s="648"/>
      <c r="KX85" s="648"/>
      <c r="KY85" s="648"/>
      <c r="KZ85" s="648"/>
      <c r="LA85" s="649"/>
      <c r="LB85" s="13">
        <v>34</v>
      </c>
      <c r="LC85" s="32"/>
      <c r="LD85" s="93"/>
      <c r="LE85" s="93"/>
      <c r="LF85" s="30">
        <f t="shared" si="61"/>
        <v>0</v>
      </c>
      <c r="LG85" s="28">
        <f t="shared" si="62"/>
        <v>0</v>
      </c>
      <c r="LI85" s="647" t="s">
        <v>254</v>
      </c>
      <c r="LJ85" s="648"/>
      <c r="LK85" s="648"/>
      <c r="LL85" s="648"/>
      <c r="LM85" s="648"/>
      <c r="LN85" s="649"/>
      <c r="LO85" s="13">
        <v>34</v>
      </c>
      <c r="LP85" s="32"/>
      <c r="LQ85" s="93"/>
      <c r="LR85" s="93"/>
      <c r="LS85" s="93"/>
      <c r="LT85" s="93"/>
      <c r="LU85" s="93"/>
      <c r="LV85" s="93"/>
      <c r="LW85" s="93"/>
      <c r="LX85" s="93"/>
      <c r="LY85" s="93"/>
      <c r="LZ85" s="93"/>
      <c r="MA85" s="93"/>
      <c r="MB85" s="93"/>
      <c r="MC85" s="93"/>
      <c r="MD85" s="93"/>
      <c r="ME85" s="30">
        <f t="shared" si="57"/>
        <v>0</v>
      </c>
      <c r="MF85" s="28">
        <f t="shared" si="54"/>
        <v>0</v>
      </c>
      <c r="MH85" s="647" t="s">
        <v>254</v>
      </c>
      <c r="MI85" s="648"/>
      <c r="MJ85" s="648"/>
      <c r="MK85" s="648"/>
      <c r="ML85" s="648"/>
      <c r="MM85" s="649"/>
      <c r="MN85" s="13">
        <v>34</v>
      </c>
      <c r="MO85" s="32"/>
      <c r="MP85" s="93"/>
      <c r="MQ85" s="93"/>
      <c r="MR85" s="93"/>
      <c r="MS85" s="93">
        <v>1</v>
      </c>
      <c r="MT85" s="93">
        <v>1</v>
      </c>
      <c r="MU85" s="93"/>
      <c r="MV85" s="93"/>
      <c r="MW85" s="93"/>
      <c r="MX85" s="93"/>
      <c r="MY85" s="93"/>
      <c r="MZ85" s="93"/>
      <c r="NA85" s="93"/>
      <c r="NB85" s="93"/>
      <c r="NC85" s="93"/>
      <c r="ND85" s="30">
        <f t="shared" si="58"/>
        <v>2</v>
      </c>
      <c r="NE85" s="28">
        <f t="shared" si="55"/>
        <v>68</v>
      </c>
      <c r="NG85" s="647" t="s">
        <v>254</v>
      </c>
      <c r="NH85" s="648"/>
      <c r="NI85" s="648"/>
      <c r="NJ85" s="648"/>
      <c r="NK85" s="648"/>
      <c r="NL85" s="649"/>
      <c r="NM85" s="13">
        <v>34</v>
      </c>
      <c r="NN85" s="93"/>
      <c r="NO85" s="93"/>
      <c r="NP85" s="93"/>
      <c r="NQ85" s="93">
        <v>2</v>
      </c>
      <c r="NR85" s="93"/>
      <c r="NS85" s="93"/>
      <c r="NT85" s="93"/>
      <c r="NU85" s="93"/>
      <c r="NV85" s="93"/>
      <c r="NW85" s="93"/>
      <c r="NX85" s="93"/>
      <c r="NY85" s="93"/>
      <c r="NZ85" s="93"/>
      <c r="OA85" s="93"/>
      <c r="OB85" s="93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47"/>
      <c r="B86" s="12"/>
      <c r="C86" s="12"/>
      <c r="D86" s="12"/>
      <c r="E86" s="12"/>
      <c r="F86" s="12"/>
      <c r="G86" s="12"/>
      <c r="H86" s="12"/>
      <c r="I86" s="12"/>
      <c r="J86" s="12"/>
      <c r="K86" s="99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99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99"/>
      <c r="AP86" s="34"/>
      <c r="AQ86" s="19"/>
      <c r="AS86" s="12"/>
      <c r="AT86" s="12"/>
      <c r="AU86" s="12"/>
      <c r="AV86" s="12"/>
      <c r="AW86" s="12"/>
      <c r="AX86" s="12"/>
      <c r="AY86" s="12"/>
      <c r="AZ86" s="99"/>
      <c r="BA86" s="99"/>
      <c r="BB86" s="99"/>
      <c r="BC86" s="99"/>
      <c r="BD86" s="100"/>
      <c r="BE86" s="28"/>
      <c r="BF86" s="25"/>
      <c r="BG86" s="12"/>
      <c r="BH86" s="12"/>
      <c r="BI86" s="12"/>
      <c r="BJ86" s="12"/>
      <c r="BK86" s="12"/>
      <c r="BL86" s="12"/>
      <c r="BM86" s="12"/>
      <c r="BN86" s="99"/>
      <c r="BO86" s="99"/>
      <c r="BP86" s="100"/>
      <c r="BQ86" s="28"/>
      <c r="BR86" s="25"/>
      <c r="BS86" s="89"/>
      <c r="BT86" s="97"/>
      <c r="BU86" s="97"/>
      <c r="BV86" s="97"/>
      <c r="BW86" s="97"/>
      <c r="BX86" s="98"/>
      <c r="BY86" s="12"/>
      <c r="BZ86" s="99"/>
      <c r="CA86" s="99"/>
      <c r="CB86" s="99"/>
      <c r="CC86" s="99"/>
      <c r="CD86" s="99"/>
      <c r="CE86" s="99"/>
      <c r="CF86" s="99"/>
      <c r="CG86" s="99"/>
      <c r="CH86" s="99"/>
      <c r="CI86" s="100"/>
      <c r="CJ86" s="28"/>
      <c r="CL86" s="89"/>
      <c r="CM86" s="97"/>
      <c r="CN86" s="97"/>
      <c r="CO86" s="97"/>
      <c r="CP86" s="97"/>
      <c r="CQ86" s="98"/>
      <c r="CR86" s="12"/>
      <c r="CS86" s="99"/>
      <c r="CT86" s="99"/>
      <c r="CU86" s="99"/>
      <c r="CV86" s="99"/>
      <c r="CW86" s="99"/>
      <c r="CX86" s="99"/>
      <c r="CY86" s="99"/>
      <c r="CZ86" s="101"/>
      <c r="DA86" s="100"/>
      <c r="DB86" s="28"/>
      <c r="DC86" s="33"/>
      <c r="DD86" s="12"/>
      <c r="DE86" s="12"/>
      <c r="DF86" s="12"/>
      <c r="DG86" s="12"/>
      <c r="DH86" s="12"/>
      <c r="DI86" s="12"/>
      <c r="DJ86" s="12"/>
      <c r="DK86" s="101"/>
      <c r="DL86" s="101"/>
      <c r="DM86" s="101"/>
      <c r="DN86" s="101"/>
      <c r="DO86" s="101"/>
      <c r="DP86" s="101"/>
      <c r="DQ86" s="101"/>
      <c r="DR86" s="101"/>
      <c r="DS86" s="101"/>
      <c r="DT86" s="101"/>
      <c r="DU86" s="100"/>
      <c r="DV86" s="28"/>
      <c r="DX86" s="12"/>
      <c r="DY86" s="12"/>
      <c r="DZ86" s="12"/>
      <c r="EA86" s="12"/>
      <c r="EB86" s="12"/>
      <c r="EC86" s="12"/>
      <c r="ED86" s="12"/>
      <c r="EE86" s="101"/>
      <c r="EF86" s="101"/>
      <c r="EG86" s="101"/>
      <c r="EH86" s="101"/>
      <c r="EI86" s="101"/>
      <c r="EJ86" s="101"/>
      <c r="EK86" s="101"/>
      <c r="EL86" s="101"/>
      <c r="EM86" s="101"/>
      <c r="EN86" s="101"/>
      <c r="EO86" s="100"/>
      <c r="EP86" s="28"/>
      <c r="ER86" s="12"/>
      <c r="ES86" s="12"/>
      <c r="ET86" s="12"/>
      <c r="EU86" s="12"/>
      <c r="EV86" s="12"/>
      <c r="EW86" s="12"/>
      <c r="EX86" s="12"/>
      <c r="EY86" s="101"/>
      <c r="EZ86" s="101"/>
      <c r="FA86" s="101"/>
      <c r="FB86" s="101"/>
      <c r="FC86" s="101"/>
      <c r="FD86" s="101"/>
      <c r="FE86" s="101"/>
      <c r="FF86" s="101"/>
      <c r="FG86" s="101"/>
      <c r="FH86" s="101"/>
      <c r="FI86" s="101"/>
      <c r="FJ86" s="101"/>
      <c r="FK86" s="101"/>
      <c r="FL86" s="101"/>
      <c r="FM86" s="101"/>
      <c r="FN86" s="101"/>
      <c r="FO86" s="101"/>
      <c r="FP86" s="101"/>
      <c r="FQ86" s="101"/>
      <c r="FR86" s="101"/>
      <c r="FS86" s="101"/>
      <c r="FT86" s="100"/>
      <c r="FU86" s="114"/>
      <c r="FW86" s="12"/>
      <c r="FX86" s="12"/>
      <c r="FY86" s="12"/>
      <c r="FZ86" s="12"/>
      <c r="GA86" s="12"/>
      <c r="GB86" s="12"/>
      <c r="GC86" s="12"/>
      <c r="GD86" s="103"/>
      <c r="GE86" s="103"/>
      <c r="GF86" s="103"/>
      <c r="GG86" s="103"/>
      <c r="GH86" s="103"/>
      <c r="GI86" s="103"/>
      <c r="GJ86" s="103"/>
      <c r="GK86" s="103"/>
      <c r="GL86" s="103"/>
      <c r="GM86" s="103"/>
      <c r="GN86" s="103"/>
      <c r="GO86" s="103"/>
      <c r="GP86" s="103"/>
      <c r="GQ86" s="100"/>
      <c r="GR86" s="114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100"/>
      <c r="HM86" s="114"/>
      <c r="HO86" s="12"/>
      <c r="HP86" s="12"/>
      <c r="HQ86" s="12"/>
      <c r="HR86" s="12"/>
      <c r="HS86" s="12"/>
      <c r="HT86" s="12"/>
      <c r="HU86" s="12"/>
      <c r="HV86" s="32"/>
      <c r="HW86" s="100"/>
      <c r="HX86" s="114"/>
      <c r="HZ86" s="12"/>
      <c r="IA86" s="12"/>
      <c r="IB86" s="12"/>
      <c r="IC86" s="12"/>
      <c r="ID86" s="12"/>
      <c r="IE86" s="12"/>
      <c r="IF86" s="12"/>
      <c r="IG86" s="32"/>
      <c r="IH86" s="93"/>
      <c r="II86" s="93"/>
      <c r="IJ86" s="93"/>
      <c r="IK86" s="93"/>
      <c r="IL86" s="93"/>
      <c r="IM86" s="100"/>
      <c r="IN86" s="114"/>
      <c r="IP86" s="12"/>
      <c r="IQ86" s="12"/>
      <c r="IR86" s="12"/>
      <c r="IS86" s="12"/>
      <c r="IT86" s="12"/>
      <c r="IU86" s="12"/>
      <c r="IV86" s="12"/>
      <c r="IW86" s="32"/>
      <c r="IX86" s="93"/>
      <c r="IY86" s="100"/>
      <c r="IZ86" s="114"/>
      <c r="JB86" s="12"/>
      <c r="JC86" s="12"/>
      <c r="JD86" s="12"/>
      <c r="JE86" s="12"/>
      <c r="JF86" s="12"/>
      <c r="JG86" s="12"/>
      <c r="JH86" s="12"/>
      <c r="JI86" s="32"/>
      <c r="JJ86" s="93"/>
      <c r="JK86" s="93"/>
      <c r="JL86" s="93"/>
      <c r="JM86" s="93"/>
      <c r="JN86" s="93"/>
      <c r="JO86" s="93"/>
      <c r="JP86" s="93"/>
      <c r="JQ86" s="93"/>
      <c r="JR86" s="93"/>
      <c r="JS86" s="93"/>
      <c r="JT86" s="93"/>
      <c r="JU86" s="93"/>
      <c r="JV86" s="93"/>
      <c r="JW86" s="93"/>
      <c r="JX86" s="93"/>
      <c r="JY86" s="93"/>
      <c r="JZ86" s="93"/>
      <c r="KA86" s="93"/>
      <c r="KB86" s="93"/>
      <c r="KC86" s="93"/>
      <c r="KD86" s="101"/>
      <c r="KE86" s="100"/>
      <c r="KF86" s="114"/>
      <c r="KH86" s="12"/>
      <c r="KI86" s="12"/>
      <c r="KJ86" s="12"/>
      <c r="KK86" s="12"/>
      <c r="KL86" s="12"/>
      <c r="KM86" s="12"/>
      <c r="KN86" s="12"/>
      <c r="KO86" s="192"/>
      <c r="KP86" s="193"/>
      <c r="KQ86" s="193"/>
      <c r="KR86" s="193"/>
      <c r="KS86" s="100"/>
      <c r="KT86" s="114"/>
      <c r="KV86" s="650" t="s">
        <v>255</v>
      </c>
      <c r="KW86" s="651"/>
      <c r="KX86" s="651"/>
      <c r="KY86" s="651"/>
      <c r="KZ86" s="651"/>
      <c r="LA86" s="652"/>
      <c r="LB86" s="28">
        <v>11</v>
      </c>
      <c r="LC86" s="51"/>
      <c r="LD86" s="73"/>
      <c r="LE86" s="73"/>
      <c r="LF86" s="30">
        <f t="shared" si="61"/>
        <v>0</v>
      </c>
      <c r="LG86" s="28">
        <f t="shared" si="62"/>
        <v>0</v>
      </c>
      <c r="LI86" s="650" t="s">
        <v>255</v>
      </c>
      <c r="LJ86" s="651"/>
      <c r="LK86" s="651"/>
      <c r="LL86" s="651"/>
      <c r="LM86" s="651"/>
      <c r="LN86" s="652"/>
      <c r="LO86" s="28">
        <v>11</v>
      </c>
      <c r="LP86" s="51"/>
      <c r="LQ86" s="73"/>
      <c r="LR86" s="73"/>
      <c r="LS86" s="73"/>
      <c r="LT86" s="73"/>
      <c r="LU86" s="73"/>
      <c r="LV86" s="73"/>
      <c r="LW86" s="73"/>
      <c r="LX86" s="73"/>
      <c r="LY86" s="73"/>
      <c r="LZ86" s="73"/>
      <c r="MA86" s="73"/>
      <c r="MB86" s="73"/>
      <c r="MC86" s="73"/>
      <c r="MD86" s="73"/>
      <c r="ME86" s="30">
        <f t="shared" si="57"/>
        <v>0</v>
      </c>
      <c r="MF86" s="28">
        <f t="shared" si="54"/>
        <v>0</v>
      </c>
      <c r="MH86" s="650" t="s">
        <v>255</v>
      </c>
      <c r="MI86" s="651"/>
      <c r="MJ86" s="651"/>
      <c r="MK86" s="651"/>
      <c r="ML86" s="651"/>
      <c r="MM86" s="652"/>
      <c r="MN86" s="28">
        <v>11</v>
      </c>
      <c r="MO86" s="51"/>
      <c r="MP86" s="73"/>
      <c r="MQ86" s="73"/>
      <c r="MR86" s="73"/>
      <c r="MS86" s="73"/>
      <c r="MT86" s="73"/>
      <c r="MU86" s="73"/>
      <c r="MV86" s="73"/>
      <c r="MW86" s="73"/>
      <c r="MX86" s="73"/>
      <c r="MY86" s="73"/>
      <c r="MZ86" s="73"/>
      <c r="NA86" s="73"/>
      <c r="NB86" s="73"/>
      <c r="NC86" s="73"/>
      <c r="ND86" s="30">
        <f t="shared" si="58"/>
        <v>0</v>
      </c>
      <c r="NE86" s="28">
        <f t="shared" si="55"/>
        <v>0</v>
      </c>
      <c r="NG86" s="650" t="s">
        <v>255</v>
      </c>
      <c r="NH86" s="651"/>
      <c r="NI86" s="651"/>
      <c r="NJ86" s="651"/>
      <c r="NK86" s="651"/>
      <c r="NL86" s="652"/>
      <c r="NM86" s="28">
        <v>11</v>
      </c>
      <c r="NN86" s="73"/>
      <c r="NO86" s="73"/>
      <c r="NP86" s="73"/>
      <c r="NQ86" s="73"/>
      <c r="NR86" s="73"/>
      <c r="NS86" s="73"/>
      <c r="NT86" s="73"/>
      <c r="NU86" s="73"/>
      <c r="NV86" s="73"/>
      <c r="NW86" s="73"/>
      <c r="NX86" s="73"/>
      <c r="NY86" s="73"/>
      <c r="NZ86" s="73"/>
      <c r="OA86" s="73"/>
      <c r="OB86" s="73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47"/>
      <c r="B87" s="12"/>
      <c r="C87" s="12"/>
      <c r="D87" s="12"/>
      <c r="E87" s="12"/>
      <c r="F87" s="12"/>
      <c r="G87" s="12"/>
      <c r="H87" s="12"/>
      <c r="I87" s="12"/>
      <c r="J87" s="12"/>
      <c r="K87" s="99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99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99"/>
      <c r="AP87" s="34"/>
      <c r="AQ87" s="19"/>
      <c r="AS87" s="12"/>
      <c r="AT87" s="12"/>
      <c r="AU87" s="12"/>
      <c r="AV87" s="12"/>
      <c r="AW87" s="12"/>
      <c r="AX87" s="12"/>
      <c r="AY87" s="12"/>
      <c r="AZ87" s="99"/>
      <c r="BA87" s="99"/>
      <c r="BB87" s="99"/>
      <c r="BC87" s="99"/>
      <c r="BD87" s="100"/>
      <c r="BE87" s="28"/>
      <c r="BF87" s="25"/>
      <c r="BG87" s="12"/>
      <c r="BH87" s="12"/>
      <c r="BI87" s="12"/>
      <c r="BJ87" s="12"/>
      <c r="BK87" s="12"/>
      <c r="BL87" s="12"/>
      <c r="BM87" s="12"/>
      <c r="BN87" s="99"/>
      <c r="BO87" s="99"/>
      <c r="BP87" s="100"/>
      <c r="BQ87" s="28"/>
      <c r="BR87" s="25"/>
      <c r="BS87" s="89"/>
      <c r="BT87" s="97"/>
      <c r="BU87" s="97"/>
      <c r="BV87" s="97"/>
      <c r="BW87" s="97"/>
      <c r="BX87" s="98"/>
      <c r="BY87" s="12"/>
      <c r="BZ87" s="99"/>
      <c r="CA87" s="99"/>
      <c r="CB87" s="99"/>
      <c r="CC87" s="99"/>
      <c r="CD87" s="99"/>
      <c r="CE87" s="99"/>
      <c r="CF87" s="99"/>
      <c r="CG87" s="99"/>
      <c r="CH87" s="99"/>
      <c r="CI87" s="100"/>
      <c r="CJ87" s="28"/>
      <c r="CL87" s="89"/>
      <c r="CM87" s="97"/>
      <c r="CN87" s="97"/>
      <c r="CO87" s="97"/>
      <c r="CP87" s="97"/>
      <c r="CQ87" s="98"/>
      <c r="CR87" s="12"/>
      <c r="CS87" s="99"/>
      <c r="CT87" s="99"/>
      <c r="CU87" s="99"/>
      <c r="CV87" s="99"/>
      <c r="CW87" s="99"/>
      <c r="CX87" s="99"/>
      <c r="CY87" s="99"/>
      <c r="CZ87" s="101"/>
      <c r="DA87" s="100"/>
      <c r="DB87" s="28"/>
      <c r="DC87" s="33"/>
      <c r="DD87" s="12"/>
      <c r="DE87" s="12"/>
      <c r="DF87" s="12"/>
      <c r="DG87" s="12"/>
      <c r="DH87" s="12"/>
      <c r="DI87" s="12"/>
      <c r="DJ87" s="12"/>
      <c r="DK87" s="101"/>
      <c r="DL87" s="101"/>
      <c r="DM87" s="101"/>
      <c r="DN87" s="101"/>
      <c r="DO87" s="101"/>
      <c r="DP87" s="101"/>
      <c r="DQ87" s="101"/>
      <c r="DR87" s="101"/>
      <c r="DS87" s="101"/>
      <c r="DT87" s="101"/>
      <c r="DU87" s="100"/>
      <c r="DV87" s="28"/>
      <c r="DX87" s="12"/>
      <c r="DY87" s="12"/>
      <c r="DZ87" s="12"/>
      <c r="EA87" s="12"/>
      <c r="EB87" s="12"/>
      <c r="EC87" s="12"/>
      <c r="ED87" s="12"/>
      <c r="EE87" s="101"/>
      <c r="EF87" s="101"/>
      <c r="EG87" s="101"/>
      <c r="EH87" s="101"/>
      <c r="EI87" s="101"/>
      <c r="EJ87" s="101"/>
      <c r="EK87" s="101"/>
      <c r="EL87" s="101"/>
      <c r="EM87" s="101"/>
      <c r="EN87" s="101"/>
      <c r="EO87" s="100"/>
      <c r="EP87" s="28"/>
      <c r="ER87" s="12"/>
      <c r="ES87" s="12"/>
      <c r="ET87" s="12"/>
      <c r="EU87" s="12"/>
      <c r="EV87" s="12"/>
      <c r="EW87" s="12"/>
      <c r="EX87" s="12"/>
      <c r="EY87" s="101"/>
      <c r="EZ87" s="101"/>
      <c r="FA87" s="101"/>
      <c r="FB87" s="101"/>
      <c r="FC87" s="101"/>
      <c r="FD87" s="101"/>
      <c r="FE87" s="101"/>
      <c r="FF87" s="101"/>
      <c r="FG87" s="101"/>
      <c r="FH87" s="101"/>
      <c r="FI87" s="101"/>
      <c r="FJ87" s="101"/>
      <c r="FK87" s="101"/>
      <c r="FL87" s="101"/>
      <c r="FM87" s="101"/>
      <c r="FN87" s="101"/>
      <c r="FO87" s="101"/>
      <c r="FP87" s="101"/>
      <c r="FQ87" s="101"/>
      <c r="FR87" s="101"/>
      <c r="FS87" s="101"/>
      <c r="FT87" s="100"/>
      <c r="FU87" s="114"/>
      <c r="FW87" s="12"/>
      <c r="FX87" s="12"/>
      <c r="FY87" s="12"/>
      <c r="FZ87" s="12"/>
      <c r="GA87" s="12"/>
      <c r="GB87" s="12"/>
      <c r="GC87" s="12"/>
      <c r="GD87" s="103"/>
      <c r="GE87" s="103"/>
      <c r="GF87" s="103"/>
      <c r="GG87" s="103"/>
      <c r="GH87" s="103"/>
      <c r="GI87" s="103"/>
      <c r="GJ87" s="103"/>
      <c r="GK87" s="103"/>
      <c r="GL87" s="103"/>
      <c r="GM87" s="103"/>
      <c r="GN87" s="103"/>
      <c r="GO87" s="103"/>
      <c r="GP87" s="103"/>
      <c r="GQ87" s="100"/>
      <c r="GR87" s="114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100"/>
      <c r="HM87" s="114"/>
      <c r="HO87" s="12"/>
      <c r="HP87" s="12"/>
      <c r="HQ87" s="12"/>
      <c r="HR87" s="12"/>
      <c r="HS87" s="12"/>
      <c r="HT87" s="12"/>
      <c r="HU87" s="12"/>
      <c r="HV87" s="32"/>
      <c r="HW87" s="100"/>
      <c r="HX87" s="114"/>
      <c r="HZ87" s="12"/>
      <c r="IA87" s="12"/>
      <c r="IB87" s="12"/>
      <c r="IC87" s="12"/>
      <c r="ID87" s="12"/>
      <c r="IE87" s="12"/>
      <c r="IF87" s="12"/>
      <c r="IG87" s="32"/>
      <c r="IH87" s="93"/>
      <c r="II87" s="93"/>
      <c r="IJ87" s="93"/>
      <c r="IK87" s="93"/>
      <c r="IL87" s="93"/>
      <c r="IM87" s="100"/>
      <c r="IN87" s="114"/>
      <c r="IP87" s="12"/>
      <c r="IQ87" s="12"/>
      <c r="IR87" s="12"/>
      <c r="IS87" s="12"/>
      <c r="IT87" s="12"/>
      <c r="IU87" s="12"/>
      <c r="IV87" s="12"/>
      <c r="IW87" s="32"/>
      <c r="IX87" s="93"/>
      <c r="IY87" s="100"/>
      <c r="IZ87" s="114"/>
      <c r="JB87" s="12"/>
      <c r="JC87" s="12"/>
      <c r="JD87" s="12"/>
      <c r="JE87" s="12"/>
      <c r="JF87" s="12"/>
      <c r="JG87" s="12"/>
      <c r="JH87" s="12"/>
      <c r="JI87" s="32"/>
      <c r="JJ87" s="93"/>
      <c r="JK87" s="93"/>
      <c r="JL87" s="93"/>
      <c r="JM87" s="93"/>
      <c r="JN87" s="93"/>
      <c r="JO87" s="93"/>
      <c r="JP87" s="93"/>
      <c r="JQ87" s="93"/>
      <c r="JR87" s="93"/>
      <c r="JS87" s="93"/>
      <c r="JT87" s="93"/>
      <c r="JU87" s="93"/>
      <c r="JV87" s="93"/>
      <c r="JW87" s="93"/>
      <c r="JX87" s="93"/>
      <c r="JY87" s="93"/>
      <c r="JZ87" s="93"/>
      <c r="KA87" s="93"/>
      <c r="KB87" s="93"/>
      <c r="KC87" s="93"/>
      <c r="KD87" s="101"/>
      <c r="KE87" s="100"/>
      <c r="KF87" s="114"/>
      <c r="KH87" s="12"/>
      <c r="KI87" s="12"/>
      <c r="KJ87" s="12"/>
      <c r="KK87" s="12"/>
      <c r="KL87" s="12"/>
      <c r="KM87" s="12"/>
      <c r="KN87" s="12"/>
      <c r="KO87" s="192"/>
      <c r="KP87" s="193"/>
      <c r="KQ87" s="193"/>
      <c r="KR87" s="193"/>
      <c r="KS87" s="100"/>
      <c r="KT87" s="114"/>
      <c r="KV87" s="647" t="s">
        <v>256</v>
      </c>
      <c r="KW87" s="648"/>
      <c r="KX87" s="648"/>
      <c r="KY87" s="648"/>
      <c r="KZ87" s="648"/>
      <c r="LA87" s="649"/>
      <c r="LB87" s="13">
        <v>14</v>
      </c>
      <c r="LC87" s="32"/>
      <c r="LD87" s="93"/>
      <c r="LE87" s="93"/>
      <c r="LF87" s="30">
        <f t="shared" si="61"/>
        <v>0</v>
      </c>
      <c r="LG87" s="28">
        <f t="shared" si="62"/>
        <v>0</v>
      </c>
      <c r="LI87" s="647" t="s">
        <v>256</v>
      </c>
      <c r="LJ87" s="648"/>
      <c r="LK87" s="648"/>
      <c r="LL87" s="648"/>
      <c r="LM87" s="648"/>
      <c r="LN87" s="649"/>
      <c r="LO87" s="13">
        <v>14</v>
      </c>
      <c r="LP87" s="32"/>
      <c r="LQ87" s="93"/>
      <c r="LR87" s="93"/>
      <c r="LS87" s="93"/>
      <c r="LT87" s="93"/>
      <c r="LU87" s="93"/>
      <c r="LV87" s="93"/>
      <c r="LW87" s="93"/>
      <c r="LX87" s="93"/>
      <c r="LY87" s="93"/>
      <c r="LZ87" s="93"/>
      <c r="MA87" s="93"/>
      <c r="MB87" s="93"/>
      <c r="MC87" s="93"/>
      <c r="MD87" s="93"/>
      <c r="ME87" s="30">
        <f t="shared" si="57"/>
        <v>0</v>
      </c>
      <c r="MF87" s="28">
        <f t="shared" si="54"/>
        <v>0</v>
      </c>
      <c r="MH87" s="647" t="s">
        <v>256</v>
      </c>
      <c r="MI87" s="648"/>
      <c r="MJ87" s="648"/>
      <c r="MK87" s="648"/>
      <c r="ML87" s="648"/>
      <c r="MM87" s="649"/>
      <c r="MN87" s="13">
        <v>14</v>
      </c>
      <c r="MO87" s="32"/>
      <c r="MP87" s="93"/>
      <c r="MQ87" s="93"/>
      <c r="MR87" s="93"/>
      <c r="MS87" s="93"/>
      <c r="MT87" s="93"/>
      <c r="MU87" s="93"/>
      <c r="MV87" s="93"/>
      <c r="MW87" s="93"/>
      <c r="MX87" s="93"/>
      <c r="MY87" s="93"/>
      <c r="MZ87" s="93"/>
      <c r="NA87" s="93"/>
      <c r="NB87" s="93"/>
      <c r="NC87" s="93"/>
      <c r="ND87" s="30">
        <f t="shared" si="58"/>
        <v>0</v>
      </c>
      <c r="NE87" s="28">
        <f t="shared" si="55"/>
        <v>0</v>
      </c>
      <c r="NG87" s="647" t="s">
        <v>256</v>
      </c>
      <c r="NH87" s="648"/>
      <c r="NI87" s="648"/>
      <c r="NJ87" s="648"/>
      <c r="NK87" s="648"/>
      <c r="NL87" s="649"/>
      <c r="NM87" s="13">
        <v>14</v>
      </c>
      <c r="NN87" s="93"/>
      <c r="NO87" s="93"/>
      <c r="NP87" s="93"/>
      <c r="NQ87" s="93"/>
      <c r="NR87" s="93"/>
      <c r="NS87" s="93"/>
      <c r="NT87" s="93"/>
      <c r="NU87" s="93"/>
      <c r="NV87" s="93"/>
      <c r="NW87" s="93"/>
      <c r="NX87" s="93"/>
      <c r="NY87" s="93"/>
      <c r="NZ87" s="93"/>
      <c r="OA87" s="93"/>
      <c r="OB87" s="93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47"/>
      <c r="B88" s="12"/>
      <c r="C88" s="12"/>
      <c r="D88" s="12"/>
      <c r="E88" s="12"/>
      <c r="F88" s="12"/>
      <c r="G88" s="12"/>
      <c r="H88" s="12"/>
      <c r="I88" s="12"/>
      <c r="J88" s="12"/>
      <c r="K88" s="99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99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99"/>
      <c r="AP88" s="34"/>
      <c r="AQ88" s="19"/>
      <c r="AS88" s="12"/>
      <c r="AT88" s="12"/>
      <c r="AU88" s="12"/>
      <c r="AV88" s="12"/>
      <c r="AW88" s="12"/>
      <c r="AX88" s="12"/>
      <c r="AY88" s="12"/>
      <c r="AZ88" s="99"/>
      <c r="BA88" s="99"/>
      <c r="BB88" s="99"/>
      <c r="BC88" s="99"/>
      <c r="BD88" s="100"/>
      <c r="BE88" s="28"/>
      <c r="BF88" s="25"/>
      <c r="BG88" s="12"/>
      <c r="BH88" s="12"/>
      <c r="BI88" s="12"/>
      <c r="BJ88" s="12"/>
      <c r="BK88" s="12"/>
      <c r="BL88" s="12"/>
      <c r="BM88" s="12"/>
      <c r="BN88" s="99"/>
      <c r="BO88" s="99"/>
      <c r="BP88" s="100"/>
      <c r="BQ88" s="28"/>
      <c r="BR88" s="25"/>
      <c r="BS88" s="89"/>
      <c r="BT88" s="97"/>
      <c r="BU88" s="97"/>
      <c r="BV88" s="97"/>
      <c r="BW88" s="97"/>
      <c r="BX88" s="98"/>
      <c r="BY88" s="12"/>
      <c r="BZ88" s="99"/>
      <c r="CA88" s="99"/>
      <c r="CB88" s="99"/>
      <c r="CC88" s="99"/>
      <c r="CD88" s="99"/>
      <c r="CE88" s="99"/>
      <c r="CF88" s="99"/>
      <c r="CG88" s="99"/>
      <c r="CH88" s="99"/>
      <c r="CI88" s="100"/>
      <c r="CJ88" s="28"/>
      <c r="CL88" s="89"/>
      <c r="CM88" s="97"/>
      <c r="CN88" s="97"/>
      <c r="CO88" s="97"/>
      <c r="CP88" s="97"/>
      <c r="CQ88" s="98"/>
      <c r="CR88" s="12"/>
      <c r="CS88" s="99"/>
      <c r="CT88" s="99"/>
      <c r="CU88" s="99"/>
      <c r="CV88" s="99"/>
      <c r="CW88" s="99"/>
      <c r="CX88" s="99"/>
      <c r="CY88" s="99"/>
      <c r="CZ88" s="101"/>
      <c r="DA88" s="100"/>
      <c r="DB88" s="28"/>
      <c r="DC88" s="33"/>
      <c r="DD88" s="12"/>
      <c r="DE88" s="12"/>
      <c r="DF88" s="12"/>
      <c r="DG88" s="12"/>
      <c r="DH88" s="12"/>
      <c r="DI88" s="12"/>
      <c r="DJ88" s="12"/>
      <c r="DK88" s="101"/>
      <c r="DL88" s="101"/>
      <c r="DM88" s="101"/>
      <c r="DN88" s="101"/>
      <c r="DO88" s="101"/>
      <c r="DP88" s="101"/>
      <c r="DQ88" s="101"/>
      <c r="DR88" s="101"/>
      <c r="DS88" s="101"/>
      <c r="DT88" s="101"/>
      <c r="DU88" s="100"/>
      <c r="DV88" s="28"/>
      <c r="DX88" s="12"/>
      <c r="DY88" s="12"/>
      <c r="DZ88" s="12"/>
      <c r="EA88" s="12"/>
      <c r="EB88" s="12"/>
      <c r="EC88" s="12"/>
      <c r="ED88" s="12"/>
      <c r="EE88" s="101"/>
      <c r="EF88" s="101"/>
      <c r="EG88" s="101"/>
      <c r="EH88" s="101"/>
      <c r="EI88" s="101"/>
      <c r="EJ88" s="101"/>
      <c r="EK88" s="101"/>
      <c r="EL88" s="101"/>
      <c r="EM88" s="101"/>
      <c r="EN88" s="101"/>
      <c r="EO88" s="100"/>
      <c r="EP88" s="28"/>
      <c r="ER88" s="12"/>
      <c r="ES88" s="12"/>
      <c r="ET88" s="12"/>
      <c r="EU88" s="12"/>
      <c r="EV88" s="12"/>
      <c r="EW88" s="12"/>
      <c r="EX88" s="12"/>
      <c r="EY88" s="101"/>
      <c r="EZ88" s="101"/>
      <c r="FA88" s="101"/>
      <c r="FB88" s="101"/>
      <c r="FC88" s="101"/>
      <c r="FD88" s="101"/>
      <c r="FE88" s="101"/>
      <c r="FF88" s="101"/>
      <c r="FG88" s="101"/>
      <c r="FH88" s="101"/>
      <c r="FI88" s="101"/>
      <c r="FJ88" s="101"/>
      <c r="FK88" s="101"/>
      <c r="FL88" s="101"/>
      <c r="FM88" s="101"/>
      <c r="FN88" s="101"/>
      <c r="FO88" s="101"/>
      <c r="FP88" s="101"/>
      <c r="FQ88" s="101"/>
      <c r="FR88" s="101"/>
      <c r="FS88" s="101"/>
      <c r="FT88" s="100"/>
      <c r="FU88" s="114"/>
      <c r="FW88" s="12"/>
      <c r="FX88" s="12"/>
      <c r="FY88" s="12"/>
      <c r="FZ88" s="12"/>
      <c r="GA88" s="12"/>
      <c r="GB88" s="12"/>
      <c r="GC88" s="12"/>
      <c r="GD88" s="103"/>
      <c r="GE88" s="103"/>
      <c r="GF88" s="103"/>
      <c r="GG88" s="103"/>
      <c r="GH88" s="103"/>
      <c r="GI88" s="103"/>
      <c r="GJ88" s="103"/>
      <c r="GK88" s="103"/>
      <c r="GL88" s="103"/>
      <c r="GM88" s="103"/>
      <c r="GN88" s="103"/>
      <c r="GO88" s="103"/>
      <c r="GP88" s="103"/>
      <c r="GQ88" s="100"/>
      <c r="GR88" s="114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100"/>
      <c r="HM88" s="114"/>
      <c r="HO88" s="12"/>
      <c r="HP88" s="12"/>
      <c r="HQ88" s="12"/>
      <c r="HR88" s="12"/>
      <c r="HS88" s="12"/>
      <c r="HT88" s="12"/>
      <c r="HU88" s="12"/>
      <c r="HV88" s="32"/>
      <c r="HW88" s="100"/>
      <c r="HX88" s="114"/>
      <c r="HZ88" s="12"/>
      <c r="IA88" s="12"/>
      <c r="IB88" s="12"/>
      <c r="IC88" s="12"/>
      <c r="ID88" s="12"/>
      <c r="IE88" s="12"/>
      <c r="IF88" s="12"/>
      <c r="IG88" s="32"/>
      <c r="IH88" s="93"/>
      <c r="II88" s="93"/>
      <c r="IJ88" s="93"/>
      <c r="IK88" s="93"/>
      <c r="IL88" s="93"/>
      <c r="IM88" s="100"/>
      <c r="IN88" s="114"/>
      <c r="IP88" s="12"/>
      <c r="IQ88" s="12"/>
      <c r="IR88" s="12"/>
      <c r="IS88" s="12"/>
      <c r="IT88" s="12"/>
      <c r="IU88" s="12"/>
      <c r="IV88" s="12"/>
      <c r="IW88" s="32"/>
      <c r="IX88" s="93"/>
      <c r="IY88" s="100"/>
      <c r="IZ88" s="114"/>
      <c r="JB88" s="12"/>
      <c r="JC88" s="12"/>
      <c r="JD88" s="12"/>
      <c r="JE88" s="12"/>
      <c r="JF88" s="12"/>
      <c r="JG88" s="12"/>
      <c r="JH88" s="12"/>
      <c r="JI88" s="32"/>
      <c r="JJ88" s="93"/>
      <c r="JK88" s="93"/>
      <c r="JL88" s="93"/>
      <c r="JM88" s="93"/>
      <c r="JN88" s="93"/>
      <c r="JO88" s="93"/>
      <c r="JP88" s="93"/>
      <c r="JQ88" s="93"/>
      <c r="JR88" s="93"/>
      <c r="JS88" s="93"/>
      <c r="JT88" s="93"/>
      <c r="JU88" s="93"/>
      <c r="JV88" s="93"/>
      <c r="JW88" s="93"/>
      <c r="JX88" s="93"/>
      <c r="JY88" s="93"/>
      <c r="JZ88" s="93"/>
      <c r="KA88" s="93"/>
      <c r="KB88" s="93"/>
      <c r="KC88" s="93"/>
      <c r="KD88" s="101"/>
      <c r="KE88" s="100"/>
      <c r="KF88" s="114"/>
      <c r="KH88" s="12"/>
      <c r="KI88" s="12"/>
      <c r="KJ88" s="12"/>
      <c r="KK88" s="12"/>
      <c r="KL88" s="12"/>
      <c r="KM88" s="12"/>
      <c r="KN88" s="12"/>
      <c r="KO88" s="192"/>
      <c r="KP88" s="193"/>
      <c r="KQ88" s="193"/>
      <c r="KR88" s="193"/>
      <c r="KS88" s="100"/>
      <c r="KT88" s="114"/>
      <c r="KV88" s="650" t="s">
        <v>257</v>
      </c>
      <c r="KW88" s="651"/>
      <c r="KX88" s="651"/>
      <c r="KY88" s="651"/>
      <c r="KZ88" s="651"/>
      <c r="LA88" s="652"/>
      <c r="LB88" s="28">
        <v>15</v>
      </c>
      <c r="LC88" s="51"/>
      <c r="LD88" s="73"/>
      <c r="LE88" s="73"/>
      <c r="LF88" s="30">
        <f t="shared" si="61"/>
        <v>0</v>
      </c>
      <c r="LG88" s="28">
        <f t="shared" si="62"/>
        <v>0</v>
      </c>
      <c r="LI88" s="650" t="s">
        <v>257</v>
      </c>
      <c r="LJ88" s="651"/>
      <c r="LK88" s="651"/>
      <c r="LL88" s="651"/>
      <c r="LM88" s="651"/>
      <c r="LN88" s="652"/>
      <c r="LO88" s="28">
        <v>15</v>
      </c>
      <c r="LP88" s="51"/>
      <c r="LQ88" s="73"/>
      <c r="LR88" s="73"/>
      <c r="LS88" s="73"/>
      <c r="LT88" s="73"/>
      <c r="LU88" s="73"/>
      <c r="LV88" s="73"/>
      <c r="LW88" s="73"/>
      <c r="LX88" s="73"/>
      <c r="LY88" s="73"/>
      <c r="LZ88" s="73"/>
      <c r="MA88" s="73"/>
      <c r="MB88" s="73"/>
      <c r="MC88" s="73"/>
      <c r="MD88" s="73"/>
      <c r="ME88" s="30">
        <f t="shared" si="57"/>
        <v>0</v>
      </c>
      <c r="MF88" s="28">
        <f t="shared" si="54"/>
        <v>0</v>
      </c>
      <c r="MH88" s="650" t="s">
        <v>257</v>
      </c>
      <c r="MI88" s="651"/>
      <c r="MJ88" s="651"/>
      <c r="MK88" s="651"/>
      <c r="ML88" s="651"/>
      <c r="MM88" s="652"/>
      <c r="MN88" s="28">
        <v>15</v>
      </c>
      <c r="MO88" s="51"/>
      <c r="MP88" s="73"/>
      <c r="MQ88" s="73"/>
      <c r="MR88" s="73"/>
      <c r="MS88" s="73"/>
      <c r="MT88" s="73"/>
      <c r="MU88" s="73"/>
      <c r="MV88" s="73"/>
      <c r="MW88" s="73"/>
      <c r="MX88" s="73"/>
      <c r="MY88" s="73"/>
      <c r="MZ88" s="73"/>
      <c r="NA88" s="73"/>
      <c r="NB88" s="73"/>
      <c r="NC88" s="73"/>
      <c r="ND88" s="30">
        <f t="shared" si="58"/>
        <v>0</v>
      </c>
      <c r="NE88" s="28">
        <f t="shared" si="55"/>
        <v>0</v>
      </c>
      <c r="NG88" s="650" t="s">
        <v>257</v>
      </c>
      <c r="NH88" s="651"/>
      <c r="NI88" s="651"/>
      <c r="NJ88" s="651"/>
      <c r="NK88" s="651"/>
      <c r="NL88" s="652"/>
      <c r="NM88" s="28">
        <v>15</v>
      </c>
      <c r="NN88" s="73"/>
      <c r="NO88" s="73"/>
      <c r="NP88" s="73"/>
      <c r="NQ88" s="73"/>
      <c r="NR88" s="73"/>
      <c r="NS88" s="73"/>
      <c r="NT88" s="73"/>
      <c r="NU88" s="73"/>
      <c r="NV88" s="73"/>
      <c r="NW88" s="73"/>
      <c r="NX88" s="73"/>
      <c r="NY88" s="73"/>
      <c r="NZ88" s="73"/>
      <c r="OA88" s="73"/>
      <c r="OB88" s="73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47"/>
      <c r="B89" s="12"/>
      <c r="C89" s="12"/>
      <c r="D89" s="12"/>
      <c r="E89" s="12"/>
      <c r="F89" s="12"/>
      <c r="G89" s="12"/>
      <c r="H89" s="12"/>
      <c r="I89" s="12"/>
      <c r="J89" s="12"/>
      <c r="K89" s="99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99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99"/>
      <c r="AP89" s="34"/>
      <c r="AQ89" s="19"/>
      <c r="AS89" s="12"/>
      <c r="AT89" s="12"/>
      <c r="AU89" s="12"/>
      <c r="AV89" s="12"/>
      <c r="AW89" s="12"/>
      <c r="AX89" s="12"/>
      <c r="AY89" s="12"/>
      <c r="AZ89" s="99"/>
      <c r="BA89" s="99"/>
      <c r="BB89" s="99"/>
      <c r="BC89" s="99"/>
      <c r="BD89" s="100"/>
      <c r="BE89" s="28"/>
      <c r="BF89" s="25"/>
      <c r="BG89" s="12"/>
      <c r="BH89" s="12"/>
      <c r="BI89" s="12"/>
      <c r="BJ89" s="12"/>
      <c r="BK89" s="12"/>
      <c r="BL89" s="12"/>
      <c r="BM89" s="12"/>
      <c r="BN89" s="99"/>
      <c r="BO89" s="99"/>
      <c r="BP89" s="100"/>
      <c r="BQ89" s="28"/>
      <c r="BR89" s="25"/>
      <c r="BS89" s="89"/>
      <c r="BT89" s="97"/>
      <c r="BU89" s="97"/>
      <c r="BV89" s="97"/>
      <c r="BW89" s="97"/>
      <c r="BX89" s="98"/>
      <c r="BY89" s="12"/>
      <c r="BZ89" s="99"/>
      <c r="CA89" s="99"/>
      <c r="CB89" s="99"/>
      <c r="CC89" s="99"/>
      <c r="CD89" s="99"/>
      <c r="CE89" s="99"/>
      <c r="CF89" s="99"/>
      <c r="CG89" s="99"/>
      <c r="CH89" s="99"/>
      <c r="CI89" s="100"/>
      <c r="CJ89" s="28"/>
      <c r="CL89" s="89"/>
      <c r="CM89" s="97"/>
      <c r="CN89" s="97"/>
      <c r="CO89" s="97"/>
      <c r="CP89" s="97"/>
      <c r="CQ89" s="98"/>
      <c r="CR89" s="12"/>
      <c r="CS89" s="99"/>
      <c r="CT89" s="99"/>
      <c r="CU89" s="99"/>
      <c r="CV89" s="99"/>
      <c r="CW89" s="99"/>
      <c r="CX89" s="99"/>
      <c r="CY89" s="99"/>
      <c r="CZ89" s="101"/>
      <c r="DA89" s="100"/>
      <c r="DB89" s="28"/>
      <c r="DC89" s="33"/>
      <c r="DD89" s="12"/>
      <c r="DE89" s="12"/>
      <c r="DF89" s="12"/>
      <c r="DG89" s="12"/>
      <c r="DH89" s="12"/>
      <c r="DI89" s="12"/>
      <c r="DJ89" s="12"/>
      <c r="DK89" s="101"/>
      <c r="DL89" s="101"/>
      <c r="DM89" s="101"/>
      <c r="DN89" s="101"/>
      <c r="DO89" s="101"/>
      <c r="DP89" s="101"/>
      <c r="DQ89" s="101"/>
      <c r="DR89" s="101"/>
      <c r="DS89" s="101"/>
      <c r="DT89" s="101"/>
      <c r="DU89" s="100"/>
      <c r="DV89" s="28"/>
      <c r="DX89" s="12"/>
      <c r="DY89" s="12"/>
      <c r="DZ89" s="12"/>
      <c r="EA89" s="12"/>
      <c r="EB89" s="12"/>
      <c r="EC89" s="12"/>
      <c r="ED89" s="12"/>
      <c r="EE89" s="101"/>
      <c r="EF89" s="101"/>
      <c r="EG89" s="101"/>
      <c r="EH89" s="101"/>
      <c r="EI89" s="101"/>
      <c r="EJ89" s="101"/>
      <c r="EK89" s="101"/>
      <c r="EL89" s="101"/>
      <c r="EM89" s="101"/>
      <c r="EN89" s="101"/>
      <c r="EO89" s="100"/>
      <c r="EP89" s="28"/>
      <c r="ER89" s="12"/>
      <c r="ES89" s="12"/>
      <c r="ET89" s="12"/>
      <c r="EU89" s="12"/>
      <c r="EV89" s="12"/>
      <c r="EW89" s="12"/>
      <c r="EX89" s="12"/>
      <c r="EY89" s="101"/>
      <c r="EZ89" s="101"/>
      <c r="FA89" s="101"/>
      <c r="FB89" s="101"/>
      <c r="FC89" s="101"/>
      <c r="FD89" s="101"/>
      <c r="FE89" s="101"/>
      <c r="FF89" s="101"/>
      <c r="FG89" s="101"/>
      <c r="FH89" s="101"/>
      <c r="FI89" s="101"/>
      <c r="FJ89" s="101"/>
      <c r="FK89" s="101"/>
      <c r="FL89" s="101"/>
      <c r="FM89" s="101"/>
      <c r="FN89" s="101"/>
      <c r="FO89" s="101"/>
      <c r="FP89" s="101"/>
      <c r="FQ89" s="101"/>
      <c r="FR89" s="101"/>
      <c r="FS89" s="101"/>
      <c r="FT89" s="100"/>
      <c r="FU89" s="114"/>
      <c r="FW89" s="12"/>
      <c r="FX89" s="12"/>
      <c r="FY89" s="12"/>
      <c r="FZ89" s="12"/>
      <c r="GA89" s="12"/>
      <c r="GB89" s="12"/>
      <c r="GC89" s="12"/>
      <c r="GD89" s="103"/>
      <c r="GE89" s="103"/>
      <c r="GF89" s="103"/>
      <c r="GG89" s="103"/>
      <c r="GH89" s="103"/>
      <c r="GI89" s="103"/>
      <c r="GJ89" s="103"/>
      <c r="GK89" s="103"/>
      <c r="GL89" s="103"/>
      <c r="GM89" s="103"/>
      <c r="GN89" s="103"/>
      <c r="GO89" s="103"/>
      <c r="GP89" s="103"/>
      <c r="GQ89" s="100"/>
      <c r="GR89" s="114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100"/>
      <c r="HM89" s="114"/>
      <c r="HO89" s="12"/>
      <c r="HP89" s="12"/>
      <c r="HQ89" s="12"/>
      <c r="HR89" s="12"/>
      <c r="HS89" s="12"/>
      <c r="HT89" s="12"/>
      <c r="HU89" s="12"/>
      <c r="HV89" s="32"/>
      <c r="HW89" s="100"/>
      <c r="HX89" s="114"/>
      <c r="HZ89" s="12"/>
      <c r="IA89" s="12"/>
      <c r="IB89" s="12"/>
      <c r="IC89" s="12"/>
      <c r="ID89" s="12"/>
      <c r="IE89" s="12"/>
      <c r="IF89" s="12"/>
      <c r="IG89" s="32"/>
      <c r="IH89" s="93"/>
      <c r="II89" s="93"/>
      <c r="IJ89" s="93"/>
      <c r="IK89" s="93"/>
      <c r="IL89" s="93"/>
      <c r="IM89" s="100"/>
      <c r="IN89" s="114"/>
      <c r="IP89" s="12"/>
      <c r="IQ89" s="12"/>
      <c r="IR89" s="12"/>
      <c r="IS89" s="12"/>
      <c r="IT89" s="12"/>
      <c r="IU89" s="12"/>
      <c r="IV89" s="12"/>
      <c r="IW89" s="32"/>
      <c r="IX89" s="93"/>
      <c r="IY89" s="100"/>
      <c r="IZ89" s="114"/>
      <c r="JB89" s="12"/>
      <c r="JC89" s="12"/>
      <c r="JD89" s="12"/>
      <c r="JE89" s="12"/>
      <c r="JF89" s="12"/>
      <c r="JG89" s="12"/>
      <c r="JH89" s="12"/>
      <c r="JI89" s="32"/>
      <c r="JJ89" s="93"/>
      <c r="JK89" s="93"/>
      <c r="JL89" s="93"/>
      <c r="JM89" s="93"/>
      <c r="JN89" s="93"/>
      <c r="JO89" s="93"/>
      <c r="JP89" s="93"/>
      <c r="JQ89" s="93"/>
      <c r="JR89" s="93"/>
      <c r="JS89" s="93"/>
      <c r="JT89" s="93"/>
      <c r="JU89" s="93"/>
      <c r="JV89" s="93"/>
      <c r="JW89" s="93"/>
      <c r="JX89" s="93"/>
      <c r="JY89" s="93"/>
      <c r="JZ89" s="93"/>
      <c r="KA89" s="93"/>
      <c r="KB89" s="93"/>
      <c r="KC89" s="93"/>
      <c r="KD89" s="101"/>
      <c r="KE89" s="100"/>
      <c r="KF89" s="114"/>
      <c r="KH89" s="12"/>
      <c r="KI89" s="12"/>
      <c r="KJ89" s="12"/>
      <c r="KK89" s="12"/>
      <c r="KL89" s="12"/>
      <c r="KM89" s="12"/>
      <c r="KN89" s="12"/>
      <c r="KO89" s="192"/>
      <c r="KP89" s="193"/>
      <c r="KQ89" s="193"/>
      <c r="KR89" s="193"/>
      <c r="KS89" s="100"/>
      <c r="KT89" s="114"/>
      <c r="KV89" s="647" t="s">
        <v>258</v>
      </c>
      <c r="KW89" s="648"/>
      <c r="KX89" s="648"/>
      <c r="KY89" s="648"/>
      <c r="KZ89" s="648"/>
      <c r="LA89" s="649"/>
      <c r="LB89" s="13">
        <v>20</v>
      </c>
      <c r="LC89" s="32"/>
      <c r="LD89" s="93"/>
      <c r="LE89" s="93"/>
      <c r="LF89" s="30">
        <f t="shared" si="61"/>
        <v>0</v>
      </c>
      <c r="LG89" s="28">
        <f t="shared" si="62"/>
        <v>0</v>
      </c>
      <c r="LI89" s="647" t="s">
        <v>258</v>
      </c>
      <c r="LJ89" s="648"/>
      <c r="LK89" s="648"/>
      <c r="LL89" s="648"/>
      <c r="LM89" s="648"/>
      <c r="LN89" s="649"/>
      <c r="LO89" s="13">
        <v>20</v>
      </c>
      <c r="LP89" s="32"/>
      <c r="LQ89" s="93"/>
      <c r="LR89" s="93"/>
      <c r="LS89" s="93"/>
      <c r="LT89" s="93"/>
      <c r="LU89" s="93"/>
      <c r="LV89" s="93"/>
      <c r="LW89" s="93"/>
      <c r="LX89" s="93"/>
      <c r="LY89" s="93"/>
      <c r="LZ89" s="93"/>
      <c r="MA89" s="93"/>
      <c r="MB89" s="93"/>
      <c r="MC89" s="93"/>
      <c r="MD89" s="93"/>
      <c r="ME89" s="30">
        <f t="shared" si="57"/>
        <v>0</v>
      </c>
      <c r="MF89" s="28">
        <f t="shared" si="54"/>
        <v>0</v>
      </c>
      <c r="MH89" s="647" t="s">
        <v>258</v>
      </c>
      <c r="MI89" s="648"/>
      <c r="MJ89" s="648"/>
      <c r="MK89" s="648"/>
      <c r="ML89" s="648"/>
      <c r="MM89" s="649"/>
      <c r="MN89" s="13">
        <v>20</v>
      </c>
      <c r="MO89" s="32"/>
      <c r="MP89" s="93"/>
      <c r="MQ89" s="93"/>
      <c r="MR89" s="93"/>
      <c r="MS89" s="93"/>
      <c r="MT89" s="93"/>
      <c r="MU89" s="93"/>
      <c r="MV89" s="93"/>
      <c r="MW89" s="93">
        <v>1</v>
      </c>
      <c r="MX89" s="93"/>
      <c r="MY89" s="93"/>
      <c r="MZ89" s="93"/>
      <c r="NA89" s="93"/>
      <c r="NB89" s="93"/>
      <c r="NC89" s="93"/>
      <c r="ND89" s="30">
        <f t="shared" si="58"/>
        <v>1</v>
      </c>
      <c r="NE89" s="28">
        <f t="shared" si="55"/>
        <v>20</v>
      </c>
      <c r="NG89" s="647" t="s">
        <v>258</v>
      </c>
      <c r="NH89" s="648"/>
      <c r="NI89" s="648"/>
      <c r="NJ89" s="648"/>
      <c r="NK89" s="648"/>
      <c r="NL89" s="649"/>
      <c r="NM89" s="13">
        <v>20</v>
      </c>
      <c r="NN89" s="93"/>
      <c r="NO89" s="93"/>
      <c r="NP89" s="93"/>
      <c r="NQ89" s="93"/>
      <c r="NR89" s="93"/>
      <c r="NS89" s="93"/>
      <c r="NT89" s="93"/>
      <c r="NU89" s="93"/>
      <c r="NV89" s="93"/>
      <c r="NW89" s="93"/>
      <c r="NX89" s="93"/>
      <c r="NY89" s="93"/>
      <c r="NZ89" s="93"/>
      <c r="OA89" s="93"/>
      <c r="OB89" s="93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47"/>
      <c r="B90" s="12"/>
      <c r="C90" s="12"/>
      <c r="D90" s="12"/>
      <c r="E90" s="12"/>
      <c r="F90" s="12"/>
      <c r="G90" s="12"/>
      <c r="H90" s="12"/>
      <c r="I90" s="12"/>
      <c r="J90" s="12"/>
      <c r="K90" s="99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99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99"/>
      <c r="AP90" s="34"/>
      <c r="AQ90" s="19"/>
      <c r="AS90" s="12"/>
      <c r="AT90" s="12"/>
      <c r="AU90" s="12"/>
      <c r="AV90" s="12"/>
      <c r="AW90" s="12"/>
      <c r="AX90" s="12"/>
      <c r="AY90" s="12"/>
      <c r="AZ90" s="99"/>
      <c r="BA90" s="99"/>
      <c r="BB90" s="99"/>
      <c r="BC90" s="99"/>
      <c r="BD90" s="100"/>
      <c r="BE90" s="28"/>
      <c r="BF90" s="25"/>
      <c r="BG90" s="12"/>
      <c r="BH90" s="12"/>
      <c r="BI90" s="12"/>
      <c r="BJ90" s="12"/>
      <c r="BK90" s="12"/>
      <c r="BL90" s="12"/>
      <c r="BM90" s="12"/>
      <c r="BN90" s="99"/>
      <c r="BO90" s="99"/>
      <c r="BP90" s="100"/>
      <c r="BQ90" s="28"/>
      <c r="BR90" s="25"/>
      <c r="BS90" s="89"/>
      <c r="BT90" s="97"/>
      <c r="BU90" s="97"/>
      <c r="BV90" s="97"/>
      <c r="BW90" s="97"/>
      <c r="BX90" s="98"/>
      <c r="BY90" s="12"/>
      <c r="BZ90" s="99"/>
      <c r="CA90" s="99"/>
      <c r="CB90" s="99"/>
      <c r="CC90" s="99"/>
      <c r="CD90" s="99"/>
      <c r="CE90" s="99"/>
      <c r="CF90" s="99"/>
      <c r="CG90" s="99"/>
      <c r="CH90" s="99"/>
      <c r="CI90" s="100"/>
      <c r="CJ90" s="28"/>
      <c r="CL90" s="89"/>
      <c r="CM90" s="97"/>
      <c r="CN90" s="97"/>
      <c r="CO90" s="97"/>
      <c r="CP90" s="97"/>
      <c r="CQ90" s="98"/>
      <c r="CR90" s="12"/>
      <c r="CS90" s="99"/>
      <c r="CT90" s="99"/>
      <c r="CU90" s="99"/>
      <c r="CV90" s="99"/>
      <c r="CW90" s="99"/>
      <c r="CX90" s="99"/>
      <c r="CY90" s="99"/>
      <c r="CZ90" s="101"/>
      <c r="DA90" s="100"/>
      <c r="DB90" s="28"/>
      <c r="DC90" s="33"/>
      <c r="DD90" s="12"/>
      <c r="DE90" s="12"/>
      <c r="DF90" s="12"/>
      <c r="DG90" s="12"/>
      <c r="DH90" s="12"/>
      <c r="DI90" s="12"/>
      <c r="DJ90" s="12"/>
      <c r="DK90" s="101"/>
      <c r="DL90" s="101"/>
      <c r="DM90" s="101"/>
      <c r="DN90" s="101"/>
      <c r="DO90" s="101"/>
      <c r="DP90" s="101"/>
      <c r="DQ90" s="101"/>
      <c r="DR90" s="101"/>
      <c r="DS90" s="101"/>
      <c r="DT90" s="101"/>
      <c r="DU90" s="100"/>
      <c r="DV90" s="28"/>
      <c r="DX90" s="12"/>
      <c r="DY90" s="12"/>
      <c r="DZ90" s="12"/>
      <c r="EA90" s="12"/>
      <c r="EB90" s="12"/>
      <c r="EC90" s="12"/>
      <c r="ED90" s="12"/>
      <c r="EE90" s="101"/>
      <c r="EF90" s="101"/>
      <c r="EG90" s="101"/>
      <c r="EH90" s="101"/>
      <c r="EI90" s="101"/>
      <c r="EJ90" s="101"/>
      <c r="EK90" s="101"/>
      <c r="EL90" s="101"/>
      <c r="EM90" s="101"/>
      <c r="EN90" s="101"/>
      <c r="EO90" s="100"/>
      <c r="EP90" s="28"/>
      <c r="ER90" s="12"/>
      <c r="ES90" s="12"/>
      <c r="ET90" s="12"/>
      <c r="EU90" s="12"/>
      <c r="EV90" s="12"/>
      <c r="EW90" s="12"/>
      <c r="EX90" s="12"/>
      <c r="EY90" s="101"/>
      <c r="EZ90" s="101"/>
      <c r="FA90" s="101"/>
      <c r="FB90" s="101"/>
      <c r="FC90" s="101"/>
      <c r="FD90" s="101"/>
      <c r="FE90" s="101"/>
      <c r="FF90" s="101"/>
      <c r="FG90" s="101"/>
      <c r="FH90" s="101"/>
      <c r="FI90" s="101"/>
      <c r="FJ90" s="101"/>
      <c r="FK90" s="101"/>
      <c r="FL90" s="101"/>
      <c r="FM90" s="101"/>
      <c r="FN90" s="101"/>
      <c r="FO90" s="101"/>
      <c r="FP90" s="101"/>
      <c r="FQ90" s="101"/>
      <c r="FR90" s="101"/>
      <c r="FS90" s="101"/>
      <c r="FT90" s="100"/>
      <c r="FU90" s="114"/>
      <c r="FW90" s="12"/>
      <c r="FX90" s="12"/>
      <c r="FY90" s="12"/>
      <c r="FZ90" s="12"/>
      <c r="GA90" s="12"/>
      <c r="GB90" s="12"/>
      <c r="GC90" s="12"/>
      <c r="GD90" s="103"/>
      <c r="GE90" s="103"/>
      <c r="GF90" s="103"/>
      <c r="GG90" s="103"/>
      <c r="GH90" s="103"/>
      <c r="GI90" s="103"/>
      <c r="GJ90" s="103"/>
      <c r="GK90" s="103"/>
      <c r="GL90" s="103"/>
      <c r="GM90" s="103"/>
      <c r="GN90" s="103"/>
      <c r="GO90" s="103"/>
      <c r="GP90" s="103"/>
      <c r="GQ90" s="100"/>
      <c r="GR90" s="114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100"/>
      <c r="HM90" s="114"/>
      <c r="HO90" s="12"/>
      <c r="HP90" s="12"/>
      <c r="HQ90" s="12"/>
      <c r="HR90" s="12"/>
      <c r="HS90" s="12"/>
      <c r="HT90" s="12"/>
      <c r="HU90" s="12"/>
      <c r="HV90" s="32"/>
      <c r="HW90" s="100"/>
      <c r="HX90" s="114"/>
      <c r="HZ90" s="12"/>
      <c r="IA90" s="12"/>
      <c r="IB90" s="12"/>
      <c r="IC90" s="12"/>
      <c r="ID90" s="12"/>
      <c r="IE90" s="12"/>
      <c r="IF90" s="12"/>
      <c r="IG90" s="32"/>
      <c r="IH90" s="93"/>
      <c r="II90" s="93"/>
      <c r="IJ90" s="93"/>
      <c r="IK90" s="93"/>
      <c r="IL90" s="93"/>
      <c r="IM90" s="100"/>
      <c r="IN90" s="114"/>
      <c r="IP90" s="12"/>
      <c r="IQ90" s="12"/>
      <c r="IR90" s="12"/>
      <c r="IS90" s="12"/>
      <c r="IT90" s="12"/>
      <c r="IU90" s="12"/>
      <c r="IV90" s="12"/>
      <c r="IW90" s="32"/>
      <c r="IX90" s="93"/>
      <c r="IY90" s="100"/>
      <c r="IZ90" s="114"/>
      <c r="JB90" s="12"/>
      <c r="JC90" s="12"/>
      <c r="JD90" s="12"/>
      <c r="JE90" s="12"/>
      <c r="JF90" s="12"/>
      <c r="JG90" s="12"/>
      <c r="JH90" s="12"/>
      <c r="JI90" s="32"/>
      <c r="JJ90" s="93"/>
      <c r="JK90" s="93"/>
      <c r="JL90" s="93"/>
      <c r="JM90" s="93"/>
      <c r="JN90" s="93"/>
      <c r="JO90" s="93"/>
      <c r="JP90" s="93"/>
      <c r="JQ90" s="93"/>
      <c r="JR90" s="93"/>
      <c r="JS90" s="93"/>
      <c r="JT90" s="93"/>
      <c r="JU90" s="93"/>
      <c r="JV90" s="93"/>
      <c r="JW90" s="93"/>
      <c r="JX90" s="93"/>
      <c r="JY90" s="93"/>
      <c r="JZ90" s="93"/>
      <c r="KA90" s="93"/>
      <c r="KB90" s="93"/>
      <c r="KC90" s="93"/>
      <c r="KD90" s="101"/>
      <c r="KE90" s="100"/>
      <c r="KF90" s="114"/>
      <c r="KH90" s="12"/>
      <c r="KI90" s="12"/>
      <c r="KJ90" s="12"/>
      <c r="KK90" s="12"/>
      <c r="KL90" s="12"/>
      <c r="KM90" s="12"/>
      <c r="KN90" s="12"/>
      <c r="KO90" s="192"/>
      <c r="KP90" s="193"/>
      <c r="KQ90" s="193"/>
      <c r="KR90" s="193"/>
      <c r="KS90" s="100"/>
      <c r="KT90" s="114"/>
      <c r="KV90" s="650" t="s">
        <v>259</v>
      </c>
      <c r="KW90" s="651"/>
      <c r="KX90" s="651"/>
      <c r="KY90" s="651"/>
      <c r="KZ90" s="651"/>
      <c r="LA90" s="652"/>
      <c r="LB90" s="28">
        <v>17</v>
      </c>
      <c r="LC90" s="51"/>
      <c r="LD90" s="73"/>
      <c r="LE90" s="73"/>
      <c r="LF90" s="30">
        <f t="shared" si="61"/>
        <v>0</v>
      </c>
      <c r="LG90" s="28">
        <f t="shared" si="62"/>
        <v>0</v>
      </c>
      <c r="LI90" s="650" t="s">
        <v>259</v>
      </c>
      <c r="LJ90" s="651"/>
      <c r="LK90" s="651"/>
      <c r="LL90" s="651"/>
      <c r="LM90" s="651"/>
      <c r="LN90" s="652"/>
      <c r="LO90" s="28">
        <v>17</v>
      </c>
      <c r="LP90" s="51"/>
      <c r="LQ90" s="73"/>
      <c r="LR90" s="73"/>
      <c r="LS90" s="73"/>
      <c r="LT90" s="73"/>
      <c r="LU90" s="73"/>
      <c r="LV90" s="73"/>
      <c r="LW90" s="73"/>
      <c r="LX90" s="73"/>
      <c r="LY90" s="73"/>
      <c r="LZ90" s="73"/>
      <c r="MA90" s="73"/>
      <c r="MB90" s="73"/>
      <c r="MC90" s="73"/>
      <c r="MD90" s="73"/>
      <c r="ME90" s="30">
        <f t="shared" si="57"/>
        <v>0</v>
      </c>
      <c r="MF90" s="28">
        <f t="shared" si="54"/>
        <v>0</v>
      </c>
      <c r="MH90" s="653" t="s">
        <v>259</v>
      </c>
      <c r="MI90" s="653"/>
      <c r="MJ90" s="653"/>
      <c r="MK90" s="653"/>
      <c r="ML90" s="653"/>
      <c r="MM90" s="653"/>
      <c r="MN90" s="28">
        <v>17</v>
      </c>
      <c r="MO90" s="51"/>
      <c r="MP90" s="73"/>
      <c r="MQ90" s="73"/>
      <c r="MR90" s="73"/>
      <c r="MS90" s="73"/>
      <c r="MT90" s="73"/>
      <c r="MU90" s="73"/>
      <c r="MV90" s="73"/>
      <c r="MW90" s="73"/>
      <c r="MX90" s="73"/>
      <c r="MY90" s="73"/>
      <c r="MZ90" s="73"/>
      <c r="NA90" s="73"/>
      <c r="NB90" s="73"/>
      <c r="NC90" s="73"/>
      <c r="ND90" s="30">
        <f t="shared" si="58"/>
        <v>0</v>
      </c>
      <c r="NE90" s="28">
        <f t="shared" si="55"/>
        <v>0</v>
      </c>
      <c r="NG90" s="653" t="s">
        <v>259</v>
      </c>
      <c r="NH90" s="653"/>
      <c r="NI90" s="653"/>
      <c r="NJ90" s="653"/>
      <c r="NK90" s="653"/>
      <c r="NL90" s="653"/>
      <c r="NM90" s="28">
        <v>17</v>
      </c>
      <c r="NN90" s="73"/>
      <c r="NO90" s="73"/>
      <c r="NP90" s="73"/>
      <c r="NQ90" s="73"/>
      <c r="NR90" s="73"/>
      <c r="NS90" s="73"/>
      <c r="NT90" s="73"/>
      <c r="NU90" s="73"/>
      <c r="NV90" s="73"/>
      <c r="NW90" s="73"/>
      <c r="NX90" s="73"/>
      <c r="NY90" s="73"/>
      <c r="NZ90" s="73"/>
      <c r="OA90" s="73"/>
      <c r="OB90" s="73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47"/>
      <c r="B91" s="12"/>
      <c r="C91" s="12"/>
      <c r="D91" s="12"/>
      <c r="E91" s="12"/>
      <c r="F91" s="12"/>
      <c r="G91" s="12"/>
      <c r="H91" s="12"/>
      <c r="I91" s="12"/>
      <c r="J91" s="12"/>
      <c r="K91" s="99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99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99"/>
      <c r="AP91" s="34"/>
      <c r="AQ91" s="19"/>
      <c r="AS91" s="12"/>
      <c r="AT91" s="12"/>
      <c r="AU91" s="12"/>
      <c r="AV91" s="12"/>
      <c r="AW91" s="12"/>
      <c r="AX91" s="12"/>
      <c r="AY91" s="12"/>
      <c r="AZ91" s="99"/>
      <c r="BA91" s="99"/>
      <c r="BB91" s="99"/>
      <c r="BC91" s="99"/>
      <c r="BD91" s="100"/>
      <c r="BE91" s="28"/>
      <c r="BF91" s="25"/>
      <c r="BG91" s="12"/>
      <c r="BH91" s="12"/>
      <c r="BI91" s="12"/>
      <c r="BJ91" s="12"/>
      <c r="BK91" s="12"/>
      <c r="BL91" s="12"/>
      <c r="BM91" s="12"/>
      <c r="BN91" s="99"/>
      <c r="BO91" s="99"/>
      <c r="BP91" s="100"/>
      <c r="BQ91" s="28"/>
      <c r="BR91" s="25"/>
      <c r="BS91" s="89"/>
      <c r="BT91" s="97"/>
      <c r="BU91" s="97"/>
      <c r="BV91" s="97"/>
      <c r="BW91" s="97"/>
      <c r="BX91" s="98"/>
      <c r="BY91" s="12"/>
      <c r="BZ91" s="99"/>
      <c r="CA91" s="99"/>
      <c r="CB91" s="99"/>
      <c r="CC91" s="99"/>
      <c r="CD91" s="99"/>
      <c r="CE91" s="99"/>
      <c r="CF91" s="99"/>
      <c r="CG91" s="99"/>
      <c r="CH91" s="99"/>
      <c r="CI91" s="100"/>
      <c r="CJ91" s="28"/>
      <c r="CL91" s="89"/>
      <c r="CM91" s="97"/>
      <c r="CN91" s="97"/>
      <c r="CO91" s="97"/>
      <c r="CP91" s="97"/>
      <c r="CQ91" s="98"/>
      <c r="CR91" s="12"/>
      <c r="CS91" s="99"/>
      <c r="CT91" s="99"/>
      <c r="CU91" s="99"/>
      <c r="CV91" s="99"/>
      <c r="CW91" s="99"/>
      <c r="CX91" s="99"/>
      <c r="CY91" s="99"/>
      <c r="CZ91" s="101"/>
      <c r="DA91" s="100"/>
      <c r="DB91" s="28"/>
      <c r="DC91" s="33"/>
      <c r="DD91" s="12"/>
      <c r="DE91" s="12"/>
      <c r="DF91" s="12"/>
      <c r="DG91" s="12"/>
      <c r="DH91" s="12"/>
      <c r="DI91" s="12"/>
      <c r="DJ91" s="12"/>
      <c r="DK91" s="101"/>
      <c r="DL91" s="101"/>
      <c r="DM91" s="101"/>
      <c r="DN91" s="101"/>
      <c r="DO91" s="101"/>
      <c r="DP91" s="101"/>
      <c r="DQ91" s="101"/>
      <c r="DR91" s="101"/>
      <c r="DS91" s="101"/>
      <c r="DT91" s="101"/>
      <c r="DU91" s="100"/>
      <c r="DV91" s="28"/>
      <c r="DX91" s="12"/>
      <c r="DY91" s="12"/>
      <c r="DZ91" s="12"/>
      <c r="EA91" s="12"/>
      <c r="EB91" s="12"/>
      <c r="EC91" s="12"/>
      <c r="ED91" s="12"/>
      <c r="EE91" s="101"/>
      <c r="EF91" s="101"/>
      <c r="EG91" s="101"/>
      <c r="EH91" s="101"/>
      <c r="EI91" s="101"/>
      <c r="EJ91" s="101"/>
      <c r="EK91" s="101"/>
      <c r="EL91" s="101"/>
      <c r="EM91" s="101"/>
      <c r="EN91" s="101"/>
      <c r="EO91" s="100"/>
      <c r="EP91" s="28"/>
      <c r="ER91" s="12"/>
      <c r="ES91" s="12"/>
      <c r="ET91" s="12"/>
      <c r="EU91" s="12"/>
      <c r="EV91" s="12"/>
      <c r="EW91" s="12"/>
      <c r="EX91" s="12"/>
      <c r="EY91" s="101"/>
      <c r="EZ91" s="101"/>
      <c r="FA91" s="101"/>
      <c r="FB91" s="101"/>
      <c r="FC91" s="101"/>
      <c r="FD91" s="101"/>
      <c r="FE91" s="101"/>
      <c r="FF91" s="101"/>
      <c r="FG91" s="101"/>
      <c r="FH91" s="101"/>
      <c r="FI91" s="101"/>
      <c r="FJ91" s="101"/>
      <c r="FK91" s="101"/>
      <c r="FL91" s="101"/>
      <c r="FM91" s="101"/>
      <c r="FN91" s="101"/>
      <c r="FO91" s="101"/>
      <c r="FP91" s="101"/>
      <c r="FQ91" s="101"/>
      <c r="FR91" s="101"/>
      <c r="FS91" s="101"/>
      <c r="FT91" s="100"/>
      <c r="FU91" s="114"/>
      <c r="FW91" s="12"/>
      <c r="FX91" s="12"/>
      <c r="FY91" s="12"/>
      <c r="FZ91" s="12"/>
      <c r="GA91" s="12"/>
      <c r="GB91" s="12"/>
      <c r="GC91" s="12"/>
      <c r="GD91" s="103"/>
      <c r="GE91" s="103"/>
      <c r="GF91" s="103"/>
      <c r="GG91" s="103"/>
      <c r="GH91" s="103"/>
      <c r="GI91" s="103"/>
      <c r="GJ91" s="103"/>
      <c r="GK91" s="103"/>
      <c r="GL91" s="103"/>
      <c r="GM91" s="103"/>
      <c r="GN91" s="103"/>
      <c r="GO91" s="103"/>
      <c r="GP91" s="103"/>
      <c r="GQ91" s="100"/>
      <c r="GR91" s="114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100"/>
      <c r="HM91" s="114"/>
      <c r="HO91" s="12"/>
      <c r="HP91" s="12"/>
      <c r="HQ91" s="12"/>
      <c r="HR91" s="12"/>
      <c r="HS91" s="12"/>
      <c r="HT91" s="12"/>
      <c r="HU91" s="12"/>
      <c r="HV91" s="32"/>
      <c r="HW91" s="100"/>
      <c r="HX91" s="114"/>
      <c r="HZ91" s="12"/>
      <c r="IA91" s="12"/>
      <c r="IB91" s="12"/>
      <c r="IC91" s="12"/>
      <c r="ID91" s="12"/>
      <c r="IE91" s="12"/>
      <c r="IF91" s="12"/>
      <c r="IG91" s="32"/>
      <c r="IH91" s="93"/>
      <c r="II91" s="93"/>
      <c r="IJ91" s="93"/>
      <c r="IK91" s="93"/>
      <c r="IL91" s="93"/>
      <c r="IM91" s="100"/>
      <c r="IN91" s="114"/>
      <c r="IP91" s="12"/>
      <c r="IQ91" s="12"/>
      <c r="IR91" s="12"/>
      <c r="IS91" s="12"/>
      <c r="IT91" s="12"/>
      <c r="IU91" s="12"/>
      <c r="IV91" s="12"/>
      <c r="IW91" s="32"/>
      <c r="IX91" s="93"/>
      <c r="IY91" s="100"/>
      <c r="IZ91" s="114"/>
      <c r="JB91" s="12"/>
      <c r="JC91" s="12"/>
      <c r="JD91" s="12"/>
      <c r="JE91" s="12"/>
      <c r="JF91" s="12"/>
      <c r="JG91" s="12"/>
      <c r="JH91" s="12"/>
      <c r="JI91" s="32"/>
      <c r="JJ91" s="93"/>
      <c r="JK91" s="93"/>
      <c r="JL91" s="93"/>
      <c r="JM91" s="93"/>
      <c r="JN91" s="93"/>
      <c r="JO91" s="93"/>
      <c r="JP91" s="93"/>
      <c r="JQ91" s="93"/>
      <c r="JR91" s="93"/>
      <c r="JS91" s="93"/>
      <c r="JT91" s="93"/>
      <c r="JU91" s="93"/>
      <c r="JV91" s="93"/>
      <c r="JW91" s="93"/>
      <c r="JX91" s="93"/>
      <c r="JY91" s="93"/>
      <c r="JZ91" s="93"/>
      <c r="KA91" s="93"/>
      <c r="KB91" s="93"/>
      <c r="KC91" s="93"/>
      <c r="KD91" s="101"/>
      <c r="KE91" s="100"/>
      <c r="KF91" s="114"/>
      <c r="KH91" s="12"/>
      <c r="KI91" s="12"/>
      <c r="KJ91" s="12"/>
      <c r="KK91" s="12"/>
      <c r="KL91" s="12"/>
      <c r="KM91" s="12"/>
      <c r="KN91" s="12"/>
      <c r="KO91" s="192"/>
      <c r="KP91" s="193"/>
      <c r="KQ91" s="193"/>
      <c r="KR91" s="193"/>
      <c r="KS91" s="100"/>
      <c r="KT91" s="114"/>
      <c r="KV91" s="100"/>
      <c r="KW91" s="100"/>
      <c r="KX91" s="100"/>
      <c r="KY91" s="100"/>
      <c r="KZ91" s="100"/>
      <c r="LA91" s="100"/>
      <c r="LB91" s="100"/>
      <c r="LC91" s="224"/>
      <c r="LD91" s="225"/>
      <c r="LE91" s="225"/>
      <c r="LF91" s="100"/>
      <c r="LG91" s="114"/>
      <c r="LI91" s="654" t="s">
        <v>274</v>
      </c>
      <c r="LJ91" s="654"/>
      <c r="LK91" s="654"/>
      <c r="LL91" s="654"/>
      <c r="LM91" s="654"/>
      <c r="LN91" s="654"/>
      <c r="LO91" s="15">
        <v>5</v>
      </c>
      <c r="LP91" s="224"/>
      <c r="LQ91" s="225"/>
      <c r="LR91" s="225"/>
      <c r="LS91" s="225"/>
      <c r="LT91" s="225"/>
      <c r="LU91" s="225"/>
      <c r="LV91" s="225"/>
      <c r="LW91" s="225"/>
      <c r="LX91" s="225"/>
      <c r="LY91" s="225"/>
      <c r="LZ91" s="225"/>
      <c r="MA91" s="225"/>
      <c r="MB91" s="225"/>
      <c r="MC91" s="225">
        <v>1</v>
      </c>
      <c r="MD91" s="225"/>
      <c r="ME91" s="30">
        <f t="shared" ref="ME91:ME100" si="63">SUM(LP91:MD91)</f>
        <v>1</v>
      </c>
      <c r="MF91" s="28">
        <f t="shared" ref="MF91:MF100" si="64">ME91*LO91</f>
        <v>5</v>
      </c>
      <c r="MH91" s="654" t="s">
        <v>274</v>
      </c>
      <c r="MI91" s="654"/>
      <c r="MJ91" s="654"/>
      <c r="MK91" s="654"/>
      <c r="ML91" s="654"/>
      <c r="MM91" s="654"/>
      <c r="MN91" s="15">
        <v>5</v>
      </c>
      <c r="MO91" s="226"/>
      <c r="MP91" s="222"/>
      <c r="MQ91" s="222"/>
      <c r="MR91" s="222"/>
      <c r="MS91" s="222"/>
      <c r="MT91" s="222"/>
      <c r="MU91" s="222"/>
      <c r="MV91" s="222"/>
      <c r="MW91" s="222"/>
      <c r="MX91" s="222"/>
      <c r="MY91" s="222"/>
      <c r="MZ91" s="222"/>
      <c r="NA91" s="222"/>
      <c r="NB91" s="222"/>
      <c r="NC91" s="222"/>
      <c r="ND91" s="30">
        <f t="shared" si="58"/>
        <v>0</v>
      </c>
      <c r="NE91" s="28">
        <f t="shared" ref="NE91:NE99" si="65">ND91*MN91</f>
        <v>0</v>
      </c>
      <c r="NG91" s="654" t="s">
        <v>274</v>
      </c>
      <c r="NH91" s="654"/>
      <c r="NI91" s="654"/>
      <c r="NJ91" s="654"/>
      <c r="NK91" s="654"/>
      <c r="NL91" s="654"/>
      <c r="NM91" s="15">
        <v>5</v>
      </c>
      <c r="NN91" s="222"/>
      <c r="NO91" s="222"/>
      <c r="NP91" s="222">
        <v>2</v>
      </c>
      <c r="NQ91" s="222">
        <v>1</v>
      </c>
      <c r="NR91" s="222"/>
      <c r="NS91" s="222"/>
      <c r="NT91" s="222"/>
      <c r="NU91" s="222"/>
      <c r="NV91" s="222"/>
      <c r="NW91" s="222"/>
      <c r="NX91" s="222"/>
      <c r="NY91" s="222"/>
      <c r="NZ91" s="222"/>
      <c r="OA91" s="222"/>
      <c r="OB91" s="222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47"/>
      <c r="B92" s="12"/>
      <c r="C92" s="12"/>
      <c r="D92" s="12"/>
      <c r="E92" s="12"/>
      <c r="F92" s="12"/>
      <c r="G92" s="12"/>
      <c r="H92" s="12"/>
      <c r="I92" s="12"/>
      <c r="J92" s="12"/>
      <c r="K92" s="99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99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99"/>
      <c r="AP92" s="34"/>
      <c r="AQ92" s="19"/>
      <c r="AS92" s="12"/>
      <c r="AT92" s="12"/>
      <c r="AU92" s="12"/>
      <c r="AV92" s="12"/>
      <c r="AW92" s="12"/>
      <c r="AX92" s="12"/>
      <c r="AY92" s="12"/>
      <c r="AZ92" s="99"/>
      <c r="BA92" s="99"/>
      <c r="BB92" s="99"/>
      <c r="BC92" s="99"/>
      <c r="BD92" s="100"/>
      <c r="BE92" s="28"/>
      <c r="BF92" s="25"/>
      <c r="BG92" s="12"/>
      <c r="BH92" s="12"/>
      <c r="BI92" s="12"/>
      <c r="BJ92" s="12"/>
      <c r="BK92" s="12"/>
      <c r="BL92" s="12"/>
      <c r="BM92" s="12"/>
      <c r="BN92" s="99"/>
      <c r="BO92" s="99"/>
      <c r="BP92" s="100"/>
      <c r="BQ92" s="28"/>
      <c r="BR92" s="25"/>
      <c r="BS92" s="89"/>
      <c r="BT92" s="97"/>
      <c r="BU92" s="97"/>
      <c r="BV92" s="97"/>
      <c r="BW92" s="97"/>
      <c r="BX92" s="98"/>
      <c r="BY92" s="12"/>
      <c r="BZ92" s="99"/>
      <c r="CA92" s="99"/>
      <c r="CB92" s="99"/>
      <c r="CC92" s="99"/>
      <c r="CD92" s="99"/>
      <c r="CE92" s="99"/>
      <c r="CF92" s="99"/>
      <c r="CG92" s="99"/>
      <c r="CH92" s="99"/>
      <c r="CI92" s="100"/>
      <c r="CJ92" s="28"/>
      <c r="CL92" s="89"/>
      <c r="CM92" s="97"/>
      <c r="CN92" s="97"/>
      <c r="CO92" s="97"/>
      <c r="CP92" s="97"/>
      <c r="CQ92" s="98"/>
      <c r="CR92" s="12"/>
      <c r="CS92" s="99"/>
      <c r="CT92" s="99"/>
      <c r="CU92" s="99"/>
      <c r="CV92" s="99"/>
      <c r="CW92" s="99"/>
      <c r="CX92" s="99"/>
      <c r="CY92" s="99"/>
      <c r="CZ92" s="101"/>
      <c r="DA92" s="100"/>
      <c r="DB92" s="28"/>
      <c r="DC92" s="33"/>
      <c r="DD92" s="12"/>
      <c r="DE92" s="12"/>
      <c r="DF92" s="12"/>
      <c r="DG92" s="12"/>
      <c r="DH92" s="12"/>
      <c r="DI92" s="12"/>
      <c r="DJ92" s="12"/>
      <c r="DK92" s="101"/>
      <c r="DL92" s="101"/>
      <c r="DM92" s="101"/>
      <c r="DN92" s="101"/>
      <c r="DO92" s="101"/>
      <c r="DP92" s="101"/>
      <c r="DQ92" s="101"/>
      <c r="DR92" s="101"/>
      <c r="DS92" s="101"/>
      <c r="DT92" s="101"/>
      <c r="DU92" s="100"/>
      <c r="DV92" s="28"/>
      <c r="DX92" s="12"/>
      <c r="DY92" s="12"/>
      <c r="DZ92" s="12"/>
      <c r="EA92" s="12"/>
      <c r="EB92" s="12"/>
      <c r="EC92" s="12"/>
      <c r="ED92" s="12"/>
      <c r="EE92" s="101"/>
      <c r="EF92" s="101"/>
      <c r="EG92" s="101"/>
      <c r="EH92" s="101"/>
      <c r="EI92" s="101"/>
      <c r="EJ92" s="101"/>
      <c r="EK92" s="101"/>
      <c r="EL92" s="101"/>
      <c r="EM92" s="101"/>
      <c r="EN92" s="101"/>
      <c r="EO92" s="100"/>
      <c r="EP92" s="28"/>
      <c r="ER92" s="12"/>
      <c r="ES92" s="12"/>
      <c r="ET92" s="12"/>
      <c r="EU92" s="12"/>
      <c r="EV92" s="12"/>
      <c r="EW92" s="12"/>
      <c r="EX92" s="12"/>
      <c r="EY92" s="101"/>
      <c r="EZ92" s="101"/>
      <c r="FA92" s="101"/>
      <c r="FB92" s="101"/>
      <c r="FC92" s="101"/>
      <c r="FD92" s="101"/>
      <c r="FE92" s="101"/>
      <c r="FF92" s="101"/>
      <c r="FG92" s="101"/>
      <c r="FH92" s="101"/>
      <c r="FI92" s="101"/>
      <c r="FJ92" s="101"/>
      <c r="FK92" s="101"/>
      <c r="FL92" s="101"/>
      <c r="FM92" s="101"/>
      <c r="FN92" s="101"/>
      <c r="FO92" s="101"/>
      <c r="FP92" s="101"/>
      <c r="FQ92" s="101"/>
      <c r="FR92" s="101"/>
      <c r="FS92" s="101"/>
      <c r="FT92" s="100"/>
      <c r="FU92" s="114"/>
      <c r="FW92" s="12"/>
      <c r="FX92" s="12"/>
      <c r="FY92" s="12"/>
      <c r="FZ92" s="12"/>
      <c r="GA92" s="12"/>
      <c r="GB92" s="12"/>
      <c r="GC92" s="12"/>
      <c r="GD92" s="103"/>
      <c r="GE92" s="103"/>
      <c r="GF92" s="103"/>
      <c r="GG92" s="103"/>
      <c r="GH92" s="103"/>
      <c r="GI92" s="103"/>
      <c r="GJ92" s="103"/>
      <c r="GK92" s="103"/>
      <c r="GL92" s="103"/>
      <c r="GM92" s="103"/>
      <c r="GN92" s="103"/>
      <c r="GO92" s="103"/>
      <c r="GP92" s="103"/>
      <c r="GQ92" s="100"/>
      <c r="GR92" s="114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100"/>
      <c r="HM92" s="114"/>
      <c r="HO92" s="12"/>
      <c r="HP92" s="12"/>
      <c r="HQ92" s="12"/>
      <c r="HR92" s="12"/>
      <c r="HS92" s="12"/>
      <c r="HT92" s="12"/>
      <c r="HU92" s="12"/>
      <c r="HV92" s="32"/>
      <c r="HW92" s="100"/>
      <c r="HX92" s="114"/>
      <c r="HZ92" s="12"/>
      <c r="IA92" s="12"/>
      <c r="IB92" s="12"/>
      <c r="IC92" s="12"/>
      <c r="ID92" s="12"/>
      <c r="IE92" s="12"/>
      <c r="IF92" s="12"/>
      <c r="IG92" s="32"/>
      <c r="IH92" s="93"/>
      <c r="II92" s="93"/>
      <c r="IJ92" s="93"/>
      <c r="IK92" s="93"/>
      <c r="IL92" s="93"/>
      <c r="IM92" s="100"/>
      <c r="IN92" s="114"/>
      <c r="IP92" s="12"/>
      <c r="IQ92" s="12"/>
      <c r="IR92" s="12"/>
      <c r="IS92" s="12"/>
      <c r="IT92" s="12"/>
      <c r="IU92" s="12"/>
      <c r="IV92" s="12"/>
      <c r="IW92" s="32"/>
      <c r="IX92" s="93"/>
      <c r="IY92" s="100"/>
      <c r="IZ92" s="114"/>
      <c r="JB92" s="12"/>
      <c r="JC92" s="12"/>
      <c r="JD92" s="12"/>
      <c r="JE92" s="12"/>
      <c r="JF92" s="12"/>
      <c r="JG92" s="12"/>
      <c r="JH92" s="12"/>
      <c r="JI92" s="32"/>
      <c r="JJ92" s="93"/>
      <c r="JK92" s="93"/>
      <c r="JL92" s="93"/>
      <c r="JM92" s="93"/>
      <c r="JN92" s="93"/>
      <c r="JO92" s="93"/>
      <c r="JP92" s="93"/>
      <c r="JQ92" s="93"/>
      <c r="JR92" s="93"/>
      <c r="JS92" s="93"/>
      <c r="JT92" s="93"/>
      <c r="JU92" s="93"/>
      <c r="JV92" s="93"/>
      <c r="JW92" s="93"/>
      <c r="JX92" s="93"/>
      <c r="JY92" s="93"/>
      <c r="JZ92" s="93"/>
      <c r="KA92" s="93"/>
      <c r="KB92" s="93"/>
      <c r="KC92" s="93"/>
      <c r="KD92" s="101"/>
      <c r="KE92" s="100"/>
      <c r="KF92" s="114"/>
      <c r="KH92" s="12"/>
      <c r="KI92" s="12"/>
      <c r="KJ92" s="12"/>
      <c r="KK92" s="12"/>
      <c r="KL92" s="12"/>
      <c r="KM92" s="12"/>
      <c r="KN92" s="12"/>
      <c r="KO92" s="192"/>
      <c r="KP92" s="193"/>
      <c r="KQ92" s="193"/>
      <c r="KR92" s="193"/>
      <c r="KS92" s="100"/>
      <c r="KT92" s="114"/>
      <c r="KV92" s="100"/>
      <c r="KW92" s="100"/>
      <c r="KX92" s="100"/>
      <c r="KY92" s="100"/>
      <c r="KZ92" s="100"/>
      <c r="LA92" s="100"/>
      <c r="LB92" s="100"/>
      <c r="LC92" s="224"/>
      <c r="LD92" s="225"/>
      <c r="LE92" s="225"/>
      <c r="LF92" s="100"/>
      <c r="LG92" s="114"/>
      <c r="LI92" s="653" t="s">
        <v>275</v>
      </c>
      <c r="LJ92" s="653"/>
      <c r="LK92" s="653"/>
      <c r="LL92" s="653"/>
      <c r="LM92" s="653"/>
      <c r="LN92" s="653"/>
      <c r="LO92" s="28">
        <v>6</v>
      </c>
      <c r="LP92" s="224"/>
      <c r="LQ92" s="225"/>
      <c r="LR92" s="225"/>
      <c r="LS92" s="225"/>
      <c r="LT92" s="225"/>
      <c r="LU92" s="225"/>
      <c r="LV92" s="225"/>
      <c r="LW92" s="225"/>
      <c r="LX92" s="225"/>
      <c r="LY92" s="225"/>
      <c r="LZ92" s="225"/>
      <c r="MA92" s="225"/>
      <c r="MB92" s="225"/>
      <c r="MC92" s="225"/>
      <c r="MD92" s="225"/>
      <c r="ME92" s="30">
        <f t="shared" si="63"/>
        <v>0</v>
      </c>
      <c r="MF92" s="28">
        <f t="shared" si="64"/>
        <v>0</v>
      </c>
      <c r="MH92" s="653" t="s">
        <v>275</v>
      </c>
      <c r="MI92" s="653"/>
      <c r="MJ92" s="653"/>
      <c r="MK92" s="653"/>
      <c r="ML92" s="653"/>
      <c r="MM92" s="653"/>
      <c r="MN92" s="28">
        <v>6</v>
      </c>
      <c r="MO92" s="224"/>
      <c r="MP92" s="225"/>
      <c r="MQ92" s="225"/>
      <c r="MR92" s="225"/>
      <c r="MS92" s="225">
        <v>1</v>
      </c>
      <c r="MT92" s="225"/>
      <c r="MU92" s="225"/>
      <c r="MV92" s="225"/>
      <c r="MW92" s="225"/>
      <c r="MX92" s="225"/>
      <c r="MY92" s="225"/>
      <c r="MZ92" s="225">
        <v>2</v>
      </c>
      <c r="NA92" s="225">
        <v>1</v>
      </c>
      <c r="NB92" s="225"/>
      <c r="NC92" s="225"/>
      <c r="ND92" s="30">
        <f t="shared" si="58"/>
        <v>4</v>
      </c>
      <c r="NE92" s="28">
        <f t="shared" si="65"/>
        <v>24</v>
      </c>
      <c r="NG92" s="653" t="s">
        <v>275</v>
      </c>
      <c r="NH92" s="653"/>
      <c r="NI92" s="653"/>
      <c r="NJ92" s="653"/>
      <c r="NK92" s="653"/>
      <c r="NL92" s="653"/>
      <c r="NM92" s="28">
        <v>6</v>
      </c>
      <c r="NN92" s="225"/>
      <c r="NO92" s="225"/>
      <c r="NP92" s="225"/>
      <c r="NQ92" s="225">
        <v>2</v>
      </c>
      <c r="NR92" s="225"/>
      <c r="NS92" s="225"/>
      <c r="NT92" s="225"/>
      <c r="NU92" s="225"/>
      <c r="NV92" s="225"/>
      <c r="NW92" s="225"/>
      <c r="NX92" s="225"/>
      <c r="NY92" s="225"/>
      <c r="NZ92" s="225"/>
      <c r="OA92" s="225"/>
      <c r="OB92" s="225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47"/>
      <c r="B93" s="12"/>
      <c r="C93" s="12"/>
      <c r="D93" s="12"/>
      <c r="E93" s="12"/>
      <c r="F93" s="12"/>
      <c r="G93" s="12"/>
      <c r="H93" s="12"/>
      <c r="I93" s="12"/>
      <c r="J93" s="12"/>
      <c r="K93" s="99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99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99"/>
      <c r="AP93" s="34"/>
      <c r="AQ93" s="19"/>
      <c r="AS93" s="12"/>
      <c r="AT93" s="12"/>
      <c r="AU93" s="12"/>
      <c r="AV93" s="12"/>
      <c r="AW93" s="12"/>
      <c r="AX93" s="12"/>
      <c r="AY93" s="12"/>
      <c r="AZ93" s="99"/>
      <c r="BA93" s="99"/>
      <c r="BB93" s="99"/>
      <c r="BC93" s="99"/>
      <c r="BD93" s="100"/>
      <c r="BE93" s="28"/>
      <c r="BF93" s="25"/>
      <c r="BG93" s="12"/>
      <c r="BH93" s="12"/>
      <c r="BI93" s="12"/>
      <c r="BJ93" s="12"/>
      <c r="BK93" s="12"/>
      <c r="BL93" s="12"/>
      <c r="BM93" s="12"/>
      <c r="BN93" s="99"/>
      <c r="BO93" s="99"/>
      <c r="BP93" s="100"/>
      <c r="BQ93" s="28"/>
      <c r="BR93" s="25"/>
      <c r="BS93" s="89"/>
      <c r="BT93" s="97"/>
      <c r="BU93" s="97"/>
      <c r="BV93" s="97"/>
      <c r="BW93" s="97"/>
      <c r="BX93" s="98"/>
      <c r="BY93" s="12"/>
      <c r="BZ93" s="99"/>
      <c r="CA93" s="99"/>
      <c r="CB93" s="99"/>
      <c r="CC93" s="99"/>
      <c r="CD93" s="99"/>
      <c r="CE93" s="99"/>
      <c r="CF93" s="99"/>
      <c r="CG93" s="99"/>
      <c r="CH93" s="99"/>
      <c r="CI93" s="100"/>
      <c r="CJ93" s="28"/>
      <c r="CL93" s="89"/>
      <c r="CM93" s="97"/>
      <c r="CN93" s="97"/>
      <c r="CO93" s="97"/>
      <c r="CP93" s="97"/>
      <c r="CQ93" s="98"/>
      <c r="CR93" s="12"/>
      <c r="CS93" s="99"/>
      <c r="CT93" s="99"/>
      <c r="CU93" s="99"/>
      <c r="CV93" s="99"/>
      <c r="CW93" s="99"/>
      <c r="CX93" s="99"/>
      <c r="CY93" s="99"/>
      <c r="CZ93" s="101"/>
      <c r="DA93" s="100"/>
      <c r="DB93" s="28"/>
      <c r="DC93" s="33"/>
      <c r="DD93" s="12"/>
      <c r="DE93" s="12"/>
      <c r="DF93" s="12"/>
      <c r="DG93" s="12"/>
      <c r="DH93" s="12"/>
      <c r="DI93" s="12"/>
      <c r="DJ93" s="12"/>
      <c r="DK93" s="101"/>
      <c r="DL93" s="101"/>
      <c r="DM93" s="101"/>
      <c r="DN93" s="101"/>
      <c r="DO93" s="101"/>
      <c r="DP93" s="101"/>
      <c r="DQ93" s="101"/>
      <c r="DR93" s="101"/>
      <c r="DS93" s="101"/>
      <c r="DT93" s="101"/>
      <c r="DU93" s="100"/>
      <c r="DV93" s="28"/>
      <c r="DX93" s="12"/>
      <c r="DY93" s="12"/>
      <c r="DZ93" s="12"/>
      <c r="EA93" s="12"/>
      <c r="EB93" s="12"/>
      <c r="EC93" s="12"/>
      <c r="ED93" s="12"/>
      <c r="EE93" s="101"/>
      <c r="EF93" s="101"/>
      <c r="EG93" s="101"/>
      <c r="EH93" s="101"/>
      <c r="EI93" s="101"/>
      <c r="EJ93" s="101"/>
      <c r="EK93" s="101"/>
      <c r="EL93" s="101"/>
      <c r="EM93" s="101"/>
      <c r="EN93" s="101"/>
      <c r="EO93" s="100"/>
      <c r="EP93" s="28"/>
      <c r="ER93" s="12"/>
      <c r="ES93" s="12"/>
      <c r="ET93" s="12"/>
      <c r="EU93" s="12"/>
      <c r="EV93" s="12"/>
      <c r="EW93" s="12"/>
      <c r="EX93" s="12"/>
      <c r="EY93" s="101"/>
      <c r="EZ93" s="101"/>
      <c r="FA93" s="101"/>
      <c r="FB93" s="101"/>
      <c r="FC93" s="101"/>
      <c r="FD93" s="101"/>
      <c r="FE93" s="101"/>
      <c r="FF93" s="101"/>
      <c r="FG93" s="101"/>
      <c r="FH93" s="101"/>
      <c r="FI93" s="101"/>
      <c r="FJ93" s="101"/>
      <c r="FK93" s="101"/>
      <c r="FL93" s="101"/>
      <c r="FM93" s="101"/>
      <c r="FN93" s="101"/>
      <c r="FO93" s="101"/>
      <c r="FP93" s="101"/>
      <c r="FQ93" s="101"/>
      <c r="FR93" s="101"/>
      <c r="FS93" s="101"/>
      <c r="FT93" s="100"/>
      <c r="FU93" s="114"/>
      <c r="FW93" s="12"/>
      <c r="FX93" s="12"/>
      <c r="FY93" s="12"/>
      <c r="FZ93" s="12"/>
      <c r="GA93" s="12"/>
      <c r="GB93" s="12"/>
      <c r="GC93" s="12"/>
      <c r="GD93" s="103"/>
      <c r="GE93" s="103"/>
      <c r="GF93" s="103"/>
      <c r="GG93" s="103"/>
      <c r="GH93" s="103"/>
      <c r="GI93" s="103"/>
      <c r="GJ93" s="103"/>
      <c r="GK93" s="103"/>
      <c r="GL93" s="103"/>
      <c r="GM93" s="103"/>
      <c r="GN93" s="103"/>
      <c r="GO93" s="103"/>
      <c r="GP93" s="103"/>
      <c r="GQ93" s="100"/>
      <c r="GR93" s="114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100"/>
      <c r="HM93" s="114"/>
      <c r="HO93" s="12"/>
      <c r="HP93" s="12"/>
      <c r="HQ93" s="12"/>
      <c r="HR93" s="12"/>
      <c r="HS93" s="12"/>
      <c r="HT93" s="12"/>
      <c r="HU93" s="12"/>
      <c r="HV93" s="32"/>
      <c r="HW93" s="100"/>
      <c r="HX93" s="114"/>
      <c r="HZ93" s="12"/>
      <c r="IA93" s="12"/>
      <c r="IB93" s="12"/>
      <c r="IC93" s="12"/>
      <c r="ID93" s="12"/>
      <c r="IE93" s="12"/>
      <c r="IF93" s="12"/>
      <c r="IG93" s="32"/>
      <c r="IH93" s="93"/>
      <c r="II93" s="93"/>
      <c r="IJ93" s="93"/>
      <c r="IK93" s="93"/>
      <c r="IL93" s="93"/>
      <c r="IM93" s="100"/>
      <c r="IN93" s="114"/>
      <c r="IP93" s="12"/>
      <c r="IQ93" s="12"/>
      <c r="IR93" s="12"/>
      <c r="IS93" s="12"/>
      <c r="IT93" s="12"/>
      <c r="IU93" s="12"/>
      <c r="IV93" s="12"/>
      <c r="IW93" s="32"/>
      <c r="IX93" s="93"/>
      <c r="IY93" s="100"/>
      <c r="IZ93" s="114"/>
      <c r="JB93" s="12"/>
      <c r="JC93" s="12"/>
      <c r="JD93" s="12"/>
      <c r="JE93" s="12"/>
      <c r="JF93" s="12"/>
      <c r="JG93" s="12"/>
      <c r="JH93" s="12"/>
      <c r="JI93" s="32"/>
      <c r="JJ93" s="93"/>
      <c r="JK93" s="93"/>
      <c r="JL93" s="93"/>
      <c r="JM93" s="93"/>
      <c r="JN93" s="93"/>
      <c r="JO93" s="93"/>
      <c r="JP93" s="93"/>
      <c r="JQ93" s="93"/>
      <c r="JR93" s="93"/>
      <c r="JS93" s="93"/>
      <c r="JT93" s="93"/>
      <c r="JU93" s="93"/>
      <c r="JV93" s="93"/>
      <c r="JW93" s="93"/>
      <c r="JX93" s="93"/>
      <c r="JY93" s="93"/>
      <c r="JZ93" s="93"/>
      <c r="KA93" s="93"/>
      <c r="KB93" s="93"/>
      <c r="KC93" s="93"/>
      <c r="KD93" s="101"/>
      <c r="KE93" s="100"/>
      <c r="KF93" s="114"/>
      <c r="KH93" s="12"/>
      <c r="KI93" s="12"/>
      <c r="KJ93" s="12"/>
      <c r="KK93" s="12"/>
      <c r="KL93" s="12"/>
      <c r="KM93" s="12"/>
      <c r="KN93" s="12"/>
      <c r="KO93" s="192"/>
      <c r="KP93" s="193"/>
      <c r="KQ93" s="193"/>
      <c r="KR93" s="193"/>
      <c r="KS93" s="100"/>
      <c r="KT93" s="114"/>
      <c r="KV93" s="100"/>
      <c r="KW93" s="100"/>
      <c r="KX93" s="100"/>
      <c r="KY93" s="100"/>
      <c r="KZ93" s="100"/>
      <c r="LA93" s="100"/>
      <c r="LB93" s="100"/>
      <c r="LC93" s="224"/>
      <c r="LD93" s="225"/>
      <c r="LE93" s="225"/>
      <c r="LF93" s="100"/>
      <c r="LG93" s="114"/>
      <c r="LI93" s="654" t="s">
        <v>276</v>
      </c>
      <c r="LJ93" s="654"/>
      <c r="LK93" s="654"/>
      <c r="LL93" s="654"/>
      <c r="LM93" s="654"/>
      <c r="LN93" s="654"/>
      <c r="LO93" s="15">
        <v>9</v>
      </c>
      <c r="LP93" s="224"/>
      <c r="LQ93" s="225"/>
      <c r="LR93" s="225"/>
      <c r="LS93" s="225"/>
      <c r="LT93" s="225"/>
      <c r="LU93" s="225"/>
      <c r="LV93" s="225"/>
      <c r="LW93" s="225"/>
      <c r="LX93" s="225"/>
      <c r="LY93" s="225"/>
      <c r="LZ93" s="225"/>
      <c r="MA93" s="225"/>
      <c r="MB93" s="225"/>
      <c r="MC93" s="225"/>
      <c r="MD93" s="225">
        <v>1</v>
      </c>
      <c r="ME93" s="30">
        <f t="shared" si="63"/>
        <v>1</v>
      </c>
      <c r="MF93" s="28">
        <f t="shared" si="64"/>
        <v>9</v>
      </c>
      <c r="MH93" s="654" t="s">
        <v>276</v>
      </c>
      <c r="MI93" s="654"/>
      <c r="MJ93" s="654"/>
      <c r="MK93" s="654"/>
      <c r="ML93" s="654"/>
      <c r="MM93" s="654"/>
      <c r="MN93" s="15">
        <v>9</v>
      </c>
      <c r="MO93" s="226"/>
      <c r="MP93" s="222"/>
      <c r="MQ93" s="222"/>
      <c r="MR93" s="222"/>
      <c r="MS93" s="222"/>
      <c r="MT93" s="222"/>
      <c r="MU93" s="222"/>
      <c r="MV93" s="222"/>
      <c r="MW93" s="222"/>
      <c r="MX93" s="222"/>
      <c r="MY93" s="222"/>
      <c r="MZ93" s="222"/>
      <c r="NA93" s="222"/>
      <c r="NB93" s="222"/>
      <c r="NC93" s="222"/>
      <c r="ND93" s="30">
        <f t="shared" si="58"/>
        <v>0</v>
      </c>
      <c r="NE93" s="28">
        <f t="shared" si="65"/>
        <v>0</v>
      </c>
      <c r="NG93" s="654" t="s">
        <v>276</v>
      </c>
      <c r="NH93" s="654"/>
      <c r="NI93" s="654"/>
      <c r="NJ93" s="654"/>
      <c r="NK93" s="654"/>
      <c r="NL93" s="654"/>
      <c r="NM93" s="15">
        <v>9</v>
      </c>
      <c r="NN93" s="222"/>
      <c r="NO93" s="222"/>
      <c r="NP93" s="222">
        <v>2</v>
      </c>
      <c r="NQ93" s="222">
        <v>2</v>
      </c>
      <c r="NR93" s="222">
        <v>3</v>
      </c>
      <c r="NS93" s="222"/>
      <c r="NT93" s="222"/>
      <c r="NU93" s="222">
        <v>2</v>
      </c>
      <c r="NV93" s="222"/>
      <c r="NW93" s="222"/>
      <c r="NX93" s="222"/>
      <c r="NY93" s="222"/>
      <c r="NZ93" s="222"/>
      <c r="OA93" s="222"/>
      <c r="OB93" s="222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47"/>
      <c r="B94" s="12"/>
      <c r="C94" s="12"/>
      <c r="D94" s="12"/>
      <c r="E94" s="12"/>
      <c r="F94" s="12"/>
      <c r="G94" s="12"/>
      <c r="H94" s="12"/>
      <c r="I94" s="12"/>
      <c r="J94" s="12"/>
      <c r="K94" s="99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99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99"/>
      <c r="AP94" s="34"/>
      <c r="AQ94" s="19"/>
      <c r="AS94" s="12"/>
      <c r="AT94" s="12"/>
      <c r="AU94" s="12"/>
      <c r="AV94" s="12"/>
      <c r="AW94" s="12"/>
      <c r="AX94" s="12"/>
      <c r="AY94" s="12"/>
      <c r="AZ94" s="99"/>
      <c r="BA94" s="99"/>
      <c r="BB94" s="99"/>
      <c r="BC94" s="99"/>
      <c r="BD94" s="100"/>
      <c r="BE94" s="28"/>
      <c r="BF94" s="25"/>
      <c r="BG94" s="12"/>
      <c r="BH94" s="12"/>
      <c r="BI94" s="12"/>
      <c r="BJ94" s="12"/>
      <c r="BK94" s="12"/>
      <c r="BL94" s="12"/>
      <c r="BM94" s="12"/>
      <c r="BN94" s="99"/>
      <c r="BO94" s="99"/>
      <c r="BP94" s="100"/>
      <c r="BQ94" s="28"/>
      <c r="BR94" s="25"/>
      <c r="BS94" s="89"/>
      <c r="BT94" s="97"/>
      <c r="BU94" s="97"/>
      <c r="BV94" s="97"/>
      <c r="BW94" s="97"/>
      <c r="BX94" s="98"/>
      <c r="BY94" s="12"/>
      <c r="BZ94" s="99"/>
      <c r="CA94" s="99"/>
      <c r="CB94" s="99"/>
      <c r="CC94" s="99"/>
      <c r="CD94" s="99"/>
      <c r="CE94" s="99"/>
      <c r="CF94" s="99"/>
      <c r="CG94" s="99"/>
      <c r="CH94" s="99"/>
      <c r="CI94" s="100"/>
      <c r="CJ94" s="28"/>
      <c r="CL94" s="89"/>
      <c r="CM94" s="97"/>
      <c r="CN94" s="97"/>
      <c r="CO94" s="97"/>
      <c r="CP94" s="97"/>
      <c r="CQ94" s="98"/>
      <c r="CR94" s="12"/>
      <c r="CS94" s="99"/>
      <c r="CT94" s="99"/>
      <c r="CU94" s="99"/>
      <c r="CV94" s="99"/>
      <c r="CW94" s="99"/>
      <c r="CX94" s="99"/>
      <c r="CY94" s="99"/>
      <c r="CZ94" s="101"/>
      <c r="DA94" s="100"/>
      <c r="DB94" s="28"/>
      <c r="DC94" s="33"/>
      <c r="DD94" s="12"/>
      <c r="DE94" s="12"/>
      <c r="DF94" s="12"/>
      <c r="DG94" s="12"/>
      <c r="DH94" s="12"/>
      <c r="DI94" s="12"/>
      <c r="DJ94" s="12"/>
      <c r="DK94" s="101"/>
      <c r="DL94" s="101"/>
      <c r="DM94" s="101"/>
      <c r="DN94" s="101"/>
      <c r="DO94" s="101"/>
      <c r="DP94" s="101"/>
      <c r="DQ94" s="101"/>
      <c r="DR94" s="101"/>
      <c r="DS94" s="101"/>
      <c r="DT94" s="101"/>
      <c r="DU94" s="100"/>
      <c r="DV94" s="28"/>
      <c r="DX94" s="12"/>
      <c r="DY94" s="12"/>
      <c r="DZ94" s="12"/>
      <c r="EA94" s="12"/>
      <c r="EB94" s="12"/>
      <c r="EC94" s="12"/>
      <c r="ED94" s="12"/>
      <c r="EE94" s="101"/>
      <c r="EF94" s="101"/>
      <c r="EG94" s="101"/>
      <c r="EH94" s="101"/>
      <c r="EI94" s="101"/>
      <c r="EJ94" s="101"/>
      <c r="EK94" s="101"/>
      <c r="EL94" s="101"/>
      <c r="EM94" s="101"/>
      <c r="EN94" s="101"/>
      <c r="EO94" s="100"/>
      <c r="EP94" s="28"/>
      <c r="ER94" s="12"/>
      <c r="ES94" s="12"/>
      <c r="ET94" s="12"/>
      <c r="EU94" s="12"/>
      <c r="EV94" s="12"/>
      <c r="EW94" s="12"/>
      <c r="EX94" s="12"/>
      <c r="EY94" s="101"/>
      <c r="EZ94" s="101"/>
      <c r="FA94" s="101"/>
      <c r="FB94" s="101"/>
      <c r="FC94" s="101"/>
      <c r="FD94" s="101"/>
      <c r="FE94" s="101"/>
      <c r="FF94" s="101"/>
      <c r="FG94" s="101"/>
      <c r="FH94" s="101"/>
      <c r="FI94" s="101"/>
      <c r="FJ94" s="101"/>
      <c r="FK94" s="101"/>
      <c r="FL94" s="101"/>
      <c r="FM94" s="101"/>
      <c r="FN94" s="101"/>
      <c r="FO94" s="101"/>
      <c r="FP94" s="101"/>
      <c r="FQ94" s="101"/>
      <c r="FR94" s="101"/>
      <c r="FS94" s="101"/>
      <c r="FT94" s="100"/>
      <c r="FU94" s="114"/>
      <c r="FW94" s="12"/>
      <c r="FX94" s="12"/>
      <c r="FY94" s="12"/>
      <c r="FZ94" s="12"/>
      <c r="GA94" s="12"/>
      <c r="GB94" s="12"/>
      <c r="GC94" s="12"/>
      <c r="GD94" s="103"/>
      <c r="GE94" s="103"/>
      <c r="GF94" s="103"/>
      <c r="GG94" s="103"/>
      <c r="GH94" s="103"/>
      <c r="GI94" s="103"/>
      <c r="GJ94" s="103"/>
      <c r="GK94" s="103"/>
      <c r="GL94" s="103"/>
      <c r="GM94" s="103"/>
      <c r="GN94" s="103"/>
      <c r="GO94" s="103"/>
      <c r="GP94" s="103"/>
      <c r="GQ94" s="100"/>
      <c r="GR94" s="114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100"/>
      <c r="HM94" s="114"/>
      <c r="HO94" s="12"/>
      <c r="HP94" s="12"/>
      <c r="HQ94" s="12"/>
      <c r="HR94" s="12"/>
      <c r="HS94" s="12"/>
      <c r="HT94" s="12"/>
      <c r="HU94" s="12"/>
      <c r="HV94" s="32"/>
      <c r="HW94" s="100"/>
      <c r="HX94" s="114"/>
      <c r="HZ94" s="12"/>
      <c r="IA94" s="12"/>
      <c r="IB94" s="12"/>
      <c r="IC94" s="12"/>
      <c r="ID94" s="12"/>
      <c r="IE94" s="12"/>
      <c r="IF94" s="12"/>
      <c r="IG94" s="32"/>
      <c r="IH94" s="93"/>
      <c r="II94" s="93"/>
      <c r="IJ94" s="93"/>
      <c r="IK94" s="93"/>
      <c r="IL94" s="93"/>
      <c r="IM94" s="100"/>
      <c r="IN94" s="114"/>
      <c r="IP94" s="12"/>
      <c r="IQ94" s="12"/>
      <c r="IR94" s="12"/>
      <c r="IS94" s="12"/>
      <c r="IT94" s="12"/>
      <c r="IU94" s="12"/>
      <c r="IV94" s="12"/>
      <c r="IW94" s="32"/>
      <c r="IX94" s="93"/>
      <c r="IY94" s="100"/>
      <c r="IZ94" s="114"/>
      <c r="JB94" s="12"/>
      <c r="JC94" s="12"/>
      <c r="JD94" s="12"/>
      <c r="JE94" s="12"/>
      <c r="JF94" s="12"/>
      <c r="JG94" s="12"/>
      <c r="JH94" s="12"/>
      <c r="JI94" s="32"/>
      <c r="JJ94" s="93"/>
      <c r="JK94" s="93"/>
      <c r="JL94" s="93"/>
      <c r="JM94" s="93"/>
      <c r="JN94" s="93"/>
      <c r="JO94" s="93"/>
      <c r="JP94" s="93"/>
      <c r="JQ94" s="93"/>
      <c r="JR94" s="93"/>
      <c r="JS94" s="93"/>
      <c r="JT94" s="93"/>
      <c r="JU94" s="93"/>
      <c r="JV94" s="93"/>
      <c r="JW94" s="93"/>
      <c r="JX94" s="93"/>
      <c r="JY94" s="93"/>
      <c r="JZ94" s="93"/>
      <c r="KA94" s="93"/>
      <c r="KB94" s="93"/>
      <c r="KC94" s="93"/>
      <c r="KD94" s="101"/>
      <c r="KE94" s="100"/>
      <c r="KF94" s="114"/>
      <c r="KH94" s="12"/>
      <c r="KI94" s="12"/>
      <c r="KJ94" s="12"/>
      <c r="KK94" s="12"/>
      <c r="KL94" s="12"/>
      <c r="KM94" s="12"/>
      <c r="KN94" s="12"/>
      <c r="KO94" s="192"/>
      <c r="KP94" s="193"/>
      <c r="KQ94" s="193"/>
      <c r="KR94" s="193"/>
      <c r="KS94" s="100"/>
      <c r="KT94" s="114"/>
      <c r="KV94" s="100"/>
      <c r="KW94" s="100"/>
      <c r="KX94" s="100"/>
      <c r="KY94" s="100"/>
      <c r="KZ94" s="100"/>
      <c r="LA94" s="100"/>
      <c r="LB94" s="100"/>
      <c r="LC94" s="224"/>
      <c r="LD94" s="225"/>
      <c r="LE94" s="225"/>
      <c r="LF94" s="100"/>
      <c r="LG94" s="114"/>
      <c r="LI94" s="100"/>
      <c r="LJ94" s="100"/>
      <c r="LK94" s="100"/>
      <c r="LL94" s="100"/>
      <c r="LM94" s="100"/>
      <c r="LN94" s="100"/>
      <c r="LO94" s="100"/>
      <c r="LP94" s="224"/>
      <c r="LQ94" s="225"/>
      <c r="LR94" s="225"/>
      <c r="LS94" s="225"/>
      <c r="LT94" s="225"/>
      <c r="LU94" s="225"/>
      <c r="LV94" s="225"/>
      <c r="LW94" s="225"/>
      <c r="LX94" s="225"/>
      <c r="LY94" s="225"/>
      <c r="LZ94" s="225"/>
      <c r="MA94" s="225"/>
      <c r="MB94" s="225"/>
      <c r="MC94" s="225"/>
      <c r="MD94" s="225"/>
      <c r="ME94" s="30">
        <f t="shared" si="63"/>
        <v>0</v>
      </c>
      <c r="MF94" s="28">
        <f t="shared" si="64"/>
        <v>0</v>
      </c>
      <c r="MH94" s="653"/>
      <c r="MI94" s="653"/>
      <c r="MJ94" s="653"/>
      <c r="MK94" s="653"/>
      <c r="ML94" s="653"/>
      <c r="MM94" s="653"/>
      <c r="MN94" s="28"/>
      <c r="MO94" s="224"/>
      <c r="MP94" s="225"/>
      <c r="MQ94" s="225"/>
      <c r="MR94" s="225"/>
      <c r="MS94" s="225"/>
      <c r="MT94" s="225"/>
      <c r="MU94" s="225"/>
      <c r="MV94" s="225"/>
      <c r="MW94" s="225"/>
      <c r="MX94" s="225"/>
      <c r="MY94" s="225"/>
      <c r="MZ94" s="225"/>
      <c r="NA94" s="225"/>
      <c r="NB94" s="225"/>
      <c r="NC94" s="225"/>
      <c r="ND94" s="30">
        <f t="shared" si="58"/>
        <v>0</v>
      </c>
      <c r="NE94" s="28">
        <f t="shared" si="65"/>
        <v>0</v>
      </c>
      <c r="NG94" s="653"/>
      <c r="NH94" s="653"/>
      <c r="NI94" s="653"/>
      <c r="NJ94" s="653"/>
      <c r="NK94" s="653"/>
      <c r="NL94" s="653"/>
      <c r="NM94" s="28"/>
      <c r="NN94" s="225"/>
      <c r="NO94" s="225"/>
      <c r="NP94" s="225"/>
      <c r="NQ94" s="225"/>
      <c r="NR94" s="225"/>
      <c r="NS94" s="225"/>
      <c r="NT94" s="225"/>
      <c r="NU94" s="225"/>
      <c r="NV94" s="225"/>
      <c r="NW94" s="225"/>
      <c r="NX94" s="225"/>
      <c r="NY94" s="225"/>
      <c r="NZ94" s="225"/>
      <c r="OA94" s="225"/>
      <c r="OB94" s="225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47"/>
      <c r="B95" s="12"/>
      <c r="C95" s="12"/>
      <c r="D95" s="12"/>
      <c r="E95" s="12"/>
      <c r="F95" s="12"/>
      <c r="G95" s="12"/>
      <c r="H95" s="12"/>
      <c r="I95" s="12"/>
      <c r="J95" s="12"/>
      <c r="K95" s="99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99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99"/>
      <c r="AP95" s="34"/>
      <c r="AQ95" s="19"/>
      <c r="AS95" s="12"/>
      <c r="AT95" s="12"/>
      <c r="AU95" s="12"/>
      <c r="AV95" s="12"/>
      <c r="AW95" s="12"/>
      <c r="AX95" s="12"/>
      <c r="AY95" s="12"/>
      <c r="AZ95" s="99"/>
      <c r="BA95" s="99"/>
      <c r="BB95" s="99"/>
      <c r="BC95" s="99"/>
      <c r="BD95" s="100"/>
      <c r="BE95" s="28"/>
      <c r="BF95" s="25"/>
      <c r="BG95" s="12"/>
      <c r="BH95" s="12"/>
      <c r="BI95" s="12"/>
      <c r="BJ95" s="12"/>
      <c r="BK95" s="12"/>
      <c r="BL95" s="12"/>
      <c r="BM95" s="12"/>
      <c r="BN95" s="99"/>
      <c r="BO95" s="99"/>
      <c r="BP95" s="100"/>
      <c r="BQ95" s="28"/>
      <c r="BR95" s="25"/>
      <c r="BS95" s="89"/>
      <c r="BT95" s="97"/>
      <c r="BU95" s="97"/>
      <c r="BV95" s="97"/>
      <c r="BW95" s="97"/>
      <c r="BX95" s="98"/>
      <c r="BY95" s="12"/>
      <c r="BZ95" s="99"/>
      <c r="CA95" s="99"/>
      <c r="CB95" s="99"/>
      <c r="CC95" s="99"/>
      <c r="CD95" s="99"/>
      <c r="CE95" s="99"/>
      <c r="CF95" s="99"/>
      <c r="CG95" s="99"/>
      <c r="CH95" s="99"/>
      <c r="CI95" s="100"/>
      <c r="CJ95" s="28"/>
      <c r="CL95" s="89"/>
      <c r="CM95" s="97"/>
      <c r="CN95" s="97"/>
      <c r="CO95" s="97"/>
      <c r="CP95" s="97"/>
      <c r="CQ95" s="98"/>
      <c r="CR95" s="12"/>
      <c r="CS95" s="99"/>
      <c r="CT95" s="99"/>
      <c r="CU95" s="99"/>
      <c r="CV95" s="99"/>
      <c r="CW95" s="99"/>
      <c r="CX95" s="99"/>
      <c r="CY95" s="99"/>
      <c r="CZ95" s="101"/>
      <c r="DA95" s="100"/>
      <c r="DB95" s="28"/>
      <c r="DC95" s="33"/>
      <c r="DD95" s="12"/>
      <c r="DE95" s="12"/>
      <c r="DF95" s="12"/>
      <c r="DG95" s="12"/>
      <c r="DH95" s="12"/>
      <c r="DI95" s="12"/>
      <c r="DJ95" s="12"/>
      <c r="DK95" s="101"/>
      <c r="DL95" s="101"/>
      <c r="DM95" s="101"/>
      <c r="DN95" s="101"/>
      <c r="DO95" s="101"/>
      <c r="DP95" s="101"/>
      <c r="DQ95" s="101"/>
      <c r="DR95" s="101"/>
      <c r="DS95" s="101"/>
      <c r="DT95" s="101"/>
      <c r="DU95" s="100"/>
      <c r="DV95" s="28"/>
      <c r="DX95" s="12"/>
      <c r="DY95" s="12"/>
      <c r="DZ95" s="12"/>
      <c r="EA95" s="12"/>
      <c r="EB95" s="12"/>
      <c r="EC95" s="12"/>
      <c r="ED95" s="12"/>
      <c r="EE95" s="101"/>
      <c r="EF95" s="101"/>
      <c r="EG95" s="101"/>
      <c r="EH95" s="101"/>
      <c r="EI95" s="101"/>
      <c r="EJ95" s="101"/>
      <c r="EK95" s="101"/>
      <c r="EL95" s="101"/>
      <c r="EM95" s="101"/>
      <c r="EN95" s="101"/>
      <c r="EO95" s="100"/>
      <c r="EP95" s="28"/>
      <c r="ER95" s="12"/>
      <c r="ES95" s="12"/>
      <c r="ET95" s="12"/>
      <c r="EU95" s="12"/>
      <c r="EV95" s="12"/>
      <c r="EW95" s="12"/>
      <c r="EX95" s="12"/>
      <c r="EY95" s="101"/>
      <c r="EZ95" s="101"/>
      <c r="FA95" s="101"/>
      <c r="FB95" s="101"/>
      <c r="FC95" s="101"/>
      <c r="FD95" s="101"/>
      <c r="FE95" s="101"/>
      <c r="FF95" s="101"/>
      <c r="FG95" s="101"/>
      <c r="FH95" s="101"/>
      <c r="FI95" s="101"/>
      <c r="FJ95" s="101"/>
      <c r="FK95" s="101"/>
      <c r="FL95" s="101"/>
      <c r="FM95" s="101"/>
      <c r="FN95" s="101"/>
      <c r="FO95" s="101"/>
      <c r="FP95" s="101"/>
      <c r="FQ95" s="101"/>
      <c r="FR95" s="101"/>
      <c r="FS95" s="101"/>
      <c r="FT95" s="100"/>
      <c r="FU95" s="114"/>
      <c r="FW95" s="12"/>
      <c r="FX95" s="12"/>
      <c r="FY95" s="12"/>
      <c r="FZ95" s="12"/>
      <c r="GA95" s="12"/>
      <c r="GB95" s="12"/>
      <c r="GC95" s="12"/>
      <c r="GD95" s="103"/>
      <c r="GE95" s="103"/>
      <c r="GF95" s="103"/>
      <c r="GG95" s="103"/>
      <c r="GH95" s="103"/>
      <c r="GI95" s="103"/>
      <c r="GJ95" s="103"/>
      <c r="GK95" s="103"/>
      <c r="GL95" s="103"/>
      <c r="GM95" s="103"/>
      <c r="GN95" s="103"/>
      <c r="GO95" s="103"/>
      <c r="GP95" s="103"/>
      <c r="GQ95" s="100"/>
      <c r="GR95" s="114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100"/>
      <c r="HM95" s="114"/>
      <c r="HO95" s="12"/>
      <c r="HP95" s="12"/>
      <c r="HQ95" s="12"/>
      <c r="HR95" s="12"/>
      <c r="HS95" s="12"/>
      <c r="HT95" s="12"/>
      <c r="HU95" s="12"/>
      <c r="HV95" s="32"/>
      <c r="HW95" s="100"/>
      <c r="HX95" s="114"/>
      <c r="HZ95" s="12"/>
      <c r="IA95" s="12"/>
      <c r="IB95" s="12"/>
      <c r="IC95" s="12"/>
      <c r="ID95" s="12"/>
      <c r="IE95" s="12"/>
      <c r="IF95" s="12"/>
      <c r="IG95" s="32"/>
      <c r="IH95" s="93"/>
      <c r="II95" s="93"/>
      <c r="IJ95" s="93"/>
      <c r="IK95" s="93"/>
      <c r="IL95" s="93"/>
      <c r="IM95" s="100"/>
      <c r="IN95" s="114"/>
      <c r="IP95" s="12"/>
      <c r="IQ95" s="12"/>
      <c r="IR95" s="12"/>
      <c r="IS95" s="12"/>
      <c r="IT95" s="12"/>
      <c r="IU95" s="12"/>
      <c r="IV95" s="12"/>
      <c r="IW95" s="32"/>
      <c r="IX95" s="93"/>
      <c r="IY95" s="100"/>
      <c r="IZ95" s="114"/>
      <c r="JB95" s="12"/>
      <c r="JC95" s="12"/>
      <c r="JD95" s="12"/>
      <c r="JE95" s="12"/>
      <c r="JF95" s="12"/>
      <c r="JG95" s="12"/>
      <c r="JH95" s="12"/>
      <c r="JI95" s="32"/>
      <c r="JJ95" s="93"/>
      <c r="JK95" s="93"/>
      <c r="JL95" s="93"/>
      <c r="JM95" s="93"/>
      <c r="JN95" s="93"/>
      <c r="JO95" s="93"/>
      <c r="JP95" s="93"/>
      <c r="JQ95" s="93"/>
      <c r="JR95" s="93"/>
      <c r="JS95" s="93"/>
      <c r="JT95" s="93"/>
      <c r="JU95" s="93"/>
      <c r="JV95" s="93"/>
      <c r="JW95" s="93"/>
      <c r="JX95" s="93"/>
      <c r="JY95" s="93"/>
      <c r="JZ95" s="93"/>
      <c r="KA95" s="93"/>
      <c r="KB95" s="93"/>
      <c r="KC95" s="93"/>
      <c r="KD95" s="101"/>
      <c r="KE95" s="100"/>
      <c r="KF95" s="114"/>
      <c r="KH95" s="12"/>
      <c r="KI95" s="12"/>
      <c r="KJ95" s="12"/>
      <c r="KK95" s="12"/>
      <c r="KL95" s="12"/>
      <c r="KM95" s="12"/>
      <c r="KN95" s="12"/>
      <c r="KO95" s="192"/>
      <c r="KP95" s="193"/>
      <c r="KQ95" s="193"/>
      <c r="KR95" s="193"/>
      <c r="KS95" s="100"/>
      <c r="KT95" s="114"/>
      <c r="KV95" s="100"/>
      <c r="KW95" s="100"/>
      <c r="KX95" s="100"/>
      <c r="KY95" s="100"/>
      <c r="KZ95" s="100"/>
      <c r="LA95" s="100"/>
      <c r="LB95" s="100"/>
      <c r="LC95" s="224"/>
      <c r="LD95" s="225"/>
      <c r="LE95" s="225"/>
      <c r="LF95" s="100"/>
      <c r="LG95" s="114"/>
      <c r="LI95" s="100"/>
      <c r="LJ95" s="100"/>
      <c r="LK95" s="100"/>
      <c r="LL95" s="100"/>
      <c r="LM95" s="100"/>
      <c r="LN95" s="100"/>
      <c r="LO95" s="100"/>
      <c r="LP95" s="224"/>
      <c r="LQ95" s="225"/>
      <c r="LR95" s="225"/>
      <c r="LS95" s="225"/>
      <c r="LT95" s="225"/>
      <c r="LU95" s="225"/>
      <c r="LV95" s="225"/>
      <c r="LW95" s="225"/>
      <c r="LX95" s="225"/>
      <c r="LY95" s="225"/>
      <c r="LZ95" s="225"/>
      <c r="MA95" s="225"/>
      <c r="MB95" s="225"/>
      <c r="MC95" s="225"/>
      <c r="MD95" s="225"/>
      <c r="ME95" s="30">
        <f t="shared" si="63"/>
        <v>0</v>
      </c>
      <c r="MF95" s="28">
        <f t="shared" si="64"/>
        <v>0</v>
      </c>
      <c r="MH95" s="654"/>
      <c r="MI95" s="654"/>
      <c r="MJ95" s="654"/>
      <c r="MK95" s="654"/>
      <c r="ML95" s="654"/>
      <c r="MM95" s="654"/>
      <c r="MN95" s="15"/>
      <c r="MO95" s="226"/>
      <c r="MP95" s="222"/>
      <c r="MQ95" s="222"/>
      <c r="MR95" s="222"/>
      <c r="MS95" s="222"/>
      <c r="MT95" s="222"/>
      <c r="MU95" s="222"/>
      <c r="MV95" s="222"/>
      <c r="MW95" s="222"/>
      <c r="MX95" s="222"/>
      <c r="MY95" s="222"/>
      <c r="MZ95" s="222"/>
      <c r="NA95" s="222"/>
      <c r="NB95" s="222"/>
      <c r="NC95" s="222"/>
      <c r="ND95" s="30">
        <f t="shared" si="58"/>
        <v>0</v>
      </c>
      <c r="NE95" s="28">
        <f t="shared" si="65"/>
        <v>0</v>
      </c>
      <c r="NG95" s="654"/>
      <c r="NH95" s="654"/>
      <c r="NI95" s="654"/>
      <c r="NJ95" s="654"/>
      <c r="NK95" s="654"/>
      <c r="NL95" s="654"/>
      <c r="NM95" s="15"/>
      <c r="NN95" s="222"/>
      <c r="NO95" s="222"/>
      <c r="NP95" s="222"/>
      <c r="NQ95" s="222"/>
      <c r="NR95" s="222"/>
      <c r="NS95" s="222"/>
      <c r="NT95" s="222"/>
      <c r="NU95" s="222"/>
      <c r="NV95" s="222"/>
      <c r="NW95" s="222"/>
      <c r="NX95" s="222"/>
      <c r="NY95" s="222"/>
      <c r="NZ95" s="222"/>
      <c r="OA95" s="222"/>
      <c r="OB95" s="222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47"/>
      <c r="B96" s="12"/>
      <c r="C96" s="12"/>
      <c r="D96" s="12"/>
      <c r="E96" s="12"/>
      <c r="F96" s="12"/>
      <c r="G96" s="12"/>
      <c r="H96" s="12"/>
      <c r="I96" s="12"/>
      <c r="J96" s="12"/>
      <c r="K96" s="99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99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99"/>
      <c r="AP96" s="34"/>
      <c r="AQ96" s="19"/>
      <c r="AS96" s="12"/>
      <c r="AT96" s="12"/>
      <c r="AU96" s="12"/>
      <c r="AV96" s="12"/>
      <c r="AW96" s="12"/>
      <c r="AX96" s="12"/>
      <c r="AY96" s="12"/>
      <c r="AZ96" s="99"/>
      <c r="BA96" s="99"/>
      <c r="BB96" s="99"/>
      <c r="BC96" s="99"/>
      <c r="BD96" s="100"/>
      <c r="BE96" s="28"/>
      <c r="BF96" s="25"/>
      <c r="BG96" s="12"/>
      <c r="BH96" s="12"/>
      <c r="BI96" s="12"/>
      <c r="BJ96" s="12"/>
      <c r="BK96" s="12"/>
      <c r="BL96" s="12"/>
      <c r="BM96" s="12"/>
      <c r="BN96" s="99"/>
      <c r="BO96" s="99"/>
      <c r="BP96" s="100"/>
      <c r="BQ96" s="28"/>
      <c r="BR96" s="25"/>
      <c r="BS96" s="89"/>
      <c r="BT96" s="97"/>
      <c r="BU96" s="97"/>
      <c r="BV96" s="97"/>
      <c r="BW96" s="97"/>
      <c r="BX96" s="98"/>
      <c r="BY96" s="12"/>
      <c r="BZ96" s="99"/>
      <c r="CA96" s="99"/>
      <c r="CB96" s="99"/>
      <c r="CC96" s="99"/>
      <c r="CD96" s="99"/>
      <c r="CE96" s="99"/>
      <c r="CF96" s="99"/>
      <c r="CG96" s="99"/>
      <c r="CH96" s="99"/>
      <c r="CI96" s="100"/>
      <c r="CJ96" s="28"/>
      <c r="CL96" s="89"/>
      <c r="CM96" s="97"/>
      <c r="CN96" s="97"/>
      <c r="CO96" s="97"/>
      <c r="CP96" s="97"/>
      <c r="CQ96" s="98"/>
      <c r="CR96" s="12"/>
      <c r="CS96" s="99"/>
      <c r="CT96" s="99"/>
      <c r="CU96" s="99"/>
      <c r="CV96" s="99"/>
      <c r="CW96" s="99"/>
      <c r="CX96" s="99"/>
      <c r="CY96" s="99"/>
      <c r="CZ96" s="101"/>
      <c r="DA96" s="100"/>
      <c r="DB96" s="28"/>
      <c r="DC96" s="33"/>
      <c r="DD96" s="12"/>
      <c r="DE96" s="12"/>
      <c r="DF96" s="12"/>
      <c r="DG96" s="12"/>
      <c r="DH96" s="12"/>
      <c r="DI96" s="12"/>
      <c r="DJ96" s="12"/>
      <c r="DK96" s="101"/>
      <c r="DL96" s="101"/>
      <c r="DM96" s="101"/>
      <c r="DN96" s="101"/>
      <c r="DO96" s="101"/>
      <c r="DP96" s="101"/>
      <c r="DQ96" s="101"/>
      <c r="DR96" s="101"/>
      <c r="DS96" s="101"/>
      <c r="DT96" s="101"/>
      <c r="DU96" s="100"/>
      <c r="DV96" s="28"/>
      <c r="DX96" s="12"/>
      <c r="DY96" s="12"/>
      <c r="DZ96" s="12"/>
      <c r="EA96" s="12"/>
      <c r="EB96" s="12"/>
      <c r="EC96" s="12"/>
      <c r="ED96" s="12"/>
      <c r="EE96" s="101"/>
      <c r="EF96" s="101"/>
      <c r="EG96" s="101"/>
      <c r="EH96" s="101"/>
      <c r="EI96" s="101"/>
      <c r="EJ96" s="101"/>
      <c r="EK96" s="101"/>
      <c r="EL96" s="101"/>
      <c r="EM96" s="101"/>
      <c r="EN96" s="101"/>
      <c r="EO96" s="100"/>
      <c r="EP96" s="28"/>
      <c r="ER96" s="12"/>
      <c r="ES96" s="12"/>
      <c r="ET96" s="12"/>
      <c r="EU96" s="12"/>
      <c r="EV96" s="12"/>
      <c r="EW96" s="12"/>
      <c r="EX96" s="12"/>
      <c r="EY96" s="101"/>
      <c r="EZ96" s="101"/>
      <c r="FA96" s="101"/>
      <c r="FB96" s="101"/>
      <c r="FC96" s="101"/>
      <c r="FD96" s="101"/>
      <c r="FE96" s="101"/>
      <c r="FF96" s="101"/>
      <c r="FG96" s="101"/>
      <c r="FH96" s="101"/>
      <c r="FI96" s="101"/>
      <c r="FJ96" s="101"/>
      <c r="FK96" s="101"/>
      <c r="FL96" s="101"/>
      <c r="FM96" s="101"/>
      <c r="FN96" s="101"/>
      <c r="FO96" s="101"/>
      <c r="FP96" s="101"/>
      <c r="FQ96" s="101"/>
      <c r="FR96" s="101"/>
      <c r="FS96" s="101"/>
      <c r="FT96" s="100"/>
      <c r="FU96" s="114"/>
      <c r="FW96" s="12"/>
      <c r="FX96" s="12"/>
      <c r="FY96" s="12"/>
      <c r="FZ96" s="12"/>
      <c r="GA96" s="12"/>
      <c r="GB96" s="12"/>
      <c r="GC96" s="12"/>
      <c r="GD96" s="103"/>
      <c r="GE96" s="103"/>
      <c r="GF96" s="103"/>
      <c r="GG96" s="103"/>
      <c r="GH96" s="103"/>
      <c r="GI96" s="103"/>
      <c r="GJ96" s="103"/>
      <c r="GK96" s="103"/>
      <c r="GL96" s="103"/>
      <c r="GM96" s="103"/>
      <c r="GN96" s="103"/>
      <c r="GO96" s="103"/>
      <c r="GP96" s="103"/>
      <c r="GQ96" s="100"/>
      <c r="GR96" s="114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100"/>
      <c r="HM96" s="114"/>
      <c r="HO96" s="12"/>
      <c r="HP96" s="12"/>
      <c r="HQ96" s="12"/>
      <c r="HR96" s="12"/>
      <c r="HS96" s="12"/>
      <c r="HT96" s="12"/>
      <c r="HU96" s="12"/>
      <c r="HV96" s="32"/>
      <c r="HW96" s="100"/>
      <c r="HX96" s="114"/>
      <c r="HZ96" s="12"/>
      <c r="IA96" s="12"/>
      <c r="IB96" s="12"/>
      <c r="IC96" s="12"/>
      <c r="ID96" s="12"/>
      <c r="IE96" s="12"/>
      <c r="IF96" s="12"/>
      <c r="IG96" s="32"/>
      <c r="IH96" s="93"/>
      <c r="II96" s="93"/>
      <c r="IJ96" s="93"/>
      <c r="IK96" s="93"/>
      <c r="IL96" s="93"/>
      <c r="IM96" s="100"/>
      <c r="IN96" s="114"/>
      <c r="IP96" s="12"/>
      <c r="IQ96" s="12"/>
      <c r="IR96" s="12"/>
      <c r="IS96" s="12"/>
      <c r="IT96" s="12"/>
      <c r="IU96" s="12"/>
      <c r="IV96" s="12"/>
      <c r="IW96" s="32"/>
      <c r="IX96" s="93"/>
      <c r="IY96" s="100"/>
      <c r="IZ96" s="114"/>
      <c r="JB96" s="12"/>
      <c r="JC96" s="12"/>
      <c r="JD96" s="12"/>
      <c r="JE96" s="12"/>
      <c r="JF96" s="12"/>
      <c r="JG96" s="12"/>
      <c r="JH96" s="12"/>
      <c r="JI96" s="32"/>
      <c r="JJ96" s="93"/>
      <c r="JK96" s="93"/>
      <c r="JL96" s="93"/>
      <c r="JM96" s="93"/>
      <c r="JN96" s="93"/>
      <c r="JO96" s="93"/>
      <c r="JP96" s="93"/>
      <c r="JQ96" s="93"/>
      <c r="JR96" s="93"/>
      <c r="JS96" s="93"/>
      <c r="JT96" s="93"/>
      <c r="JU96" s="93"/>
      <c r="JV96" s="93"/>
      <c r="JW96" s="93"/>
      <c r="JX96" s="93"/>
      <c r="JY96" s="93"/>
      <c r="JZ96" s="93"/>
      <c r="KA96" s="93"/>
      <c r="KB96" s="93"/>
      <c r="KC96" s="93"/>
      <c r="KD96" s="101"/>
      <c r="KE96" s="100"/>
      <c r="KF96" s="114"/>
      <c r="KH96" s="12"/>
      <c r="KI96" s="12"/>
      <c r="KJ96" s="12"/>
      <c r="KK96" s="12"/>
      <c r="KL96" s="12"/>
      <c r="KM96" s="12"/>
      <c r="KN96" s="12"/>
      <c r="KO96" s="192"/>
      <c r="KP96" s="193"/>
      <c r="KQ96" s="193"/>
      <c r="KR96" s="193"/>
      <c r="KS96" s="100"/>
      <c r="KT96" s="114"/>
      <c r="KV96" s="100"/>
      <c r="KW96" s="100"/>
      <c r="KX96" s="100"/>
      <c r="KY96" s="100"/>
      <c r="KZ96" s="100"/>
      <c r="LA96" s="100"/>
      <c r="LB96" s="100"/>
      <c r="LC96" s="224"/>
      <c r="LD96" s="225"/>
      <c r="LE96" s="225"/>
      <c r="LF96" s="100"/>
      <c r="LG96" s="114"/>
      <c r="LI96" s="100"/>
      <c r="LJ96" s="100"/>
      <c r="LK96" s="100"/>
      <c r="LL96" s="100"/>
      <c r="LM96" s="100"/>
      <c r="LN96" s="100"/>
      <c r="LO96" s="100"/>
      <c r="LP96" s="224"/>
      <c r="LQ96" s="225"/>
      <c r="LR96" s="225"/>
      <c r="LS96" s="225"/>
      <c r="LT96" s="225"/>
      <c r="LU96" s="225"/>
      <c r="LV96" s="225"/>
      <c r="LW96" s="225"/>
      <c r="LX96" s="225"/>
      <c r="LY96" s="225"/>
      <c r="LZ96" s="225"/>
      <c r="MA96" s="225"/>
      <c r="MB96" s="225"/>
      <c r="MC96" s="225"/>
      <c r="MD96" s="225"/>
      <c r="ME96" s="30">
        <f t="shared" si="63"/>
        <v>0</v>
      </c>
      <c r="MF96" s="28">
        <f t="shared" si="64"/>
        <v>0</v>
      </c>
      <c r="MH96" s="653"/>
      <c r="MI96" s="653"/>
      <c r="MJ96" s="653"/>
      <c r="MK96" s="653"/>
      <c r="ML96" s="653"/>
      <c r="MM96" s="653"/>
      <c r="MN96" s="28"/>
      <c r="MO96" s="224"/>
      <c r="MP96" s="225"/>
      <c r="MQ96" s="225"/>
      <c r="MR96" s="225"/>
      <c r="MS96" s="225"/>
      <c r="MT96" s="225"/>
      <c r="MU96" s="225"/>
      <c r="MV96" s="225"/>
      <c r="MW96" s="225"/>
      <c r="MX96" s="225"/>
      <c r="MY96" s="225"/>
      <c r="MZ96" s="225"/>
      <c r="NA96" s="225"/>
      <c r="NB96" s="225"/>
      <c r="NC96" s="225"/>
      <c r="ND96" s="30">
        <f t="shared" si="58"/>
        <v>0</v>
      </c>
      <c r="NE96" s="28">
        <f t="shared" si="65"/>
        <v>0</v>
      </c>
      <c r="NG96" s="653"/>
      <c r="NH96" s="653"/>
      <c r="NI96" s="653"/>
      <c r="NJ96" s="653"/>
      <c r="NK96" s="653"/>
      <c r="NL96" s="653"/>
      <c r="NM96" s="28"/>
      <c r="NN96" s="225"/>
      <c r="NO96" s="225"/>
      <c r="NP96" s="225"/>
      <c r="NQ96" s="225"/>
      <c r="NR96" s="225"/>
      <c r="NS96" s="225"/>
      <c r="NT96" s="225"/>
      <c r="NU96" s="225"/>
      <c r="NV96" s="225"/>
      <c r="NW96" s="225"/>
      <c r="NX96" s="225"/>
      <c r="NY96" s="225"/>
      <c r="NZ96" s="225"/>
      <c r="OA96" s="225"/>
      <c r="OB96" s="225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47"/>
      <c r="B97" s="12"/>
      <c r="C97" s="12"/>
      <c r="D97" s="12"/>
      <c r="E97" s="12"/>
      <c r="F97" s="12"/>
      <c r="G97" s="12"/>
      <c r="H97" s="12"/>
      <c r="I97" s="12"/>
      <c r="J97" s="12"/>
      <c r="K97" s="99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99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99"/>
      <c r="AP97" s="34"/>
      <c r="AQ97" s="19"/>
      <c r="AS97" s="12"/>
      <c r="AT97" s="12"/>
      <c r="AU97" s="12"/>
      <c r="AV97" s="12"/>
      <c r="AW97" s="12"/>
      <c r="AX97" s="12"/>
      <c r="AY97" s="12"/>
      <c r="AZ97" s="99"/>
      <c r="BA97" s="99"/>
      <c r="BB97" s="99"/>
      <c r="BC97" s="99"/>
      <c r="BD97" s="100"/>
      <c r="BE97" s="28"/>
      <c r="BF97" s="25"/>
      <c r="BG97" s="12"/>
      <c r="BH97" s="12"/>
      <c r="BI97" s="12"/>
      <c r="BJ97" s="12"/>
      <c r="BK97" s="12"/>
      <c r="BL97" s="12"/>
      <c r="BM97" s="12"/>
      <c r="BN97" s="99"/>
      <c r="BO97" s="99"/>
      <c r="BP97" s="100"/>
      <c r="BQ97" s="28"/>
      <c r="BR97" s="25"/>
      <c r="BS97" s="89"/>
      <c r="BT97" s="97"/>
      <c r="BU97" s="97"/>
      <c r="BV97" s="97"/>
      <c r="BW97" s="97"/>
      <c r="BX97" s="98"/>
      <c r="BY97" s="12"/>
      <c r="BZ97" s="99"/>
      <c r="CA97" s="99"/>
      <c r="CB97" s="99"/>
      <c r="CC97" s="99"/>
      <c r="CD97" s="99"/>
      <c r="CE97" s="99"/>
      <c r="CF97" s="99"/>
      <c r="CG97" s="99"/>
      <c r="CH97" s="99"/>
      <c r="CI97" s="100"/>
      <c r="CJ97" s="28"/>
      <c r="CL97" s="89"/>
      <c r="CM97" s="97"/>
      <c r="CN97" s="97"/>
      <c r="CO97" s="97"/>
      <c r="CP97" s="97"/>
      <c r="CQ97" s="98"/>
      <c r="CR97" s="12"/>
      <c r="CS97" s="99"/>
      <c r="CT97" s="99"/>
      <c r="CU97" s="99"/>
      <c r="CV97" s="99"/>
      <c r="CW97" s="99"/>
      <c r="CX97" s="99"/>
      <c r="CY97" s="99"/>
      <c r="CZ97" s="101"/>
      <c r="DA97" s="100"/>
      <c r="DB97" s="28"/>
      <c r="DC97" s="33"/>
      <c r="DD97" s="12"/>
      <c r="DE97" s="12"/>
      <c r="DF97" s="12"/>
      <c r="DG97" s="12"/>
      <c r="DH97" s="12"/>
      <c r="DI97" s="12"/>
      <c r="DJ97" s="12"/>
      <c r="DK97" s="101"/>
      <c r="DL97" s="101"/>
      <c r="DM97" s="101"/>
      <c r="DN97" s="101"/>
      <c r="DO97" s="101"/>
      <c r="DP97" s="101"/>
      <c r="DQ97" s="101"/>
      <c r="DR97" s="101"/>
      <c r="DS97" s="101"/>
      <c r="DT97" s="101"/>
      <c r="DU97" s="100"/>
      <c r="DV97" s="28"/>
      <c r="DX97" s="12"/>
      <c r="DY97" s="12"/>
      <c r="DZ97" s="12"/>
      <c r="EA97" s="12"/>
      <c r="EB97" s="12"/>
      <c r="EC97" s="12"/>
      <c r="ED97" s="12"/>
      <c r="EE97" s="101"/>
      <c r="EF97" s="101"/>
      <c r="EG97" s="101"/>
      <c r="EH97" s="101"/>
      <c r="EI97" s="101"/>
      <c r="EJ97" s="101"/>
      <c r="EK97" s="101"/>
      <c r="EL97" s="101"/>
      <c r="EM97" s="101"/>
      <c r="EN97" s="101"/>
      <c r="EO97" s="100"/>
      <c r="EP97" s="28"/>
      <c r="ER97" s="12"/>
      <c r="ES97" s="12"/>
      <c r="ET97" s="12"/>
      <c r="EU97" s="12"/>
      <c r="EV97" s="12"/>
      <c r="EW97" s="12"/>
      <c r="EX97" s="12"/>
      <c r="EY97" s="101"/>
      <c r="EZ97" s="101"/>
      <c r="FA97" s="101"/>
      <c r="FB97" s="101"/>
      <c r="FC97" s="101"/>
      <c r="FD97" s="101"/>
      <c r="FE97" s="101"/>
      <c r="FF97" s="101"/>
      <c r="FG97" s="101"/>
      <c r="FH97" s="101"/>
      <c r="FI97" s="101"/>
      <c r="FJ97" s="101"/>
      <c r="FK97" s="101"/>
      <c r="FL97" s="101"/>
      <c r="FM97" s="101"/>
      <c r="FN97" s="101"/>
      <c r="FO97" s="101"/>
      <c r="FP97" s="101"/>
      <c r="FQ97" s="101"/>
      <c r="FR97" s="101"/>
      <c r="FS97" s="101"/>
      <c r="FT97" s="100"/>
      <c r="FU97" s="114"/>
      <c r="FW97" s="12"/>
      <c r="FX97" s="12"/>
      <c r="FY97" s="12"/>
      <c r="FZ97" s="12"/>
      <c r="GA97" s="12"/>
      <c r="GB97" s="12"/>
      <c r="GC97" s="12"/>
      <c r="GD97" s="103"/>
      <c r="GE97" s="103"/>
      <c r="GF97" s="103"/>
      <c r="GG97" s="103"/>
      <c r="GH97" s="103"/>
      <c r="GI97" s="103"/>
      <c r="GJ97" s="103"/>
      <c r="GK97" s="103"/>
      <c r="GL97" s="103"/>
      <c r="GM97" s="103"/>
      <c r="GN97" s="103"/>
      <c r="GO97" s="103"/>
      <c r="GP97" s="103"/>
      <c r="GQ97" s="100"/>
      <c r="GR97" s="114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100"/>
      <c r="HM97" s="114"/>
      <c r="HO97" s="12"/>
      <c r="HP97" s="12"/>
      <c r="HQ97" s="12"/>
      <c r="HR97" s="12"/>
      <c r="HS97" s="12"/>
      <c r="HT97" s="12"/>
      <c r="HU97" s="12"/>
      <c r="HV97" s="32"/>
      <c r="HW97" s="100"/>
      <c r="HX97" s="114"/>
      <c r="HZ97" s="12"/>
      <c r="IA97" s="12"/>
      <c r="IB97" s="12"/>
      <c r="IC97" s="12"/>
      <c r="ID97" s="12"/>
      <c r="IE97" s="12"/>
      <c r="IF97" s="12"/>
      <c r="IG97" s="32"/>
      <c r="IH97" s="93"/>
      <c r="II97" s="93"/>
      <c r="IJ97" s="93"/>
      <c r="IK97" s="93"/>
      <c r="IL97" s="93"/>
      <c r="IM97" s="100"/>
      <c r="IN97" s="114"/>
      <c r="IP97" s="12"/>
      <c r="IQ97" s="12"/>
      <c r="IR97" s="12"/>
      <c r="IS97" s="12"/>
      <c r="IT97" s="12"/>
      <c r="IU97" s="12"/>
      <c r="IV97" s="12"/>
      <c r="IW97" s="32"/>
      <c r="IX97" s="93"/>
      <c r="IY97" s="100"/>
      <c r="IZ97" s="114"/>
      <c r="JB97" s="12"/>
      <c r="JC97" s="12"/>
      <c r="JD97" s="12"/>
      <c r="JE97" s="12"/>
      <c r="JF97" s="12"/>
      <c r="JG97" s="12"/>
      <c r="JH97" s="12"/>
      <c r="JI97" s="32"/>
      <c r="JJ97" s="93"/>
      <c r="JK97" s="93"/>
      <c r="JL97" s="93"/>
      <c r="JM97" s="93"/>
      <c r="JN97" s="93"/>
      <c r="JO97" s="93"/>
      <c r="JP97" s="93"/>
      <c r="JQ97" s="93"/>
      <c r="JR97" s="93"/>
      <c r="JS97" s="93"/>
      <c r="JT97" s="93"/>
      <c r="JU97" s="93"/>
      <c r="JV97" s="93"/>
      <c r="JW97" s="93"/>
      <c r="JX97" s="93"/>
      <c r="JY97" s="93"/>
      <c r="JZ97" s="93"/>
      <c r="KA97" s="93"/>
      <c r="KB97" s="93"/>
      <c r="KC97" s="93"/>
      <c r="KD97" s="101"/>
      <c r="KE97" s="100"/>
      <c r="KF97" s="114"/>
      <c r="KH97" s="12"/>
      <c r="KI97" s="12"/>
      <c r="KJ97" s="12"/>
      <c r="KK97" s="12"/>
      <c r="KL97" s="12"/>
      <c r="KM97" s="12"/>
      <c r="KN97" s="12"/>
      <c r="KO97" s="192"/>
      <c r="KP97" s="193"/>
      <c r="KQ97" s="193"/>
      <c r="KR97" s="193"/>
      <c r="KS97" s="100"/>
      <c r="KT97" s="114"/>
      <c r="KV97" s="100"/>
      <c r="KW97" s="100"/>
      <c r="KX97" s="100"/>
      <c r="KY97" s="100"/>
      <c r="KZ97" s="100"/>
      <c r="LA97" s="100"/>
      <c r="LB97" s="100"/>
      <c r="LC97" s="224"/>
      <c r="LD97" s="225"/>
      <c r="LE97" s="225"/>
      <c r="LF97" s="100"/>
      <c r="LG97" s="114"/>
      <c r="LI97" s="100"/>
      <c r="LJ97" s="100"/>
      <c r="LK97" s="100"/>
      <c r="LL97" s="100"/>
      <c r="LM97" s="100"/>
      <c r="LN97" s="100"/>
      <c r="LO97" s="100"/>
      <c r="LP97" s="224"/>
      <c r="LQ97" s="225"/>
      <c r="LR97" s="225"/>
      <c r="LS97" s="225"/>
      <c r="LT97" s="225"/>
      <c r="LU97" s="225"/>
      <c r="LV97" s="225"/>
      <c r="LW97" s="225"/>
      <c r="LX97" s="225"/>
      <c r="LY97" s="225"/>
      <c r="LZ97" s="225"/>
      <c r="MA97" s="225"/>
      <c r="MB97" s="225"/>
      <c r="MC97" s="225"/>
      <c r="MD97" s="225"/>
      <c r="ME97" s="30">
        <f t="shared" si="63"/>
        <v>0</v>
      </c>
      <c r="MF97" s="28">
        <f t="shared" si="64"/>
        <v>0</v>
      </c>
      <c r="MH97" s="654"/>
      <c r="MI97" s="654"/>
      <c r="MJ97" s="654"/>
      <c r="MK97" s="654"/>
      <c r="ML97" s="654"/>
      <c r="MM97" s="654"/>
      <c r="MN97" s="15"/>
      <c r="MO97" s="226"/>
      <c r="MP97" s="222"/>
      <c r="MQ97" s="222"/>
      <c r="MR97" s="222"/>
      <c r="MS97" s="222"/>
      <c r="MT97" s="222"/>
      <c r="MU97" s="222"/>
      <c r="MV97" s="222"/>
      <c r="MW97" s="222"/>
      <c r="MX97" s="222"/>
      <c r="MY97" s="222"/>
      <c r="MZ97" s="222"/>
      <c r="NA97" s="222"/>
      <c r="NB97" s="222"/>
      <c r="NC97" s="222"/>
      <c r="ND97" s="30">
        <f t="shared" si="58"/>
        <v>0</v>
      </c>
      <c r="NE97" s="28">
        <f t="shared" si="65"/>
        <v>0</v>
      </c>
      <c r="NG97" s="654"/>
      <c r="NH97" s="654"/>
      <c r="NI97" s="654"/>
      <c r="NJ97" s="654"/>
      <c r="NK97" s="654"/>
      <c r="NL97" s="654"/>
      <c r="NM97" s="15"/>
      <c r="NN97" s="222"/>
      <c r="NO97" s="222"/>
      <c r="NP97" s="222"/>
      <c r="NQ97" s="222"/>
      <c r="NR97" s="222"/>
      <c r="NS97" s="222"/>
      <c r="NT97" s="222"/>
      <c r="NU97" s="222"/>
      <c r="NV97" s="222"/>
      <c r="NW97" s="222"/>
      <c r="NX97" s="222"/>
      <c r="NY97" s="222"/>
      <c r="NZ97" s="222"/>
      <c r="OA97" s="222"/>
      <c r="OB97" s="222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47"/>
      <c r="B98" s="12"/>
      <c r="C98" s="12"/>
      <c r="D98" s="12"/>
      <c r="E98" s="12"/>
      <c r="F98" s="12"/>
      <c r="G98" s="12"/>
      <c r="H98" s="12"/>
      <c r="I98" s="12"/>
      <c r="J98" s="12"/>
      <c r="K98" s="99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99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99"/>
      <c r="AP98" s="34"/>
      <c r="AQ98" s="19"/>
      <c r="AS98" s="12"/>
      <c r="AT98" s="12"/>
      <c r="AU98" s="12"/>
      <c r="AV98" s="12"/>
      <c r="AW98" s="12"/>
      <c r="AX98" s="12"/>
      <c r="AY98" s="12"/>
      <c r="AZ98" s="99"/>
      <c r="BA98" s="99"/>
      <c r="BB98" s="99"/>
      <c r="BC98" s="99"/>
      <c r="BD98" s="100"/>
      <c r="BE98" s="28"/>
      <c r="BF98" s="25"/>
      <c r="BG98" s="12"/>
      <c r="BH98" s="12"/>
      <c r="BI98" s="12"/>
      <c r="BJ98" s="12"/>
      <c r="BK98" s="12"/>
      <c r="BL98" s="12"/>
      <c r="BM98" s="12"/>
      <c r="BN98" s="99"/>
      <c r="BO98" s="99"/>
      <c r="BP98" s="100"/>
      <c r="BQ98" s="28"/>
      <c r="BR98" s="25"/>
      <c r="BS98" s="89"/>
      <c r="BT98" s="97"/>
      <c r="BU98" s="97"/>
      <c r="BV98" s="97"/>
      <c r="BW98" s="97"/>
      <c r="BX98" s="98"/>
      <c r="BY98" s="12"/>
      <c r="BZ98" s="99"/>
      <c r="CA98" s="99"/>
      <c r="CB98" s="99"/>
      <c r="CC98" s="99"/>
      <c r="CD98" s="99"/>
      <c r="CE98" s="99"/>
      <c r="CF98" s="99"/>
      <c r="CG98" s="99"/>
      <c r="CH98" s="99"/>
      <c r="CI98" s="100"/>
      <c r="CJ98" s="28"/>
      <c r="CL98" s="89"/>
      <c r="CM98" s="97"/>
      <c r="CN98" s="97"/>
      <c r="CO98" s="97"/>
      <c r="CP98" s="97"/>
      <c r="CQ98" s="98"/>
      <c r="CR98" s="12"/>
      <c r="CS98" s="99"/>
      <c r="CT98" s="99"/>
      <c r="CU98" s="99"/>
      <c r="CV98" s="99"/>
      <c r="CW98" s="99"/>
      <c r="CX98" s="99"/>
      <c r="CY98" s="99"/>
      <c r="CZ98" s="101"/>
      <c r="DA98" s="100"/>
      <c r="DB98" s="28"/>
      <c r="DC98" s="33"/>
      <c r="DD98" s="12"/>
      <c r="DE98" s="12"/>
      <c r="DF98" s="12"/>
      <c r="DG98" s="12"/>
      <c r="DH98" s="12"/>
      <c r="DI98" s="12"/>
      <c r="DJ98" s="12"/>
      <c r="DK98" s="101"/>
      <c r="DL98" s="101"/>
      <c r="DM98" s="101"/>
      <c r="DN98" s="101"/>
      <c r="DO98" s="101"/>
      <c r="DP98" s="101"/>
      <c r="DQ98" s="101"/>
      <c r="DR98" s="101"/>
      <c r="DS98" s="101"/>
      <c r="DT98" s="101"/>
      <c r="DU98" s="100"/>
      <c r="DV98" s="28"/>
      <c r="DX98" s="12"/>
      <c r="DY98" s="12"/>
      <c r="DZ98" s="12"/>
      <c r="EA98" s="12"/>
      <c r="EB98" s="12"/>
      <c r="EC98" s="12"/>
      <c r="ED98" s="12"/>
      <c r="EE98" s="101"/>
      <c r="EF98" s="101"/>
      <c r="EG98" s="101"/>
      <c r="EH98" s="101"/>
      <c r="EI98" s="101"/>
      <c r="EJ98" s="101"/>
      <c r="EK98" s="101"/>
      <c r="EL98" s="101"/>
      <c r="EM98" s="101"/>
      <c r="EN98" s="101"/>
      <c r="EO98" s="100"/>
      <c r="EP98" s="28"/>
      <c r="ER98" s="12"/>
      <c r="ES98" s="12"/>
      <c r="ET98" s="12"/>
      <c r="EU98" s="12"/>
      <c r="EV98" s="12"/>
      <c r="EW98" s="12"/>
      <c r="EX98" s="12"/>
      <c r="EY98" s="101"/>
      <c r="EZ98" s="101"/>
      <c r="FA98" s="101"/>
      <c r="FB98" s="101"/>
      <c r="FC98" s="101"/>
      <c r="FD98" s="101"/>
      <c r="FE98" s="101"/>
      <c r="FF98" s="101"/>
      <c r="FG98" s="101"/>
      <c r="FH98" s="101"/>
      <c r="FI98" s="101"/>
      <c r="FJ98" s="101"/>
      <c r="FK98" s="101"/>
      <c r="FL98" s="101"/>
      <c r="FM98" s="101"/>
      <c r="FN98" s="101"/>
      <c r="FO98" s="101"/>
      <c r="FP98" s="101"/>
      <c r="FQ98" s="101"/>
      <c r="FR98" s="101"/>
      <c r="FS98" s="101"/>
      <c r="FT98" s="100"/>
      <c r="FU98" s="114"/>
      <c r="FW98" s="12"/>
      <c r="FX98" s="12"/>
      <c r="FY98" s="12"/>
      <c r="FZ98" s="12"/>
      <c r="GA98" s="12"/>
      <c r="GB98" s="12"/>
      <c r="GC98" s="12"/>
      <c r="GD98" s="103"/>
      <c r="GE98" s="103"/>
      <c r="GF98" s="103"/>
      <c r="GG98" s="103"/>
      <c r="GH98" s="103"/>
      <c r="GI98" s="103"/>
      <c r="GJ98" s="103"/>
      <c r="GK98" s="103"/>
      <c r="GL98" s="103"/>
      <c r="GM98" s="103"/>
      <c r="GN98" s="103"/>
      <c r="GO98" s="103"/>
      <c r="GP98" s="103"/>
      <c r="GQ98" s="100"/>
      <c r="GR98" s="114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100"/>
      <c r="HM98" s="114"/>
      <c r="HO98" s="12"/>
      <c r="HP98" s="12"/>
      <c r="HQ98" s="12"/>
      <c r="HR98" s="12"/>
      <c r="HS98" s="12"/>
      <c r="HT98" s="12"/>
      <c r="HU98" s="12"/>
      <c r="HV98" s="32"/>
      <c r="HW98" s="100"/>
      <c r="HX98" s="114"/>
      <c r="HZ98" s="12"/>
      <c r="IA98" s="12"/>
      <c r="IB98" s="12"/>
      <c r="IC98" s="12"/>
      <c r="ID98" s="12"/>
      <c r="IE98" s="12"/>
      <c r="IF98" s="12"/>
      <c r="IG98" s="32"/>
      <c r="IH98" s="93"/>
      <c r="II98" s="93"/>
      <c r="IJ98" s="93"/>
      <c r="IK98" s="93"/>
      <c r="IL98" s="93"/>
      <c r="IM98" s="100"/>
      <c r="IN98" s="114"/>
      <c r="IP98" s="12"/>
      <c r="IQ98" s="12"/>
      <c r="IR98" s="12"/>
      <c r="IS98" s="12"/>
      <c r="IT98" s="12"/>
      <c r="IU98" s="12"/>
      <c r="IV98" s="12"/>
      <c r="IW98" s="32"/>
      <c r="IX98" s="93"/>
      <c r="IY98" s="100"/>
      <c r="IZ98" s="114"/>
      <c r="JB98" s="12"/>
      <c r="JC98" s="12"/>
      <c r="JD98" s="12"/>
      <c r="JE98" s="12"/>
      <c r="JF98" s="12"/>
      <c r="JG98" s="12"/>
      <c r="JH98" s="12"/>
      <c r="JI98" s="32"/>
      <c r="JJ98" s="93"/>
      <c r="JK98" s="93"/>
      <c r="JL98" s="93"/>
      <c r="JM98" s="93"/>
      <c r="JN98" s="93"/>
      <c r="JO98" s="93"/>
      <c r="JP98" s="93"/>
      <c r="JQ98" s="93"/>
      <c r="JR98" s="93"/>
      <c r="JS98" s="93"/>
      <c r="JT98" s="93"/>
      <c r="JU98" s="93"/>
      <c r="JV98" s="93"/>
      <c r="JW98" s="93"/>
      <c r="JX98" s="93"/>
      <c r="JY98" s="93"/>
      <c r="JZ98" s="93"/>
      <c r="KA98" s="93"/>
      <c r="KB98" s="93"/>
      <c r="KC98" s="93"/>
      <c r="KD98" s="101"/>
      <c r="KE98" s="100"/>
      <c r="KF98" s="114"/>
      <c r="KH98" s="12"/>
      <c r="KI98" s="12"/>
      <c r="KJ98" s="12"/>
      <c r="KK98" s="12"/>
      <c r="KL98" s="12"/>
      <c r="KM98" s="12"/>
      <c r="KN98" s="12"/>
      <c r="KO98" s="192"/>
      <c r="KP98" s="193"/>
      <c r="KQ98" s="193"/>
      <c r="KR98" s="193"/>
      <c r="KS98" s="100"/>
      <c r="KT98" s="114"/>
      <c r="KV98" s="100"/>
      <c r="KW98" s="100"/>
      <c r="KX98" s="100"/>
      <c r="KY98" s="100"/>
      <c r="KZ98" s="100"/>
      <c r="LA98" s="100"/>
      <c r="LB98" s="100"/>
      <c r="LC98" s="224"/>
      <c r="LD98" s="225"/>
      <c r="LE98" s="225"/>
      <c r="LF98" s="100"/>
      <c r="LG98" s="114"/>
      <c r="LI98" s="100"/>
      <c r="LJ98" s="100"/>
      <c r="LK98" s="100"/>
      <c r="LL98" s="100"/>
      <c r="LM98" s="100"/>
      <c r="LN98" s="100"/>
      <c r="LO98" s="100"/>
      <c r="LP98" s="224"/>
      <c r="LQ98" s="225"/>
      <c r="LR98" s="225"/>
      <c r="LS98" s="225"/>
      <c r="LT98" s="225"/>
      <c r="LU98" s="225"/>
      <c r="LV98" s="225"/>
      <c r="LW98" s="225"/>
      <c r="LX98" s="225"/>
      <c r="LY98" s="225"/>
      <c r="LZ98" s="225"/>
      <c r="MA98" s="225"/>
      <c r="MB98" s="225"/>
      <c r="MC98" s="225"/>
      <c r="MD98" s="225"/>
      <c r="ME98" s="30">
        <f t="shared" si="63"/>
        <v>0</v>
      </c>
      <c r="MF98" s="28">
        <f t="shared" si="64"/>
        <v>0</v>
      </c>
      <c r="MH98" s="653"/>
      <c r="MI98" s="653"/>
      <c r="MJ98" s="653"/>
      <c r="MK98" s="653"/>
      <c r="ML98" s="653"/>
      <c r="MM98" s="653"/>
      <c r="MN98" s="28"/>
      <c r="MO98" s="224"/>
      <c r="MP98" s="225"/>
      <c r="MQ98" s="225"/>
      <c r="MR98" s="225"/>
      <c r="MS98" s="225"/>
      <c r="MT98" s="225"/>
      <c r="MU98" s="225"/>
      <c r="MV98" s="225"/>
      <c r="MW98" s="225"/>
      <c r="MX98" s="225"/>
      <c r="MY98" s="225"/>
      <c r="MZ98" s="225"/>
      <c r="NA98" s="225"/>
      <c r="NB98" s="225"/>
      <c r="NC98" s="225"/>
      <c r="ND98" s="30">
        <f t="shared" si="58"/>
        <v>0</v>
      </c>
      <c r="NE98" s="28">
        <f t="shared" si="65"/>
        <v>0</v>
      </c>
      <c r="NG98" s="653"/>
      <c r="NH98" s="653"/>
      <c r="NI98" s="653"/>
      <c r="NJ98" s="653"/>
      <c r="NK98" s="653"/>
      <c r="NL98" s="653"/>
      <c r="NM98" s="28"/>
      <c r="NN98" s="225"/>
      <c r="NO98" s="225"/>
      <c r="NP98" s="225"/>
      <c r="NQ98" s="225"/>
      <c r="NR98" s="225"/>
      <c r="NS98" s="225"/>
      <c r="NT98" s="225"/>
      <c r="NU98" s="225"/>
      <c r="NV98" s="225"/>
      <c r="NW98" s="225"/>
      <c r="NX98" s="225"/>
      <c r="NY98" s="225"/>
      <c r="NZ98" s="225"/>
      <c r="OA98" s="225"/>
      <c r="OB98" s="225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47"/>
      <c r="B99" s="12"/>
      <c r="C99" s="12"/>
      <c r="D99" s="12"/>
      <c r="E99" s="12"/>
      <c r="F99" s="12"/>
      <c r="G99" s="12"/>
      <c r="H99" s="12"/>
      <c r="I99" s="12"/>
      <c r="J99" s="12"/>
      <c r="K99" s="99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99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99"/>
      <c r="AP99" s="34"/>
      <c r="AQ99" s="19"/>
      <c r="AS99" s="12"/>
      <c r="AT99" s="12"/>
      <c r="AU99" s="12"/>
      <c r="AV99" s="12"/>
      <c r="AW99" s="12"/>
      <c r="AX99" s="12"/>
      <c r="AY99" s="12"/>
      <c r="AZ99" s="99"/>
      <c r="BA99" s="99"/>
      <c r="BB99" s="99"/>
      <c r="BC99" s="99"/>
      <c r="BD99" s="100"/>
      <c r="BE99" s="28"/>
      <c r="BF99" s="25"/>
      <c r="BG99" s="12"/>
      <c r="BH99" s="12"/>
      <c r="BI99" s="12"/>
      <c r="BJ99" s="12"/>
      <c r="BK99" s="12"/>
      <c r="BL99" s="12"/>
      <c r="BM99" s="12"/>
      <c r="BN99" s="99"/>
      <c r="BO99" s="99"/>
      <c r="BP99" s="100"/>
      <c r="BQ99" s="28"/>
      <c r="BR99" s="25"/>
      <c r="BS99" s="89"/>
      <c r="BT99" s="97"/>
      <c r="BU99" s="97"/>
      <c r="BV99" s="97"/>
      <c r="BW99" s="97"/>
      <c r="BX99" s="98"/>
      <c r="BY99" s="12"/>
      <c r="BZ99" s="99"/>
      <c r="CA99" s="99"/>
      <c r="CB99" s="99"/>
      <c r="CC99" s="99"/>
      <c r="CD99" s="99"/>
      <c r="CE99" s="99"/>
      <c r="CF99" s="99"/>
      <c r="CG99" s="99"/>
      <c r="CH99" s="99"/>
      <c r="CI99" s="100"/>
      <c r="CJ99" s="28"/>
      <c r="CL99" s="89"/>
      <c r="CM99" s="97"/>
      <c r="CN99" s="97"/>
      <c r="CO99" s="97"/>
      <c r="CP99" s="97"/>
      <c r="CQ99" s="98"/>
      <c r="CR99" s="12"/>
      <c r="CS99" s="99"/>
      <c r="CT99" s="99"/>
      <c r="CU99" s="99"/>
      <c r="CV99" s="99"/>
      <c r="CW99" s="99"/>
      <c r="CX99" s="99"/>
      <c r="CY99" s="99"/>
      <c r="CZ99" s="101"/>
      <c r="DA99" s="100"/>
      <c r="DB99" s="28"/>
      <c r="DC99" s="33"/>
      <c r="DD99" s="12"/>
      <c r="DE99" s="12"/>
      <c r="DF99" s="12"/>
      <c r="DG99" s="12"/>
      <c r="DH99" s="12"/>
      <c r="DI99" s="12"/>
      <c r="DJ99" s="12"/>
      <c r="DK99" s="101"/>
      <c r="DL99" s="101"/>
      <c r="DM99" s="101"/>
      <c r="DN99" s="101"/>
      <c r="DO99" s="101"/>
      <c r="DP99" s="101"/>
      <c r="DQ99" s="101"/>
      <c r="DR99" s="101"/>
      <c r="DS99" s="101"/>
      <c r="DT99" s="101"/>
      <c r="DU99" s="100"/>
      <c r="DV99" s="28"/>
      <c r="DX99" s="12"/>
      <c r="DY99" s="12"/>
      <c r="DZ99" s="12"/>
      <c r="EA99" s="12"/>
      <c r="EB99" s="12"/>
      <c r="EC99" s="12"/>
      <c r="ED99" s="12"/>
      <c r="EE99" s="101"/>
      <c r="EF99" s="101"/>
      <c r="EG99" s="101"/>
      <c r="EH99" s="101"/>
      <c r="EI99" s="101"/>
      <c r="EJ99" s="101"/>
      <c r="EK99" s="101"/>
      <c r="EL99" s="101"/>
      <c r="EM99" s="101"/>
      <c r="EN99" s="101"/>
      <c r="EO99" s="100"/>
      <c r="EP99" s="28"/>
      <c r="ER99" s="12"/>
      <c r="ES99" s="12"/>
      <c r="ET99" s="12"/>
      <c r="EU99" s="12"/>
      <c r="EV99" s="12"/>
      <c r="EW99" s="12"/>
      <c r="EX99" s="12"/>
      <c r="EY99" s="101"/>
      <c r="EZ99" s="101"/>
      <c r="FA99" s="101"/>
      <c r="FB99" s="101"/>
      <c r="FC99" s="101"/>
      <c r="FD99" s="101"/>
      <c r="FE99" s="101"/>
      <c r="FF99" s="101"/>
      <c r="FG99" s="101"/>
      <c r="FH99" s="101"/>
      <c r="FI99" s="101"/>
      <c r="FJ99" s="101"/>
      <c r="FK99" s="101"/>
      <c r="FL99" s="101"/>
      <c r="FM99" s="101"/>
      <c r="FN99" s="101"/>
      <c r="FO99" s="101"/>
      <c r="FP99" s="101"/>
      <c r="FQ99" s="101"/>
      <c r="FR99" s="101"/>
      <c r="FS99" s="101"/>
      <c r="FT99" s="100"/>
      <c r="FU99" s="114"/>
      <c r="FW99" s="12"/>
      <c r="FX99" s="12"/>
      <c r="FY99" s="12"/>
      <c r="FZ99" s="12"/>
      <c r="GA99" s="12"/>
      <c r="GB99" s="12"/>
      <c r="GC99" s="12"/>
      <c r="GD99" s="103"/>
      <c r="GE99" s="103"/>
      <c r="GF99" s="103"/>
      <c r="GG99" s="103"/>
      <c r="GH99" s="103"/>
      <c r="GI99" s="103"/>
      <c r="GJ99" s="103"/>
      <c r="GK99" s="103"/>
      <c r="GL99" s="103"/>
      <c r="GM99" s="103"/>
      <c r="GN99" s="103"/>
      <c r="GO99" s="103"/>
      <c r="GP99" s="103"/>
      <c r="GQ99" s="100"/>
      <c r="GR99" s="114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100"/>
      <c r="HM99" s="114"/>
      <c r="HO99" s="12"/>
      <c r="HP99" s="12"/>
      <c r="HQ99" s="12"/>
      <c r="HR99" s="12"/>
      <c r="HS99" s="12"/>
      <c r="HT99" s="12"/>
      <c r="HU99" s="12"/>
      <c r="HV99" s="32"/>
      <c r="HW99" s="100"/>
      <c r="HX99" s="114"/>
      <c r="HZ99" s="12"/>
      <c r="IA99" s="12"/>
      <c r="IB99" s="12"/>
      <c r="IC99" s="12"/>
      <c r="ID99" s="12"/>
      <c r="IE99" s="12"/>
      <c r="IF99" s="12"/>
      <c r="IG99" s="32"/>
      <c r="IH99" s="93"/>
      <c r="II99" s="93"/>
      <c r="IJ99" s="93"/>
      <c r="IK99" s="93"/>
      <c r="IL99" s="93"/>
      <c r="IM99" s="100"/>
      <c r="IN99" s="114"/>
      <c r="IP99" s="12"/>
      <c r="IQ99" s="12"/>
      <c r="IR99" s="12"/>
      <c r="IS99" s="12"/>
      <c r="IT99" s="12"/>
      <c r="IU99" s="12"/>
      <c r="IV99" s="12"/>
      <c r="IW99" s="32"/>
      <c r="IX99" s="93"/>
      <c r="IY99" s="100"/>
      <c r="IZ99" s="114"/>
      <c r="JB99" s="12"/>
      <c r="JC99" s="12"/>
      <c r="JD99" s="12"/>
      <c r="JE99" s="12"/>
      <c r="JF99" s="12"/>
      <c r="JG99" s="12"/>
      <c r="JH99" s="12"/>
      <c r="JI99" s="32"/>
      <c r="JJ99" s="93"/>
      <c r="JK99" s="93"/>
      <c r="JL99" s="93"/>
      <c r="JM99" s="93"/>
      <c r="JN99" s="93"/>
      <c r="JO99" s="93"/>
      <c r="JP99" s="93"/>
      <c r="JQ99" s="93"/>
      <c r="JR99" s="93"/>
      <c r="JS99" s="93"/>
      <c r="JT99" s="93"/>
      <c r="JU99" s="93"/>
      <c r="JV99" s="93"/>
      <c r="JW99" s="93"/>
      <c r="JX99" s="93"/>
      <c r="JY99" s="93"/>
      <c r="JZ99" s="93"/>
      <c r="KA99" s="93"/>
      <c r="KB99" s="93"/>
      <c r="KC99" s="93"/>
      <c r="KD99" s="101"/>
      <c r="KE99" s="100"/>
      <c r="KF99" s="114"/>
      <c r="KH99" s="12"/>
      <c r="KI99" s="12"/>
      <c r="KJ99" s="12"/>
      <c r="KK99" s="12"/>
      <c r="KL99" s="12"/>
      <c r="KM99" s="12"/>
      <c r="KN99" s="12"/>
      <c r="KO99" s="192"/>
      <c r="KP99" s="193"/>
      <c r="KQ99" s="193"/>
      <c r="KR99" s="193"/>
      <c r="KS99" s="100"/>
      <c r="KT99" s="114"/>
      <c r="KV99" s="100"/>
      <c r="KW99" s="100"/>
      <c r="KX99" s="100"/>
      <c r="KY99" s="100"/>
      <c r="KZ99" s="100"/>
      <c r="LA99" s="100"/>
      <c r="LB99" s="100"/>
      <c r="LC99" s="224"/>
      <c r="LD99" s="225"/>
      <c r="LE99" s="225"/>
      <c r="LF99" s="100"/>
      <c r="LG99" s="114"/>
      <c r="LI99" s="100"/>
      <c r="LJ99" s="100"/>
      <c r="LK99" s="100"/>
      <c r="LL99" s="100"/>
      <c r="LM99" s="100"/>
      <c r="LN99" s="100"/>
      <c r="LO99" s="100"/>
      <c r="LP99" s="224"/>
      <c r="LQ99" s="225"/>
      <c r="LR99" s="225"/>
      <c r="LS99" s="225"/>
      <c r="LT99" s="225"/>
      <c r="LU99" s="225"/>
      <c r="LV99" s="225"/>
      <c r="LW99" s="225"/>
      <c r="LX99" s="225"/>
      <c r="LY99" s="225"/>
      <c r="LZ99" s="225"/>
      <c r="MA99" s="225"/>
      <c r="MB99" s="225"/>
      <c r="MC99" s="225"/>
      <c r="MD99" s="225"/>
      <c r="ME99" s="30">
        <f t="shared" si="63"/>
        <v>0</v>
      </c>
      <c r="MF99" s="28">
        <f t="shared" si="64"/>
        <v>0</v>
      </c>
      <c r="MH99" s="654"/>
      <c r="MI99" s="654"/>
      <c r="MJ99" s="654"/>
      <c r="MK99" s="654"/>
      <c r="ML99" s="654"/>
      <c r="MM99" s="654"/>
      <c r="MN99" s="15"/>
      <c r="MO99" s="226"/>
      <c r="MP99" s="222"/>
      <c r="MQ99" s="222"/>
      <c r="MR99" s="222"/>
      <c r="MS99" s="222"/>
      <c r="MT99" s="222"/>
      <c r="MU99" s="222"/>
      <c r="MV99" s="222"/>
      <c r="MW99" s="222"/>
      <c r="MX99" s="222"/>
      <c r="MY99" s="222"/>
      <c r="MZ99" s="222"/>
      <c r="NA99" s="222"/>
      <c r="NB99" s="222"/>
      <c r="NC99" s="222"/>
      <c r="ND99" s="30">
        <f t="shared" si="58"/>
        <v>0</v>
      </c>
      <c r="NE99" s="28">
        <f t="shared" si="65"/>
        <v>0</v>
      </c>
      <c r="NG99" s="654"/>
      <c r="NH99" s="654"/>
      <c r="NI99" s="654"/>
      <c r="NJ99" s="654"/>
      <c r="NK99" s="654"/>
      <c r="NL99" s="654"/>
      <c r="NM99" s="15"/>
      <c r="NN99" s="222"/>
      <c r="NO99" s="222"/>
      <c r="NP99" s="222"/>
      <c r="NQ99" s="222"/>
      <c r="NR99" s="222"/>
      <c r="NS99" s="222"/>
      <c r="NT99" s="222"/>
      <c r="NU99" s="222"/>
      <c r="NV99" s="222"/>
      <c r="NW99" s="222"/>
      <c r="NX99" s="222"/>
      <c r="NY99" s="222"/>
      <c r="NZ99" s="222"/>
      <c r="OA99" s="222"/>
      <c r="OB99" s="222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47"/>
      <c r="B100" s="12"/>
      <c r="C100" s="12"/>
      <c r="D100" s="12"/>
      <c r="E100" s="12"/>
      <c r="F100" s="12"/>
      <c r="G100" s="12"/>
      <c r="H100" s="12"/>
      <c r="I100" s="12"/>
      <c r="J100" s="12"/>
      <c r="K100" s="99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99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99"/>
      <c r="AP100" s="34"/>
      <c r="AQ100" s="19"/>
      <c r="AS100" s="12"/>
      <c r="AT100" s="12"/>
      <c r="AU100" s="12"/>
      <c r="AV100" s="12"/>
      <c r="AW100" s="12"/>
      <c r="AX100" s="12"/>
      <c r="AY100" s="12"/>
      <c r="AZ100" s="99"/>
      <c r="BA100" s="99"/>
      <c r="BB100" s="99"/>
      <c r="BC100" s="99"/>
      <c r="BD100" s="100"/>
      <c r="BE100" s="28"/>
      <c r="BF100" s="25"/>
      <c r="BG100" s="12"/>
      <c r="BH100" s="12"/>
      <c r="BI100" s="12"/>
      <c r="BJ100" s="12"/>
      <c r="BK100" s="12"/>
      <c r="BL100" s="12"/>
      <c r="BM100" s="12"/>
      <c r="BN100" s="99"/>
      <c r="BO100" s="99"/>
      <c r="BP100" s="100"/>
      <c r="BQ100" s="28"/>
      <c r="BR100" s="25"/>
      <c r="BS100" s="89"/>
      <c r="BT100" s="97"/>
      <c r="BU100" s="97"/>
      <c r="BV100" s="97"/>
      <c r="BW100" s="97"/>
      <c r="BX100" s="98"/>
      <c r="BY100" s="12"/>
      <c r="BZ100" s="99"/>
      <c r="CA100" s="99"/>
      <c r="CB100" s="99"/>
      <c r="CC100" s="99"/>
      <c r="CD100" s="99"/>
      <c r="CE100" s="99"/>
      <c r="CF100" s="99"/>
      <c r="CG100" s="99"/>
      <c r="CH100" s="99"/>
      <c r="CI100" s="100"/>
      <c r="CJ100" s="28"/>
      <c r="CL100" s="89"/>
      <c r="CM100" s="97"/>
      <c r="CN100" s="97"/>
      <c r="CO100" s="97"/>
      <c r="CP100" s="97"/>
      <c r="CQ100" s="98"/>
      <c r="CR100" s="12"/>
      <c r="CS100" s="99"/>
      <c r="CT100" s="99"/>
      <c r="CU100" s="99"/>
      <c r="CV100" s="99"/>
      <c r="CW100" s="99"/>
      <c r="CX100" s="99"/>
      <c r="CY100" s="99"/>
      <c r="CZ100" s="101"/>
      <c r="DA100" s="100"/>
      <c r="DB100" s="28"/>
      <c r="DC100" s="33"/>
      <c r="DD100" s="12"/>
      <c r="DE100" s="12"/>
      <c r="DF100" s="12"/>
      <c r="DG100" s="12"/>
      <c r="DH100" s="12"/>
      <c r="DI100" s="12"/>
      <c r="DJ100" s="12"/>
      <c r="DK100" s="101"/>
      <c r="DL100" s="101"/>
      <c r="DM100" s="101"/>
      <c r="DN100" s="101"/>
      <c r="DO100" s="101"/>
      <c r="DP100" s="101"/>
      <c r="DQ100" s="101"/>
      <c r="DR100" s="101"/>
      <c r="DS100" s="101"/>
      <c r="DT100" s="101"/>
      <c r="DU100" s="100"/>
      <c r="DV100" s="28"/>
      <c r="DX100" s="12"/>
      <c r="DY100" s="12"/>
      <c r="DZ100" s="12"/>
      <c r="EA100" s="12"/>
      <c r="EB100" s="12"/>
      <c r="EC100" s="12"/>
      <c r="ED100" s="12"/>
      <c r="EE100" s="101"/>
      <c r="EF100" s="101"/>
      <c r="EG100" s="101"/>
      <c r="EH100" s="101"/>
      <c r="EI100" s="101"/>
      <c r="EJ100" s="101"/>
      <c r="EK100" s="101"/>
      <c r="EL100" s="101"/>
      <c r="EM100" s="101"/>
      <c r="EN100" s="101"/>
      <c r="EO100" s="100"/>
      <c r="EP100" s="28"/>
      <c r="ER100" s="12"/>
      <c r="ES100" s="12"/>
      <c r="ET100" s="12"/>
      <c r="EU100" s="12"/>
      <c r="EV100" s="12"/>
      <c r="EW100" s="12"/>
      <c r="EX100" s="12"/>
      <c r="EY100" s="101"/>
      <c r="EZ100" s="101"/>
      <c r="FA100" s="101"/>
      <c r="FB100" s="101"/>
      <c r="FC100" s="101"/>
      <c r="FD100" s="101"/>
      <c r="FE100" s="101"/>
      <c r="FF100" s="101"/>
      <c r="FG100" s="101"/>
      <c r="FH100" s="101"/>
      <c r="FI100" s="101"/>
      <c r="FJ100" s="101"/>
      <c r="FK100" s="101"/>
      <c r="FL100" s="101"/>
      <c r="FM100" s="101"/>
      <c r="FN100" s="101"/>
      <c r="FO100" s="101"/>
      <c r="FP100" s="101"/>
      <c r="FQ100" s="101"/>
      <c r="FR100" s="101"/>
      <c r="FS100" s="101"/>
      <c r="FT100" s="100"/>
      <c r="FU100" s="114"/>
      <c r="FW100" s="12"/>
      <c r="FX100" s="12"/>
      <c r="FY100" s="12"/>
      <c r="FZ100" s="12"/>
      <c r="GA100" s="12"/>
      <c r="GB100" s="12"/>
      <c r="GC100" s="12"/>
      <c r="GD100" s="103"/>
      <c r="GE100" s="103"/>
      <c r="GF100" s="103"/>
      <c r="GG100" s="103"/>
      <c r="GH100" s="103"/>
      <c r="GI100" s="103"/>
      <c r="GJ100" s="103"/>
      <c r="GK100" s="103"/>
      <c r="GL100" s="103"/>
      <c r="GM100" s="103"/>
      <c r="GN100" s="103"/>
      <c r="GO100" s="103"/>
      <c r="GP100" s="103"/>
      <c r="GQ100" s="100"/>
      <c r="GR100" s="114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100"/>
      <c r="HM100" s="114"/>
      <c r="HO100" s="12"/>
      <c r="HP100" s="12"/>
      <c r="HQ100" s="12"/>
      <c r="HR100" s="12"/>
      <c r="HS100" s="12"/>
      <c r="HT100" s="12"/>
      <c r="HU100" s="12"/>
      <c r="HV100" s="32"/>
      <c r="HW100" s="100"/>
      <c r="HX100" s="114"/>
      <c r="HZ100" s="12"/>
      <c r="IA100" s="12"/>
      <c r="IB100" s="12"/>
      <c r="IC100" s="12"/>
      <c r="ID100" s="12"/>
      <c r="IE100" s="12"/>
      <c r="IF100" s="12"/>
      <c r="IG100" s="32"/>
      <c r="IH100" s="93"/>
      <c r="II100" s="93"/>
      <c r="IJ100" s="93"/>
      <c r="IK100" s="93"/>
      <c r="IL100" s="93"/>
      <c r="IM100" s="100"/>
      <c r="IN100" s="114"/>
      <c r="IP100" s="12"/>
      <c r="IQ100" s="12"/>
      <c r="IR100" s="12"/>
      <c r="IS100" s="12"/>
      <c r="IT100" s="12"/>
      <c r="IU100" s="12"/>
      <c r="IV100" s="12"/>
      <c r="IW100" s="32"/>
      <c r="IX100" s="93"/>
      <c r="IY100" s="100"/>
      <c r="IZ100" s="114"/>
      <c r="JB100" s="12"/>
      <c r="JC100" s="12"/>
      <c r="JD100" s="12"/>
      <c r="JE100" s="12"/>
      <c r="JF100" s="12"/>
      <c r="JG100" s="12"/>
      <c r="JH100" s="12"/>
      <c r="JI100" s="32"/>
      <c r="JJ100" s="93"/>
      <c r="JK100" s="93"/>
      <c r="JL100" s="93"/>
      <c r="JM100" s="93"/>
      <c r="JN100" s="93"/>
      <c r="JO100" s="93"/>
      <c r="JP100" s="93"/>
      <c r="JQ100" s="93"/>
      <c r="JR100" s="93"/>
      <c r="JS100" s="93"/>
      <c r="JT100" s="93"/>
      <c r="JU100" s="93"/>
      <c r="JV100" s="93"/>
      <c r="JW100" s="93"/>
      <c r="JX100" s="93"/>
      <c r="JY100" s="93"/>
      <c r="JZ100" s="93"/>
      <c r="KA100" s="93"/>
      <c r="KB100" s="93"/>
      <c r="KC100" s="93"/>
      <c r="KD100" s="101"/>
      <c r="KE100" s="100"/>
      <c r="KF100" s="114"/>
      <c r="KH100" s="12"/>
      <c r="KI100" s="12"/>
      <c r="KJ100" s="12"/>
      <c r="KK100" s="12"/>
      <c r="KL100" s="12"/>
      <c r="KM100" s="12"/>
      <c r="KN100" s="12"/>
      <c r="KO100" s="192"/>
      <c r="KP100" s="193"/>
      <c r="KQ100" s="193"/>
      <c r="KR100" s="193"/>
      <c r="KS100" s="100"/>
      <c r="KT100" s="114"/>
      <c r="KV100" s="100"/>
      <c r="KW100" s="100"/>
      <c r="KX100" s="100"/>
      <c r="KY100" s="100"/>
      <c r="KZ100" s="100"/>
      <c r="LA100" s="100"/>
      <c r="LB100" s="100"/>
      <c r="LC100" s="224"/>
      <c r="LD100" s="225"/>
      <c r="LE100" s="225"/>
      <c r="LF100" s="100"/>
      <c r="LG100" s="114"/>
      <c r="LI100" s="100"/>
      <c r="LJ100" s="100"/>
      <c r="LK100" s="100"/>
      <c r="LL100" s="100"/>
      <c r="LM100" s="100"/>
      <c r="LN100" s="100"/>
      <c r="LO100" s="100"/>
      <c r="LP100" s="224"/>
      <c r="LQ100" s="225"/>
      <c r="LR100" s="225"/>
      <c r="LS100" s="225"/>
      <c r="LT100" s="225"/>
      <c r="LU100" s="225"/>
      <c r="LV100" s="225"/>
      <c r="LW100" s="225"/>
      <c r="LX100" s="225"/>
      <c r="LY100" s="225"/>
      <c r="LZ100" s="225"/>
      <c r="MA100" s="225"/>
      <c r="MB100" s="225"/>
      <c r="MC100" s="225"/>
      <c r="MD100" s="225"/>
      <c r="ME100" s="30">
        <f t="shared" si="63"/>
        <v>0</v>
      </c>
      <c r="MF100" s="28">
        <f t="shared" si="64"/>
        <v>0</v>
      </c>
      <c r="MH100" s="653"/>
      <c r="MI100" s="653"/>
      <c r="MJ100" s="653"/>
      <c r="MK100" s="653"/>
      <c r="ML100" s="653"/>
      <c r="MM100" s="653"/>
      <c r="MN100" s="28"/>
      <c r="MO100" s="224"/>
      <c r="MP100" s="225"/>
      <c r="MQ100" s="225"/>
      <c r="MR100" s="225"/>
      <c r="MS100" s="225"/>
      <c r="MT100" s="225"/>
      <c r="MU100" s="225"/>
      <c r="MV100" s="225"/>
      <c r="MW100" s="225"/>
      <c r="MX100" s="225"/>
      <c r="MY100" s="225"/>
      <c r="MZ100" s="225"/>
      <c r="NA100" s="225"/>
      <c r="NB100" s="225"/>
      <c r="NC100" s="225"/>
      <c r="ND100" s="30">
        <f>SUM(MO100:NC100)</f>
        <v>0</v>
      </c>
      <c r="NE100" s="28">
        <f>ND100*MN100</f>
        <v>0</v>
      </c>
      <c r="NG100" s="653"/>
      <c r="NH100" s="653"/>
      <c r="NI100" s="653"/>
      <c r="NJ100" s="653"/>
      <c r="NK100" s="653"/>
      <c r="NL100" s="653"/>
      <c r="NM100" s="28"/>
      <c r="NN100" s="225"/>
      <c r="NO100" s="225"/>
      <c r="NP100" s="225"/>
      <c r="NQ100" s="225"/>
      <c r="NR100" s="225"/>
      <c r="NS100" s="225"/>
      <c r="NT100" s="225"/>
      <c r="NU100" s="225"/>
      <c r="NV100" s="225"/>
      <c r="NW100" s="225"/>
      <c r="NX100" s="225"/>
      <c r="NY100" s="225"/>
      <c r="NZ100" s="225"/>
      <c r="OA100" s="225"/>
      <c r="OB100" s="225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47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150"/>
      <c r="AB101" s="150"/>
      <c r="AC101" s="150"/>
      <c r="AD101" s="150"/>
      <c r="AE101" s="150"/>
      <c r="AF101" s="150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729" t="s">
        <v>64</v>
      </c>
      <c r="BT101" s="729"/>
      <c r="BU101" s="729"/>
      <c r="BV101" s="729"/>
      <c r="BW101" s="729"/>
      <c r="BX101" s="729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729" t="s">
        <v>66</v>
      </c>
      <c r="CM101" s="729"/>
      <c r="CN101" s="729"/>
      <c r="CO101" s="729"/>
      <c r="CP101" s="729"/>
      <c r="CQ101" s="729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80">
        <f>SUM(FU8:FU71)</f>
        <v>8611.5</v>
      </c>
      <c r="FW101" s="8"/>
      <c r="GQ101" s="14"/>
      <c r="GR101" s="80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80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80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80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80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103"/>
      <c r="KE101" s="14"/>
      <c r="KF101" s="80">
        <f>SUM(KF8:KF75)-KC102</f>
        <v>15110</v>
      </c>
      <c r="KH101" s="698" t="s">
        <v>72</v>
      </c>
      <c r="KI101" s="699"/>
      <c r="KJ101" s="699"/>
      <c r="KK101" s="699"/>
      <c r="KL101" s="699"/>
      <c r="KM101" s="700"/>
      <c r="KO101" s="184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184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184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184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80">
        <f>SUM(KT8:KT75)-SUM(KO102:KR102)</f>
        <v>5276</v>
      </c>
      <c r="KV101" s="698" t="s">
        <v>72</v>
      </c>
      <c r="KW101" s="699"/>
      <c r="KX101" s="699"/>
      <c r="KY101" s="699"/>
      <c r="KZ101" s="699"/>
      <c r="LA101" s="700"/>
      <c r="LC101" s="184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184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184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80">
        <f>SUM(LG8:LG90)-SUM(LC102:LE102)</f>
        <v>4055.91</v>
      </c>
      <c r="LI101" s="698" t="s">
        <v>72</v>
      </c>
      <c r="LJ101" s="699"/>
      <c r="LK101" s="699"/>
      <c r="LL101" s="699"/>
      <c r="LM101" s="699"/>
      <c r="LN101" s="700"/>
      <c r="LP101" s="184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184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184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184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184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184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184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184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184">
        <f t="shared" si="69"/>
        <v>0</v>
      </c>
      <c r="LY101" s="184">
        <f t="shared" si="69"/>
        <v>7913</v>
      </c>
      <c r="LZ101" s="184">
        <f t="shared" si="69"/>
        <v>5650</v>
      </c>
      <c r="MA101" s="184">
        <f t="shared" si="69"/>
        <v>1113.5</v>
      </c>
      <c r="MB101" s="184">
        <f t="shared" si="69"/>
        <v>1859</v>
      </c>
      <c r="MC101" s="184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184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80">
        <f>SUM(MF8:MF100)-SUM(LP102:LS102)</f>
        <v>33025</v>
      </c>
      <c r="MH101" s="656" t="s">
        <v>72</v>
      </c>
      <c r="MI101" s="657"/>
      <c r="MJ101" s="657"/>
      <c r="MK101" s="657"/>
      <c r="ML101" s="657"/>
      <c r="MM101" s="658"/>
      <c r="MO101" s="184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184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184">
        <f t="shared" si="70"/>
        <v>1722</v>
      </c>
      <c r="MR101" s="184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184">
        <f t="shared" si="70"/>
        <v>1231</v>
      </c>
      <c r="MT101" s="184">
        <f t="shared" si="70"/>
        <v>3675</v>
      </c>
      <c r="MU101" s="184">
        <f t="shared" si="70"/>
        <v>0</v>
      </c>
      <c r="MV101" s="184">
        <f t="shared" si="70"/>
        <v>1444</v>
      </c>
      <c r="MW101" s="184">
        <f t="shared" si="70"/>
        <v>1808</v>
      </c>
      <c r="MX101" s="184">
        <f t="shared" si="70"/>
        <v>652</v>
      </c>
      <c r="MY101" s="184">
        <f t="shared" si="70"/>
        <v>2114</v>
      </c>
      <c r="MZ101" s="184">
        <f t="shared" si="70"/>
        <v>1508</v>
      </c>
      <c r="NA101" s="184">
        <f t="shared" si="70"/>
        <v>3349</v>
      </c>
      <c r="NB101" s="184">
        <f t="shared" si="70"/>
        <v>0</v>
      </c>
      <c r="NC101" s="184">
        <f t="shared" si="70"/>
        <v>4627</v>
      </c>
      <c r="ND101" s="14"/>
      <c r="NE101" s="80">
        <f>SUM(NE8:NE100)-SUM(MO102:MR102)</f>
        <v>26612.799999999999</v>
      </c>
      <c r="NG101" s="656" t="s">
        <v>72</v>
      </c>
      <c r="NH101" s="657"/>
      <c r="NI101" s="657"/>
      <c r="NJ101" s="657"/>
      <c r="NK101" s="657"/>
      <c r="NL101" s="658"/>
      <c r="NN101" s="184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184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184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184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184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184">
        <f t="shared" si="71"/>
        <v>317</v>
      </c>
      <c r="NT101" s="184">
        <f t="shared" si="71"/>
        <v>1233</v>
      </c>
      <c r="NU101" s="184">
        <f t="shared" si="71"/>
        <v>564</v>
      </c>
      <c r="NV101" s="184">
        <f t="shared" si="71"/>
        <v>0</v>
      </c>
      <c r="NW101" s="184">
        <f t="shared" si="71"/>
        <v>0</v>
      </c>
      <c r="NX101" s="184">
        <f t="shared" si="71"/>
        <v>0</v>
      </c>
      <c r="NY101" s="184">
        <f t="shared" si="71"/>
        <v>0</v>
      </c>
      <c r="NZ101" s="184">
        <f t="shared" si="71"/>
        <v>0</v>
      </c>
      <c r="OA101" s="184">
        <f t="shared" si="71"/>
        <v>0</v>
      </c>
      <c r="OB101" s="184">
        <f t="shared" si="71"/>
        <v>0</v>
      </c>
      <c r="OC101" s="14"/>
      <c r="OD101" s="80">
        <f>SUM(OD8:OD100)-SUM(NN102:NQ102)</f>
        <v>17921.5</v>
      </c>
    </row>
    <row r="102" spans="1:394" ht="14.45" customHeight="1" thickBot="1" x14ac:dyDescent="0.3">
      <c r="A102" s="47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729" t="s">
        <v>68</v>
      </c>
      <c r="CM102" s="729"/>
      <c r="CN102" s="729"/>
      <c r="CO102" s="729"/>
      <c r="CP102" s="729"/>
      <c r="CQ102" s="729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152" t="s">
        <v>217</v>
      </c>
      <c r="II102" s="94"/>
      <c r="IJ102" s="94"/>
      <c r="IK102" s="94"/>
      <c r="IL102" s="152" t="s">
        <v>222</v>
      </c>
      <c r="KC102">
        <v>6</v>
      </c>
      <c r="KF102" s="212">
        <f>SUM(JI102:KD102)</f>
        <v>6</v>
      </c>
      <c r="KH102" s="659" t="s">
        <v>243</v>
      </c>
      <c r="KI102" s="660"/>
      <c r="KJ102" s="660"/>
      <c r="KK102" s="660"/>
      <c r="KL102" s="660"/>
      <c r="KM102" s="661"/>
      <c r="KN102" s="185"/>
      <c r="KO102" s="1">
        <v>44</v>
      </c>
      <c r="KP102" s="1"/>
      <c r="KQ102" s="1"/>
      <c r="KR102" s="1">
        <v>2</v>
      </c>
      <c r="KT102" s="212">
        <f>SUM(KO102:KR102)</f>
        <v>46</v>
      </c>
      <c r="KV102" s="659" t="s">
        <v>243</v>
      </c>
      <c r="KW102" s="660"/>
      <c r="KX102" s="660"/>
      <c r="KY102" s="660"/>
      <c r="KZ102" s="660"/>
      <c r="LA102" s="661"/>
      <c r="LB102" s="185"/>
      <c r="LC102" s="1">
        <v>37.090000000000003</v>
      </c>
      <c r="LD102" s="1">
        <v>1</v>
      </c>
      <c r="LE102" s="1">
        <v>1</v>
      </c>
      <c r="LG102" s="212">
        <f>SUM(LC102:LE102)</f>
        <v>39.090000000000003</v>
      </c>
      <c r="LI102" s="659" t="s">
        <v>243</v>
      </c>
      <c r="LJ102" s="660"/>
      <c r="LK102" s="660"/>
      <c r="LL102" s="660"/>
      <c r="LM102" s="660"/>
      <c r="LN102" s="661"/>
      <c r="LO102" s="185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212">
        <f>SUM(LP102:MC102)</f>
        <v>79.5</v>
      </c>
      <c r="MH102" s="659" t="s">
        <v>243</v>
      </c>
      <c r="MI102" s="660"/>
      <c r="MJ102" s="660"/>
      <c r="MK102" s="660"/>
      <c r="ML102" s="660"/>
      <c r="MM102" s="661"/>
      <c r="MN102" s="185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212">
        <f>SUM(MO102:NB102)</f>
        <v>51.2</v>
      </c>
      <c r="NG102" s="659" t="s">
        <v>243</v>
      </c>
      <c r="NH102" s="660"/>
      <c r="NI102" s="660"/>
      <c r="NJ102" s="660"/>
      <c r="NK102" s="660"/>
      <c r="NL102" s="661"/>
      <c r="NM102" s="185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212">
        <f>SUM(NN102:OA102)</f>
        <v>-17.5</v>
      </c>
    </row>
    <row r="103" spans="1:394" ht="14.45" customHeight="1" x14ac:dyDescent="0.25">
      <c r="A103" s="716" t="s">
        <v>84</v>
      </c>
      <c r="B103" s="716"/>
      <c r="C103" s="716"/>
      <c r="D103" s="716"/>
      <c r="E103" s="716"/>
      <c r="F103" s="716"/>
      <c r="G103" s="716"/>
      <c r="H103" s="716"/>
      <c r="I103" s="716"/>
      <c r="J103" s="716"/>
      <c r="K103" s="716"/>
      <c r="L103" s="716"/>
      <c r="M103" s="716"/>
      <c r="N103" s="716"/>
      <c r="O103" s="716"/>
      <c r="P103" s="716"/>
      <c r="Q103" s="716"/>
      <c r="R103" s="716"/>
      <c r="S103" s="716"/>
      <c r="T103" s="716"/>
      <c r="U103" s="716"/>
      <c r="V103" s="716"/>
      <c r="W103" s="716"/>
      <c r="X103" s="716"/>
      <c r="Y103" s="716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694"/>
      <c r="FX103" s="694"/>
      <c r="FY103" s="694"/>
      <c r="FZ103" s="694"/>
      <c r="GA103" s="694"/>
      <c r="GB103" s="694"/>
      <c r="IH103" s="94"/>
      <c r="II103" s="94"/>
      <c r="IJ103" s="94"/>
      <c r="IK103" s="94"/>
      <c r="IL103" s="94"/>
    </row>
    <row r="104" spans="1:394" ht="14.45" customHeight="1" x14ac:dyDescent="0.25">
      <c r="A104" s="716"/>
      <c r="B104" s="716"/>
      <c r="C104" s="716"/>
      <c r="D104" s="716"/>
      <c r="E104" s="716"/>
      <c r="F104" s="716"/>
      <c r="G104" s="716"/>
      <c r="H104" s="716"/>
      <c r="I104" s="716"/>
      <c r="J104" s="716"/>
      <c r="K104" s="716"/>
      <c r="L104" s="716"/>
      <c r="M104" s="716"/>
      <c r="N104" s="716"/>
      <c r="O104" s="716"/>
      <c r="P104" s="716"/>
      <c r="Q104" s="716"/>
      <c r="R104" s="716"/>
      <c r="S104" s="716"/>
      <c r="T104" s="716"/>
      <c r="U104" s="716"/>
      <c r="V104" s="716"/>
      <c r="W104" s="716"/>
      <c r="X104" s="716"/>
      <c r="Y104" s="716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694"/>
      <c r="FX104" s="694"/>
      <c r="FY104" s="694"/>
      <c r="FZ104" s="694"/>
      <c r="GA104" s="694"/>
      <c r="GB104" s="694"/>
      <c r="IH104" s="94"/>
      <c r="II104" s="94"/>
      <c r="IJ104" s="94"/>
      <c r="IK104" s="94"/>
      <c r="IL104" s="94"/>
    </row>
    <row r="105" spans="1:394" ht="14.45" customHeight="1" x14ac:dyDescent="0.25">
      <c r="A105" s="716"/>
      <c r="B105" s="716"/>
      <c r="C105" s="716"/>
      <c r="D105" s="716"/>
      <c r="E105" s="716"/>
      <c r="F105" s="716"/>
      <c r="G105" s="716"/>
      <c r="H105" s="716"/>
      <c r="I105" s="716"/>
      <c r="J105" s="716"/>
      <c r="K105" s="716"/>
      <c r="L105" s="716"/>
      <c r="M105" s="716"/>
      <c r="N105" s="716"/>
      <c r="O105" s="716"/>
      <c r="P105" s="716"/>
      <c r="Q105" s="716"/>
      <c r="R105" s="716"/>
      <c r="S105" s="716"/>
      <c r="T105" s="716"/>
      <c r="U105" s="716"/>
      <c r="V105" s="716"/>
      <c r="W105" s="716"/>
      <c r="X105" s="716"/>
      <c r="Y105" s="71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694"/>
      <c r="FX105" s="694"/>
      <c r="FY105" s="694"/>
      <c r="FZ105" s="694"/>
      <c r="GA105" s="694"/>
      <c r="GB105" s="694"/>
      <c r="IH105" s="94"/>
      <c r="II105" s="94"/>
      <c r="IJ105" s="94"/>
      <c r="IK105" s="94"/>
      <c r="IL105" s="94"/>
    </row>
    <row r="106" spans="1:394" ht="14.45" customHeight="1" thickBot="1" x14ac:dyDescent="0.3">
      <c r="A106" s="48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694"/>
      <c r="FX106" s="694"/>
      <c r="FY106" s="694"/>
      <c r="FZ106" s="694"/>
      <c r="GA106" s="694"/>
      <c r="GB106" s="694"/>
      <c r="IH106" s="94"/>
      <c r="II106" s="94"/>
      <c r="IJ106" s="94"/>
      <c r="IK106" s="94"/>
      <c r="IL106" s="94"/>
    </row>
    <row r="107" spans="1:394" ht="14.45" customHeight="1" x14ac:dyDescent="0.25">
      <c r="A107" s="44"/>
      <c r="B107" s="9"/>
      <c r="C107" s="745" t="s">
        <v>2</v>
      </c>
      <c r="D107" s="746"/>
      <c r="E107" s="746"/>
      <c r="F107" s="746"/>
      <c r="G107" s="746"/>
      <c r="H107" s="747"/>
      <c r="I107" s="644" t="s">
        <v>73</v>
      </c>
      <c r="J107" s="645"/>
      <c r="K107" s="645"/>
      <c r="L107" s="730"/>
      <c r="M107" s="713" t="s">
        <v>74</v>
      </c>
      <c r="N107" s="645"/>
      <c r="O107" s="645"/>
      <c r="P107" s="646"/>
      <c r="Q107" s="713" t="s">
        <v>96</v>
      </c>
      <c r="R107" s="645"/>
      <c r="S107" s="645"/>
      <c r="T107" s="646"/>
      <c r="U107" s="713" t="s">
        <v>181</v>
      </c>
      <c r="V107" s="645"/>
      <c r="W107" s="645"/>
      <c r="X107" s="646"/>
      <c r="Y107" s="644" t="s">
        <v>264</v>
      </c>
      <c r="Z107" s="645"/>
      <c r="AA107" s="645"/>
      <c r="AB107" s="645"/>
      <c r="AC107" s="645" t="s">
        <v>265</v>
      </c>
      <c r="AD107" s="645"/>
      <c r="AE107" s="645"/>
      <c r="AF107" s="645"/>
      <c r="AG107" s="645"/>
      <c r="AH107" s="645"/>
      <c r="AI107" s="645"/>
      <c r="AJ107" s="644" t="s">
        <v>288</v>
      </c>
      <c r="AK107" s="645"/>
      <c r="AL107" s="645"/>
      <c r="AM107" s="646"/>
      <c r="AN107" s="696" t="s">
        <v>72</v>
      </c>
      <c r="AO107" s="697"/>
      <c r="AP107" s="697"/>
      <c r="AQ107" s="697"/>
      <c r="AR107" s="221"/>
      <c r="AS107" s="221"/>
      <c r="AT107" s="221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94"/>
      <c r="IU107" s="94"/>
      <c r="IV107" s="94"/>
      <c r="IW107" s="94"/>
      <c r="IX107" s="94"/>
    </row>
    <row r="108" spans="1:394" ht="14.45" customHeight="1" x14ac:dyDescent="0.25">
      <c r="A108" s="44"/>
      <c r="B108" s="9"/>
      <c r="C108" s="654" t="s">
        <v>55</v>
      </c>
      <c r="D108" s="654"/>
      <c r="E108" s="654"/>
      <c r="F108" s="654"/>
      <c r="G108" s="654"/>
      <c r="H108" s="647"/>
      <c r="I108" s="709">
        <f t="shared" ref="I108:I139" si="72">M8+Y8+AP8+BD8</f>
        <v>0</v>
      </c>
      <c r="J108" s="702"/>
      <c r="K108" s="636">
        <f t="shared" ref="K108:K139" si="73">N8+Z8+AQ8+BE8</f>
        <v>0</v>
      </c>
      <c r="L108" s="703"/>
      <c r="M108" s="702">
        <f t="shared" ref="M108:M139" si="74">BP8+CI8+DA8+DU8</f>
        <v>26</v>
      </c>
      <c r="N108" s="702"/>
      <c r="O108" s="636">
        <f t="shared" ref="O108:O139" si="75">BQ8+CJ8+DB8+DV8</f>
        <v>194</v>
      </c>
      <c r="P108" s="637"/>
      <c r="Q108" s="702">
        <f t="shared" ref="Q108:Q139" si="76">EO8+FT8</f>
        <v>5</v>
      </c>
      <c r="R108" s="702"/>
      <c r="S108" s="636">
        <f t="shared" ref="S108:S139" si="77">EP8+FU8</f>
        <v>37.5</v>
      </c>
      <c r="T108" s="637"/>
      <c r="U108" s="702">
        <f t="shared" ref="U108:U139" si="78">GQ8+HL8+HW8+IM8</f>
        <v>6</v>
      </c>
      <c r="V108" s="702"/>
      <c r="W108" s="704">
        <f t="shared" ref="W108:W139" si="79">GR8+HM8+HX8+IN8</f>
        <v>47</v>
      </c>
      <c r="X108" s="704"/>
      <c r="Y108" s="711">
        <f t="shared" ref="Y108:Y139" si="80">IY8+KE8+KS8+LF8</f>
        <v>27</v>
      </c>
      <c r="Z108" s="701"/>
      <c r="AA108" s="636">
        <f t="shared" ref="AA108:AA139" si="81">IZ8+KF8+KT8+LG8</f>
        <v>216</v>
      </c>
      <c r="AB108" s="708"/>
      <c r="AC108" s="710">
        <f t="shared" ref="AC108:AC139" si="82">ME8+ND8</f>
        <v>29</v>
      </c>
      <c r="AD108" s="710"/>
      <c r="AE108" s="710"/>
      <c r="AF108" s="710"/>
      <c r="AG108" s="710"/>
      <c r="AH108" s="704">
        <f t="shared" ref="AH108:AH139" si="83">MF8+NE8</f>
        <v>232</v>
      </c>
      <c r="AI108" s="636"/>
      <c r="AJ108" s="634">
        <f>OC8</f>
        <v>26</v>
      </c>
      <c r="AK108" s="635"/>
      <c r="AL108" s="636">
        <f>OD8</f>
        <v>208</v>
      </c>
      <c r="AM108" s="637"/>
      <c r="AN108" s="692">
        <f>I108+M108+Q108+U108+Y108+AC108+AJ108</f>
        <v>119</v>
      </c>
      <c r="AO108" s="693"/>
      <c r="AP108" s="695">
        <f>K108+O108+S108+W108+AA108+AH108+AL108</f>
        <v>934.5</v>
      </c>
      <c r="AQ108" s="695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94"/>
      <c r="IR108" s="94"/>
      <c r="IS108" s="94"/>
      <c r="IT108" s="94"/>
      <c r="IU108" s="94"/>
    </row>
    <row r="109" spans="1:394" ht="14.45" customHeight="1" x14ac:dyDescent="0.25">
      <c r="A109" s="44"/>
      <c r="B109" s="9"/>
      <c r="C109" s="654" t="s">
        <v>4</v>
      </c>
      <c r="D109" s="654"/>
      <c r="E109" s="654"/>
      <c r="F109" s="654"/>
      <c r="G109" s="654"/>
      <c r="H109" s="647"/>
      <c r="I109" s="709">
        <f t="shared" si="72"/>
        <v>33</v>
      </c>
      <c r="J109" s="702"/>
      <c r="K109" s="636">
        <f t="shared" si="73"/>
        <v>431</v>
      </c>
      <c r="L109" s="703"/>
      <c r="M109" s="702">
        <f t="shared" si="74"/>
        <v>22</v>
      </c>
      <c r="N109" s="702"/>
      <c r="O109" s="636">
        <f t="shared" si="75"/>
        <v>329</v>
      </c>
      <c r="P109" s="637"/>
      <c r="Q109" s="702">
        <f t="shared" si="76"/>
        <v>49</v>
      </c>
      <c r="R109" s="702"/>
      <c r="S109" s="636">
        <f t="shared" si="77"/>
        <v>735</v>
      </c>
      <c r="T109" s="637"/>
      <c r="U109" s="702">
        <f t="shared" si="78"/>
        <v>49</v>
      </c>
      <c r="V109" s="702"/>
      <c r="W109" s="704">
        <f t="shared" si="79"/>
        <v>774</v>
      </c>
      <c r="X109" s="704"/>
      <c r="Y109" s="711">
        <f t="shared" si="80"/>
        <v>91</v>
      </c>
      <c r="Z109" s="701"/>
      <c r="AA109" s="636">
        <f t="shared" si="81"/>
        <v>1371</v>
      </c>
      <c r="AB109" s="708"/>
      <c r="AC109" s="710">
        <f t="shared" si="82"/>
        <v>155</v>
      </c>
      <c r="AD109" s="710"/>
      <c r="AE109" s="710"/>
      <c r="AF109" s="710"/>
      <c r="AG109" s="710"/>
      <c r="AH109" s="704">
        <f t="shared" si="83"/>
        <v>2325</v>
      </c>
      <c r="AI109" s="636"/>
      <c r="AJ109" s="634">
        <f t="shared" ref="AJ109:AJ172" si="84">OC9</f>
        <v>3</v>
      </c>
      <c r="AK109" s="635"/>
      <c r="AL109" s="636">
        <f t="shared" ref="AL109:AL172" si="85">OD9</f>
        <v>45</v>
      </c>
      <c r="AM109" s="637"/>
      <c r="AN109" s="692">
        <f t="shared" ref="AN109:AN172" si="86">I109+M109+Q109+U109+Y109+AC109+AJ109</f>
        <v>402</v>
      </c>
      <c r="AO109" s="693"/>
      <c r="AP109" s="695">
        <f t="shared" ref="AP109:AP172" si="87">K109+O109+S109+W109+AA109+AH109+AL109</f>
        <v>6010</v>
      </c>
      <c r="AQ109" s="695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94"/>
      <c r="IR109" s="94"/>
      <c r="IS109" s="94"/>
      <c r="IT109" s="94"/>
      <c r="IU109" s="94"/>
    </row>
    <row r="110" spans="1:394" ht="14.45" customHeight="1" x14ac:dyDescent="0.25">
      <c r="A110" s="44"/>
      <c r="B110" s="9"/>
      <c r="C110" s="654" t="s">
        <v>5</v>
      </c>
      <c r="D110" s="654"/>
      <c r="E110" s="654"/>
      <c r="F110" s="654"/>
      <c r="G110" s="654"/>
      <c r="H110" s="647"/>
      <c r="I110" s="709">
        <f t="shared" si="72"/>
        <v>12</v>
      </c>
      <c r="J110" s="702"/>
      <c r="K110" s="636">
        <f t="shared" si="73"/>
        <v>437</v>
      </c>
      <c r="L110" s="703"/>
      <c r="M110" s="702">
        <f t="shared" si="74"/>
        <v>18</v>
      </c>
      <c r="N110" s="702"/>
      <c r="O110" s="636">
        <f t="shared" si="75"/>
        <v>718</v>
      </c>
      <c r="P110" s="637"/>
      <c r="Q110" s="702">
        <f t="shared" si="76"/>
        <v>19</v>
      </c>
      <c r="R110" s="702"/>
      <c r="S110" s="636">
        <f t="shared" si="77"/>
        <v>760</v>
      </c>
      <c r="T110" s="637"/>
      <c r="U110" s="702">
        <f t="shared" si="78"/>
        <v>18</v>
      </c>
      <c r="V110" s="702"/>
      <c r="W110" s="704">
        <f t="shared" si="79"/>
        <v>736</v>
      </c>
      <c r="X110" s="704"/>
      <c r="Y110" s="711">
        <f t="shared" si="80"/>
        <v>41</v>
      </c>
      <c r="Z110" s="701"/>
      <c r="AA110" s="636">
        <f t="shared" si="81"/>
        <v>1701</v>
      </c>
      <c r="AB110" s="708"/>
      <c r="AC110" s="710">
        <f t="shared" si="82"/>
        <v>107</v>
      </c>
      <c r="AD110" s="710"/>
      <c r="AE110" s="710"/>
      <c r="AF110" s="710"/>
      <c r="AG110" s="710"/>
      <c r="AH110" s="704">
        <f t="shared" si="83"/>
        <v>4173</v>
      </c>
      <c r="AI110" s="636"/>
      <c r="AJ110" s="634">
        <f t="shared" si="84"/>
        <v>37</v>
      </c>
      <c r="AK110" s="635"/>
      <c r="AL110" s="636">
        <f t="shared" si="85"/>
        <v>1443</v>
      </c>
      <c r="AM110" s="637"/>
      <c r="AN110" s="692">
        <f t="shared" si="86"/>
        <v>252</v>
      </c>
      <c r="AO110" s="693"/>
      <c r="AP110" s="695">
        <f t="shared" si="87"/>
        <v>9968</v>
      </c>
      <c r="AQ110" s="695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94"/>
    </row>
    <row r="111" spans="1:394" ht="14.45" customHeight="1" x14ac:dyDescent="0.25">
      <c r="A111" s="44"/>
      <c r="B111" s="9"/>
      <c r="C111" s="654" t="s">
        <v>56</v>
      </c>
      <c r="D111" s="654"/>
      <c r="E111" s="654"/>
      <c r="F111" s="654"/>
      <c r="G111" s="654"/>
      <c r="H111" s="647"/>
      <c r="I111" s="709">
        <f t="shared" si="72"/>
        <v>0</v>
      </c>
      <c r="J111" s="702"/>
      <c r="K111" s="636">
        <f t="shared" si="73"/>
        <v>0</v>
      </c>
      <c r="L111" s="703"/>
      <c r="M111" s="702">
        <f t="shared" si="74"/>
        <v>1</v>
      </c>
      <c r="N111" s="702"/>
      <c r="O111" s="636">
        <f t="shared" si="75"/>
        <v>12</v>
      </c>
      <c r="P111" s="637"/>
      <c r="Q111" s="702">
        <f t="shared" si="76"/>
        <v>1</v>
      </c>
      <c r="R111" s="702"/>
      <c r="S111" s="636">
        <f t="shared" si="77"/>
        <v>12</v>
      </c>
      <c r="T111" s="637"/>
      <c r="U111" s="702">
        <f t="shared" si="78"/>
        <v>9</v>
      </c>
      <c r="V111" s="702"/>
      <c r="W111" s="704">
        <f t="shared" si="79"/>
        <v>108</v>
      </c>
      <c r="X111" s="704"/>
      <c r="Y111" s="711">
        <f t="shared" si="80"/>
        <v>13</v>
      </c>
      <c r="Z111" s="701"/>
      <c r="AA111" s="636">
        <f t="shared" si="81"/>
        <v>169</v>
      </c>
      <c r="AB111" s="708"/>
      <c r="AC111" s="710">
        <f t="shared" si="82"/>
        <v>35</v>
      </c>
      <c r="AD111" s="710"/>
      <c r="AE111" s="710"/>
      <c r="AF111" s="710"/>
      <c r="AG111" s="710"/>
      <c r="AH111" s="704">
        <f t="shared" si="83"/>
        <v>455</v>
      </c>
      <c r="AI111" s="636"/>
      <c r="AJ111" s="634">
        <f t="shared" si="84"/>
        <v>7</v>
      </c>
      <c r="AK111" s="635"/>
      <c r="AL111" s="636">
        <f t="shared" si="85"/>
        <v>91</v>
      </c>
      <c r="AM111" s="637"/>
      <c r="AN111" s="692">
        <f t="shared" si="86"/>
        <v>66</v>
      </c>
      <c r="AO111" s="693"/>
      <c r="AP111" s="695">
        <f t="shared" si="87"/>
        <v>847</v>
      </c>
      <c r="AQ111" s="695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94"/>
    </row>
    <row r="112" spans="1:394" ht="14.45" customHeight="1" x14ac:dyDescent="0.25">
      <c r="A112" s="44"/>
      <c r="B112" s="9"/>
      <c r="C112" s="654" t="s">
        <v>49</v>
      </c>
      <c r="D112" s="654"/>
      <c r="E112" s="654"/>
      <c r="F112" s="654"/>
      <c r="G112" s="654"/>
      <c r="H112" s="647"/>
      <c r="I112" s="709">
        <f t="shared" si="72"/>
        <v>0</v>
      </c>
      <c r="J112" s="702"/>
      <c r="K112" s="636">
        <f t="shared" si="73"/>
        <v>0</v>
      </c>
      <c r="L112" s="703"/>
      <c r="M112" s="702">
        <f t="shared" si="74"/>
        <v>22</v>
      </c>
      <c r="N112" s="702"/>
      <c r="O112" s="636">
        <f t="shared" si="75"/>
        <v>593</v>
      </c>
      <c r="P112" s="637"/>
      <c r="Q112" s="702">
        <f t="shared" si="76"/>
        <v>19</v>
      </c>
      <c r="R112" s="702"/>
      <c r="S112" s="636">
        <f t="shared" si="77"/>
        <v>513</v>
      </c>
      <c r="T112" s="637"/>
      <c r="U112" s="702">
        <f t="shared" si="78"/>
        <v>21</v>
      </c>
      <c r="V112" s="702"/>
      <c r="W112" s="704">
        <f t="shared" si="79"/>
        <v>582</v>
      </c>
      <c r="X112" s="704"/>
      <c r="Y112" s="711">
        <f t="shared" si="80"/>
        <v>42</v>
      </c>
      <c r="Z112" s="701"/>
      <c r="AA112" s="636">
        <f t="shared" si="81"/>
        <v>1160</v>
      </c>
      <c r="AB112" s="708"/>
      <c r="AC112" s="710">
        <f t="shared" si="82"/>
        <v>106</v>
      </c>
      <c r="AD112" s="710"/>
      <c r="AE112" s="710"/>
      <c r="AF112" s="710"/>
      <c r="AG112" s="710"/>
      <c r="AH112" s="704">
        <f t="shared" si="83"/>
        <v>2756</v>
      </c>
      <c r="AI112" s="636"/>
      <c r="AJ112" s="634">
        <f t="shared" si="84"/>
        <v>9</v>
      </c>
      <c r="AK112" s="635"/>
      <c r="AL112" s="636">
        <f t="shared" si="85"/>
        <v>234</v>
      </c>
      <c r="AM112" s="637"/>
      <c r="AN112" s="692">
        <f t="shared" si="86"/>
        <v>219</v>
      </c>
      <c r="AO112" s="693"/>
      <c r="AP112" s="695">
        <f t="shared" si="87"/>
        <v>5838</v>
      </c>
      <c r="AQ112" s="695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44"/>
      <c r="B113" s="9"/>
      <c r="C113" s="654" t="s">
        <v>50</v>
      </c>
      <c r="D113" s="654"/>
      <c r="E113" s="654"/>
      <c r="F113" s="654"/>
      <c r="G113" s="654"/>
      <c r="H113" s="647"/>
      <c r="I113" s="709">
        <f t="shared" si="72"/>
        <v>0</v>
      </c>
      <c r="J113" s="702"/>
      <c r="K113" s="636">
        <f t="shared" si="73"/>
        <v>0</v>
      </c>
      <c r="L113" s="703"/>
      <c r="M113" s="702">
        <f t="shared" si="74"/>
        <v>1</v>
      </c>
      <c r="N113" s="702"/>
      <c r="O113" s="636">
        <f t="shared" si="75"/>
        <v>7</v>
      </c>
      <c r="P113" s="637"/>
      <c r="Q113" s="702">
        <f t="shared" si="76"/>
        <v>0</v>
      </c>
      <c r="R113" s="702"/>
      <c r="S113" s="636">
        <f t="shared" si="77"/>
        <v>0</v>
      </c>
      <c r="T113" s="637"/>
      <c r="U113" s="702">
        <f t="shared" si="78"/>
        <v>1</v>
      </c>
      <c r="V113" s="702"/>
      <c r="W113" s="704">
        <f t="shared" si="79"/>
        <v>8</v>
      </c>
      <c r="X113" s="704"/>
      <c r="Y113" s="711">
        <f t="shared" si="80"/>
        <v>14</v>
      </c>
      <c r="Z113" s="701"/>
      <c r="AA113" s="636">
        <f t="shared" si="81"/>
        <v>98</v>
      </c>
      <c r="AB113" s="708"/>
      <c r="AC113" s="710">
        <f t="shared" si="82"/>
        <v>4</v>
      </c>
      <c r="AD113" s="710"/>
      <c r="AE113" s="710"/>
      <c r="AF113" s="710"/>
      <c r="AG113" s="710"/>
      <c r="AH113" s="704">
        <f t="shared" si="83"/>
        <v>28</v>
      </c>
      <c r="AI113" s="636"/>
      <c r="AJ113" s="634">
        <f t="shared" si="84"/>
        <v>1</v>
      </c>
      <c r="AK113" s="635"/>
      <c r="AL113" s="636">
        <f t="shared" si="85"/>
        <v>7</v>
      </c>
      <c r="AM113" s="637"/>
      <c r="AN113" s="692">
        <f t="shared" si="86"/>
        <v>21</v>
      </c>
      <c r="AO113" s="693"/>
      <c r="AP113" s="695">
        <f t="shared" si="87"/>
        <v>148</v>
      </c>
      <c r="AQ113" s="695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44"/>
      <c r="B114" s="9"/>
      <c r="C114" s="654" t="s">
        <v>6</v>
      </c>
      <c r="D114" s="654"/>
      <c r="E114" s="654"/>
      <c r="F114" s="654"/>
      <c r="G114" s="654"/>
      <c r="H114" s="647"/>
      <c r="I114" s="709">
        <f t="shared" si="72"/>
        <v>23</v>
      </c>
      <c r="J114" s="702"/>
      <c r="K114" s="636">
        <f t="shared" si="73"/>
        <v>231</v>
      </c>
      <c r="L114" s="703"/>
      <c r="M114" s="702">
        <f t="shared" si="74"/>
        <v>2</v>
      </c>
      <c r="N114" s="702"/>
      <c r="O114" s="636">
        <f t="shared" si="75"/>
        <v>21</v>
      </c>
      <c r="P114" s="637"/>
      <c r="Q114" s="702">
        <f t="shared" si="76"/>
        <v>3</v>
      </c>
      <c r="R114" s="702"/>
      <c r="S114" s="636">
        <f t="shared" si="77"/>
        <v>31.5</v>
      </c>
      <c r="T114" s="637"/>
      <c r="U114" s="702">
        <f t="shared" si="78"/>
        <v>13</v>
      </c>
      <c r="V114" s="702"/>
      <c r="W114" s="704">
        <f t="shared" si="79"/>
        <v>134</v>
      </c>
      <c r="X114" s="704"/>
      <c r="Y114" s="711">
        <f t="shared" si="80"/>
        <v>24</v>
      </c>
      <c r="Z114" s="701"/>
      <c r="AA114" s="636">
        <f t="shared" si="81"/>
        <v>264</v>
      </c>
      <c r="AB114" s="708"/>
      <c r="AC114" s="710">
        <f t="shared" si="82"/>
        <v>42</v>
      </c>
      <c r="AD114" s="710"/>
      <c r="AE114" s="710"/>
      <c r="AF114" s="710"/>
      <c r="AG114" s="710"/>
      <c r="AH114" s="704">
        <f t="shared" si="83"/>
        <v>462</v>
      </c>
      <c r="AI114" s="636"/>
      <c r="AJ114" s="634">
        <f t="shared" si="84"/>
        <v>14</v>
      </c>
      <c r="AK114" s="635"/>
      <c r="AL114" s="636">
        <f t="shared" si="85"/>
        <v>154</v>
      </c>
      <c r="AM114" s="637"/>
      <c r="AN114" s="692">
        <f t="shared" si="86"/>
        <v>121</v>
      </c>
      <c r="AO114" s="693"/>
      <c r="AP114" s="695">
        <f t="shared" si="87"/>
        <v>1297.5</v>
      </c>
      <c r="AQ114" s="695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44"/>
      <c r="B115" s="9"/>
      <c r="C115" s="654" t="s">
        <v>7</v>
      </c>
      <c r="D115" s="654"/>
      <c r="E115" s="654"/>
      <c r="F115" s="654"/>
      <c r="G115" s="654"/>
      <c r="H115" s="647"/>
      <c r="I115" s="709">
        <f t="shared" si="72"/>
        <v>5</v>
      </c>
      <c r="J115" s="702"/>
      <c r="K115" s="636">
        <f t="shared" si="73"/>
        <v>140</v>
      </c>
      <c r="L115" s="703"/>
      <c r="M115" s="702">
        <f t="shared" si="74"/>
        <v>7</v>
      </c>
      <c r="N115" s="702"/>
      <c r="O115" s="636">
        <f t="shared" si="75"/>
        <v>210</v>
      </c>
      <c r="P115" s="637"/>
      <c r="Q115" s="702">
        <f t="shared" si="76"/>
        <v>11</v>
      </c>
      <c r="R115" s="702"/>
      <c r="S115" s="636">
        <f t="shared" si="77"/>
        <v>330</v>
      </c>
      <c r="T115" s="637"/>
      <c r="U115" s="702">
        <f t="shared" si="78"/>
        <v>6</v>
      </c>
      <c r="V115" s="702"/>
      <c r="W115" s="704">
        <f t="shared" si="79"/>
        <v>190</v>
      </c>
      <c r="X115" s="704"/>
      <c r="Y115" s="711">
        <f t="shared" si="80"/>
        <v>11</v>
      </c>
      <c r="Z115" s="701"/>
      <c r="AA115" s="636">
        <f t="shared" si="81"/>
        <v>365</v>
      </c>
      <c r="AB115" s="708"/>
      <c r="AC115" s="710">
        <f t="shared" si="82"/>
        <v>38</v>
      </c>
      <c r="AD115" s="710"/>
      <c r="AE115" s="710"/>
      <c r="AF115" s="710"/>
      <c r="AG115" s="710"/>
      <c r="AH115" s="704">
        <f t="shared" si="83"/>
        <v>1140</v>
      </c>
      <c r="AI115" s="636"/>
      <c r="AJ115" s="634">
        <f t="shared" si="84"/>
        <v>11</v>
      </c>
      <c r="AK115" s="635"/>
      <c r="AL115" s="636">
        <f t="shared" si="85"/>
        <v>330</v>
      </c>
      <c r="AM115" s="637"/>
      <c r="AN115" s="692">
        <f t="shared" si="86"/>
        <v>89</v>
      </c>
      <c r="AO115" s="693"/>
      <c r="AP115" s="695">
        <f t="shared" si="87"/>
        <v>2705</v>
      </c>
      <c r="AQ115" s="695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44"/>
      <c r="B116" s="9"/>
      <c r="C116" s="654" t="s">
        <v>8</v>
      </c>
      <c r="D116" s="654"/>
      <c r="E116" s="654"/>
      <c r="F116" s="654"/>
      <c r="G116" s="654"/>
      <c r="H116" s="647"/>
      <c r="I116" s="709">
        <f t="shared" si="72"/>
        <v>12</v>
      </c>
      <c r="J116" s="702"/>
      <c r="K116" s="636">
        <f t="shared" si="73"/>
        <v>144</v>
      </c>
      <c r="L116" s="703"/>
      <c r="M116" s="702">
        <f t="shared" si="74"/>
        <v>7</v>
      </c>
      <c r="N116" s="702"/>
      <c r="O116" s="636">
        <f t="shared" si="75"/>
        <v>97</v>
      </c>
      <c r="P116" s="637"/>
      <c r="Q116" s="702">
        <f t="shared" si="76"/>
        <v>7</v>
      </c>
      <c r="R116" s="702"/>
      <c r="S116" s="636">
        <f t="shared" si="77"/>
        <v>98</v>
      </c>
      <c r="T116" s="637"/>
      <c r="U116" s="702">
        <f t="shared" si="78"/>
        <v>15</v>
      </c>
      <c r="V116" s="702"/>
      <c r="W116" s="704">
        <f t="shared" si="79"/>
        <v>214</v>
      </c>
      <c r="X116" s="704"/>
      <c r="Y116" s="711">
        <f t="shared" si="80"/>
        <v>39</v>
      </c>
      <c r="Z116" s="701"/>
      <c r="AA116" s="636">
        <f t="shared" si="81"/>
        <v>546</v>
      </c>
      <c r="AB116" s="708"/>
      <c r="AC116" s="710">
        <f t="shared" si="82"/>
        <v>49</v>
      </c>
      <c r="AD116" s="710"/>
      <c r="AE116" s="710"/>
      <c r="AF116" s="710"/>
      <c r="AG116" s="710"/>
      <c r="AH116" s="704">
        <f t="shared" si="83"/>
        <v>686</v>
      </c>
      <c r="AI116" s="636"/>
      <c r="AJ116" s="634">
        <f t="shared" si="84"/>
        <v>25</v>
      </c>
      <c r="AK116" s="635"/>
      <c r="AL116" s="636">
        <f t="shared" si="85"/>
        <v>350</v>
      </c>
      <c r="AM116" s="637"/>
      <c r="AN116" s="692">
        <f t="shared" si="86"/>
        <v>154</v>
      </c>
      <c r="AO116" s="693"/>
      <c r="AP116" s="695">
        <f t="shared" si="87"/>
        <v>2135</v>
      </c>
      <c r="AQ116" s="695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44"/>
      <c r="B117" s="9"/>
      <c r="C117" s="654" t="s">
        <v>9</v>
      </c>
      <c r="D117" s="654"/>
      <c r="E117" s="654"/>
      <c r="F117" s="654"/>
      <c r="G117" s="654"/>
      <c r="H117" s="647"/>
      <c r="I117" s="709">
        <f t="shared" si="72"/>
        <v>22</v>
      </c>
      <c r="J117" s="702"/>
      <c r="K117" s="636">
        <f t="shared" si="73"/>
        <v>618</v>
      </c>
      <c r="L117" s="703"/>
      <c r="M117" s="702">
        <f t="shared" si="74"/>
        <v>41</v>
      </c>
      <c r="N117" s="702"/>
      <c r="O117" s="636">
        <f t="shared" si="75"/>
        <v>1221</v>
      </c>
      <c r="P117" s="637"/>
      <c r="Q117" s="702">
        <f t="shared" si="76"/>
        <v>24</v>
      </c>
      <c r="R117" s="702"/>
      <c r="S117" s="636">
        <f t="shared" si="77"/>
        <v>720</v>
      </c>
      <c r="T117" s="637"/>
      <c r="U117" s="702">
        <f t="shared" si="78"/>
        <v>50</v>
      </c>
      <c r="V117" s="702"/>
      <c r="W117" s="704">
        <f t="shared" si="79"/>
        <v>1504</v>
      </c>
      <c r="X117" s="704"/>
      <c r="Y117" s="711">
        <f t="shared" si="80"/>
        <v>55</v>
      </c>
      <c r="Z117" s="701"/>
      <c r="AA117" s="636">
        <f t="shared" si="81"/>
        <v>1748</v>
      </c>
      <c r="AB117" s="708"/>
      <c r="AC117" s="710">
        <f t="shared" si="82"/>
        <v>115</v>
      </c>
      <c r="AD117" s="710"/>
      <c r="AE117" s="710"/>
      <c r="AF117" s="710"/>
      <c r="AG117" s="710"/>
      <c r="AH117" s="704">
        <f t="shared" si="83"/>
        <v>3450</v>
      </c>
      <c r="AI117" s="636"/>
      <c r="AJ117" s="634">
        <f t="shared" si="84"/>
        <v>37</v>
      </c>
      <c r="AK117" s="635"/>
      <c r="AL117" s="636">
        <f t="shared" si="85"/>
        <v>1110</v>
      </c>
      <c r="AM117" s="637"/>
      <c r="AN117" s="692">
        <f t="shared" si="86"/>
        <v>344</v>
      </c>
      <c r="AO117" s="693"/>
      <c r="AP117" s="695">
        <f t="shared" si="87"/>
        <v>10371</v>
      </c>
      <c r="AQ117" s="695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44"/>
      <c r="B118" s="9"/>
      <c r="C118" s="654" t="s">
        <v>10</v>
      </c>
      <c r="D118" s="654"/>
      <c r="E118" s="654"/>
      <c r="F118" s="654"/>
      <c r="G118" s="654"/>
      <c r="H118" s="647"/>
      <c r="I118" s="709">
        <f t="shared" si="72"/>
        <v>17</v>
      </c>
      <c r="J118" s="702"/>
      <c r="K118" s="636">
        <f t="shared" si="73"/>
        <v>509</v>
      </c>
      <c r="L118" s="703"/>
      <c r="M118" s="702">
        <f t="shared" si="74"/>
        <v>12</v>
      </c>
      <c r="N118" s="702"/>
      <c r="O118" s="636">
        <f t="shared" si="75"/>
        <v>383</v>
      </c>
      <c r="P118" s="637"/>
      <c r="Q118" s="702">
        <f t="shared" si="76"/>
        <v>7</v>
      </c>
      <c r="R118" s="702"/>
      <c r="S118" s="636">
        <f t="shared" si="77"/>
        <v>224</v>
      </c>
      <c r="T118" s="637"/>
      <c r="U118" s="702">
        <f t="shared" si="78"/>
        <v>8</v>
      </c>
      <c r="V118" s="702"/>
      <c r="W118" s="704">
        <f t="shared" si="79"/>
        <v>261</v>
      </c>
      <c r="X118" s="704"/>
      <c r="Y118" s="711">
        <f t="shared" si="80"/>
        <v>19</v>
      </c>
      <c r="Z118" s="701"/>
      <c r="AA118" s="636">
        <f t="shared" si="81"/>
        <v>628</v>
      </c>
      <c r="AB118" s="708"/>
      <c r="AC118" s="710">
        <f t="shared" si="82"/>
        <v>45</v>
      </c>
      <c r="AD118" s="710"/>
      <c r="AE118" s="710"/>
      <c r="AF118" s="710"/>
      <c r="AG118" s="710"/>
      <c r="AH118" s="704">
        <f t="shared" si="83"/>
        <v>1395</v>
      </c>
      <c r="AI118" s="636"/>
      <c r="AJ118" s="634">
        <f t="shared" si="84"/>
        <v>7</v>
      </c>
      <c r="AK118" s="635"/>
      <c r="AL118" s="636">
        <f t="shared" si="85"/>
        <v>217</v>
      </c>
      <c r="AM118" s="637"/>
      <c r="AN118" s="692">
        <f t="shared" si="86"/>
        <v>115</v>
      </c>
      <c r="AO118" s="693"/>
      <c r="AP118" s="695">
        <f t="shared" si="87"/>
        <v>3617</v>
      </c>
      <c r="AQ118" s="695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44"/>
      <c r="B119" s="9"/>
      <c r="C119" s="654" t="s">
        <v>11</v>
      </c>
      <c r="D119" s="654"/>
      <c r="E119" s="654"/>
      <c r="F119" s="654"/>
      <c r="G119" s="654"/>
      <c r="H119" s="647"/>
      <c r="I119" s="709">
        <f t="shared" si="72"/>
        <v>9</v>
      </c>
      <c r="J119" s="702"/>
      <c r="K119" s="636">
        <f t="shared" si="73"/>
        <v>905</v>
      </c>
      <c r="L119" s="703"/>
      <c r="M119" s="702">
        <f t="shared" si="74"/>
        <v>16</v>
      </c>
      <c r="N119" s="702"/>
      <c r="O119" s="636">
        <f t="shared" si="75"/>
        <v>1690</v>
      </c>
      <c r="P119" s="637"/>
      <c r="Q119" s="702">
        <f t="shared" si="76"/>
        <v>12</v>
      </c>
      <c r="R119" s="702"/>
      <c r="S119" s="636">
        <f t="shared" si="77"/>
        <v>1268</v>
      </c>
      <c r="T119" s="637"/>
      <c r="U119" s="702">
        <f t="shared" si="78"/>
        <v>23</v>
      </c>
      <c r="V119" s="702"/>
      <c r="W119" s="704">
        <f t="shared" si="79"/>
        <v>2470</v>
      </c>
      <c r="X119" s="704"/>
      <c r="Y119" s="711">
        <f t="shared" si="80"/>
        <v>28</v>
      </c>
      <c r="Z119" s="701"/>
      <c r="AA119" s="636">
        <f t="shared" si="81"/>
        <v>3108</v>
      </c>
      <c r="AB119" s="708"/>
      <c r="AC119" s="710">
        <f t="shared" si="82"/>
        <v>60</v>
      </c>
      <c r="AD119" s="710"/>
      <c r="AE119" s="710"/>
      <c r="AF119" s="710"/>
      <c r="AG119" s="710"/>
      <c r="AH119" s="704">
        <f t="shared" si="83"/>
        <v>6360</v>
      </c>
      <c r="AI119" s="636"/>
      <c r="AJ119" s="634">
        <f t="shared" si="84"/>
        <v>29</v>
      </c>
      <c r="AK119" s="635"/>
      <c r="AL119" s="636">
        <f t="shared" si="85"/>
        <v>3074</v>
      </c>
      <c r="AM119" s="637"/>
      <c r="AN119" s="692">
        <f t="shared" si="86"/>
        <v>177</v>
      </c>
      <c r="AO119" s="693"/>
      <c r="AP119" s="695">
        <f t="shared" si="87"/>
        <v>18875</v>
      </c>
      <c r="AQ119" s="695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44"/>
      <c r="B120" s="9"/>
      <c r="C120" s="654" t="s">
        <v>57</v>
      </c>
      <c r="D120" s="654"/>
      <c r="E120" s="654"/>
      <c r="F120" s="654"/>
      <c r="G120" s="654"/>
      <c r="H120" s="647"/>
      <c r="I120" s="709">
        <f t="shared" si="72"/>
        <v>0</v>
      </c>
      <c r="J120" s="702"/>
      <c r="K120" s="636">
        <f t="shared" si="73"/>
        <v>0</v>
      </c>
      <c r="L120" s="703"/>
      <c r="M120" s="702">
        <f t="shared" si="74"/>
        <v>7</v>
      </c>
      <c r="N120" s="702"/>
      <c r="O120" s="636">
        <f t="shared" si="75"/>
        <v>350</v>
      </c>
      <c r="P120" s="637"/>
      <c r="Q120" s="702">
        <f t="shared" si="76"/>
        <v>15</v>
      </c>
      <c r="R120" s="702"/>
      <c r="S120" s="636">
        <f t="shared" si="77"/>
        <v>750</v>
      </c>
      <c r="T120" s="637"/>
      <c r="U120" s="702">
        <f t="shared" si="78"/>
        <v>6</v>
      </c>
      <c r="V120" s="702"/>
      <c r="W120" s="704">
        <f t="shared" si="79"/>
        <v>324</v>
      </c>
      <c r="X120" s="704"/>
      <c r="Y120" s="711">
        <f t="shared" si="80"/>
        <v>33</v>
      </c>
      <c r="Z120" s="701"/>
      <c r="AA120" s="636">
        <f t="shared" si="81"/>
        <v>1710</v>
      </c>
      <c r="AB120" s="708"/>
      <c r="AC120" s="710">
        <f t="shared" si="82"/>
        <v>86</v>
      </c>
      <c r="AD120" s="710"/>
      <c r="AE120" s="710"/>
      <c r="AF120" s="710"/>
      <c r="AG120" s="710"/>
      <c r="AH120" s="704">
        <f t="shared" si="83"/>
        <v>4300</v>
      </c>
      <c r="AI120" s="636"/>
      <c r="AJ120" s="634">
        <f t="shared" si="84"/>
        <v>17</v>
      </c>
      <c r="AK120" s="635"/>
      <c r="AL120" s="636">
        <f t="shared" si="85"/>
        <v>850</v>
      </c>
      <c r="AM120" s="637"/>
      <c r="AN120" s="692">
        <f t="shared" si="86"/>
        <v>164</v>
      </c>
      <c r="AO120" s="693"/>
      <c r="AP120" s="695">
        <f t="shared" si="87"/>
        <v>8284</v>
      </c>
      <c r="AQ120" s="695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44"/>
      <c r="B121" s="9"/>
      <c r="C121" s="654" t="s">
        <v>51</v>
      </c>
      <c r="D121" s="654"/>
      <c r="E121" s="654"/>
      <c r="F121" s="654"/>
      <c r="G121" s="654"/>
      <c r="H121" s="647"/>
      <c r="I121" s="709">
        <f t="shared" si="72"/>
        <v>0</v>
      </c>
      <c r="J121" s="702"/>
      <c r="K121" s="636">
        <f t="shared" si="73"/>
        <v>0</v>
      </c>
      <c r="L121" s="703"/>
      <c r="M121" s="702">
        <f t="shared" si="74"/>
        <v>0</v>
      </c>
      <c r="N121" s="702"/>
      <c r="O121" s="636">
        <f t="shared" si="75"/>
        <v>0</v>
      </c>
      <c r="P121" s="637"/>
      <c r="Q121" s="702">
        <f t="shared" si="76"/>
        <v>2</v>
      </c>
      <c r="R121" s="702"/>
      <c r="S121" s="636">
        <f t="shared" si="77"/>
        <v>96</v>
      </c>
      <c r="T121" s="637"/>
      <c r="U121" s="702">
        <f t="shared" si="78"/>
        <v>3</v>
      </c>
      <c r="V121" s="702"/>
      <c r="W121" s="704">
        <f t="shared" si="79"/>
        <v>144</v>
      </c>
      <c r="X121" s="704"/>
      <c r="Y121" s="711">
        <f t="shared" si="80"/>
        <v>7</v>
      </c>
      <c r="Z121" s="701"/>
      <c r="AA121" s="636">
        <f t="shared" si="81"/>
        <v>346</v>
      </c>
      <c r="AB121" s="708"/>
      <c r="AC121" s="710">
        <f t="shared" si="82"/>
        <v>15</v>
      </c>
      <c r="AD121" s="710"/>
      <c r="AE121" s="710"/>
      <c r="AF121" s="710"/>
      <c r="AG121" s="710"/>
      <c r="AH121" s="704">
        <f t="shared" si="83"/>
        <v>690</v>
      </c>
      <c r="AI121" s="636"/>
      <c r="AJ121" s="634">
        <f t="shared" si="84"/>
        <v>2</v>
      </c>
      <c r="AK121" s="635"/>
      <c r="AL121" s="636">
        <f t="shared" si="85"/>
        <v>92</v>
      </c>
      <c r="AM121" s="637"/>
      <c r="AN121" s="692">
        <f t="shared" si="86"/>
        <v>29</v>
      </c>
      <c r="AO121" s="693"/>
      <c r="AP121" s="695">
        <f t="shared" si="87"/>
        <v>1368</v>
      </c>
      <c r="AQ121" s="695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44"/>
      <c r="B122" s="9"/>
      <c r="C122" s="654" t="s">
        <v>52</v>
      </c>
      <c r="D122" s="654"/>
      <c r="E122" s="654"/>
      <c r="F122" s="654"/>
      <c r="G122" s="654"/>
      <c r="H122" s="647"/>
      <c r="I122" s="709">
        <f t="shared" si="72"/>
        <v>0</v>
      </c>
      <c r="J122" s="702"/>
      <c r="K122" s="636">
        <f t="shared" si="73"/>
        <v>0</v>
      </c>
      <c r="L122" s="703"/>
      <c r="M122" s="702">
        <f t="shared" si="74"/>
        <v>0</v>
      </c>
      <c r="N122" s="702"/>
      <c r="O122" s="636">
        <f t="shared" si="75"/>
        <v>0</v>
      </c>
      <c r="P122" s="637"/>
      <c r="Q122" s="702">
        <f t="shared" si="76"/>
        <v>1</v>
      </c>
      <c r="R122" s="702"/>
      <c r="S122" s="636">
        <f t="shared" si="77"/>
        <v>63</v>
      </c>
      <c r="T122" s="637"/>
      <c r="U122" s="702">
        <f t="shared" si="78"/>
        <v>0</v>
      </c>
      <c r="V122" s="702"/>
      <c r="W122" s="704">
        <f t="shared" si="79"/>
        <v>0</v>
      </c>
      <c r="X122" s="704"/>
      <c r="Y122" s="711">
        <f t="shared" si="80"/>
        <v>0</v>
      </c>
      <c r="Z122" s="701"/>
      <c r="AA122" s="636">
        <f t="shared" si="81"/>
        <v>0</v>
      </c>
      <c r="AB122" s="708"/>
      <c r="AC122" s="710">
        <f t="shared" si="82"/>
        <v>8</v>
      </c>
      <c r="AD122" s="710"/>
      <c r="AE122" s="710"/>
      <c r="AF122" s="710"/>
      <c r="AG122" s="710"/>
      <c r="AH122" s="704">
        <f t="shared" si="83"/>
        <v>488</v>
      </c>
      <c r="AI122" s="636"/>
      <c r="AJ122" s="634">
        <f t="shared" si="84"/>
        <v>1</v>
      </c>
      <c r="AK122" s="635"/>
      <c r="AL122" s="636">
        <f t="shared" si="85"/>
        <v>61</v>
      </c>
      <c r="AM122" s="637"/>
      <c r="AN122" s="692">
        <f t="shared" si="86"/>
        <v>10</v>
      </c>
      <c r="AO122" s="693"/>
      <c r="AP122" s="695">
        <f t="shared" si="87"/>
        <v>612</v>
      </c>
      <c r="AQ122" s="695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44"/>
      <c r="B123" s="9"/>
      <c r="C123" s="654" t="s">
        <v>12</v>
      </c>
      <c r="D123" s="654"/>
      <c r="E123" s="654"/>
      <c r="F123" s="654"/>
      <c r="G123" s="654"/>
      <c r="H123" s="647"/>
      <c r="I123" s="709">
        <f t="shared" si="72"/>
        <v>6</v>
      </c>
      <c r="J123" s="702"/>
      <c r="K123" s="636">
        <f t="shared" si="73"/>
        <v>156</v>
      </c>
      <c r="L123" s="703"/>
      <c r="M123" s="702">
        <f t="shared" si="74"/>
        <v>48</v>
      </c>
      <c r="N123" s="702"/>
      <c r="O123" s="636">
        <f t="shared" si="75"/>
        <v>1432</v>
      </c>
      <c r="P123" s="637"/>
      <c r="Q123" s="702">
        <f t="shared" si="76"/>
        <v>18</v>
      </c>
      <c r="R123" s="702"/>
      <c r="S123" s="636">
        <f t="shared" si="77"/>
        <v>558</v>
      </c>
      <c r="T123" s="637"/>
      <c r="U123" s="702">
        <f t="shared" si="78"/>
        <v>38</v>
      </c>
      <c r="V123" s="702"/>
      <c r="W123" s="704">
        <f t="shared" si="79"/>
        <v>1178</v>
      </c>
      <c r="X123" s="704"/>
      <c r="Y123" s="711">
        <f t="shared" si="80"/>
        <v>28</v>
      </c>
      <c r="Z123" s="701"/>
      <c r="AA123" s="636">
        <f t="shared" si="81"/>
        <v>928</v>
      </c>
      <c r="AB123" s="708"/>
      <c r="AC123" s="710">
        <f t="shared" si="82"/>
        <v>72</v>
      </c>
      <c r="AD123" s="710"/>
      <c r="AE123" s="710"/>
      <c r="AF123" s="710"/>
      <c r="AG123" s="710"/>
      <c r="AH123" s="704">
        <f t="shared" si="83"/>
        <v>2232</v>
      </c>
      <c r="AI123" s="636"/>
      <c r="AJ123" s="634">
        <f t="shared" si="84"/>
        <v>0</v>
      </c>
      <c r="AK123" s="635"/>
      <c r="AL123" s="636">
        <f t="shared" si="85"/>
        <v>0</v>
      </c>
      <c r="AM123" s="637"/>
      <c r="AN123" s="692">
        <f t="shared" si="86"/>
        <v>210</v>
      </c>
      <c r="AO123" s="693"/>
      <c r="AP123" s="695">
        <f t="shared" si="87"/>
        <v>6484</v>
      </c>
      <c r="AQ123" s="695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44"/>
      <c r="B124" s="9"/>
      <c r="C124" s="654" t="s">
        <v>13</v>
      </c>
      <c r="D124" s="654"/>
      <c r="E124" s="654"/>
      <c r="F124" s="654"/>
      <c r="G124" s="654"/>
      <c r="H124" s="647"/>
      <c r="I124" s="709">
        <f t="shared" si="72"/>
        <v>86</v>
      </c>
      <c r="J124" s="702"/>
      <c r="K124" s="636">
        <f t="shared" si="73"/>
        <v>2418</v>
      </c>
      <c r="L124" s="703"/>
      <c r="M124" s="702">
        <f t="shared" si="74"/>
        <v>135</v>
      </c>
      <c r="N124" s="702"/>
      <c r="O124" s="636">
        <f t="shared" si="75"/>
        <v>4415</v>
      </c>
      <c r="P124" s="637"/>
      <c r="Q124" s="702">
        <f t="shared" si="76"/>
        <v>146</v>
      </c>
      <c r="R124" s="702"/>
      <c r="S124" s="636">
        <f t="shared" si="77"/>
        <v>4818</v>
      </c>
      <c r="T124" s="637"/>
      <c r="U124" s="702">
        <f t="shared" si="78"/>
        <v>96</v>
      </c>
      <c r="V124" s="702"/>
      <c r="W124" s="704">
        <f t="shared" si="79"/>
        <v>3283</v>
      </c>
      <c r="X124" s="704"/>
      <c r="Y124" s="711">
        <f t="shared" si="80"/>
        <v>196</v>
      </c>
      <c r="Z124" s="701"/>
      <c r="AA124" s="636">
        <f t="shared" si="81"/>
        <v>6961</v>
      </c>
      <c r="AB124" s="708"/>
      <c r="AC124" s="710">
        <f t="shared" si="82"/>
        <v>612</v>
      </c>
      <c r="AD124" s="710"/>
      <c r="AE124" s="710"/>
      <c r="AF124" s="710"/>
      <c r="AG124" s="710"/>
      <c r="AH124" s="704">
        <f t="shared" si="83"/>
        <v>20808</v>
      </c>
      <c r="AI124" s="636"/>
      <c r="AJ124" s="634">
        <f t="shared" si="84"/>
        <v>145</v>
      </c>
      <c r="AK124" s="635"/>
      <c r="AL124" s="636">
        <f t="shared" si="85"/>
        <v>4930</v>
      </c>
      <c r="AM124" s="637"/>
      <c r="AN124" s="692">
        <f t="shared" si="86"/>
        <v>1416</v>
      </c>
      <c r="AO124" s="693"/>
      <c r="AP124" s="695">
        <f t="shared" si="87"/>
        <v>47633</v>
      </c>
      <c r="AQ124" s="695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44"/>
      <c r="B125" s="9"/>
      <c r="C125" s="672" t="s">
        <v>67</v>
      </c>
      <c r="D125" s="672"/>
      <c r="E125" s="672"/>
      <c r="F125" s="672"/>
      <c r="G125" s="672"/>
      <c r="H125" s="715"/>
      <c r="I125" s="709">
        <f t="shared" si="72"/>
        <v>0</v>
      </c>
      <c r="J125" s="702"/>
      <c r="K125" s="636">
        <f t="shared" si="73"/>
        <v>0</v>
      </c>
      <c r="L125" s="703"/>
      <c r="M125" s="702">
        <f t="shared" si="74"/>
        <v>8</v>
      </c>
      <c r="N125" s="702"/>
      <c r="O125" s="636">
        <f t="shared" si="75"/>
        <v>224</v>
      </c>
      <c r="P125" s="637"/>
      <c r="Q125" s="702">
        <f t="shared" si="76"/>
        <v>1</v>
      </c>
      <c r="R125" s="702"/>
      <c r="S125" s="636">
        <f t="shared" si="77"/>
        <v>28</v>
      </c>
      <c r="T125" s="637"/>
      <c r="U125" s="702">
        <f t="shared" si="78"/>
        <v>2</v>
      </c>
      <c r="V125" s="702"/>
      <c r="W125" s="704">
        <f t="shared" si="79"/>
        <v>50</v>
      </c>
      <c r="X125" s="704"/>
      <c r="Y125" s="711">
        <f t="shared" si="80"/>
        <v>0</v>
      </c>
      <c r="Z125" s="701"/>
      <c r="AA125" s="636">
        <f t="shared" si="81"/>
        <v>0</v>
      </c>
      <c r="AB125" s="708"/>
      <c r="AC125" s="710">
        <f t="shared" si="82"/>
        <v>0</v>
      </c>
      <c r="AD125" s="710"/>
      <c r="AE125" s="710"/>
      <c r="AF125" s="710"/>
      <c r="AG125" s="710"/>
      <c r="AH125" s="704">
        <f t="shared" si="83"/>
        <v>0</v>
      </c>
      <c r="AI125" s="636"/>
      <c r="AJ125" s="634">
        <f t="shared" si="84"/>
        <v>0</v>
      </c>
      <c r="AK125" s="635"/>
      <c r="AL125" s="636">
        <f t="shared" si="85"/>
        <v>0</v>
      </c>
      <c r="AM125" s="637"/>
      <c r="AN125" s="692">
        <f t="shared" si="86"/>
        <v>11</v>
      </c>
      <c r="AO125" s="693"/>
      <c r="AP125" s="695">
        <f t="shared" si="87"/>
        <v>302</v>
      </c>
      <c r="AQ125" s="695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44"/>
      <c r="B126" s="9"/>
      <c r="C126" s="647" t="s">
        <v>98</v>
      </c>
      <c r="D126" s="648"/>
      <c r="E126" s="648"/>
      <c r="F126" s="648"/>
      <c r="G126" s="648"/>
      <c r="H126" s="748"/>
      <c r="I126" s="709">
        <f t="shared" si="72"/>
        <v>0</v>
      </c>
      <c r="J126" s="702"/>
      <c r="K126" s="636">
        <f t="shared" si="73"/>
        <v>0</v>
      </c>
      <c r="L126" s="703"/>
      <c r="M126" s="702">
        <f t="shared" si="74"/>
        <v>0</v>
      </c>
      <c r="N126" s="702"/>
      <c r="O126" s="636">
        <f t="shared" si="75"/>
        <v>0</v>
      </c>
      <c r="P126" s="637"/>
      <c r="Q126" s="702">
        <f t="shared" si="76"/>
        <v>0</v>
      </c>
      <c r="R126" s="702"/>
      <c r="S126" s="636">
        <f t="shared" si="77"/>
        <v>0</v>
      </c>
      <c r="T126" s="637"/>
      <c r="U126" s="702">
        <f t="shared" si="78"/>
        <v>0</v>
      </c>
      <c r="V126" s="702"/>
      <c r="W126" s="704">
        <f t="shared" si="79"/>
        <v>0</v>
      </c>
      <c r="X126" s="704"/>
      <c r="Y126" s="711">
        <f t="shared" si="80"/>
        <v>0</v>
      </c>
      <c r="Z126" s="701"/>
      <c r="AA126" s="636">
        <f t="shared" si="81"/>
        <v>0</v>
      </c>
      <c r="AB126" s="708"/>
      <c r="AC126" s="710">
        <f t="shared" si="82"/>
        <v>0</v>
      </c>
      <c r="AD126" s="710"/>
      <c r="AE126" s="710"/>
      <c r="AF126" s="710"/>
      <c r="AG126" s="710"/>
      <c r="AH126" s="704">
        <f t="shared" si="83"/>
        <v>0</v>
      </c>
      <c r="AI126" s="636"/>
      <c r="AJ126" s="634">
        <f t="shared" si="84"/>
        <v>0</v>
      </c>
      <c r="AK126" s="635"/>
      <c r="AL126" s="636">
        <f t="shared" si="85"/>
        <v>0</v>
      </c>
      <c r="AM126" s="637"/>
      <c r="AN126" s="692">
        <f t="shared" si="86"/>
        <v>0</v>
      </c>
      <c r="AO126" s="693"/>
      <c r="AP126" s="695">
        <f t="shared" si="87"/>
        <v>0</v>
      </c>
      <c r="AQ126" s="695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44"/>
      <c r="B127" s="9"/>
      <c r="C127" s="647" t="s">
        <v>99</v>
      </c>
      <c r="D127" s="648"/>
      <c r="E127" s="648"/>
      <c r="F127" s="648"/>
      <c r="G127" s="648"/>
      <c r="H127" s="748"/>
      <c r="I127" s="709">
        <f t="shared" si="72"/>
        <v>0</v>
      </c>
      <c r="J127" s="702"/>
      <c r="K127" s="636">
        <f t="shared" si="73"/>
        <v>0</v>
      </c>
      <c r="L127" s="703"/>
      <c r="M127" s="702">
        <f t="shared" si="74"/>
        <v>0</v>
      </c>
      <c r="N127" s="702"/>
      <c r="O127" s="636">
        <f t="shared" si="75"/>
        <v>0</v>
      </c>
      <c r="P127" s="637"/>
      <c r="Q127" s="702">
        <f t="shared" si="76"/>
        <v>0</v>
      </c>
      <c r="R127" s="702"/>
      <c r="S127" s="636">
        <f t="shared" si="77"/>
        <v>0</v>
      </c>
      <c r="T127" s="637"/>
      <c r="U127" s="702">
        <f t="shared" si="78"/>
        <v>0</v>
      </c>
      <c r="V127" s="702"/>
      <c r="W127" s="704">
        <f t="shared" si="79"/>
        <v>0</v>
      </c>
      <c r="X127" s="704"/>
      <c r="Y127" s="711">
        <f t="shared" si="80"/>
        <v>1</v>
      </c>
      <c r="Z127" s="701"/>
      <c r="AA127" s="636">
        <f t="shared" si="81"/>
        <v>135</v>
      </c>
      <c r="AB127" s="708"/>
      <c r="AC127" s="710">
        <f t="shared" si="82"/>
        <v>0</v>
      </c>
      <c r="AD127" s="710"/>
      <c r="AE127" s="710"/>
      <c r="AF127" s="710"/>
      <c r="AG127" s="710"/>
      <c r="AH127" s="704">
        <f t="shared" si="83"/>
        <v>0</v>
      </c>
      <c r="AI127" s="636"/>
      <c r="AJ127" s="634">
        <f t="shared" si="84"/>
        <v>1</v>
      </c>
      <c r="AK127" s="635"/>
      <c r="AL127" s="636">
        <f t="shared" si="85"/>
        <v>125</v>
      </c>
      <c r="AM127" s="637"/>
      <c r="AN127" s="692">
        <f t="shared" si="86"/>
        <v>2</v>
      </c>
      <c r="AO127" s="693"/>
      <c r="AP127" s="695">
        <f t="shared" si="87"/>
        <v>260</v>
      </c>
      <c r="AQ127" s="695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44"/>
      <c r="B128" s="9"/>
      <c r="C128" s="647" t="s">
        <v>100</v>
      </c>
      <c r="D128" s="648"/>
      <c r="E128" s="648"/>
      <c r="F128" s="648"/>
      <c r="G128" s="648"/>
      <c r="H128" s="748"/>
      <c r="I128" s="709">
        <f t="shared" si="72"/>
        <v>0</v>
      </c>
      <c r="J128" s="702"/>
      <c r="K128" s="636">
        <f t="shared" si="73"/>
        <v>0</v>
      </c>
      <c r="L128" s="703"/>
      <c r="M128" s="702">
        <f t="shared" si="74"/>
        <v>0</v>
      </c>
      <c r="N128" s="702"/>
      <c r="O128" s="636">
        <f t="shared" si="75"/>
        <v>0</v>
      </c>
      <c r="P128" s="637"/>
      <c r="Q128" s="702">
        <f t="shared" si="76"/>
        <v>0</v>
      </c>
      <c r="R128" s="702"/>
      <c r="S128" s="636">
        <f t="shared" si="77"/>
        <v>0</v>
      </c>
      <c r="T128" s="637"/>
      <c r="U128" s="702">
        <f t="shared" si="78"/>
        <v>0</v>
      </c>
      <c r="V128" s="702"/>
      <c r="W128" s="704">
        <f t="shared" si="79"/>
        <v>0</v>
      </c>
      <c r="X128" s="704"/>
      <c r="Y128" s="711">
        <f t="shared" si="80"/>
        <v>0</v>
      </c>
      <c r="Z128" s="701"/>
      <c r="AA128" s="636">
        <f t="shared" si="81"/>
        <v>0</v>
      </c>
      <c r="AB128" s="708"/>
      <c r="AC128" s="710">
        <f t="shared" si="82"/>
        <v>4</v>
      </c>
      <c r="AD128" s="710"/>
      <c r="AE128" s="710"/>
      <c r="AF128" s="710"/>
      <c r="AG128" s="710"/>
      <c r="AH128" s="704">
        <f t="shared" si="83"/>
        <v>480</v>
      </c>
      <c r="AI128" s="636"/>
      <c r="AJ128" s="634">
        <f t="shared" si="84"/>
        <v>1</v>
      </c>
      <c r="AK128" s="635"/>
      <c r="AL128" s="636">
        <f t="shared" si="85"/>
        <v>120</v>
      </c>
      <c r="AM128" s="637"/>
      <c r="AN128" s="692">
        <f t="shared" si="86"/>
        <v>5</v>
      </c>
      <c r="AO128" s="693"/>
      <c r="AP128" s="695">
        <f t="shared" si="87"/>
        <v>600</v>
      </c>
      <c r="AQ128" s="695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44"/>
      <c r="B129" s="9"/>
      <c r="C129" s="647" t="s">
        <v>101</v>
      </c>
      <c r="D129" s="648"/>
      <c r="E129" s="648"/>
      <c r="F129" s="648"/>
      <c r="G129" s="648"/>
      <c r="H129" s="748"/>
      <c r="I129" s="709">
        <f t="shared" si="72"/>
        <v>0</v>
      </c>
      <c r="J129" s="702"/>
      <c r="K129" s="636">
        <f t="shared" si="73"/>
        <v>0</v>
      </c>
      <c r="L129" s="703"/>
      <c r="M129" s="702">
        <f t="shared" si="74"/>
        <v>0</v>
      </c>
      <c r="N129" s="702"/>
      <c r="O129" s="636">
        <f t="shared" si="75"/>
        <v>0</v>
      </c>
      <c r="P129" s="637"/>
      <c r="Q129" s="702">
        <f t="shared" si="76"/>
        <v>0</v>
      </c>
      <c r="R129" s="702"/>
      <c r="S129" s="636">
        <f t="shared" si="77"/>
        <v>0</v>
      </c>
      <c r="T129" s="637"/>
      <c r="U129" s="702">
        <f t="shared" si="78"/>
        <v>0</v>
      </c>
      <c r="V129" s="702"/>
      <c r="W129" s="704">
        <f t="shared" si="79"/>
        <v>0</v>
      </c>
      <c r="X129" s="704"/>
      <c r="Y129" s="711">
        <f t="shared" si="80"/>
        <v>0</v>
      </c>
      <c r="Z129" s="701"/>
      <c r="AA129" s="636">
        <f t="shared" si="81"/>
        <v>0</v>
      </c>
      <c r="AB129" s="708"/>
      <c r="AC129" s="710">
        <f t="shared" si="82"/>
        <v>1</v>
      </c>
      <c r="AD129" s="710"/>
      <c r="AE129" s="710"/>
      <c r="AF129" s="710"/>
      <c r="AG129" s="710"/>
      <c r="AH129" s="704">
        <f t="shared" si="83"/>
        <v>115</v>
      </c>
      <c r="AI129" s="636"/>
      <c r="AJ129" s="634">
        <f t="shared" si="84"/>
        <v>1</v>
      </c>
      <c r="AK129" s="635"/>
      <c r="AL129" s="636">
        <f t="shared" si="85"/>
        <v>115</v>
      </c>
      <c r="AM129" s="637"/>
      <c r="AN129" s="692">
        <f t="shared" si="86"/>
        <v>2</v>
      </c>
      <c r="AO129" s="693"/>
      <c r="AP129" s="695">
        <f t="shared" si="87"/>
        <v>230</v>
      </c>
      <c r="AQ129" s="695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44"/>
      <c r="B130" s="9"/>
      <c r="C130" s="654" t="s">
        <v>53</v>
      </c>
      <c r="D130" s="654"/>
      <c r="E130" s="654"/>
      <c r="F130" s="654"/>
      <c r="G130" s="654"/>
      <c r="H130" s="647"/>
      <c r="I130" s="709">
        <f t="shared" si="72"/>
        <v>0</v>
      </c>
      <c r="J130" s="702"/>
      <c r="K130" s="636">
        <f t="shared" si="73"/>
        <v>0</v>
      </c>
      <c r="L130" s="703"/>
      <c r="M130" s="702">
        <f t="shared" si="74"/>
        <v>0</v>
      </c>
      <c r="N130" s="702"/>
      <c r="O130" s="636">
        <f t="shared" si="75"/>
        <v>0</v>
      </c>
      <c r="P130" s="637"/>
      <c r="Q130" s="702">
        <f t="shared" si="76"/>
        <v>2</v>
      </c>
      <c r="R130" s="702"/>
      <c r="S130" s="636">
        <f t="shared" si="77"/>
        <v>50</v>
      </c>
      <c r="T130" s="637"/>
      <c r="U130" s="702">
        <f t="shared" si="78"/>
        <v>2</v>
      </c>
      <c r="V130" s="702"/>
      <c r="W130" s="704">
        <f t="shared" si="79"/>
        <v>50</v>
      </c>
      <c r="X130" s="704"/>
      <c r="Y130" s="711">
        <f t="shared" si="80"/>
        <v>0</v>
      </c>
      <c r="Z130" s="701"/>
      <c r="AA130" s="636">
        <f t="shared" si="81"/>
        <v>0</v>
      </c>
      <c r="AB130" s="708"/>
      <c r="AC130" s="710">
        <f t="shared" si="82"/>
        <v>0</v>
      </c>
      <c r="AD130" s="710"/>
      <c r="AE130" s="710"/>
      <c r="AF130" s="710"/>
      <c r="AG130" s="710"/>
      <c r="AH130" s="704">
        <f t="shared" si="83"/>
        <v>0</v>
      </c>
      <c r="AI130" s="636"/>
      <c r="AJ130" s="634">
        <f t="shared" si="84"/>
        <v>0</v>
      </c>
      <c r="AK130" s="635"/>
      <c r="AL130" s="636">
        <f t="shared" si="85"/>
        <v>0</v>
      </c>
      <c r="AM130" s="637"/>
      <c r="AN130" s="692">
        <f t="shared" si="86"/>
        <v>4</v>
      </c>
      <c r="AO130" s="693"/>
      <c r="AP130" s="695">
        <f t="shared" si="87"/>
        <v>100</v>
      </c>
      <c r="AQ130" s="695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44"/>
      <c r="B131" s="9"/>
      <c r="C131" s="654" t="s">
        <v>14</v>
      </c>
      <c r="D131" s="654"/>
      <c r="E131" s="654"/>
      <c r="F131" s="654"/>
      <c r="G131" s="654"/>
      <c r="H131" s="647"/>
      <c r="I131" s="709">
        <f t="shared" si="72"/>
        <v>1</v>
      </c>
      <c r="J131" s="702"/>
      <c r="K131" s="636">
        <f t="shared" si="73"/>
        <v>90</v>
      </c>
      <c r="L131" s="703"/>
      <c r="M131" s="702">
        <f t="shared" si="74"/>
        <v>0</v>
      </c>
      <c r="N131" s="702"/>
      <c r="O131" s="636">
        <f t="shared" si="75"/>
        <v>0</v>
      </c>
      <c r="P131" s="637"/>
      <c r="Q131" s="702">
        <f t="shared" si="76"/>
        <v>1</v>
      </c>
      <c r="R131" s="702"/>
      <c r="S131" s="636">
        <f t="shared" si="77"/>
        <v>105</v>
      </c>
      <c r="T131" s="637"/>
      <c r="U131" s="702">
        <f t="shared" si="78"/>
        <v>1</v>
      </c>
      <c r="V131" s="702"/>
      <c r="W131" s="704">
        <f t="shared" si="79"/>
        <v>95</v>
      </c>
      <c r="X131" s="704"/>
      <c r="Y131" s="711">
        <f t="shared" si="80"/>
        <v>3</v>
      </c>
      <c r="Z131" s="701"/>
      <c r="AA131" s="636">
        <f t="shared" si="81"/>
        <v>270</v>
      </c>
      <c r="AB131" s="708"/>
      <c r="AC131" s="710">
        <f t="shared" si="82"/>
        <v>1</v>
      </c>
      <c r="AD131" s="710"/>
      <c r="AE131" s="710"/>
      <c r="AF131" s="710"/>
      <c r="AG131" s="710"/>
      <c r="AH131" s="704">
        <f t="shared" si="83"/>
        <v>90</v>
      </c>
      <c r="AI131" s="636"/>
      <c r="AJ131" s="634">
        <f t="shared" si="84"/>
        <v>1</v>
      </c>
      <c r="AK131" s="635"/>
      <c r="AL131" s="636">
        <f t="shared" si="85"/>
        <v>90</v>
      </c>
      <c r="AM131" s="637"/>
      <c r="AN131" s="692">
        <f t="shared" si="86"/>
        <v>8</v>
      </c>
      <c r="AO131" s="693"/>
      <c r="AP131" s="695">
        <f t="shared" si="87"/>
        <v>740</v>
      </c>
      <c r="AQ131" s="695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44"/>
      <c r="B132" s="9"/>
      <c r="C132" s="654" t="s">
        <v>15</v>
      </c>
      <c r="D132" s="654"/>
      <c r="E132" s="654"/>
      <c r="F132" s="654"/>
      <c r="G132" s="654"/>
      <c r="H132" s="647"/>
      <c r="I132" s="709">
        <f t="shared" si="72"/>
        <v>2</v>
      </c>
      <c r="J132" s="702"/>
      <c r="K132" s="636">
        <f t="shared" si="73"/>
        <v>190</v>
      </c>
      <c r="L132" s="703"/>
      <c r="M132" s="702">
        <f t="shared" si="74"/>
        <v>3</v>
      </c>
      <c r="N132" s="702"/>
      <c r="O132" s="636">
        <f t="shared" si="75"/>
        <v>315</v>
      </c>
      <c r="P132" s="637"/>
      <c r="Q132" s="702">
        <f t="shared" si="76"/>
        <v>1</v>
      </c>
      <c r="R132" s="702"/>
      <c r="S132" s="636">
        <f t="shared" si="77"/>
        <v>100</v>
      </c>
      <c r="T132" s="637"/>
      <c r="U132" s="702">
        <f t="shared" si="78"/>
        <v>0</v>
      </c>
      <c r="V132" s="702"/>
      <c r="W132" s="704">
        <f t="shared" si="79"/>
        <v>0</v>
      </c>
      <c r="X132" s="704"/>
      <c r="Y132" s="711">
        <f t="shared" si="80"/>
        <v>2</v>
      </c>
      <c r="Z132" s="701"/>
      <c r="AA132" s="636">
        <f t="shared" si="81"/>
        <v>190</v>
      </c>
      <c r="AB132" s="708"/>
      <c r="AC132" s="710">
        <f t="shared" si="82"/>
        <v>0</v>
      </c>
      <c r="AD132" s="710"/>
      <c r="AE132" s="710"/>
      <c r="AF132" s="710"/>
      <c r="AG132" s="710"/>
      <c r="AH132" s="704">
        <f t="shared" si="83"/>
        <v>0</v>
      </c>
      <c r="AI132" s="636"/>
      <c r="AJ132" s="634">
        <f t="shared" si="84"/>
        <v>0</v>
      </c>
      <c r="AK132" s="635"/>
      <c r="AL132" s="636">
        <f t="shared" si="85"/>
        <v>0</v>
      </c>
      <c r="AM132" s="637"/>
      <c r="AN132" s="692">
        <f t="shared" si="86"/>
        <v>8</v>
      </c>
      <c r="AO132" s="693"/>
      <c r="AP132" s="695">
        <f t="shared" si="87"/>
        <v>795</v>
      </c>
      <c r="AQ132" s="695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44"/>
      <c r="B133" s="9"/>
      <c r="C133" s="654" t="s">
        <v>16</v>
      </c>
      <c r="D133" s="654"/>
      <c r="E133" s="654"/>
      <c r="F133" s="654"/>
      <c r="G133" s="654"/>
      <c r="H133" s="647"/>
      <c r="I133" s="709">
        <f t="shared" si="72"/>
        <v>3</v>
      </c>
      <c r="J133" s="702"/>
      <c r="K133" s="636">
        <f t="shared" si="73"/>
        <v>405</v>
      </c>
      <c r="L133" s="703"/>
      <c r="M133" s="702">
        <f t="shared" si="74"/>
        <v>0</v>
      </c>
      <c r="N133" s="702"/>
      <c r="O133" s="636">
        <f t="shared" si="75"/>
        <v>0</v>
      </c>
      <c r="P133" s="637"/>
      <c r="Q133" s="702">
        <f t="shared" si="76"/>
        <v>0</v>
      </c>
      <c r="R133" s="702"/>
      <c r="S133" s="636">
        <f t="shared" si="77"/>
        <v>0</v>
      </c>
      <c r="T133" s="637"/>
      <c r="U133" s="702">
        <f t="shared" si="78"/>
        <v>0</v>
      </c>
      <c r="V133" s="702"/>
      <c r="W133" s="704">
        <f t="shared" si="79"/>
        <v>0</v>
      </c>
      <c r="X133" s="704"/>
      <c r="Y133" s="711">
        <f t="shared" si="80"/>
        <v>0</v>
      </c>
      <c r="Z133" s="701"/>
      <c r="AA133" s="636">
        <f t="shared" si="81"/>
        <v>0</v>
      </c>
      <c r="AB133" s="708"/>
      <c r="AC133" s="710">
        <f t="shared" si="82"/>
        <v>1</v>
      </c>
      <c r="AD133" s="710"/>
      <c r="AE133" s="710"/>
      <c r="AF133" s="710"/>
      <c r="AG133" s="710"/>
      <c r="AH133" s="704">
        <f t="shared" si="83"/>
        <v>145</v>
      </c>
      <c r="AI133" s="636"/>
      <c r="AJ133" s="634">
        <f t="shared" si="84"/>
        <v>0</v>
      </c>
      <c r="AK133" s="635"/>
      <c r="AL133" s="636">
        <f t="shared" si="85"/>
        <v>0</v>
      </c>
      <c r="AM133" s="637"/>
      <c r="AN133" s="692">
        <f t="shared" si="86"/>
        <v>4</v>
      </c>
      <c r="AO133" s="693"/>
      <c r="AP133" s="695">
        <f t="shared" si="87"/>
        <v>550</v>
      </c>
      <c r="AQ133" s="695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44"/>
      <c r="B134" s="9"/>
      <c r="C134" s="654" t="s">
        <v>54</v>
      </c>
      <c r="D134" s="654"/>
      <c r="E134" s="654"/>
      <c r="F134" s="654"/>
      <c r="G134" s="654"/>
      <c r="H134" s="647"/>
      <c r="I134" s="709">
        <f t="shared" si="72"/>
        <v>0</v>
      </c>
      <c r="J134" s="702"/>
      <c r="K134" s="636">
        <f t="shared" si="73"/>
        <v>0</v>
      </c>
      <c r="L134" s="703"/>
      <c r="M134" s="702">
        <f t="shared" si="74"/>
        <v>5</v>
      </c>
      <c r="N134" s="702"/>
      <c r="O134" s="636">
        <f t="shared" si="75"/>
        <v>500</v>
      </c>
      <c r="P134" s="637"/>
      <c r="Q134" s="702">
        <f t="shared" si="76"/>
        <v>5</v>
      </c>
      <c r="R134" s="702"/>
      <c r="S134" s="636">
        <f t="shared" si="77"/>
        <v>500</v>
      </c>
      <c r="T134" s="637"/>
      <c r="U134" s="702">
        <f t="shared" si="78"/>
        <v>6</v>
      </c>
      <c r="V134" s="702"/>
      <c r="W134" s="704">
        <f t="shared" si="79"/>
        <v>600</v>
      </c>
      <c r="X134" s="704"/>
      <c r="Y134" s="711">
        <f t="shared" si="80"/>
        <v>6</v>
      </c>
      <c r="Z134" s="701"/>
      <c r="AA134" s="636">
        <f t="shared" si="81"/>
        <v>600</v>
      </c>
      <c r="AB134" s="708"/>
      <c r="AC134" s="710">
        <f t="shared" si="82"/>
        <v>4</v>
      </c>
      <c r="AD134" s="710"/>
      <c r="AE134" s="710"/>
      <c r="AF134" s="710"/>
      <c r="AG134" s="710"/>
      <c r="AH134" s="704">
        <f t="shared" si="83"/>
        <v>400</v>
      </c>
      <c r="AI134" s="636"/>
      <c r="AJ134" s="634">
        <f t="shared" si="84"/>
        <v>2</v>
      </c>
      <c r="AK134" s="635"/>
      <c r="AL134" s="636">
        <f t="shared" si="85"/>
        <v>200</v>
      </c>
      <c r="AM134" s="637"/>
      <c r="AN134" s="692">
        <f t="shared" si="86"/>
        <v>28</v>
      </c>
      <c r="AO134" s="693"/>
      <c r="AP134" s="695">
        <f t="shared" si="87"/>
        <v>2800</v>
      </c>
      <c r="AQ134" s="695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44"/>
      <c r="B135" s="9"/>
      <c r="C135" s="654" t="s">
        <v>17</v>
      </c>
      <c r="D135" s="654"/>
      <c r="E135" s="654"/>
      <c r="F135" s="654"/>
      <c r="G135" s="654"/>
      <c r="H135" s="647"/>
      <c r="I135" s="709">
        <f t="shared" si="72"/>
        <v>0</v>
      </c>
      <c r="J135" s="702"/>
      <c r="K135" s="636">
        <f t="shared" si="73"/>
        <v>0</v>
      </c>
      <c r="L135" s="703"/>
      <c r="M135" s="702">
        <f t="shared" si="74"/>
        <v>0</v>
      </c>
      <c r="N135" s="702"/>
      <c r="O135" s="636">
        <f t="shared" si="75"/>
        <v>0</v>
      </c>
      <c r="P135" s="637"/>
      <c r="Q135" s="702">
        <f t="shared" si="76"/>
        <v>0</v>
      </c>
      <c r="R135" s="702"/>
      <c r="S135" s="636">
        <f t="shared" si="77"/>
        <v>0</v>
      </c>
      <c r="T135" s="637"/>
      <c r="U135" s="702">
        <f t="shared" si="78"/>
        <v>0</v>
      </c>
      <c r="V135" s="702"/>
      <c r="W135" s="704">
        <f t="shared" si="79"/>
        <v>0</v>
      </c>
      <c r="X135" s="704"/>
      <c r="Y135" s="711">
        <f t="shared" si="80"/>
        <v>0</v>
      </c>
      <c r="Z135" s="701"/>
      <c r="AA135" s="636">
        <f t="shared" si="81"/>
        <v>0</v>
      </c>
      <c r="AB135" s="708"/>
      <c r="AC135" s="710">
        <f t="shared" si="82"/>
        <v>0</v>
      </c>
      <c r="AD135" s="710"/>
      <c r="AE135" s="710"/>
      <c r="AF135" s="710"/>
      <c r="AG135" s="710"/>
      <c r="AH135" s="704">
        <f t="shared" si="83"/>
        <v>0</v>
      </c>
      <c r="AI135" s="636"/>
      <c r="AJ135" s="634">
        <f t="shared" si="84"/>
        <v>0</v>
      </c>
      <c r="AK135" s="635"/>
      <c r="AL135" s="636">
        <f t="shared" si="85"/>
        <v>0</v>
      </c>
      <c r="AM135" s="637"/>
      <c r="AN135" s="692">
        <f t="shared" si="86"/>
        <v>0</v>
      </c>
      <c r="AO135" s="693"/>
      <c r="AP135" s="695">
        <f t="shared" si="87"/>
        <v>0</v>
      </c>
      <c r="AQ135" s="695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44"/>
      <c r="B136" s="9"/>
      <c r="C136" s="654" t="s">
        <v>59</v>
      </c>
      <c r="D136" s="654"/>
      <c r="E136" s="654"/>
      <c r="F136" s="654"/>
      <c r="G136" s="654"/>
      <c r="H136" s="647"/>
      <c r="I136" s="709">
        <f t="shared" si="72"/>
        <v>0</v>
      </c>
      <c r="J136" s="702"/>
      <c r="K136" s="636">
        <f t="shared" si="73"/>
        <v>0</v>
      </c>
      <c r="L136" s="703"/>
      <c r="M136" s="702">
        <f t="shared" si="74"/>
        <v>3</v>
      </c>
      <c r="N136" s="702"/>
      <c r="O136" s="636">
        <f t="shared" si="75"/>
        <v>300</v>
      </c>
      <c r="P136" s="637"/>
      <c r="Q136" s="702">
        <f t="shared" si="76"/>
        <v>5</v>
      </c>
      <c r="R136" s="702"/>
      <c r="S136" s="636">
        <f t="shared" si="77"/>
        <v>500</v>
      </c>
      <c r="T136" s="637"/>
      <c r="U136" s="702">
        <f t="shared" si="78"/>
        <v>5</v>
      </c>
      <c r="V136" s="702"/>
      <c r="W136" s="704">
        <f t="shared" si="79"/>
        <v>500</v>
      </c>
      <c r="X136" s="704"/>
      <c r="Y136" s="711">
        <f t="shared" si="80"/>
        <v>6</v>
      </c>
      <c r="Z136" s="701"/>
      <c r="AA136" s="636">
        <f t="shared" si="81"/>
        <v>590</v>
      </c>
      <c r="AB136" s="708"/>
      <c r="AC136" s="710">
        <f t="shared" si="82"/>
        <v>2</v>
      </c>
      <c r="AD136" s="710"/>
      <c r="AE136" s="710"/>
      <c r="AF136" s="710"/>
      <c r="AG136" s="710"/>
      <c r="AH136" s="704">
        <f t="shared" si="83"/>
        <v>190</v>
      </c>
      <c r="AI136" s="636"/>
      <c r="AJ136" s="634">
        <f t="shared" si="84"/>
        <v>4</v>
      </c>
      <c r="AK136" s="635"/>
      <c r="AL136" s="636">
        <f t="shared" si="85"/>
        <v>360</v>
      </c>
      <c r="AM136" s="637"/>
      <c r="AN136" s="692">
        <f t="shared" si="86"/>
        <v>25</v>
      </c>
      <c r="AO136" s="693"/>
      <c r="AP136" s="695">
        <f t="shared" si="87"/>
        <v>2440</v>
      </c>
      <c r="AQ136" s="695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44"/>
      <c r="B137" s="9"/>
      <c r="C137" s="654" t="s">
        <v>18</v>
      </c>
      <c r="D137" s="654"/>
      <c r="E137" s="654"/>
      <c r="F137" s="654"/>
      <c r="G137" s="654"/>
      <c r="H137" s="647"/>
      <c r="I137" s="709">
        <f t="shared" si="72"/>
        <v>0</v>
      </c>
      <c r="J137" s="702"/>
      <c r="K137" s="636">
        <f t="shared" si="73"/>
        <v>0</v>
      </c>
      <c r="L137" s="703"/>
      <c r="M137" s="702">
        <f t="shared" si="74"/>
        <v>1</v>
      </c>
      <c r="N137" s="702"/>
      <c r="O137" s="636">
        <f t="shared" si="75"/>
        <v>240</v>
      </c>
      <c r="P137" s="637"/>
      <c r="Q137" s="702">
        <f t="shared" si="76"/>
        <v>0</v>
      </c>
      <c r="R137" s="702"/>
      <c r="S137" s="636">
        <f t="shared" si="77"/>
        <v>0</v>
      </c>
      <c r="T137" s="637"/>
      <c r="U137" s="702">
        <f t="shared" si="78"/>
        <v>0</v>
      </c>
      <c r="V137" s="702"/>
      <c r="W137" s="704">
        <f t="shared" si="79"/>
        <v>0</v>
      </c>
      <c r="X137" s="704"/>
      <c r="Y137" s="711">
        <f t="shared" si="80"/>
        <v>0</v>
      </c>
      <c r="Z137" s="701"/>
      <c r="AA137" s="636">
        <f t="shared" si="81"/>
        <v>0</v>
      </c>
      <c r="AB137" s="708"/>
      <c r="AC137" s="710">
        <f t="shared" si="82"/>
        <v>0</v>
      </c>
      <c r="AD137" s="710"/>
      <c r="AE137" s="710"/>
      <c r="AF137" s="710"/>
      <c r="AG137" s="710"/>
      <c r="AH137" s="704">
        <f t="shared" si="83"/>
        <v>0</v>
      </c>
      <c r="AI137" s="636"/>
      <c r="AJ137" s="634">
        <f t="shared" si="84"/>
        <v>0</v>
      </c>
      <c r="AK137" s="635"/>
      <c r="AL137" s="636">
        <f t="shared" si="85"/>
        <v>0</v>
      </c>
      <c r="AM137" s="637"/>
      <c r="AN137" s="692">
        <f t="shared" si="86"/>
        <v>1</v>
      </c>
      <c r="AO137" s="693"/>
      <c r="AP137" s="695">
        <f t="shared" si="87"/>
        <v>240</v>
      </c>
      <c r="AQ137" s="695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44"/>
      <c r="B138" s="9"/>
      <c r="C138" s="654" t="s">
        <v>19</v>
      </c>
      <c r="D138" s="654"/>
      <c r="E138" s="654"/>
      <c r="F138" s="654"/>
      <c r="G138" s="654"/>
      <c r="H138" s="647"/>
      <c r="I138" s="709">
        <f t="shared" si="72"/>
        <v>0</v>
      </c>
      <c r="J138" s="702"/>
      <c r="K138" s="636">
        <f t="shared" si="73"/>
        <v>0</v>
      </c>
      <c r="L138" s="703"/>
      <c r="M138" s="702">
        <f t="shared" si="74"/>
        <v>0</v>
      </c>
      <c r="N138" s="702"/>
      <c r="O138" s="636">
        <f t="shared" si="75"/>
        <v>0</v>
      </c>
      <c r="P138" s="637"/>
      <c r="Q138" s="702">
        <f t="shared" si="76"/>
        <v>0</v>
      </c>
      <c r="R138" s="702"/>
      <c r="S138" s="636">
        <f t="shared" si="77"/>
        <v>0</v>
      </c>
      <c r="T138" s="637"/>
      <c r="U138" s="702">
        <f t="shared" si="78"/>
        <v>0</v>
      </c>
      <c r="V138" s="702"/>
      <c r="W138" s="704">
        <f t="shared" si="79"/>
        <v>0</v>
      </c>
      <c r="X138" s="704"/>
      <c r="Y138" s="711">
        <f t="shared" si="80"/>
        <v>0</v>
      </c>
      <c r="Z138" s="701"/>
      <c r="AA138" s="636">
        <f t="shared" si="81"/>
        <v>0</v>
      </c>
      <c r="AB138" s="708"/>
      <c r="AC138" s="710">
        <f t="shared" si="82"/>
        <v>0</v>
      </c>
      <c r="AD138" s="710"/>
      <c r="AE138" s="710"/>
      <c r="AF138" s="710"/>
      <c r="AG138" s="710"/>
      <c r="AH138" s="704">
        <f t="shared" si="83"/>
        <v>0</v>
      </c>
      <c r="AI138" s="636"/>
      <c r="AJ138" s="634">
        <f t="shared" si="84"/>
        <v>0</v>
      </c>
      <c r="AK138" s="635"/>
      <c r="AL138" s="636">
        <f t="shared" si="85"/>
        <v>0</v>
      </c>
      <c r="AM138" s="637"/>
      <c r="AN138" s="692">
        <f t="shared" si="86"/>
        <v>0</v>
      </c>
      <c r="AO138" s="693"/>
      <c r="AP138" s="695">
        <f t="shared" si="87"/>
        <v>0</v>
      </c>
      <c r="AQ138" s="695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44"/>
      <c r="B139" s="9"/>
      <c r="C139" s="654" t="s">
        <v>20</v>
      </c>
      <c r="D139" s="654"/>
      <c r="E139" s="654"/>
      <c r="F139" s="654"/>
      <c r="G139" s="654"/>
      <c r="H139" s="647"/>
      <c r="I139" s="709">
        <f t="shared" si="72"/>
        <v>0</v>
      </c>
      <c r="J139" s="702"/>
      <c r="K139" s="636">
        <f t="shared" si="73"/>
        <v>0</v>
      </c>
      <c r="L139" s="703"/>
      <c r="M139" s="702">
        <f t="shared" si="74"/>
        <v>2</v>
      </c>
      <c r="N139" s="702"/>
      <c r="O139" s="636">
        <f t="shared" si="75"/>
        <v>11</v>
      </c>
      <c r="P139" s="637"/>
      <c r="Q139" s="702">
        <f t="shared" si="76"/>
        <v>2</v>
      </c>
      <c r="R139" s="702"/>
      <c r="S139" s="636">
        <f t="shared" si="77"/>
        <v>11</v>
      </c>
      <c r="T139" s="637"/>
      <c r="U139" s="702">
        <f t="shared" si="78"/>
        <v>17</v>
      </c>
      <c r="V139" s="702"/>
      <c r="W139" s="704">
        <f t="shared" si="79"/>
        <v>93.5</v>
      </c>
      <c r="X139" s="704"/>
      <c r="Y139" s="711">
        <f t="shared" si="80"/>
        <v>1</v>
      </c>
      <c r="Z139" s="701"/>
      <c r="AA139" s="636">
        <f t="shared" si="81"/>
        <v>5.5</v>
      </c>
      <c r="AB139" s="708"/>
      <c r="AC139" s="710">
        <f t="shared" si="82"/>
        <v>27</v>
      </c>
      <c r="AD139" s="710"/>
      <c r="AE139" s="710"/>
      <c r="AF139" s="710"/>
      <c r="AG139" s="710"/>
      <c r="AH139" s="704">
        <f t="shared" si="83"/>
        <v>143</v>
      </c>
      <c r="AI139" s="636"/>
      <c r="AJ139" s="634">
        <f t="shared" si="84"/>
        <v>0</v>
      </c>
      <c r="AK139" s="635"/>
      <c r="AL139" s="636">
        <f t="shared" si="85"/>
        <v>0</v>
      </c>
      <c r="AM139" s="637"/>
      <c r="AN139" s="692">
        <f t="shared" si="86"/>
        <v>49</v>
      </c>
      <c r="AO139" s="693"/>
      <c r="AP139" s="695">
        <f t="shared" si="87"/>
        <v>264</v>
      </c>
      <c r="AQ139" s="695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44"/>
      <c r="B140" s="9"/>
      <c r="C140" s="654" t="s">
        <v>21</v>
      </c>
      <c r="D140" s="654"/>
      <c r="E140" s="654"/>
      <c r="F140" s="654"/>
      <c r="G140" s="654"/>
      <c r="H140" s="647"/>
      <c r="I140" s="709">
        <f t="shared" ref="I140:I171" si="88">M40+Y40+AP40+BD40</f>
        <v>0</v>
      </c>
      <c r="J140" s="702"/>
      <c r="K140" s="636">
        <f t="shared" ref="K140:K171" si="89">N40+Z40+AQ40+BE40</f>
        <v>0</v>
      </c>
      <c r="L140" s="703"/>
      <c r="M140" s="702">
        <f t="shared" ref="M140:M171" si="90">BP40+CI40+DA40+DU40</f>
        <v>1</v>
      </c>
      <c r="N140" s="702"/>
      <c r="O140" s="636">
        <f t="shared" ref="O140:O171" si="91">BQ40+CJ40+DB40+DV40</f>
        <v>13</v>
      </c>
      <c r="P140" s="637"/>
      <c r="Q140" s="702">
        <f t="shared" ref="Q140:Q171" si="92">EO40+FT40</f>
        <v>1</v>
      </c>
      <c r="R140" s="702"/>
      <c r="S140" s="636">
        <f t="shared" ref="S140:S171" si="93">EP40+FU40</f>
        <v>13</v>
      </c>
      <c r="T140" s="637"/>
      <c r="U140" s="702">
        <f t="shared" ref="U140:U171" si="94">GQ40+HL40+HW40+IM40</f>
        <v>3</v>
      </c>
      <c r="V140" s="702"/>
      <c r="W140" s="704">
        <f t="shared" ref="W140:W171" si="95">GR40+HM40+HX40+IN40</f>
        <v>39</v>
      </c>
      <c r="X140" s="704"/>
      <c r="Y140" s="711">
        <f t="shared" ref="Y140:Y171" si="96">IY40+KE40+KS40+LF40</f>
        <v>4</v>
      </c>
      <c r="Z140" s="701"/>
      <c r="AA140" s="636">
        <f t="shared" ref="AA140:AA171" si="97">IZ40+KF40+KT40+LG40</f>
        <v>52</v>
      </c>
      <c r="AB140" s="708"/>
      <c r="AC140" s="710">
        <f t="shared" ref="AC140:AC171" si="98">ME40+ND40</f>
        <v>7</v>
      </c>
      <c r="AD140" s="710"/>
      <c r="AE140" s="710"/>
      <c r="AF140" s="710"/>
      <c r="AG140" s="710"/>
      <c r="AH140" s="704">
        <f t="shared" ref="AH140:AH171" si="99">MF40+NE40</f>
        <v>91</v>
      </c>
      <c r="AI140" s="636"/>
      <c r="AJ140" s="634">
        <f t="shared" si="84"/>
        <v>2</v>
      </c>
      <c r="AK140" s="635"/>
      <c r="AL140" s="636">
        <f t="shared" si="85"/>
        <v>22</v>
      </c>
      <c r="AM140" s="637"/>
      <c r="AN140" s="692">
        <f t="shared" si="86"/>
        <v>18</v>
      </c>
      <c r="AO140" s="693"/>
      <c r="AP140" s="695">
        <f t="shared" si="87"/>
        <v>230</v>
      </c>
      <c r="AQ140" s="695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44"/>
      <c r="B141" s="9"/>
      <c r="C141" s="654" t="s">
        <v>22</v>
      </c>
      <c r="D141" s="654"/>
      <c r="E141" s="654"/>
      <c r="F141" s="654"/>
      <c r="G141" s="654"/>
      <c r="H141" s="647"/>
      <c r="I141" s="709">
        <f t="shared" si="88"/>
        <v>4</v>
      </c>
      <c r="J141" s="702"/>
      <c r="K141" s="636">
        <f t="shared" si="89"/>
        <v>44</v>
      </c>
      <c r="L141" s="703"/>
      <c r="M141" s="702">
        <f t="shared" si="90"/>
        <v>0</v>
      </c>
      <c r="N141" s="702"/>
      <c r="O141" s="636">
        <f t="shared" si="91"/>
        <v>0</v>
      </c>
      <c r="P141" s="637"/>
      <c r="Q141" s="702">
        <f t="shared" si="92"/>
        <v>0</v>
      </c>
      <c r="R141" s="702"/>
      <c r="S141" s="636">
        <f t="shared" si="93"/>
        <v>0</v>
      </c>
      <c r="T141" s="637"/>
      <c r="U141" s="702">
        <f t="shared" si="94"/>
        <v>6</v>
      </c>
      <c r="V141" s="702"/>
      <c r="W141" s="704">
        <f t="shared" si="95"/>
        <v>69</v>
      </c>
      <c r="X141" s="704"/>
      <c r="Y141" s="711">
        <f t="shared" si="96"/>
        <v>0</v>
      </c>
      <c r="Z141" s="701"/>
      <c r="AA141" s="636">
        <f t="shared" si="97"/>
        <v>0</v>
      </c>
      <c r="AB141" s="708"/>
      <c r="AC141" s="710">
        <f t="shared" si="98"/>
        <v>7</v>
      </c>
      <c r="AD141" s="710"/>
      <c r="AE141" s="710"/>
      <c r="AF141" s="710"/>
      <c r="AG141" s="710"/>
      <c r="AH141" s="704">
        <f t="shared" si="99"/>
        <v>78.5</v>
      </c>
      <c r="AI141" s="636"/>
      <c r="AJ141" s="634">
        <f t="shared" si="84"/>
        <v>1</v>
      </c>
      <c r="AK141" s="635"/>
      <c r="AL141" s="636">
        <f t="shared" si="85"/>
        <v>11</v>
      </c>
      <c r="AM141" s="637"/>
      <c r="AN141" s="692">
        <f t="shared" si="86"/>
        <v>18</v>
      </c>
      <c r="AO141" s="693"/>
      <c r="AP141" s="695">
        <f t="shared" si="87"/>
        <v>202.5</v>
      </c>
      <c r="AQ141" s="695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44"/>
      <c r="B142" s="9"/>
      <c r="C142" s="654" t="s">
        <v>23</v>
      </c>
      <c r="D142" s="654"/>
      <c r="E142" s="654"/>
      <c r="F142" s="654"/>
      <c r="G142" s="654"/>
      <c r="H142" s="647"/>
      <c r="I142" s="709">
        <f t="shared" si="88"/>
        <v>0</v>
      </c>
      <c r="J142" s="702"/>
      <c r="K142" s="636">
        <f t="shared" si="89"/>
        <v>0</v>
      </c>
      <c r="L142" s="703"/>
      <c r="M142" s="702">
        <f t="shared" si="90"/>
        <v>0</v>
      </c>
      <c r="N142" s="702"/>
      <c r="O142" s="636">
        <f t="shared" si="91"/>
        <v>0</v>
      </c>
      <c r="P142" s="637"/>
      <c r="Q142" s="702">
        <f t="shared" si="92"/>
        <v>0</v>
      </c>
      <c r="R142" s="702"/>
      <c r="S142" s="636">
        <f t="shared" si="93"/>
        <v>0</v>
      </c>
      <c r="T142" s="637"/>
      <c r="U142" s="702">
        <f t="shared" si="94"/>
        <v>11</v>
      </c>
      <c r="V142" s="702"/>
      <c r="W142" s="704">
        <f t="shared" si="95"/>
        <v>44</v>
      </c>
      <c r="X142" s="704"/>
      <c r="Y142" s="711">
        <f t="shared" si="96"/>
        <v>0</v>
      </c>
      <c r="Z142" s="701"/>
      <c r="AA142" s="636">
        <f t="shared" si="97"/>
        <v>0</v>
      </c>
      <c r="AB142" s="708"/>
      <c r="AC142" s="710">
        <f t="shared" si="98"/>
        <v>0</v>
      </c>
      <c r="AD142" s="710"/>
      <c r="AE142" s="710"/>
      <c r="AF142" s="710"/>
      <c r="AG142" s="710"/>
      <c r="AH142" s="704">
        <f t="shared" si="99"/>
        <v>0</v>
      </c>
      <c r="AI142" s="636"/>
      <c r="AJ142" s="634">
        <f t="shared" si="84"/>
        <v>0</v>
      </c>
      <c r="AK142" s="635"/>
      <c r="AL142" s="636">
        <f t="shared" si="85"/>
        <v>0</v>
      </c>
      <c r="AM142" s="637"/>
      <c r="AN142" s="692">
        <f t="shared" si="86"/>
        <v>11</v>
      </c>
      <c r="AO142" s="693"/>
      <c r="AP142" s="695">
        <f t="shared" si="87"/>
        <v>44</v>
      </c>
      <c r="AQ142" s="695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44"/>
      <c r="B143" s="9"/>
      <c r="C143" s="654" t="s">
        <v>24</v>
      </c>
      <c r="D143" s="654"/>
      <c r="E143" s="654"/>
      <c r="F143" s="654"/>
      <c r="G143" s="654"/>
      <c r="H143" s="647"/>
      <c r="I143" s="709">
        <f t="shared" si="88"/>
        <v>1</v>
      </c>
      <c r="J143" s="702"/>
      <c r="K143" s="636">
        <f t="shared" si="89"/>
        <v>6</v>
      </c>
      <c r="L143" s="703"/>
      <c r="M143" s="702">
        <f t="shared" si="90"/>
        <v>1</v>
      </c>
      <c r="N143" s="702"/>
      <c r="O143" s="636">
        <f t="shared" si="91"/>
        <v>8.5</v>
      </c>
      <c r="P143" s="637"/>
      <c r="Q143" s="702">
        <f t="shared" si="92"/>
        <v>1</v>
      </c>
      <c r="R143" s="702"/>
      <c r="S143" s="636">
        <f t="shared" si="93"/>
        <v>8.5</v>
      </c>
      <c r="T143" s="637"/>
      <c r="U143" s="702">
        <f t="shared" si="94"/>
        <v>3</v>
      </c>
      <c r="V143" s="702"/>
      <c r="W143" s="704">
        <f t="shared" si="95"/>
        <v>25.5</v>
      </c>
      <c r="X143" s="704"/>
      <c r="Y143" s="711">
        <f t="shared" si="96"/>
        <v>1</v>
      </c>
      <c r="Z143" s="701"/>
      <c r="AA143" s="636">
        <f t="shared" si="97"/>
        <v>8.5</v>
      </c>
      <c r="AB143" s="708"/>
      <c r="AC143" s="710">
        <f t="shared" si="98"/>
        <v>17</v>
      </c>
      <c r="AD143" s="710"/>
      <c r="AE143" s="710"/>
      <c r="AF143" s="710"/>
      <c r="AG143" s="710"/>
      <c r="AH143" s="704">
        <f t="shared" si="99"/>
        <v>109.5</v>
      </c>
      <c r="AI143" s="636"/>
      <c r="AJ143" s="634">
        <f t="shared" si="84"/>
        <v>0</v>
      </c>
      <c r="AK143" s="635"/>
      <c r="AL143" s="636">
        <f t="shared" si="85"/>
        <v>0</v>
      </c>
      <c r="AM143" s="637"/>
      <c r="AN143" s="692">
        <f t="shared" si="86"/>
        <v>24</v>
      </c>
      <c r="AO143" s="693"/>
      <c r="AP143" s="695">
        <f t="shared" si="87"/>
        <v>166.5</v>
      </c>
      <c r="AQ143" s="695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44"/>
      <c r="B144" s="9"/>
      <c r="C144" s="654" t="s">
        <v>25</v>
      </c>
      <c r="D144" s="654"/>
      <c r="E144" s="654"/>
      <c r="F144" s="654"/>
      <c r="G144" s="654"/>
      <c r="H144" s="647"/>
      <c r="I144" s="709">
        <f t="shared" si="88"/>
        <v>0</v>
      </c>
      <c r="J144" s="702"/>
      <c r="K144" s="636">
        <f t="shared" si="89"/>
        <v>0</v>
      </c>
      <c r="L144" s="703"/>
      <c r="M144" s="702">
        <f t="shared" si="90"/>
        <v>0</v>
      </c>
      <c r="N144" s="702"/>
      <c r="O144" s="636">
        <f t="shared" si="91"/>
        <v>0</v>
      </c>
      <c r="P144" s="637"/>
      <c r="Q144" s="702">
        <f t="shared" si="92"/>
        <v>0</v>
      </c>
      <c r="R144" s="702"/>
      <c r="S144" s="636">
        <f t="shared" si="93"/>
        <v>0</v>
      </c>
      <c r="T144" s="637"/>
      <c r="U144" s="702">
        <f t="shared" si="94"/>
        <v>2</v>
      </c>
      <c r="V144" s="702"/>
      <c r="W144" s="704">
        <f t="shared" si="95"/>
        <v>52</v>
      </c>
      <c r="X144" s="704"/>
      <c r="Y144" s="711">
        <f t="shared" si="96"/>
        <v>0</v>
      </c>
      <c r="Z144" s="701"/>
      <c r="AA144" s="636">
        <f t="shared" si="97"/>
        <v>0</v>
      </c>
      <c r="AB144" s="708"/>
      <c r="AC144" s="710">
        <f t="shared" si="98"/>
        <v>0</v>
      </c>
      <c r="AD144" s="710"/>
      <c r="AE144" s="710"/>
      <c r="AF144" s="710"/>
      <c r="AG144" s="710"/>
      <c r="AH144" s="704">
        <f t="shared" si="99"/>
        <v>0</v>
      </c>
      <c r="AI144" s="636"/>
      <c r="AJ144" s="634">
        <f t="shared" si="84"/>
        <v>0</v>
      </c>
      <c r="AK144" s="635"/>
      <c r="AL144" s="636">
        <f t="shared" si="85"/>
        <v>0</v>
      </c>
      <c r="AM144" s="637"/>
      <c r="AN144" s="692">
        <f t="shared" si="86"/>
        <v>2</v>
      </c>
      <c r="AO144" s="693"/>
      <c r="AP144" s="695">
        <f t="shared" si="87"/>
        <v>52</v>
      </c>
      <c r="AQ144" s="695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44"/>
      <c r="B145" s="9"/>
      <c r="C145" s="654" t="s">
        <v>26</v>
      </c>
      <c r="D145" s="654"/>
      <c r="E145" s="654"/>
      <c r="F145" s="654"/>
      <c r="G145" s="654"/>
      <c r="H145" s="647"/>
      <c r="I145" s="709">
        <f t="shared" si="88"/>
        <v>0</v>
      </c>
      <c r="J145" s="702"/>
      <c r="K145" s="636">
        <f t="shared" si="89"/>
        <v>0</v>
      </c>
      <c r="L145" s="703"/>
      <c r="M145" s="702">
        <f t="shared" si="90"/>
        <v>0</v>
      </c>
      <c r="N145" s="702"/>
      <c r="O145" s="636">
        <f t="shared" si="91"/>
        <v>0</v>
      </c>
      <c r="P145" s="637"/>
      <c r="Q145" s="702">
        <f t="shared" si="92"/>
        <v>0</v>
      </c>
      <c r="R145" s="702"/>
      <c r="S145" s="636">
        <f t="shared" si="93"/>
        <v>0</v>
      </c>
      <c r="T145" s="637"/>
      <c r="U145" s="702">
        <f t="shared" si="94"/>
        <v>1</v>
      </c>
      <c r="V145" s="702"/>
      <c r="W145" s="704">
        <f t="shared" si="95"/>
        <v>40</v>
      </c>
      <c r="X145" s="704"/>
      <c r="Y145" s="711">
        <f t="shared" si="96"/>
        <v>0</v>
      </c>
      <c r="Z145" s="701"/>
      <c r="AA145" s="636">
        <f t="shared" si="97"/>
        <v>0</v>
      </c>
      <c r="AB145" s="708"/>
      <c r="AC145" s="710">
        <f t="shared" si="98"/>
        <v>1</v>
      </c>
      <c r="AD145" s="710"/>
      <c r="AE145" s="710"/>
      <c r="AF145" s="710"/>
      <c r="AG145" s="710"/>
      <c r="AH145" s="704">
        <f t="shared" si="99"/>
        <v>40</v>
      </c>
      <c r="AI145" s="636"/>
      <c r="AJ145" s="634">
        <f t="shared" si="84"/>
        <v>0</v>
      </c>
      <c r="AK145" s="635"/>
      <c r="AL145" s="636">
        <f t="shared" si="85"/>
        <v>0</v>
      </c>
      <c r="AM145" s="637"/>
      <c r="AN145" s="692">
        <f t="shared" si="86"/>
        <v>2</v>
      </c>
      <c r="AO145" s="693"/>
      <c r="AP145" s="695">
        <f t="shared" si="87"/>
        <v>80</v>
      </c>
      <c r="AQ145" s="695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44"/>
      <c r="B146" s="9"/>
      <c r="C146" s="654" t="s">
        <v>27</v>
      </c>
      <c r="D146" s="654"/>
      <c r="E146" s="654"/>
      <c r="F146" s="654"/>
      <c r="G146" s="654"/>
      <c r="H146" s="647"/>
      <c r="I146" s="709">
        <f t="shared" si="88"/>
        <v>1</v>
      </c>
      <c r="J146" s="702"/>
      <c r="K146" s="636">
        <f t="shared" si="89"/>
        <v>120</v>
      </c>
      <c r="L146" s="703"/>
      <c r="M146" s="702">
        <f t="shared" si="90"/>
        <v>2</v>
      </c>
      <c r="N146" s="702"/>
      <c r="O146" s="636">
        <f t="shared" si="91"/>
        <v>270</v>
      </c>
      <c r="P146" s="637"/>
      <c r="Q146" s="702">
        <f t="shared" si="92"/>
        <v>0</v>
      </c>
      <c r="R146" s="702"/>
      <c r="S146" s="636">
        <f t="shared" si="93"/>
        <v>0</v>
      </c>
      <c r="T146" s="637"/>
      <c r="U146" s="702">
        <f t="shared" si="94"/>
        <v>6</v>
      </c>
      <c r="V146" s="702"/>
      <c r="W146" s="704">
        <f t="shared" si="95"/>
        <v>810</v>
      </c>
      <c r="X146" s="704"/>
      <c r="Y146" s="711">
        <f t="shared" si="96"/>
        <v>2</v>
      </c>
      <c r="Z146" s="701"/>
      <c r="AA146" s="636">
        <f t="shared" si="97"/>
        <v>270</v>
      </c>
      <c r="AB146" s="708"/>
      <c r="AC146" s="710">
        <f t="shared" si="98"/>
        <v>12</v>
      </c>
      <c r="AD146" s="710"/>
      <c r="AE146" s="710"/>
      <c r="AF146" s="710"/>
      <c r="AG146" s="710"/>
      <c r="AH146" s="704">
        <f t="shared" si="99"/>
        <v>1590</v>
      </c>
      <c r="AI146" s="636"/>
      <c r="AJ146" s="634">
        <f t="shared" si="84"/>
        <v>11</v>
      </c>
      <c r="AK146" s="635"/>
      <c r="AL146" s="636">
        <f t="shared" si="85"/>
        <v>1430</v>
      </c>
      <c r="AM146" s="637"/>
      <c r="AN146" s="692">
        <f t="shared" si="86"/>
        <v>34</v>
      </c>
      <c r="AO146" s="693"/>
      <c r="AP146" s="695">
        <f t="shared" si="87"/>
        <v>4490</v>
      </c>
      <c r="AQ146" s="695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44"/>
      <c r="B147" s="9"/>
      <c r="C147" s="654" t="s">
        <v>28</v>
      </c>
      <c r="D147" s="654"/>
      <c r="E147" s="654"/>
      <c r="F147" s="654"/>
      <c r="G147" s="654"/>
      <c r="H147" s="647"/>
      <c r="I147" s="709">
        <f t="shared" si="88"/>
        <v>3</v>
      </c>
      <c r="J147" s="702"/>
      <c r="K147" s="636">
        <f t="shared" si="89"/>
        <v>84</v>
      </c>
      <c r="L147" s="703"/>
      <c r="M147" s="702">
        <f t="shared" si="90"/>
        <v>4</v>
      </c>
      <c r="N147" s="702"/>
      <c r="O147" s="636">
        <f t="shared" si="91"/>
        <v>140</v>
      </c>
      <c r="P147" s="637"/>
      <c r="Q147" s="702">
        <f t="shared" si="92"/>
        <v>3</v>
      </c>
      <c r="R147" s="702"/>
      <c r="S147" s="636">
        <f t="shared" si="93"/>
        <v>105</v>
      </c>
      <c r="T147" s="637"/>
      <c r="U147" s="702">
        <f t="shared" si="94"/>
        <v>0</v>
      </c>
      <c r="V147" s="702"/>
      <c r="W147" s="704">
        <f t="shared" si="95"/>
        <v>0</v>
      </c>
      <c r="X147" s="704"/>
      <c r="Y147" s="711">
        <f t="shared" si="96"/>
        <v>4</v>
      </c>
      <c r="Z147" s="701"/>
      <c r="AA147" s="636">
        <f t="shared" si="97"/>
        <v>140</v>
      </c>
      <c r="AB147" s="708"/>
      <c r="AC147" s="710">
        <f t="shared" si="98"/>
        <v>6</v>
      </c>
      <c r="AD147" s="710"/>
      <c r="AE147" s="710"/>
      <c r="AF147" s="710"/>
      <c r="AG147" s="710"/>
      <c r="AH147" s="704">
        <f t="shared" si="99"/>
        <v>210</v>
      </c>
      <c r="AI147" s="636"/>
      <c r="AJ147" s="634">
        <f t="shared" si="84"/>
        <v>4</v>
      </c>
      <c r="AK147" s="635"/>
      <c r="AL147" s="636">
        <f t="shared" si="85"/>
        <v>120</v>
      </c>
      <c r="AM147" s="637"/>
      <c r="AN147" s="692">
        <f t="shared" si="86"/>
        <v>24</v>
      </c>
      <c r="AO147" s="693"/>
      <c r="AP147" s="695">
        <f t="shared" si="87"/>
        <v>799</v>
      </c>
      <c r="AQ147" s="695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44"/>
      <c r="B148" s="9"/>
      <c r="C148" s="654" t="s">
        <v>29</v>
      </c>
      <c r="D148" s="654"/>
      <c r="E148" s="654"/>
      <c r="F148" s="654"/>
      <c r="G148" s="654"/>
      <c r="H148" s="647"/>
      <c r="I148" s="709">
        <f t="shared" si="88"/>
        <v>0</v>
      </c>
      <c r="J148" s="702"/>
      <c r="K148" s="636">
        <f t="shared" si="89"/>
        <v>0</v>
      </c>
      <c r="L148" s="703"/>
      <c r="M148" s="702">
        <f t="shared" si="90"/>
        <v>0</v>
      </c>
      <c r="N148" s="702"/>
      <c r="O148" s="636">
        <f t="shared" si="91"/>
        <v>0</v>
      </c>
      <c r="P148" s="637"/>
      <c r="Q148" s="702">
        <f t="shared" si="92"/>
        <v>1</v>
      </c>
      <c r="R148" s="702"/>
      <c r="S148" s="636">
        <f t="shared" si="93"/>
        <v>135</v>
      </c>
      <c r="T148" s="637"/>
      <c r="U148" s="702">
        <f t="shared" si="94"/>
        <v>1</v>
      </c>
      <c r="V148" s="702"/>
      <c r="W148" s="704">
        <f t="shared" si="95"/>
        <v>135</v>
      </c>
      <c r="X148" s="704"/>
      <c r="Y148" s="711">
        <f t="shared" si="96"/>
        <v>6</v>
      </c>
      <c r="Z148" s="701"/>
      <c r="AA148" s="636">
        <f t="shared" si="97"/>
        <v>810</v>
      </c>
      <c r="AB148" s="708"/>
      <c r="AC148" s="710">
        <f t="shared" si="98"/>
        <v>13</v>
      </c>
      <c r="AD148" s="710"/>
      <c r="AE148" s="710"/>
      <c r="AF148" s="710"/>
      <c r="AG148" s="710"/>
      <c r="AH148" s="704">
        <f t="shared" si="99"/>
        <v>1730</v>
      </c>
      <c r="AI148" s="636"/>
      <c r="AJ148" s="634">
        <f t="shared" si="84"/>
        <v>5</v>
      </c>
      <c r="AK148" s="635"/>
      <c r="AL148" s="636">
        <f t="shared" si="85"/>
        <v>650</v>
      </c>
      <c r="AM148" s="637"/>
      <c r="AN148" s="692">
        <f t="shared" si="86"/>
        <v>26</v>
      </c>
      <c r="AO148" s="693"/>
      <c r="AP148" s="695">
        <f t="shared" si="87"/>
        <v>3460</v>
      </c>
      <c r="AQ148" s="695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44"/>
      <c r="B149" s="9"/>
      <c r="C149" s="654" t="s">
        <v>113</v>
      </c>
      <c r="D149" s="654"/>
      <c r="E149" s="654"/>
      <c r="F149" s="654"/>
      <c r="G149" s="654"/>
      <c r="H149" s="647"/>
      <c r="I149" s="709">
        <f t="shared" si="88"/>
        <v>0</v>
      </c>
      <c r="J149" s="702"/>
      <c r="K149" s="636">
        <f t="shared" si="89"/>
        <v>0</v>
      </c>
      <c r="L149" s="703"/>
      <c r="M149" s="702">
        <f t="shared" si="90"/>
        <v>0</v>
      </c>
      <c r="N149" s="702"/>
      <c r="O149" s="636">
        <f t="shared" si="91"/>
        <v>0</v>
      </c>
      <c r="P149" s="637"/>
      <c r="Q149" s="702">
        <f t="shared" si="92"/>
        <v>0</v>
      </c>
      <c r="R149" s="702"/>
      <c r="S149" s="636">
        <f t="shared" si="93"/>
        <v>0</v>
      </c>
      <c r="T149" s="637"/>
      <c r="U149" s="702">
        <f t="shared" si="94"/>
        <v>0</v>
      </c>
      <c r="V149" s="702"/>
      <c r="W149" s="704">
        <f t="shared" si="95"/>
        <v>0</v>
      </c>
      <c r="X149" s="704"/>
      <c r="Y149" s="711">
        <f t="shared" si="96"/>
        <v>2</v>
      </c>
      <c r="Z149" s="701"/>
      <c r="AA149" s="636">
        <f t="shared" si="97"/>
        <v>70</v>
      </c>
      <c r="AB149" s="708"/>
      <c r="AC149" s="710">
        <f t="shared" si="98"/>
        <v>6</v>
      </c>
      <c r="AD149" s="710"/>
      <c r="AE149" s="710"/>
      <c r="AF149" s="710"/>
      <c r="AG149" s="710"/>
      <c r="AH149" s="704">
        <f t="shared" si="99"/>
        <v>210</v>
      </c>
      <c r="AI149" s="636"/>
      <c r="AJ149" s="634">
        <f t="shared" si="84"/>
        <v>3</v>
      </c>
      <c r="AK149" s="635"/>
      <c r="AL149" s="636">
        <f t="shared" si="85"/>
        <v>90</v>
      </c>
      <c r="AM149" s="637"/>
      <c r="AN149" s="692">
        <f t="shared" si="86"/>
        <v>11</v>
      </c>
      <c r="AO149" s="693"/>
      <c r="AP149" s="695">
        <f t="shared" si="87"/>
        <v>370</v>
      </c>
      <c r="AQ149" s="695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44"/>
      <c r="B150" s="9"/>
      <c r="C150" s="654" t="s">
        <v>30</v>
      </c>
      <c r="D150" s="654"/>
      <c r="E150" s="654"/>
      <c r="F150" s="654"/>
      <c r="G150" s="654"/>
      <c r="H150" s="647"/>
      <c r="I150" s="709">
        <f t="shared" si="88"/>
        <v>0</v>
      </c>
      <c r="J150" s="702"/>
      <c r="K150" s="636">
        <f t="shared" si="89"/>
        <v>0</v>
      </c>
      <c r="L150" s="703"/>
      <c r="M150" s="702">
        <f t="shared" si="90"/>
        <v>6</v>
      </c>
      <c r="N150" s="702"/>
      <c r="O150" s="636">
        <f t="shared" si="91"/>
        <v>810</v>
      </c>
      <c r="P150" s="637"/>
      <c r="Q150" s="702">
        <f t="shared" si="92"/>
        <v>0</v>
      </c>
      <c r="R150" s="702"/>
      <c r="S150" s="636">
        <f t="shared" si="93"/>
        <v>0</v>
      </c>
      <c r="T150" s="637"/>
      <c r="U150" s="702">
        <f t="shared" si="94"/>
        <v>0</v>
      </c>
      <c r="V150" s="702"/>
      <c r="W150" s="704">
        <f t="shared" si="95"/>
        <v>0</v>
      </c>
      <c r="X150" s="704"/>
      <c r="Y150" s="711">
        <f t="shared" si="96"/>
        <v>3</v>
      </c>
      <c r="Z150" s="701"/>
      <c r="AA150" s="636">
        <f t="shared" si="97"/>
        <v>405</v>
      </c>
      <c r="AB150" s="708"/>
      <c r="AC150" s="710">
        <f t="shared" si="98"/>
        <v>5</v>
      </c>
      <c r="AD150" s="710"/>
      <c r="AE150" s="710"/>
      <c r="AF150" s="710"/>
      <c r="AG150" s="710"/>
      <c r="AH150" s="704">
        <f t="shared" si="99"/>
        <v>660</v>
      </c>
      <c r="AI150" s="636"/>
      <c r="AJ150" s="634">
        <f t="shared" si="84"/>
        <v>2</v>
      </c>
      <c r="AK150" s="635"/>
      <c r="AL150" s="636">
        <f t="shared" si="85"/>
        <v>260</v>
      </c>
      <c r="AM150" s="637"/>
      <c r="AN150" s="692">
        <f t="shared" si="86"/>
        <v>16</v>
      </c>
      <c r="AO150" s="693"/>
      <c r="AP150" s="695">
        <f t="shared" si="87"/>
        <v>2135</v>
      </c>
      <c r="AQ150" s="695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44"/>
      <c r="B151" s="9"/>
      <c r="C151" s="654" t="s">
        <v>31</v>
      </c>
      <c r="D151" s="654"/>
      <c r="E151" s="654"/>
      <c r="F151" s="654"/>
      <c r="G151" s="654"/>
      <c r="H151" s="647"/>
      <c r="I151" s="709">
        <f t="shared" si="88"/>
        <v>1</v>
      </c>
      <c r="J151" s="702"/>
      <c r="K151" s="636">
        <f t="shared" si="89"/>
        <v>35</v>
      </c>
      <c r="L151" s="703"/>
      <c r="M151" s="702">
        <f t="shared" si="90"/>
        <v>3</v>
      </c>
      <c r="N151" s="702"/>
      <c r="O151" s="636">
        <f t="shared" si="91"/>
        <v>105</v>
      </c>
      <c r="P151" s="637"/>
      <c r="Q151" s="702">
        <f t="shared" si="92"/>
        <v>0</v>
      </c>
      <c r="R151" s="702"/>
      <c r="S151" s="636">
        <f t="shared" si="93"/>
        <v>0</v>
      </c>
      <c r="T151" s="637"/>
      <c r="U151" s="702">
        <f t="shared" si="94"/>
        <v>0</v>
      </c>
      <c r="V151" s="702"/>
      <c r="W151" s="704">
        <f t="shared" si="95"/>
        <v>0</v>
      </c>
      <c r="X151" s="704"/>
      <c r="Y151" s="711">
        <f t="shared" si="96"/>
        <v>0</v>
      </c>
      <c r="Z151" s="701"/>
      <c r="AA151" s="636">
        <f t="shared" si="97"/>
        <v>0</v>
      </c>
      <c r="AB151" s="708"/>
      <c r="AC151" s="710">
        <f t="shared" si="98"/>
        <v>4</v>
      </c>
      <c r="AD151" s="710"/>
      <c r="AE151" s="710"/>
      <c r="AF151" s="710"/>
      <c r="AG151" s="710"/>
      <c r="AH151" s="704">
        <f t="shared" si="99"/>
        <v>140</v>
      </c>
      <c r="AI151" s="636"/>
      <c r="AJ151" s="634">
        <f t="shared" si="84"/>
        <v>0</v>
      </c>
      <c r="AK151" s="635"/>
      <c r="AL151" s="636">
        <f t="shared" si="85"/>
        <v>0</v>
      </c>
      <c r="AM151" s="637"/>
      <c r="AN151" s="692">
        <f t="shared" si="86"/>
        <v>8</v>
      </c>
      <c r="AO151" s="693"/>
      <c r="AP151" s="695">
        <f t="shared" si="87"/>
        <v>280</v>
      </c>
      <c r="AQ151" s="695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44"/>
      <c r="B152" s="9"/>
      <c r="C152" s="654" t="s">
        <v>32</v>
      </c>
      <c r="D152" s="654"/>
      <c r="E152" s="654"/>
      <c r="F152" s="654"/>
      <c r="G152" s="654"/>
      <c r="H152" s="647"/>
      <c r="I152" s="709">
        <f t="shared" si="88"/>
        <v>0</v>
      </c>
      <c r="J152" s="702"/>
      <c r="K152" s="636">
        <f t="shared" si="89"/>
        <v>0</v>
      </c>
      <c r="L152" s="703"/>
      <c r="M152" s="702">
        <f t="shared" si="90"/>
        <v>0</v>
      </c>
      <c r="N152" s="702"/>
      <c r="O152" s="636">
        <f t="shared" si="91"/>
        <v>0</v>
      </c>
      <c r="P152" s="637"/>
      <c r="Q152" s="702">
        <f t="shared" si="92"/>
        <v>0</v>
      </c>
      <c r="R152" s="702"/>
      <c r="S152" s="636">
        <f t="shared" si="93"/>
        <v>0</v>
      </c>
      <c r="T152" s="637"/>
      <c r="U152" s="702">
        <f t="shared" si="94"/>
        <v>10</v>
      </c>
      <c r="V152" s="702"/>
      <c r="W152" s="704">
        <f t="shared" si="95"/>
        <v>180</v>
      </c>
      <c r="X152" s="704"/>
      <c r="Y152" s="711">
        <f t="shared" si="96"/>
        <v>0</v>
      </c>
      <c r="Z152" s="701"/>
      <c r="AA152" s="636">
        <f t="shared" si="97"/>
        <v>0</v>
      </c>
      <c r="AB152" s="708"/>
      <c r="AC152" s="710">
        <f t="shared" si="98"/>
        <v>9</v>
      </c>
      <c r="AD152" s="710"/>
      <c r="AE152" s="710"/>
      <c r="AF152" s="710"/>
      <c r="AG152" s="710"/>
      <c r="AH152" s="704">
        <f t="shared" si="99"/>
        <v>160</v>
      </c>
      <c r="AI152" s="636"/>
      <c r="AJ152" s="634">
        <f t="shared" si="84"/>
        <v>1</v>
      </c>
      <c r="AK152" s="635"/>
      <c r="AL152" s="636">
        <f t="shared" si="85"/>
        <v>15</v>
      </c>
      <c r="AM152" s="637"/>
      <c r="AN152" s="692">
        <f t="shared" si="86"/>
        <v>20</v>
      </c>
      <c r="AO152" s="693"/>
      <c r="AP152" s="695">
        <f t="shared" si="87"/>
        <v>355</v>
      </c>
      <c r="AQ152" s="695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44"/>
      <c r="B153" s="9"/>
      <c r="C153" s="654" t="s">
        <v>33</v>
      </c>
      <c r="D153" s="654"/>
      <c r="E153" s="654"/>
      <c r="F153" s="654"/>
      <c r="G153" s="654"/>
      <c r="H153" s="647"/>
      <c r="I153" s="709">
        <f t="shared" si="88"/>
        <v>0</v>
      </c>
      <c r="J153" s="702"/>
      <c r="K153" s="636">
        <f t="shared" si="89"/>
        <v>0</v>
      </c>
      <c r="L153" s="703"/>
      <c r="M153" s="702">
        <f t="shared" si="90"/>
        <v>0</v>
      </c>
      <c r="N153" s="702"/>
      <c r="O153" s="636">
        <f t="shared" si="91"/>
        <v>0</v>
      </c>
      <c r="P153" s="637"/>
      <c r="Q153" s="702">
        <f t="shared" si="92"/>
        <v>0</v>
      </c>
      <c r="R153" s="702"/>
      <c r="S153" s="636">
        <f t="shared" si="93"/>
        <v>0</v>
      </c>
      <c r="T153" s="637"/>
      <c r="U153" s="702">
        <f t="shared" si="94"/>
        <v>10</v>
      </c>
      <c r="V153" s="702"/>
      <c r="W153" s="704">
        <f t="shared" si="95"/>
        <v>170</v>
      </c>
      <c r="X153" s="704"/>
      <c r="Y153" s="711">
        <f t="shared" si="96"/>
        <v>0</v>
      </c>
      <c r="Z153" s="701"/>
      <c r="AA153" s="636">
        <f t="shared" si="97"/>
        <v>0</v>
      </c>
      <c r="AB153" s="708"/>
      <c r="AC153" s="710">
        <f t="shared" si="98"/>
        <v>0</v>
      </c>
      <c r="AD153" s="710"/>
      <c r="AE153" s="710"/>
      <c r="AF153" s="710"/>
      <c r="AG153" s="710"/>
      <c r="AH153" s="704">
        <f t="shared" si="99"/>
        <v>0</v>
      </c>
      <c r="AI153" s="636"/>
      <c r="AJ153" s="634">
        <f t="shared" si="84"/>
        <v>0</v>
      </c>
      <c r="AK153" s="635"/>
      <c r="AL153" s="636">
        <f t="shared" si="85"/>
        <v>0</v>
      </c>
      <c r="AM153" s="637"/>
      <c r="AN153" s="692">
        <f t="shared" si="86"/>
        <v>10</v>
      </c>
      <c r="AO153" s="693"/>
      <c r="AP153" s="695">
        <f t="shared" si="87"/>
        <v>170</v>
      </c>
      <c r="AQ153" s="695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44"/>
      <c r="B154" s="9"/>
      <c r="C154" s="654" t="s">
        <v>34</v>
      </c>
      <c r="D154" s="654"/>
      <c r="E154" s="654"/>
      <c r="F154" s="654"/>
      <c r="G154" s="654"/>
      <c r="H154" s="647"/>
      <c r="I154" s="709">
        <f t="shared" si="88"/>
        <v>0</v>
      </c>
      <c r="J154" s="702"/>
      <c r="K154" s="636">
        <f t="shared" si="89"/>
        <v>0</v>
      </c>
      <c r="L154" s="703"/>
      <c r="M154" s="702">
        <f t="shared" si="90"/>
        <v>3</v>
      </c>
      <c r="N154" s="702"/>
      <c r="O154" s="636">
        <f t="shared" si="91"/>
        <v>51</v>
      </c>
      <c r="P154" s="637"/>
      <c r="Q154" s="702">
        <f t="shared" si="92"/>
        <v>0</v>
      </c>
      <c r="R154" s="702"/>
      <c r="S154" s="636">
        <f t="shared" si="93"/>
        <v>0</v>
      </c>
      <c r="T154" s="637"/>
      <c r="U154" s="702">
        <f t="shared" si="94"/>
        <v>7</v>
      </c>
      <c r="V154" s="702"/>
      <c r="W154" s="704">
        <f t="shared" si="95"/>
        <v>119</v>
      </c>
      <c r="X154" s="704"/>
      <c r="Y154" s="711">
        <f t="shared" si="96"/>
        <v>0</v>
      </c>
      <c r="Z154" s="701"/>
      <c r="AA154" s="636">
        <f t="shared" si="97"/>
        <v>0</v>
      </c>
      <c r="AB154" s="708"/>
      <c r="AC154" s="710">
        <f t="shared" si="98"/>
        <v>0</v>
      </c>
      <c r="AD154" s="710"/>
      <c r="AE154" s="710"/>
      <c r="AF154" s="710"/>
      <c r="AG154" s="710"/>
      <c r="AH154" s="704">
        <f t="shared" si="99"/>
        <v>0</v>
      </c>
      <c r="AI154" s="636"/>
      <c r="AJ154" s="634">
        <f t="shared" si="84"/>
        <v>0</v>
      </c>
      <c r="AK154" s="635"/>
      <c r="AL154" s="636">
        <f t="shared" si="85"/>
        <v>0</v>
      </c>
      <c r="AM154" s="637"/>
      <c r="AN154" s="692">
        <f t="shared" si="86"/>
        <v>10</v>
      </c>
      <c r="AO154" s="693"/>
      <c r="AP154" s="695">
        <f t="shared" si="87"/>
        <v>170</v>
      </c>
      <c r="AQ154" s="695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44"/>
      <c r="B155" s="9"/>
      <c r="C155" s="654" t="s">
        <v>35</v>
      </c>
      <c r="D155" s="654"/>
      <c r="E155" s="654"/>
      <c r="F155" s="654"/>
      <c r="G155" s="654"/>
      <c r="H155" s="647"/>
      <c r="I155" s="709">
        <f t="shared" si="88"/>
        <v>2</v>
      </c>
      <c r="J155" s="702"/>
      <c r="K155" s="636">
        <f t="shared" si="89"/>
        <v>14</v>
      </c>
      <c r="L155" s="703"/>
      <c r="M155" s="702">
        <f t="shared" si="90"/>
        <v>3</v>
      </c>
      <c r="N155" s="702"/>
      <c r="O155" s="636">
        <f t="shared" si="91"/>
        <v>21</v>
      </c>
      <c r="P155" s="637"/>
      <c r="Q155" s="702">
        <f t="shared" si="92"/>
        <v>0</v>
      </c>
      <c r="R155" s="702"/>
      <c r="S155" s="636">
        <f t="shared" si="93"/>
        <v>0</v>
      </c>
      <c r="T155" s="637"/>
      <c r="U155" s="702">
        <f t="shared" si="94"/>
        <v>5</v>
      </c>
      <c r="V155" s="702"/>
      <c r="W155" s="704">
        <f t="shared" si="95"/>
        <v>35</v>
      </c>
      <c r="X155" s="704"/>
      <c r="Y155" s="711">
        <f t="shared" si="96"/>
        <v>1</v>
      </c>
      <c r="Z155" s="701"/>
      <c r="AA155" s="636">
        <f t="shared" si="97"/>
        <v>7</v>
      </c>
      <c r="AB155" s="708"/>
      <c r="AC155" s="710">
        <f t="shared" si="98"/>
        <v>4</v>
      </c>
      <c r="AD155" s="710"/>
      <c r="AE155" s="710"/>
      <c r="AF155" s="710"/>
      <c r="AG155" s="710"/>
      <c r="AH155" s="704">
        <f t="shared" si="99"/>
        <v>28</v>
      </c>
      <c r="AI155" s="636"/>
      <c r="AJ155" s="634">
        <f t="shared" si="84"/>
        <v>0</v>
      </c>
      <c r="AK155" s="635"/>
      <c r="AL155" s="636">
        <f t="shared" si="85"/>
        <v>0</v>
      </c>
      <c r="AM155" s="637"/>
      <c r="AN155" s="692">
        <f t="shared" si="86"/>
        <v>15</v>
      </c>
      <c r="AO155" s="693"/>
      <c r="AP155" s="695">
        <f t="shared" si="87"/>
        <v>105</v>
      </c>
      <c r="AQ155" s="695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44"/>
      <c r="B156" s="9"/>
      <c r="C156" s="654" t="s">
        <v>36</v>
      </c>
      <c r="D156" s="654"/>
      <c r="E156" s="654"/>
      <c r="F156" s="654"/>
      <c r="G156" s="654"/>
      <c r="H156" s="647"/>
      <c r="I156" s="709">
        <f t="shared" si="88"/>
        <v>0</v>
      </c>
      <c r="J156" s="702"/>
      <c r="K156" s="636">
        <f t="shared" si="89"/>
        <v>0</v>
      </c>
      <c r="L156" s="703"/>
      <c r="M156" s="702">
        <f t="shared" si="90"/>
        <v>0</v>
      </c>
      <c r="N156" s="702"/>
      <c r="O156" s="636">
        <f t="shared" si="91"/>
        <v>0</v>
      </c>
      <c r="P156" s="637"/>
      <c r="Q156" s="702">
        <f t="shared" si="92"/>
        <v>0</v>
      </c>
      <c r="R156" s="702"/>
      <c r="S156" s="636">
        <f t="shared" si="93"/>
        <v>0</v>
      </c>
      <c r="T156" s="637"/>
      <c r="U156" s="702">
        <f t="shared" si="94"/>
        <v>22</v>
      </c>
      <c r="V156" s="702"/>
      <c r="W156" s="704">
        <f t="shared" si="95"/>
        <v>154</v>
      </c>
      <c r="X156" s="704"/>
      <c r="Y156" s="711">
        <f t="shared" si="96"/>
        <v>0</v>
      </c>
      <c r="Z156" s="701"/>
      <c r="AA156" s="636">
        <f t="shared" si="97"/>
        <v>0</v>
      </c>
      <c r="AB156" s="708"/>
      <c r="AC156" s="710">
        <f t="shared" si="98"/>
        <v>5</v>
      </c>
      <c r="AD156" s="710"/>
      <c r="AE156" s="710"/>
      <c r="AF156" s="710"/>
      <c r="AG156" s="710"/>
      <c r="AH156" s="704">
        <f t="shared" si="99"/>
        <v>35</v>
      </c>
      <c r="AI156" s="636"/>
      <c r="AJ156" s="634">
        <f t="shared" si="84"/>
        <v>1</v>
      </c>
      <c r="AK156" s="635"/>
      <c r="AL156" s="636">
        <f t="shared" si="85"/>
        <v>7</v>
      </c>
      <c r="AM156" s="637"/>
      <c r="AN156" s="692">
        <f t="shared" si="86"/>
        <v>28</v>
      </c>
      <c r="AO156" s="693"/>
      <c r="AP156" s="695">
        <f t="shared" si="87"/>
        <v>196</v>
      </c>
      <c r="AQ156" s="695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44"/>
      <c r="B157" s="9"/>
      <c r="C157" s="654" t="s">
        <v>37</v>
      </c>
      <c r="D157" s="654"/>
      <c r="E157" s="654"/>
      <c r="F157" s="654"/>
      <c r="G157" s="654"/>
      <c r="H157" s="647"/>
      <c r="I157" s="709">
        <f t="shared" si="88"/>
        <v>0</v>
      </c>
      <c r="J157" s="702"/>
      <c r="K157" s="636">
        <f t="shared" si="89"/>
        <v>0</v>
      </c>
      <c r="L157" s="703"/>
      <c r="M157" s="702">
        <f t="shared" si="90"/>
        <v>0</v>
      </c>
      <c r="N157" s="702"/>
      <c r="O157" s="636">
        <f t="shared" si="91"/>
        <v>0</v>
      </c>
      <c r="P157" s="637"/>
      <c r="Q157" s="702">
        <f t="shared" si="92"/>
        <v>0</v>
      </c>
      <c r="R157" s="702"/>
      <c r="S157" s="636">
        <f t="shared" si="93"/>
        <v>0</v>
      </c>
      <c r="T157" s="637"/>
      <c r="U157" s="702">
        <f t="shared" si="94"/>
        <v>10</v>
      </c>
      <c r="V157" s="702"/>
      <c r="W157" s="704">
        <f t="shared" si="95"/>
        <v>90</v>
      </c>
      <c r="X157" s="704"/>
      <c r="Y157" s="711">
        <f t="shared" si="96"/>
        <v>0</v>
      </c>
      <c r="Z157" s="701"/>
      <c r="AA157" s="636">
        <f t="shared" si="97"/>
        <v>0</v>
      </c>
      <c r="AB157" s="708"/>
      <c r="AC157" s="710">
        <f t="shared" si="98"/>
        <v>0</v>
      </c>
      <c r="AD157" s="710"/>
      <c r="AE157" s="710"/>
      <c r="AF157" s="710"/>
      <c r="AG157" s="710"/>
      <c r="AH157" s="704">
        <f t="shared" si="99"/>
        <v>0</v>
      </c>
      <c r="AI157" s="636"/>
      <c r="AJ157" s="634">
        <f t="shared" si="84"/>
        <v>0</v>
      </c>
      <c r="AK157" s="635"/>
      <c r="AL157" s="636">
        <f t="shared" si="85"/>
        <v>0</v>
      </c>
      <c r="AM157" s="637"/>
      <c r="AN157" s="692">
        <f t="shared" si="86"/>
        <v>10</v>
      </c>
      <c r="AO157" s="693"/>
      <c r="AP157" s="695">
        <f t="shared" si="87"/>
        <v>90</v>
      </c>
      <c r="AQ157" s="695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44"/>
      <c r="B158" s="9"/>
      <c r="C158" s="654" t="s">
        <v>38</v>
      </c>
      <c r="D158" s="654"/>
      <c r="E158" s="654"/>
      <c r="F158" s="654"/>
      <c r="G158" s="654"/>
      <c r="H158" s="647"/>
      <c r="I158" s="709">
        <f t="shared" si="88"/>
        <v>0</v>
      </c>
      <c r="J158" s="702"/>
      <c r="K158" s="636">
        <f t="shared" si="89"/>
        <v>0</v>
      </c>
      <c r="L158" s="703"/>
      <c r="M158" s="702">
        <f t="shared" si="90"/>
        <v>0</v>
      </c>
      <c r="N158" s="702"/>
      <c r="O158" s="636">
        <f t="shared" si="91"/>
        <v>0</v>
      </c>
      <c r="P158" s="637"/>
      <c r="Q158" s="702">
        <f t="shared" si="92"/>
        <v>1</v>
      </c>
      <c r="R158" s="702"/>
      <c r="S158" s="636">
        <f t="shared" si="93"/>
        <v>13</v>
      </c>
      <c r="T158" s="637"/>
      <c r="U158" s="702">
        <f t="shared" si="94"/>
        <v>8</v>
      </c>
      <c r="V158" s="702"/>
      <c r="W158" s="704">
        <f t="shared" si="95"/>
        <v>104</v>
      </c>
      <c r="X158" s="704"/>
      <c r="Y158" s="711">
        <f t="shared" si="96"/>
        <v>0</v>
      </c>
      <c r="Z158" s="701"/>
      <c r="AA158" s="636">
        <f t="shared" si="97"/>
        <v>0</v>
      </c>
      <c r="AB158" s="708"/>
      <c r="AC158" s="710">
        <f t="shared" si="98"/>
        <v>0</v>
      </c>
      <c r="AD158" s="710"/>
      <c r="AE158" s="710"/>
      <c r="AF158" s="710"/>
      <c r="AG158" s="710"/>
      <c r="AH158" s="704">
        <f t="shared" si="99"/>
        <v>0</v>
      </c>
      <c r="AI158" s="636"/>
      <c r="AJ158" s="634">
        <f t="shared" si="84"/>
        <v>1</v>
      </c>
      <c r="AK158" s="635"/>
      <c r="AL158" s="636">
        <f t="shared" si="85"/>
        <v>13</v>
      </c>
      <c r="AM158" s="637"/>
      <c r="AN158" s="692">
        <f t="shared" si="86"/>
        <v>10</v>
      </c>
      <c r="AO158" s="693"/>
      <c r="AP158" s="695">
        <f t="shared" si="87"/>
        <v>130</v>
      </c>
      <c r="AQ158" s="695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44"/>
      <c r="B159" s="9"/>
      <c r="C159" s="654" t="s">
        <v>39</v>
      </c>
      <c r="D159" s="654"/>
      <c r="E159" s="654"/>
      <c r="F159" s="654"/>
      <c r="G159" s="654"/>
      <c r="H159" s="647"/>
      <c r="I159" s="709">
        <f t="shared" si="88"/>
        <v>0</v>
      </c>
      <c r="J159" s="702"/>
      <c r="K159" s="636">
        <f t="shared" si="89"/>
        <v>0</v>
      </c>
      <c r="L159" s="703"/>
      <c r="M159" s="702">
        <f t="shared" si="90"/>
        <v>0</v>
      </c>
      <c r="N159" s="702"/>
      <c r="O159" s="636">
        <f t="shared" si="91"/>
        <v>0</v>
      </c>
      <c r="P159" s="637"/>
      <c r="Q159" s="702">
        <f t="shared" si="92"/>
        <v>0</v>
      </c>
      <c r="R159" s="702"/>
      <c r="S159" s="636">
        <f t="shared" si="93"/>
        <v>0</v>
      </c>
      <c r="T159" s="637"/>
      <c r="U159" s="702">
        <f t="shared" si="94"/>
        <v>9</v>
      </c>
      <c r="V159" s="702"/>
      <c r="W159" s="704">
        <f t="shared" si="95"/>
        <v>162</v>
      </c>
      <c r="X159" s="704"/>
      <c r="Y159" s="711">
        <f t="shared" si="96"/>
        <v>0</v>
      </c>
      <c r="Z159" s="701"/>
      <c r="AA159" s="636">
        <f t="shared" si="97"/>
        <v>0</v>
      </c>
      <c r="AB159" s="708"/>
      <c r="AC159" s="710">
        <f t="shared" si="98"/>
        <v>1</v>
      </c>
      <c r="AD159" s="710"/>
      <c r="AE159" s="710"/>
      <c r="AF159" s="710"/>
      <c r="AG159" s="710"/>
      <c r="AH159" s="704">
        <f t="shared" si="99"/>
        <v>18</v>
      </c>
      <c r="AI159" s="636"/>
      <c r="AJ159" s="634">
        <f t="shared" si="84"/>
        <v>0</v>
      </c>
      <c r="AK159" s="635"/>
      <c r="AL159" s="636">
        <f t="shared" si="85"/>
        <v>0</v>
      </c>
      <c r="AM159" s="637"/>
      <c r="AN159" s="692">
        <f t="shared" si="86"/>
        <v>10</v>
      </c>
      <c r="AO159" s="693"/>
      <c r="AP159" s="695">
        <f t="shared" si="87"/>
        <v>180</v>
      </c>
      <c r="AQ159" s="695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44"/>
      <c r="B160" s="9"/>
      <c r="C160" s="654" t="s">
        <v>48</v>
      </c>
      <c r="D160" s="654"/>
      <c r="E160" s="654"/>
      <c r="F160" s="654"/>
      <c r="G160" s="654"/>
      <c r="H160" s="647"/>
      <c r="I160" s="709">
        <f t="shared" si="88"/>
        <v>0</v>
      </c>
      <c r="J160" s="702"/>
      <c r="K160" s="636">
        <f t="shared" si="89"/>
        <v>0</v>
      </c>
      <c r="L160" s="703"/>
      <c r="M160" s="702">
        <f t="shared" si="90"/>
        <v>0</v>
      </c>
      <c r="N160" s="702"/>
      <c r="O160" s="636">
        <f t="shared" si="91"/>
        <v>0</v>
      </c>
      <c r="P160" s="637"/>
      <c r="Q160" s="702">
        <f t="shared" si="92"/>
        <v>0</v>
      </c>
      <c r="R160" s="702"/>
      <c r="S160" s="636">
        <f t="shared" si="93"/>
        <v>0</v>
      </c>
      <c r="T160" s="637"/>
      <c r="U160" s="702">
        <f t="shared" si="94"/>
        <v>1</v>
      </c>
      <c r="V160" s="702"/>
      <c r="W160" s="704">
        <f t="shared" si="95"/>
        <v>100</v>
      </c>
      <c r="X160" s="704"/>
      <c r="Y160" s="711">
        <f t="shared" si="96"/>
        <v>0</v>
      </c>
      <c r="Z160" s="701"/>
      <c r="AA160" s="636">
        <f t="shared" si="97"/>
        <v>0</v>
      </c>
      <c r="AB160" s="708"/>
      <c r="AC160" s="710">
        <f t="shared" si="98"/>
        <v>0</v>
      </c>
      <c r="AD160" s="710"/>
      <c r="AE160" s="710"/>
      <c r="AF160" s="710"/>
      <c r="AG160" s="710"/>
      <c r="AH160" s="704">
        <f t="shared" si="99"/>
        <v>0</v>
      </c>
      <c r="AI160" s="636"/>
      <c r="AJ160" s="634">
        <f t="shared" si="84"/>
        <v>0</v>
      </c>
      <c r="AK160" s="635"/>
      <c r="AL160" s="636">
        <f t="shared" si="85"/>
        <v>0</v>
      </c>
      <c r="AM160" s="637"/>
      <c r="AN160" s="692">
        <f t="shared" si="86"/>
        <v>1</v>
      </c>
      <c r="AO160" s="693"/>
      <c r="AP160" s="695">
        <f t="shared" si="87"/>
        <v>100</v>
      </c>
      <c r="AQ160" s="695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44"/>
      <c r="B161" s="9"/>
      <c r="C161" s="654" t="s">
        <v>40</v>
      </c>
      <c r="D161" s="654"/>
      <c r="E161" s="654"/>
      <c r="F161" s="654"/>
      <c r="G161" s="654"/>
      <c r="H161" s="647"/>
      <c r="I161" s="709">
        <f t="shared" si="88"/>
        <v>0</v>
      </c>
      <c r="J161" s="702"/>
      <c r="K161" s="636">
        <f t="shared" si="89"/>
        <v>0</v>
      </c>
      <c r="L161" s="703"/>
      <c r="M161" s="702">
        <f t="shared" si="90"/>
        <v>0</v>
      </c>
      <c r="N161" s="702"/>
      <c r="O161" s="636">
        <f t="shared" si="91"/>
        <v>0</v>
      </c>
      <c r="P161" s="637"/>
      <c r="Q161" s="702">
        <f t="shared" si="92"/>
        <v>0</v>
      </c>
      <c r="R161" s="702"/>
      <c r="S161" s="636">
        <f t="shared" si="93"/>
        <v>0</v>
      </c>
      <c r="T161" s="637"/>
      <c r="U161" s="702">
        <f t="shared" si="94"/>
        <v>1</v>
      </c>
      <c r="V161" s="702"/>
      <c r="W161" s="704">
        <f t="shared" si="95"/>
        <v>90</v>
      </c>
      <c r="X161" s="704"/>
      <c r="Y161" s="711">
        <f t="shared" si="96"/>
        <v>0</v>
      </c>
      <c r="Z161" s="701"/>
      <c r="AA161" s="636">
        <f t="shared" si="97"/>
        <v>0</v>
      </c>
      <c r="AB161" s="708"/>
      <c r="AC161" s="710">
        <f t="shared" si="98"/>
        <v>0</v>
      </c>
      <c r="AD161" s="710"/>
      <c r="AE161" s="710"/>
      <c r="AF161" s="710"/>
      <c r="AG161" s="710"/>
      <c r="AH161" s="704">
        <f t="shared" si="99"/>
        <v>0</v>
      </c>
      <c r="AI161" s="636"/>
      <c r="AJ161" s="634">
        <f t="shared" si="84"/>
        <v>0</v>
      </c>
      <c r="AK161" s="635"/>
      <c r="AL161" s="636">
        <f t="shared" si="85"/>
        <v>0</v>
      </c>
      <c r="AM161" s="637"/>
      <c r="AN161" s="692">
        <f t="shared" si="86"/>
        <v>1</v>
      </c>
      <c r="AO161" s="693"/>
      <c r="AP161" s="695">
        <f t="shared" si="87"/>
        <v>90</v>
      </c>
      <c r="AQ161" s="695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44"/>
      <c r="B162" s="9"/>
      <c r="C162" s="654" t="s">
        <v>41</v>
      </c>
      <c r="D162" s="654"/>
      <c r="E162" s="654"/>
      <c r="F162" s="654"/>
      <c r="G162" s="654"/>
      <c r="H162" s="647"/>
      <c r="I162" s="709">
        <f t="shared" si="88"/>
        <v>0</v>
      </c>
      <c r="J162" s="702"/>
      <c r="K162" s="636">
        <f t="shared" si="89"/>
        <v>0</v>
      </c>
      <c r="L162" s="703"/>
      <c r="M162" s="702">
        <f t="shared" si="90"/>
        <v>9</v>
      </c>
      <c r="N162" s="702"/>
      <c r="O162" s="636">
        <f t="shared" si="91"/>
        <v>54</v>
      </c>
      <c r="P162" s="637"/>
      <c r="Q162" s="702">
        <f t="shared" si="92"/>
        <v>0</v>
      </c>
      <c r="R162" s="702"/>
      <c r="S162" s="636">
        <f t="shared" si="93"/>
        <v>0</v>
      </c>
      <c r="T162" s="637"/>
      <c r="U162" s="702">
        <f t="shared" si="94"/>
        <v>12</v>
      </c>
      <c r="V162" s="702"/>
      <c r="W162" s="704">
        <f t="shared" si="95"/>
        <v>72</v>
      </c>
      <c r="X162" s="704"/>
      <c r="Y162" s="711">
        <f t="shared" si="96"/>
        <v>17</v>
      </c>
      <c r="Z162" s="701"/>
      <c r="AA162" s="636">
        <f t="shared" si="97"/>
        <v>126.9</v>
      </c>
      <c r="AB162" s="708"/>
      <c r="AC162" s="710">
        <f t="shared" si="98"/>
        <v>13</v>
      </c>
      <c r="AD162" s="710"/>
      <c r="AE162" s="710"/>
      <c r="AF162" s="710"/>
      <c r="AG162" s="710"/>
      <c r="AH162" s="704">
        <f t="shared" si="99"/>
        <v>117</v>
      </c>
      <c r="AI162" s="636"/>
      <c r="AJ162" s="634">
        <f t="shared" si="84"/>
        <v>0</v>
      </c>
      <c r="AK162" s="635"/>
      <c r="AL162" s="636">
        <f t="shared" si="85"/>
        <v>0</v>
      </c>
      <c r="AM162" s="637"/>
      <c r="AN162" s="692">
        <f t="shared" si="86"/>
        <v>51</v>
      </c>
      <c r="AO162" s="693"/>
      <c r="AP162" s="695">
        <f t="shared" si="87"/>
        <v>369.9</v>
      </c>
      <c r="AQ162" s="695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44"/>
      <c r="B163" s="9"/>
      <c r="C163" s="654" t="s">
        <v>42</v>
      </c>
      <c r="D163" s="654"/>
      <c r="E163" s="654"/>
      <c r="F163" s="654"/>
      <c r="G163" s="654"/>
      <c r="H163" s="647"/>
      <c r="I163" s="709">
        <f t="shared" si="88"/>
        <v>0</v>
      </c>
      <c r="J163" s="702"/>
      <c r="K163" s="636">
        <f t="shared" si="89"/>
        <v>0</v>
      </c>
      <c r="L163" s="703"/>
      <c r="M163" s="702">
        <f t="shared" si="90"/>
        <v>3</v>
      </c>
      <c r="N163" s="702"/>
      <c r="O163" s="636">
        <f t="shared" si="91"/>
        <v>18</v>
      </c>
      <c r="P163" s="637"/>
      <c r="Q163" s="702">
        <f t="shared" si="92"/>
        <v>0</v>
      </c>
      <c r="R163" s="702"/>
      <c r="S163" s="636">
        <f t="shared" si="93"/>
        <v>0</v>
      </c>
      <c r="T163" s="637"/>
      <c r="U163" s="702">
        <f t="shared" si="94"/>
        <v>6</v>
      </c>
      <c r="V163" s="702"/>
      <c r="W163" s="704">
        <f t="shared" si="95"/>
        <v>36</v>
      </c>
      <c r="X163" s="704"/>
      <c r="Y163" s="711">
        <f t="shared" si="96"/>
        <v>3</v>
      </c>
      <c r="Z163" s="701"/>
      <c r="AA163" s="636">
        <f t="shared" si="97"/>
        <v>17.100000000000001</v>
      </c>
      <c r="AB163" s="708"/>
      <c r="AC163" s="710">
        <f t="shared" si="98"/>
        <v>12</v>
      </c>
      <c r="AD163" s="710"/>
      <c r="AE163" s="710"/>
      <c r="AF163" s="710"/>
      <c r="AG163" s="710"/>
      <c r="AH163" s="704">
        <f t="shared" si="99"/>
        <v>108</v>
      </c>
      <c r="AI163" s="636"/>
      <c r="AJ163" s="634">
        <f t="shared" si="84"/>
        <v>0</v>
      </c>
      <c r="AK163" s="635"/>
      <c r="AL163" s="636">
        <f t="shared" si="85"/>
        <v>0</v>
      </c>
      <c r="AM163" s="637"/>
      <c r="AN163" s="692">
        <f t="shared" si="86"/>
        <v>24</v>
      </c>
      <c r="AO163" s="693"/>
      <c r="AP163" s="695">
        <f t="shared" si="87"/>
        <v>179.1</v>
      </c>
      <c r="AQ163" s="695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44"/>
      <c r="B164" s="9"/>
      <c r="C164" s="654" t="s">
        <v>45</v>
      </c>
      <c r="D164" s="654"/>
      <c r="E164" s="654"/>
      <c r="F164" s="654"/>
      <c r="G164" s="654"/>
      <c r="H164" s="647"/>
      <c r="I164" s="709">
        <f t="shared" si="88"/>
        <v>0</v>
      </c>
      <c r="J164" s="702"/>
      <c r="K164" s="636">
        <f t="shared" si="89"/>
        <v>0</v>
      </c>
      <c r="L164" s="703"/>
      <c r="M164" s="702">
        <f t="shared" si="90"/>
        <v>0</v>
      </c>
      <c r="N164" s="702"/>
      <c r="O164" s="636">
        <f t="shared" si="91"/>
        <v>0</v>
      </c>
      <c r="P164" s="637"/>
      <c r="Q164" s="702">
        <f t="shared" si="92"/>
        <v>0</v>
      </c>
      <c r="R164" s="702"/>
      <c r="S164" s="636">
        <f t="shared" si="93"/>
        <v>0</v>
      </c>
      <c r="T164" s="637"/>
      <c r="U164" s="702">
        <f t="shared" si="94"/>
        <v>3</v>
      </c>
      <c r="V164" s="702"/>
      <c r="W164" s="704">
        <f t="shared" si="95"/>
        <v>34.5</v>
      </c>
      <c r="X164" s="704"/>
      <c r="Y164" s="711">
        <f t="shared" si="96"/>
        <v>0</v>
      </c>
      <c r="Z164" s="701"/>
      <c r="AA164" s="636">
        <f t="shared" si="97"/>
        <v>0</v>
      </c>
      <c r="AB164" s="708"/>
      <c r="AC164" s="710">
        <f t="shared" si="98"/>
        <v>0</v>
      </c>
      <c r="AD164" s="710"/>
      <c r="AE164" s="710"/>
      <c r="AF164" s="710"/>
      <c r="AG164" s="710"/>
      <c r="AH164" s="704">
        <f t="shared" si="99"/>
        <v>0</v>
      </c>
      <c r="AI164" s="636"/>
      <c r="AJ164" s="634">
        <f t="shared" si="84"/>
        <v>0</v>
      </c>
      <c r="AK164" s="635"/>
      <c r="AL164" s="636">
        <f t="shared" si="85"/>
        <v>0</v>
      </c>
      <c r="AM164" s="637"/>
      <c r="AN164" s="692">
        <f t="shared" si="86"/>
        <v>3</v>
      </c>
      <c r="AO164" s="693"/>
      <c r="AP164" s="695">
        <f t="shared" si="87"/>
        <v>34.5</v>
      </c>
      <c r="AQ164" s="695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44"/>
      <c r="B165" s="9"/>
      <c r="C165" s="654" t="s">
        <v>115</v>
      </c>
      <c r="D165" s="654"/>
      <c r="E165" s="654"/>
      <c r="F165" s="654"/>
      <c r="G165" s="654"/>
      <c r="H165" s="647"/>
      <c r="I165" s="709">
        <f t="shared" si="88"/>
        <v>0</v>
      </c>
      <c r="J165" s="702"/>
      <c r="K165" s="636">
        <f t="shared" si="89"/>
        <v>0</v>
      </c>
      <c r="L165" s="703"/>
      <c r="M165" s="702">
        <f t="shared" si="90"/>
        <v>0</v>
      </c>
      <c r="N165" s="702"/>
      <c r="O165" s="636">
        <f t="shared" si="91"/>
        <v>0</v>
      </c>
      <c r="P165" s="637"/>
      <c r="Q165" s="702">
        <f t="shared" si="92"/>
        <v>0</v>
      </c>
      <c r="R165" s="702"/>
      <c r="S165" s="636">
        <f t="shared" si="93"/>
        <v>0</v>
      </c>
      <c r="T165" s="637"/>
      <c r="U165" s="702">
        <f t="shared" si="94"/>
        <v>6</v>
      </c>
      <c r="V165" s="702"/>
      <c r="W165" s="704">
        <f t="shared" si="95"/>
        <v>36</v>
      </c>
      <c r="X165" s="704"/>
      <c r="Y165" s="711">
        <f t="shared" si="96"/>
        <v>0</v>
      </c>
      <c r="Z165" s="701"/>
      <c r="AA165" s="636">
        <f t="shared" si="97"/>
        <v>0</v>
      </c>
      <c r="AB165" s="708"/>
      <c r="AC165" s="710">
        <f t="shared" si="98"/>
        <v>0</v>
      </c>
      <c r="AD165" s="710"/>
      <c r="AE165" s="710"/>
      <c r="AF165" s="710"/>
      <c r="AG165" s="710"/>
      <c r="AH165" s="704">
        <f t="shared" si="99"/>
        <v>0</v>
      </c>
      <c r="AI165" s="636"/>
      <c r="AJ165" s="634">
        <f t="shared" si="84"/>
        <v>0</v>
      </c>
      <c r="AK165" s="635"/>
      <c r="AL165" s="636">
        <f t="shared" si="85"/>
        <v>0</v>
      </c>
      <c r="AM165" s="637"/>
      <c r="AN165" s="692">
        <f t="shared" si="86"/>
        <v>6</v>
      </c>
      <c r="AO165" s="693"/>
      <c r="AP165" s="695">
        <f t="shared" si="87"/>
        <v>36</v>
      </c>
      <c r="AQ165" s="695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44"/>
      <c r="C166" s="654" t="s">
        <v>43</v>
      </c>
      <c r="D166" s="654"/>
      <c r="E166" s="654"/>
      <c r="F166" s="654"/>
      <c r="G166" s="654"/>
      <c r="H166" s="647"/>
      <c r="I166" s="709">
        <f t="shared" si="88"/>
        <v>0</v>
      </c>
      <c r="J166" s="702"/>
      <c r="K166" s="636">
        <f t="shared" si="89"/>
        <v>0</v>
      </c>
      <c r="L166" s="703"/>
      <c r="M166" s="702">
        <f t="shared" si="90"/>
        <v>3</v>
      </c>
      <c r="N166" s="702"/>
      <c r="O166" s="636">
        <f t="shared" si="91"/>
        <v>18</v>
      </c>
      <c r="P166" s="637"/>
      <c r="Q166" s="702">
        <f t="shared" si="92"/>
        <v>0</v>
      </c>
      <c r="R166" s="702"/>
      <c r="S166" s="636">
        <f t="shared" si="93"/>
        <v>0</v>
      </c>
      <c r="T166" s="637"/>
      <c r="U166" s="702">
        <f t="shared" si="94"/>
        <v>2</v>
      </c>
      <c r="V166" s="702"/>
      <c r="W166" s="704">
        <f t="shared" si="95"/>
        <v>12</v>
      </c>
      <c r="X166" s="704"/>
      <c r="Y166" s="711">
        <f t="shared" si="96"/>
        <v>0</v>
      </c>
      <c r="Z166" s="701"/>
      <c r="AA166" s="636">
        <f t="shared" si="97"/>
        <v>0</v>
      </c>
      <c r="AB166" s="708"/>
      <c r="AC166" s="710">
        <f t="shared" si="98"/>
        <v>0</v>
      </c>
      <c r="AD166" s="710"/>
      <c r="AE166" s="710"/>
      <c r="AF166" s="710"/>
      <c r="AG166" s="710"/>
      <c r="AH166" s="704">
        <f t="shared" si="99"/>
        <v>0</v>
      </c>
      <c r="AI166" s="636"/>
      <c r="AJ166" s="634">
        <f t="shared" si="84"/>
        <v>0</v>
      </c>
      <c r="AK166" s="635"/>
      <c r="AL166" s="636">
        <f t="shared" si="85"/>
        <v>0</v>
      </c>
      <c r="AM166" s="637"/>
      <c r="AN166" s="692">
        <f t="shared" si="86"/>
        <v>5</v>
      </c>
      <c r="AO166" s="693"/>
      <c r="AP166" s="695">
        <f t="shared" si="87"/>
        <v>30</v>
      </c>
      <c r="AQ166" s="695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44"/>
      <c r="C167" s="654" t="s">
        <v>46</v>
      </c>
      <c r="D167" s="654"/>
      <c r="E167" s="654"/>
      <c r="F167" s="654"/>
      <c r="G167" s="654"/>
      <c r="H167" s="647"/>
      <c r="I167" s="709">
        <f t="shared" si="88"/>
        <v>0</v>
      </c>
      <c r="J167" s="702"/>
      <c r="K167" s="636">
        <f t="shared" si="89"/>
        <v>0</v>
      </c>
      <c r="L167" s="703"/>
      <c r="M167" s="702">
        <f t="shared" si="90"/>
        <v>0</v>
      </c>
      <c r="N167" s="702"/>
      <c r="O167" s="636">
        <f t="shared" si="91"/>
        <v>0</v>
      </c>
      <c r="P167" s="637"/>
      <c r="Q167" s="702">
        <f t="shared" si="92"/>
        <v>0</v>
      </c>
      <c r="R167" s="702"/>
      <c r="S167" s="636">
        <f t="shared" si="93"/>
        <v>0</v>
      </c>
      <c r="T167" s="637"/>
      <c r="U167" s="702">
        <f t="shared" si="94"/>
        <v>3</v>
      </c>
      <c r="V167" s="702"/>
      <c r="W167" s="704">
        <f t="shared" si="95"/>
        <v>34.5</v>
      </c>
      <c r="X167" s="704"/>
      <c r="Y167" s="711">
        <f t="shared" si="96"/>
        <v>0</v>
      </c>
      <c r="Z167" s="701"/>
      <c r="AA167" s="636">
        <f t="shared" si="97"/>
        <v>0</v>
      </c>
      <c r="AB167" s="708"/>
      <c r="AC167" s="710">
        <f t="shared" si="98"/>
        <v>0</v>
      </c>
      <c r="AD167" s="710"/>
      <c r="AE167" s="710"/>
      <c r="AF167" s="710"/>
      <c r="AG167" s="710"/>
      <c r="AH167" s="704">
        <f t="shared" si="99"/>
        <v>0</v>
      </c>
      <c r="AI167" s="636"/>
      <c r="AJ167" s="634">
        <f t="shared" si="84"/>
        <v>0</v>
      </c>
      <c r="AK167" s="635"/>
      <c r="AL167" s="636">
        <f t="shared" si="85"/>
        <v>0</v>
      </c>
      <c r="AM167" s="637"/>
      <c r="AN167" s="692">
        <f t="shared" si="86"/>
        <v>3</v>
      </c>
      <c r="AO167" s="693"/>
      <c r="AP167" s="695">
        <f t="shared" si="87"/>
        <v>34.5</v>
      </c>
      <c r="AQ167" s="695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44"/>
      <c r="C168" s="654" t="s">
        <v>44</v>
      </c>
      <c r="D168" s="654"/>
      <c r="E168" s="654"/>
      <c r="F168" s="654"/>
      <c r="G168" s="654"/>
      <c r="H168" s="647"/>
      <c r="I168" s="709">
        <f t="shared" si="88"/>
        <v>0</v>
      </c>
      <c r="J168" s="702"/>
      <c r="K168" s="636">
        <f t="shared" si="89"/>
        <v>0</v>
      </c>
      <c r="L168" s="703"/>
      <c r="M168" s="702">
        <f t="shared" si="90"/>
        <v>3</v>
      </c>
      <c r="N168" s="702"/>
      <c r="O168" s="636">
        <f t="shared" si="91"/>
        <v>18</v>
      </c>
      <c r="P168" s="637"/>
      <c r="Q168" s="702">
        <f t="shared" si="92"/>
        <v>0</v>
      </c>
      <c r="R168" s="702"/>
      <c r="S168" s="636">
        <f t="shared" si="93"/>
        <v>0</v>
      </c>
      <c r="T168" s="637"/>
      <c r="U168" s="702">
        <f t="shared" si="94"/>
        <v>3</v>
      </c>
      <c r="V168" s="702"/>
      <c r="W168" s="704">
        <f t="shared" si="95"/>
        <v>18</v>
      </c>
      <c r="X168" s="704"/>
      <c r="Y168" s="711">
        <f t="shared" si="96"/>
        <v>0</v>
      </c>
      <c r="Z168" s="701"/>
      <c r="AA168" s="636">
        <f t="shared" si="97"/>
        <v>0</v>
      </c>
      <c r="AB168" s="708"/>
      <c r="AC168" s="710">
        <f t="shared" si="98"/>
        <v>0</v>
      </c>
      <c r="AD168" s="710"/>
      <c r="AE168" s="710"/>
      <c r="AF168" s="710"/>
      <c r="AG168" s="710"/>
      <c r="AH168" s="704">
        <f t="shared" si="99"/>
        <v>0</v>
      </c>
      <c r="AI168" s="636"/>
      <c r="AJ168" s="634">
        <f t="shared" si="84"/>
        <v>0</v>
      </c>
      <c r="AK168" s="635"/>
      <c r="AL168" s="636">
        <f t="shared" si="85"/>
        <v>0</v>
      </c>
      <c r="AM168" s="637"/>
      <c r="AN168" s="692">
        <f t="shared" si="86"/>
        <v>6</v>
      </c>
      <c r="AO168" s="693"/>
      <c r="AP168" s="695">
        <f t="shared" si="87"/>
        <v>36</v>
      </c>
      <c r="AQ168" s="695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44"/>
      <c r="C169" s="654" t="s">
        <v>114</v>
      </c>
      <c r="D169" s="654"/>
      <c r="E169" s="654"/>
      <c r="F169" s="654"/>
      <c r="G169" s="654"/>
      <c r="H169" s="647"/>
      <c r="I169" s="709">
        <f t="shared" si="88"/>
        <v>0</v>
      </c>
      <c r="J169" s="702"/>
      <c r="K169" s="636">
        <f t="shared" si="89"/>
        <v>0</v>
      </c>
      <c r="L169" s="703"/>
      <c r="M169" s="702">
        <f t="shared" si="90"/>
        <v>0</v>
      </c>
      <c r="N169" s="702"/>
      <c r="O169" s="636">
        <f t="shared" si="91"/>
        <v>0</v>
      </c>
      <c r="P169" s="637"/>
      <c r="Q169" s="702">
        <f t="shared" si="92"/>
        <v>0</v>
      </c>
      <c r="R169" s="702"/>
      <c r="S169" s="636">
        <f t="shared" si="93"/>
        <v>0</v>
      </c>
      <c r="T169" s="637"/>
      <c r="U169" s="702">
        <f t="shared" si="94"/>
        <v>6</v>
      </c>
      <c r="V169" s="702"/>
      <c r="W169" s="704">
        <f t="shared" si="95"/>
        <v>36</v>
      </c>
      <c r="X169" s="704"/>
      <c r="Y169" s="711">
        <f t="shared" si="96"/>
        <v>0</v>
      </c>
      <c r="Z169" s="701"/>
      <c r="AA169" s="636">
        <f t="shared" si="97"/>
        <v>0</v>
      </c>
      <c r="AB169" s="708"/>
      <c r="AC169" s="710">
        <f t="shared" si="98"/>
        <v>0</v>
      </c>
      <c r="AD169" s="710"/>
      <c r="AE169" s="710"/>
      <c r="AF169" s="710"/>
      <c r="AG169" s="710"/>
      <c r="AH169" s="704">
        <f t="shared" si="99"/>
        <v>0</v>
      </c>
      <c r="AI169" s="636"/>
      <c r="AJ169" s="634">
        <f t="shared" si="84"/>
        <v>0</v>
      </c>
      <c r="AK169" s="635"/>
      <c r="AL169" s="636">
        <f t="shared" si="85"/>
        <v>0</v>
      </c>
      <c r="AM169" s="637"/>
      <c r="AN169" s="692">
        <f t="shared" si="86"/>
        <v>6</v>
      </c>
      <c r="AO169" s="693"/>
      <c r="AP169" s="695">
        <f t="shared" si="87"/>
        <v>36</v>
      </c>
      <c r="AQ169" s="695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44"/>
      <c r="C170" s="654" t="s">
        <v>47</v>
      </c>
      <c r="D170" s="654"/>
      <c r="E170" s="654"/>
      <c r="F170" s="654"/>
      <c r="G170" s="654"/>
      <c r="H170" s="647"/>
      <c r="I170" s="709">
        <f t="shared" si="88"/>
        <v>0</v>
      </c>
      <c r="J170" s="702"/>
      <c r="K170" s="636">
        <f t="shared" si="89"/>
        <v>0</v>
      </c>
      <c r="L170" s="703"/>
      <c r="M170" s="702">
        <f t="shared" si="90"/>
        <v>0</v>
      </c>
      <c r="N170" s="702"/>
      <c r="O170" s="636">
        <f t="shared" si="91"/>
        <v>0</v>
      </c>
      <c r="P170" s="637"/>
      <c r="Q170" s="702">
        <f t="shared" si="92"/>
        <v>0</v>
      </c>
      <c r="R170" s="702"/>
      <c r="S170" s="636">
        <f t="shared" si="93"/>
        <v>0</v>
      </c>
      <c r="T170" s="637"/>
      <c r="U170" s="702">
        <f t="shared" si="94"/>
        <v>3</v>
      </c>
      <c r="V170" s="702"/>
      <c r="W170" s="704">
        <f t="shared" si="95"/>
        <v>34.5</v>
      </c>
      <c r="X170" s="704"/>
      <c r="Y170" s="711">
        <f t="shared" si="96"/>
        <v>0</v>
      </c>
      <c r="Z170" s="701"/>
      <c r="AA170" s="636">
        <f t="shared" si="97"/>
        <v>0</v>
      </c>
      <c r="AB170" s="708"/>
      <c r="AC170" s="710">
        <f t="shared" si="98"/>
        <v>0</v>
      </c>
      <c r="AD170" s="710"/>
      <c r="AE170" s="710"/>
      <c r="AF170" s="710"/>
      <c r="AG170" s="710"/>
      <c r="AH170" s="704">
        <f t="shared" si="99"/>
        <v>0</v>
      </c>
      <c r="AI170" s="636"/>
      <c r="AJ170" s="634">
        <f t="shared" si="84"/>
        <v>0</v>
      </c>
      <c r="AK170" s="635"/>
      <c r="AL170" s="636">
        <f t="shared" si="85"/>
        <v>0</v>
      </c>
      <c r="AM170" s="637"/>
      <c r="AN170" s="692">
        <f t="shared" si="86"/>
        <v>3</v>
      </c>
      <c r="AO170" s="693"/>
      <c r="AP170" s="695">
        <f t="shared" si="87"/>
        <v>34.5</v>
      </c>
      <c r="AQ170" s="695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44"/>
      <c r="C171" s="654" t="s">
        <v>58</v>
      </c>
      <c r="D171" s="654"/>
      <c r="E171" s="654"/>
      <c r="F171" s="654"/>
      <c r="G171" s="654"/>
      <c r="H171" s="647"/>
      <c r="I171" s="709">
        <f t="shared" si="88"/>
        <v>0</v>
      </c>
      <c r="J171" s="702"/>
      <c r="K171" s="636">
        <f t="shared" si="89"/>
        <v>0</v>
      </c>
      <c r="L171" s="703"/>
      <c r="M171" s="702">
        <f t="shared" si="90"/>
        <v>21</v>
      </c>
      <c r="N171" s="702"/>
      <c r="O171" s="636">
        <f t="shared" si="91"/>
        <v>315</v>
      </c>
      <c r="P171" s="637"/>
      <c r="Q171" s="702">
        <f t="shared" si="92"/>
        <v>25</v>
      </c>
      <c r="R171" s="702"/>
      <c r="S171" s="636">
        <f t="shared" si="93"/>
        <v>375</v>
      </c>
      <c r="T171" s="637"/>
      <c r="U171" s="702">
        <f t="shared" si="94"/>
        <v>1</v>
      </c>
      <c r="V171" s="702"/>
      <c r="W171" s="704">
        <f t="shared" si="95"/>
        <v>17</v>
      </c>
      <c r="X171" s="704"/>
      <c r="Y171" s="711">
        <f t="shared" si="96"/>
        <v>35</v>
      </c>
      <c r="Z171" s="701"/>
      <c r="AA171" s="636">
        <f t="shared" si="97"/>
        <v>577.5</v>
      </c>
      <c r="AB171" s="708"/>
      <c r="AC171" s="710">
        <f t="shared" si="98"/>
        <v>0</v>
      </c>
      <c r="AD171" s="710"/>
      <c r="AE171" s="710"/>
      <c r="AF171" s="710"/>
      <c r="AG171" s="710"/>
      <c r="AH171" s="704">
        <f t="shared" si="99"/>
        <v>0</v>
      </c>
      <c r="AI171" s="636"/>
      <c r="AJ171" s="634">
        <f t="shared" si="84"/>
        <v>10</v>
      </c>
      <c r="AK171" s="635"/>
      <c r="AL171" s="636">
        <f t="shared" si="85"/>
        <v>180</v>
      </c>
      <c r="AM171" s="637"/>
      <c r="AN171" s="692">
        <f t="shared" si="86"/>
        <v>92</v>
      </c>
      <c r="AO171" s="693"/>
      <c r="AP171" s="695">
        <f t="shared" si="87"/>
        <v>1464.5</v>
      </c>
      <c r="AQ171" s="695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44"/>
      <c r="C172" s="654" t="s">
        <v>117</v>
      </c>
      <c r="D172" s="654"/>
      <c r="E172" s="654"/>
      <c r="F172" s="654"/>
      <c r="G172" s="654"/>
      <c r="H172" s="654"/>
      <c r="I172" s="701">
        <f>M72+Y72+AP72+BD72</f>
        <v>0</v>
      </c>
      <c r="J172" s="702"/>
      <c r="K172" s="636">
        <f>N72+Z72+AQ72+BE72</f>
        <v>0</v>
      </c>
      <c r="L172" s="703"/>
      <c r="M172" s="702">
        <f>BP72+CI72+DA72+DU72</f>
        <v>0</v>
      </c>
      <c r="N172" s="702"/>
      <c r="O172" s="636">
        <f>BQ72+CJ72+DB72+DV72</f>
        <v>0</v>
      </c>
      <c r="P172" s="637"/>
      <c r="Q172" s="702">
        <f>EO72+FT72</f>
        <v>0</v>
      </c>
      <c r="R172" s="702"/>
      <c r="S172" s="636">
        <f>EP72+FU72</f>
        <v>0</v>
      </c>
      <c r="T172" s="637"/>
      <c r="U172" s="702">
        <f t="shared" ref="U172:U190" si="100">GQ72+HL72+HW72+IM72</f>
        <v>0</v>
      </c>
      <c r="V172" s="702"/>
      <c r="W172" s="704">
        <f t="shared" ref="W172:W190" si="101">GR72+HM72+HX72+IN72</f>
        <v>0</v>
      </c>
      <c r="X172" s="704"/>
      <c r="Y172" s="711">
        <f t="shared" ref="Y172:Y190" si="102">IY72+KE72+KS72+LF72</f>
        <v>4</v>
      </c>
      <c r="Z172" s="701"/>
      <c r="AA172" s="636">
        <f t="shared" ref="AA172:AA190" si="103">IZ72+KF72+KT72+LG72</f>
        <v>72</v>
      </c>
      <c r="AB172" s="708"/>
      <c r="AC172" s="710">
        <f t="shared" ref="AC172:AC190" si="104">ME72+ND72</f>
        <v>0</v>
      </c>
      <c r="AD172" s="710"/>
      <c r="AE172" s="710"/>
      <c r="AF172" s="710"/>
      <c r="AG172" s="710"/>
      <c r="AH172" s="704">
        <f t="shared" ref="AH172:AH190" si="105">MF72+NE72</f>
        <v>0</v>
      </c>
      <c r="AI172" s="636"/>
      <c r="AJ172" s="634">
        <f t="shared" si="84"/>
        <v>5</v>
      </c>
      <c r="AK172" s="635"/>
      <c r="AL172" s="636">
        <f t="shared" si="85"/>
        <v>90</v>
      </c>
      <c r="AM172" s="637"/>
      <c r="AN172" s="692">
        <f t="shared" si="86"/>
        <v>9</v>
      </c>
      <c r="AO172" s="693"/>
      <c r="AP172" s="695">
        <f t="shared" si="87"/>
        <v>162</v>
      </c>
      <c r="AQ172" s="695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44"/>
      <c r="C173" s="654" t="s">
        <v>194</v>
      </c>
      <c r="D173" s="654"/>
      <c r="E173" s="654"/>
      <c r="F173" s="654"/>
      <c r="G173" s="654"/>
      <c r="H173" s="654"/>
      <c r="I173" s="701">
        <f>M73+Y73+AP73+BD73</f>
        <v>0</v>
      </c>
      <c r="J173" s="702"/>
      <c r="K173" s="636">
        <f>N73+Z73+AQ73+BE73</f>
        <v>0</v>
      </c>
      <c r="L173" s="703"/>
      <c r="M173" s="702">
        <f>BP73+CI73+DA73+DU73</f>
        <v>0</v>
      </c>
      <c r="N173" s="702"/>
      <c r="O173" s="636">
        <f>BQ73+CJ73+DB73+DV73</f>
        <v>0</v>
      </c>
      <c r="P173" s="637"/>
      <c r="Q173" s="702">
        <f>EO73+FT73</f>
        <v>0</v>
      </c>
      <c r="R173" s="702"/>
      <c r="S173" s="636">
        <f>EP73+FU73</f>
        <v>0</v>
      </c>
      <c r="T173" s="637"/>
      <c r="U173" s="702">
        <f t="shared" si="100"/>
        <v>3</v>
      </c>
      <c r="V173" s="702"/>
      <c r="W173" s="704">
        <f t="shared" si="101"/>
        <v>225</v>
      </c>
      <c r="X173" s="704"/>
      <c r="Y173" s="711">
        <f t="shared" si="102"/>
        <v>0</v>
      </c>
      <c r="Z173" s="701"/>
      <c r="AA173" s="636">
        <f t="shared" si="103"/>
        <v>0</v>
      </c>
      <c r="AB173" s="708"/>
      <c r="AC173" s="710">
        <f t="shared" si="104"/>
        <v>0</v>
      </c>
      <c r="AD173" s="710"/>
      <c r="AE173" s="710"/>
      <c r="AF173" s="710"/>
      <c r="AG173" s="710"/>
      <c r="AH173" s="704">
        <f t="shared" si="105"/>
        <v>0</v>
      </c>
      <c r="AI173" s="636"/>
      <c r="AJ173" s="634">
        <f t="shared" ref="AJ173:AJ200" si="106">OC73</f>
        <v>0</v>
      </c>
      <c r="AK173" s="635"/>
      <c r="AL173" s="636">
        <f t="shared" ref="AL173:AL200" si="107">OD73</f>
        <v>0</v>
      </c>
      <c r="AM173" s="637"/>
      <c r="AN173" s="692">
        <f t="shared" ref="AN173:AN200" si="108">I173+M173+Q173+U173+Y173+AC173+AJ173</f>
        <v>3</v>
      </c>
      <c r="AO173" s="693"/>
      <c r="AP173" s="695">
        <f t="shared" ref="AP173:AP200" si="109">K173+O173+S173+W173+AA173+AH173+AL173</f>
        <v>225</v>
      </c>
      <c r="AQ173" s="695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44"/>
      <c r="C174" s="654" t="s">
        <v>232</v>
      </c>
      <c r="D174" s="654"/>
      <c r="E174" s="654"/>
      <c r="F174" s="654"/>
      <c r="G174" s="654"/>
      <c r="H174" s="654"/>
      <c r="I174" s="701">
        <f>M74+Y74+AP74+BD74</f>
        <v>0</v>
      </c>
      <c r="J174" s="702"/>
      <c r="K174" s="636">
        <f>N74+Z74+AQ74+BE74</f>
        <v>0</v>
      </c>
      <c r="L174" s="703"/>
      <c r="M174" s="702">
        <f>BP74+CI74+DA74+DU74</f>
        <v>0</v>
      </c>
      <c r="N174" s="702"/>
      <c r="O174" s="636">
        <f>BQ74+CJ74+DB74+DV74</f>
        <v>0</v>
      </c>
      <c r="P174" s="637"/>
      <c r="Q174" s="702">
        <f>EO74+FT74</f>
        <v>0</v>
      </c>
      <c r="R174" s="702"/>
      <c r="S174" s="636">
        <f>EP74+FU74</f>
        <v>0</v>
      </c>
      <c r="T174" s="637"/>
      <c r="U174" s="702">
        <f t="shared" si="100"/>
        <v>0</v>
      </c>
      <c r="V174" s="702"/>
      <c r="W174" s="704">
        <f t="shared" si="101"/>
        <v>0</v>
      </c>
      <c r="X174" s="704"/>
      <c r="Y174" s="711">
        <f t="shared" si="102"/>
        <v>0</v>
      </c>
      <c r="Z174" s="701"/>
      <c r="AA174" s="636">
        <f t="shared" si="103"/>
        <v>0</v>
      </c>
      <c r="AB174" s="708"/>
      <c r="AC174" s="710">
        <f t="shared" si="104"/>
        <v>5</v>
      </c>
      <c r="AD174" s="710"/>
      <c r="AE174" s="710"/>
      <c r="AF174" s="710"/>
      <c r="AG174" s="710"/>
      <c r="AH174" s="704">
        <f t="shared" si="105"/>
        <v>205</v>
      </c>
      <c r="AI174" s="636"/>
      <c r="AJ174" s="634">
        <f t="shared" si="106"/>
        <v>11</v>
      </c>
      <c r="AK174" s="635"/>
      <c r="AL174" s="636">
        <f t="shared" si="107"/>
        <v>418</v>
      </c>
      <c r="AM174" s="637"/>
      <c r="AN174" s="692">
        <f t="shared" si="108"/>
        <v>16</v>
      </c>
      <c r="AO174" s="693"/>
      <c r="AP174" s="695">
        <f t="shared" si="109"/>
        <v>623</v>
      </c>
      <c r="AQ174" s="695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44"/>
      <c r="C175" s="654" t="s">
        <v>235</v>
      </c>
      <c r="D175" s="654"/>
      <c r="E175" s="654"/>
      <c r="F175" s="654"/>
      <c r="G175" s="654"/>
      <c r="H175" s="654"/>
      <c r="I175" s="701">
        <f>M75+Y75+AP75+BD75</f>
        <v>0</v>
      </c>
      <c r="J175" s="702"/>
      <c r="K175" s="636">
        <f>N75+Z75+AQ75+BE75</f>
        <v>0</v>
      </c>
      <c r="L175" s="703"/>
      <c r="M175" s="702">
        <f>BP75+CI75+DA75+DU75</f>
        <v>0</v>
      </c>
      <c r="N175" s="702"/>
      <c r="O175" s="636">
        <f>BQ75+CJ75+DB75+DV75</f>
        <v>0</v>
      </c>
      <c r="P175" s="637"/>
      <c r="Q175" s="702">
        <f>EO75+FT75</f>
        <v>0</v>
      </c>
      <c r="R175" s="702"/>
      <c r="S175" s="636">
        <f>EP75+FU75</f>
        <v>0</v>
      </c>
      <c r="T175" s="637"/>
      <c r="U175" s="702">
        <f t="shared" si="100"/>
        <v>0</v>
      </c>
      <c r="V175" s="702"/>
      <c r="W175" s="704">
        <f t="shared" si="101"/>
        <v>0</v>
      </c>
      <c r="X175" s="704"/>
      <c r="Y175" s="711">
        <f t="shared" si="102"/>
        <v>26</v>
      </c>
      <c r="Z175" s="701"/>
      <c r="AA175" s="636">
        <f t="shared" si="103"/>
        <v>390</v>
      </c>
      <c r="AB175" s="708"/>
      <c r="AC175" s="710">
        <f t="shared" si="104"/>
        <v>28</v>
      </c>
      <c r="AD175" s="710"/>
      <c r="AE175" s="710"/>
      <c r="AF175" s="710"/>
      <c r="AG175" s="710"/>
      <c r="AH175" s="704">
        <f t="shared" si="105"/>
        <v>420</v>
      </c>
      <c r="AI175" s="636"/>
      <c r="AJ175" s="634">
        <f t="shared" si="106"/>
        <v>0</v>
      </c>
      <c r="AK175" s="635"/>
      <c r="AL175" s="636">
        <f t="shared" si="107"/>
        <v>0</v>
      </c>
      <c r="AM175" s="637"/>
      <c r="AN175" s="692">
        <f t="shared" si="108"/>
        <v>54</v>
      </c>
      <c r="AO175" s="693"/>
      <c r="AP175" s="695">
        <f t="shared" si="109"/>
        <v>810</v>
      </c>
      <c r="AQ175" s="695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44"/>
      <c r="C176" s="654" t="s">
        <v>245</v>
      </c>
      <c r="D176" s="654"/>
      <c r="E176" s="654"/>
      <c r="F176" s="654"/>
      <c r="G176" s="654"/>
      <c r="H176" s="654"/>
      <c r="I176" s="701">
        <f t="shared" ref="I176:I190" si="110">M76+Y76+AP76+BD76</f>
        <v>0</v>
      </c>
      <c r="J176" s="702"/>
      <c r="K176" s="636">
        <f t="shared" ref="K176:K190" si="111">N76+Z76+AQ76+BE76</f>
        <v>0</v>
      </c>
      <c r="L176" s="703"/>
      <c r="M176" s="702">
        <f t="shared" ref="M176:M190" si="112">BP76+CI76+DA76+DU76</f>
        <v>0</v>
      </c>
      <c r="N176" s="702"/>
      <c r="O176" s="636">
        <f t="shared" ref="O176:O190" si="113">BQ76+CJ76+DB76+DV76</f>
        <v>0</v>
      </c>
      <c r="P176" s="637"/>
      <c r="Q176" s="702">
        <f t="shared" ref="Q176:Q190" si="114">EO76+FT76</f>
        <v>0</v>
      </c>
      <c r="R176" s="702"/>
      <c r="S176" s="636">
        <f t="shared" ref="S176:S190" si="115">EP76+FU76</f>
        <v>0</v>
      </c>
      <c r="T176" s="637"/>
      <c r="U176" s="702">
        <f t="shared" si="100"/>
        <v>0</v>
      </c>
      <c r="V176" s="702"/>
      <c r="W176" s="704">
        <f t="shared" si="101"/>
        <v>0</v>
      </c>
      <c r="X176" s="704"/>
      <c r="Y176" s="711">
        <f t="shared" si="102"/>
        <v>1</v>
      </c>
      <c r="Z176" s="701"/>
      <c r="AA176" s="636">
        <f t="shared" si="103"/>
        <v>9</v>
      </c>
      <c r="AB176" s="708"/>
      <c r="AC176" s="710">
        <f t="shared" si="104"/>
        <v>0</v>
      </c>
      <c r="AD176" s="710"/>
      <c r="AE176" s="710"/>
      <c r="AF176" s="710"/>
      <c r="AG176" s="710"/>
      <c r="AH176" s="704">
        <f t="shared" si="105"/>
        <v>0</v>
      </c>
      <c r="AI176" s="636"/>
      <c r="AJ176" s="634">
        <f t="shared" si="106"/>
        <v>0</v>
      </c>
      <c r="AK176" s="635"/>
      <c r="AL176" s="636">
        <f t="shared" si="107"/>
        <v>0</v>
      </c>
      <c r="AM176" s="637"/>
      <c r="AN176" s="692">
        <f t="shared" si="108"/>
        <v>1</v>
      </c>
      <c r="AO176" s="693"/>
      <c r="AP176" s="695">
        <f t="shared" si="109"/>
        <v>9</v>
      </c>
      <c r="AQ176" s="695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44"/>
      <c r="C177" s="647" t="s">
        <v>246</v>
      </c>
      <c r="D177" s="648"/>
      <c r="E177" s="648"/>
      <c r="F177" s="648"/>
      <c r="G177" s="648"/>
      <c r="H177" s="649"/>
      <c r="I177" s="701">
        <f t="shared" si="110"/>
        <v>0</v>
      </c>
      <c r="J177" s="702"/>
      <c r="K177" s="636">
        <f t="shared" si="111"/>
        <v>0</v>
      </c>
      <c r="L177" s="703"/>
      <c r="M177" s="702">
        <f t="shared" si="112"/>
        <v>0</v>
      </c>
      <c r="N177" s="702"/>
      <c r="O177" s="636">
        <f t="shared" si="113"/>
        <v>0</v>
      </c>
      <c r="P177" s="637"/>
      <c r="Q177" s="702">
        <f t="shared" si="114"/>
        <v>0</v>
      </c>
      <c r="R177" s="702"/>
      <c r="S177" s="636">
        <f t="shared" si="115"/>
        <v>0</v>
      </c>
      <c r="T177" s="637"/>
      <c r="U177" s="702">
        <f t="shared" si="100"/>
        <v>0</v>
      </c>
      <c r="V177" s="702"/>
      <c r="W177" s="704">
        <f t="shared" si="101"/>
        <v>0</v>
      </c>
      <c r="X177" s="704"/>
      <c r="Y177" s="711">
        <f t="shared" si="102"/>
        <v>0</v>
      </c>
      <c r="Z177" s="701"/>
      <c r="AA177" s="636">
        <f t="shared" si="103"/>
        <v>0</v>
      </c>
      <c r="AB177" s="708"/>
      <c r="AC177" s="710">
        <f t="shared" si="104"/>
        <v>0</v>
      </c>
      <c r="AD177" s="710"/>
      <c r="AE177" s="710"/>
      <c r="AF177" s="710"/>
      <c r="AG177" s="710"/>
      <c r="AH177" s="704">
        <f t="shared" si="105"/>
        <v>0</v>
      </c>
      <c r="AI177" s="636"/>
      <c r="AJ177" s="634">
        <f t="shared" si="106"/>
        <v>5</v>
      </c>
      <c r="AK177" s="635"/>
      <c r="AL177" s="636">
        <f t="shared" si="107"/>
        <v>65</v>
      </c>
      <c r="AM177" s="637"/>
      <c r="AN177" s="692">
        <f t="shared" si="108"/>
        <v>5</v>
      </c>
      <c r="AO177" s="693"/>
      <c r="AP177" s="695">
        <f t="shared" si="109"/>
        <v>65</v>
      </c>
      <c r="AQ177" s="695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44"/>
      <c r="C178" s="647" t="s">
        <v>247</v>
      </c>
      <c r="D178" s="648"/>
      <c r="E178" s="648"/>
      <c r="F178" s="648"/>
      <c r="G178" s="648"/>
      <c r="H178" s="649"/>
      <c r="I178" s="701">
        <f t="shared" si="110"/>
        <v>0</v>
      </c>
      <c r="J178" s="702"/>
      <c r="K178" s="636">
        <f t="shared" si="111"/>
        <v>0</v>
      </c>
      <c r="L178" s="703"/>
      <c r="M178" s="702">
        <f t="shared" si="112"/>
        <v>0</v>
      </c>
      <c r="N178" s="702"/>
      <c r="O178" s="636">
        <f t="shared" si="113"/>
        <v>0</v>
      </c>
      <c r="P178" s="637"/>
      <c r="Q178" s="702">
        <f t="shared" si="114"/>
        <v>0</v>
      </c>
      <c r="R178" s="702"/>
      <c r="S178" s="636">
        <f t="shared" si="115"/>
        <v>0</v>
      </c>
      <c r="T178" s="637"/>
      <c r="U178" s="702">
        <f t="shared" si="100"/>
        <v>0</v>
      </c>
      <c r="V178" s="702"/>
      <c r="W178" s="704">
        <f t="shared" si="101"/>
        <v>0</v>
      </c>
      <c r="X178" s="704"/>
      <c r="Y178" s="711">
        <f t="shared" si="102"/>
        <v>0</v>
      </c>
      <c r="Z178" s="701"/>
      <c r="AA178" s="636">
        <f t="shared" si="103"/>
        <v>0</v>
      </c>
      <c r="AB178" s="708"/>
      <c r="AC178" s="710">
        <f t="shared" si="104"/>
        <v>0</v>
      </c>
      <c r="AD178" s="710"/>
      <c r="AE178" s="710"/>
      <c r="AF178" s="710"/>
      <c r="AG178" s="710"/>
      <c r="AH178" s="704">
        <f t="shared" si="105"/>
        <v>0</v>
      </c>
      <c r="AI178" s="636"/>
      <c r="AJ178" s="634">
        <f t="shared" si="106"/>
        <v>8</v>
      </c>
      <c r="AK178" s="635"/>
      <c r="AL178" s="636">
        <f t="shared" si="107"/>
        <v>80</v>
      </c>
      <c r="AM178" s="637"/>
      <c r="AN178" s="692">
        <f t="shared" si="108"/>
        <v>8</v>
      </c>
      <c r="AO178" s="693"/>
      <c r="AP178" s="695">
        <f t="shared" si="109"/>
        <v>80</v>
      </c>
      <c r="AQ178" s="695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44"/>
      <c r="C179" s="647" t="s">
        <v>249</v>
      </c>
      <c r="D179" s="648"/>
      <c r="E179" s="648"/>
      <c r="F179" s="648"/>
      <c r="G179" s="648"/>
      <c r="H179" s="649"/>
      <c r="I179" s="701">
        <f t="shared" si="110"/>
        <v>0</v>
      </c>
      <c r="J179" s="702"/>
      <c r="K179" s="636">
        <f t="shared" si="111"/>
        <v>0</v>
      </c>
      <c r="L179" s="703"/>
      <c r="M179" s="702">
        <f t="shared" si="112"/>
        <v>0</v>
      </c>
      <c r="N179" s="702"/>
      <c r="O179" s="636">
        <f t="shared" si="113"/>
        <v>0</v>
      </c>
      <c r="P179" s="637"/>
      <c r="Q179" s="702">
        <f t="shared" si="114"/>
        <v>0</v>
      </c>
      <c r="R179" s="702"/>
      <c r="S179" s="636">
        <f t="shared" si="115"/>
        <v>0</v>
      </c>
      <c r="T179" s="637"/>
      <c r="U179" s="702">
        <f t="shared" si="100"/>
        <v>0</v>
      </c>
      <c r="V179" s="702"/>
      <c r="W179" s="704">
        <f t="shared" si="101"/>
        <v>0</v>
      </c>
      <c r="X179" s="704"/>
      <c r="Y179" s="711">
        <f t="shared" si="102"/>
        <v>0</v>
      </c>
      <c r="Z179" s="701"/>
      <c r="AA179" s="636">
        <f t="shared" si="103"/>
        <v>0</v>
      </c>
      <c r="AB179" s="708"/>
      <c r="AC179" s="710">
        <f t="shared" si="104"/>
        <v>0</v>
      </c>
      <c r="AD179" s="710"/>
      <c r="AE179" s="710"/>
      <c r="AF179" s="710"/>
      <c r="AG179" s="710"/>
      <c r="AH179" s="704">
        <f t="shared" si="105"/>
        <v>0</v>
      </c>
      <c r="AI179" s="636"/>
      <c r="AJ179" s="634">
        <f t="shared" si="106"/>
        <v>0</v>
      </c>
      <c r="AK179" s="635"/>
      <c r="AL179" s="636">
        <f t="shared" si="107"/>
        <v>0</v>
      </c>
      <c r="AM179" s="637"/>
      <c r="AN179" s="692">
        <f t="shared" si="108"/>
        <v>0</v>
      </c>
      <c r="AO179" s="693"/>
      <c r="AP179" s="695">
        <f t="shared" si="109"/>
        <v>0</v>
      </c>
      <c r="AQ179" s="695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44"/>
      <c r="C180" s="647" t="s">
        <v>250</v>
      </c>
      <c r="D180" s="648"/>
      <c r="E180" s="648"/>
      <c r="F180" s="648"/>
      <c r="G180" s="648"/>
      <c r="H180" s="649"/>
      <c r="I180" s="701">
        <f t="shared" si="110"/>
        <v>0</v>
      </c>
      <c r="J180" s="702"/>
      <c r="K180" s="636">
        <f t="shared" si="111"/>
        <v>0</v>
      </c>
      <c r="L180" s="703"/>
      <c r="M180" s="702">
        <f t="shared" si="112"/>
        <v>0</v>
      </c>
      <c r="N180" s="702"/>
      <c r="O180" s="636">
        <f t="shared" si="113"/>
        <v>0</v>
      </c>
      <c r="P180" s="637"/>
      <c r="Q180" s="702">
        <f t="shared" si="114"/>
        <v>0</v>
      </c>
      <c r="R180" s="702"/>
      <c r="S180" s="636">
        <f t="shared" si="115"/>
        <v>0</v>
      </c>
      <c r="T180" s="637"/>
      <c r="U180" s="702">
        <f t="shared" si="100"/>
        <v>0</v>
      </c>
      <c r="V180" s="702"/>
      <c r="W180" s="704">
        <f t="shared" si="101"/>
        <v>0</v>
      </c>
      <c r="X180" s="704"/>
      <c r="Y180" s="711">
        <f t="shared" si="102"/>
        <v>0</v>
      </c>
      <c r="Z180" s="701"/>
      <c r="AA180" s="636">
        <f t="shared" si="103"/>
        <v>0</v>
      </c>
      <c r="AB180" s="708"/>
      <c r="AC180" s="710">
        <f t="shared" si="104"/>
        <v>0</v>
      </c>
      <c r="AD180" s="710"/>
      <c r="AE180" s="710"/>
      <c r="AF180" s="710"/>
      <c r="AG180" s="710"/>
      <c r="AH180" s="704">
        <f t="shared" si="105"/>
        <v>0</v>
      </c>
      <c r="AI180" s="636"/>
      <c r="AJ180" s="634">
        <f t="shared" si="106"/>
        <v>0</v>
      </c>
      <c r="AK180" s="635"/>
      <c r="AL180" s="636">
        <f t="shared" si="107"/>
        <v>0</v>
      </c>
      <c r="AM180" s="637"/>
      <c r="AN180" s="692">
        <f t="shared" si="108"/>
        <v>0</v>
      </c>
      <c r="AO180" s="693"/>
      <c r="AP180" s="695">
        <f t="shared" si="109"/>
        <v>0</v>
      </c>
      <c r="AQ180" s="695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44"/>
      <c r="C181" s="647" t="s">
        <v>251</v>
      </c>
      <c r="D181" s="648"/>
      <c r="E181" s="648"/>
      <c r="F181" s="648"/>
      <c r="G181" s="648"/>
      <c r="H181" s="649"/>
      <c r="I181" s="701">
        <f t="shared" si="110"/>
        <v>0</v>
      </c>
      <c r="J181" s="702"/>
      <c r="K181" s="636">
        <f t="shared" si="111"/>
        <v>0</v>
      </c>
      <c r="L181" s="703"/>
      <c r="M181" s="702">
        <f t="shared" si="112"/>
        <v>0</v>
      </c>
      <c r="N181" s="702"/>
      <c r="O181" s="636">
        <f t="shared" si="113"/>
        <v>0</v>
      </c>
      <c r="P181" s="637"/>
      <c r="Q181" s="702">
        <f t="shared" si="114"/>
        <v>0</v>
      </c>
      <c r="R181" s="702"/>
      <c r="S181" s="636">
        <f t="shared" si="115"/>
        <v>0</v>
      </c>
      <c r="T181" s="637"/>
      <c r="U181" s="702">
        <f t="shared" si="100"/>
        <v>0</v>
      </c>
      <c r="V181" s="702"/>
      <c r="W181" s="704">
        <f t="shared" si="101"/>
        <v>0</v>
      </c>
      <c r="X181" s="704"/>
      <c r="Y181" s="711">
        <f t="shared" si="102"/>
        <v>0</v>
      </c>
      <c r="Z181" s="701"/>
      <c r="AA181" s="636">
        <f t="shared" si="103"/>
        <v>0</v>
      </c>
      <c r="AB181" s="708"/>
      <c r="AC181" s="710">
        <f t="shared" si="104"/>
        <v>4</v>
      </c>
      <c r="AD181" s="710"/>
      <c r="AE181" s="710"/>
      <c r="AF181" s="710"/>
      <c r="AG181" s="710"/>
      <c r="AH181" s="704">
        <f t="shared" si="105"/>
        <v>36</v>
      </c>
      <c r="AI181" s="636"/>
      <c r="AJ181" s="634">
        <f t="shared" si="106"/>
        <v>3</v>
      </c>
      <c r="AK181" s="635"/>
      <c r="AL181" s="636">
        <f t="shared" si="107"/>
        <v>27</v>
      </c>
      <c r="AM181" s="637"/>
      <c r="AN181" s="692">
        <f t="shared" si="108"/>
        <v>7</v>
      </c>
      <c r="AO181" s="693"/>
      <c r="AP181" s="695">
        <f t="shared" si="109"/>
        <v>63</v>
      </c>
      <c r="AQ181" s="695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44"/>
      <c r="C182" s="647" t="s">
        <v>252</v>
      </c>
      <c r="D182" s="648"/>
      <c r="E182" s="648"/>
      <c r="F182" s="648"/>
      <c r="G182" s="648"/>
      <c r="H182" s="649"/>
      <c r="I182" s="701">
        <f t="shared" si="110"/>
        <v>0</v>
      </c>
      <c r="J182" s="702"/>
      <c r="K182" s="636">
        <f t="shared" si="111"/>
        <v>0</v>
      </c>
      <c r="L182" s="703"/>
      <c r="M182" s="702">
        <f t="shared" si="112"/>
        <v>0</v>
      </c>
      <c r="N182" s="702"/>
      <c r="O182" s="636">
        <f t="shared" si="113"/>
        <v>0</v>
      </c>
      <c r="P182" s="637"/>
      <c r="Q182" s="702">
        <f t="shared" si="114"/>
        <v>0</v>
      </c>
      <c r="R182" s="702"/>
      <c r="S182" s="636">
        <f t="shared" si="115"/>
        <v>0</v>
      </c>
      <c r="T182" s="637"/>
      <c r="U182" s="702">
        <f t="shared" si="100"/>
        <v>0</v>
      </c>
      <c r="V182" s="702"/>
      <c r="W182" s="704">
        <f t="shared" si="101"/>
        <v>0</v>
      </c>
      <c r="X182" s="704"/>
      <c r="Y182" s="711">
        <f t="shared" si="102"/>
        <v>0</v>
      </c>
      <c r="Z182" s="701"/>
      <c r="AA182" s="636">
        <f t="shared" si="103"/>
        <v>0</v>
      </c>
      <c r="AB182" s="708"/>
      <c r="AC182" s="710">
        <f t="shared" si="104"/>
        <v>0</v>
      </c>
      <c r="AD182" s="710"/>
      <c r="AE182" s="710"/>
      <c r="AF182" s="710"/>
      <c r="AG182" s="710"/>
      <c r="AH182" s="704">
        <f t="shared" si="105"/>
        <v>0</v>
      </c>
      <c r="AI182" s="636"/>
      <c r="AJ182" s="634">
        <f t="shared" si="106"/>
        <v>0</v>
      </c>
      <c r="AK182" s="635"/>
      <c r="AL182" s="636">
        <f t="shared" si="107"/>
        <v>0</v>
      </c>
      <c r="AM182" s="637"/>
      <c r="AN182" s="692">
        <f t="shared" si="108"/>
        <v>0</v>
      </c>
      <c r="AO182" s="693"/>
      <c r="AP182" s="695">
        <f t="shared" si="109"/>
        <v>0</v>
      </c>
      <c r="AQ182" s="695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44"/>
      <c r="C183" s="647" t="s">
        <v>253</v>
      </c>
      <c r="D183" s="648"/>
      <c r="E183" s="648"/>
      <c r="F183" s="648"/>
      <c r="G183" s="648"/>
      <c r="H183" s="649"/>
      <c r="I183" s="701">
        <f t="shared" si="110"/>
        <v>0</v>
      </c>
      <c r="J183" s="702"/>
      <c r="K183" s="636">
        <f t="shared" si="111"/>
        <v>0</v>
      </c>
      <c r="L183" s="703"/>
      <c r="M183" s="702">
        <f t="shared" si="112"/>
        <v>0</v>
      </c>
      <c r="N183" s="702"/>
      <c r="O183" s="636">
        <f t="shared" si="113"/>
        <v>0</v>
      </c>
      <c r="P183" s="637"/>
      <c r="Q183" s="702">
        <f t="shared" si="114"/>
        <v>0</v>
      </c>
      <c r="R183" s="702"/>
      <c r="S183" s="636">
        <f t="shared" si="115"/>
        <v>0</v>
      </c>
      <c r="T183" s="637"/>
      <c r="U183" s="702">
        <f t="shared" si="100"/>
        <v>0</v>
      </c>
      <c r="V183" s="702"/>
      <c r="W183" s="704">
        <f t="shared" si="101"/>
        <v>0</v>
      </c>
      <c r="X183" s="704"/>
      <c r="Y183" s="711">
        <f t="shared" si="102"/>
        <v>0</v>
      </c>
      <c r="Z183" s="701"/>
      <c r="AA183" s="636">
        <f t="shared" si="103"/>
        <v>0</v>
      </c>
      <c r="AB183" s="708"/>
      <c r="AC183" s="710">
        <f t="shared" si="104"/>
        <v>3</v>
      </c>
      <c r="AD183" s="710"/>
      <c r="AE183" s="710"/>
      <c r="AF183" s="710"/>
      <c r="AG183" s="710"/>
      <c r="AH183" s="704">
        <f t="shared" si="105"/>
        <v>48</v>
      </c>
      <c r="AI183" s="636"/>
      <c r="AJ183" s="634">
        <f t="shared" si="106"/>
        <v>1</v>
      </c>
      <c r="AK183" s="635"/>
      <c r="AL183" s="636">
        <f t="shared" si="107"/>
        <v>16</v>
      </c>
      <c r="AM183" s="637"/>
      <c r="AN183" s="692">
        <f t="shared" si="108"/>
        <v>4</v>
      </c>
      <c r="AO183" s="693"/>
      <c r="AP183" s="695">
        <f t="shared" si="109"/>
        <v>64</v>
      </c>
      <c r="AQ183" s="695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44"/>
      <c r="C184" s="647" t="s">
        <v>248</v>
      </c>
      <c r="D184" s="648"/>
      <c r="E184" s="648"/>
      <c r="F184" s="648"/>
      <c r="G184" s="648"/>
      <c r="H184" s="649"/>
      <c r="I184" s="701">
        <f t="shared" si="110"/>
        <v>0</v>
      </c>
      <c r="J184" s="702"/>
      <c r="K184" s="636">
        <f t="shared" si="111"/>
        <v>0</v>
      </c>
      <c r="L184" s="703"/>
      <c r="M184" s="702">
        <f t="shared" si="112"/>
        <v>0</v>
      </c>
      <c r="N184" s="702"/>
      <c r="O184" s="636">
        <f t="shared" si="113"/>
        <v>0</v>
      </c>
      <c r="P184" s="637"/>
      <c r="Q184" s="702">
        <f t="shared" si="114"/>
        <v>0</v>
      </c>
      <c r="R184" s="702"/>
      <c r="S184" s="636">
        <f t="shared" si="115"/>
        <v>0</v>
      </c>
      <c r="T184" s="637"/>
      <c r="U184" s="702">
        <f t="shared" si="100"/>
        <v>0</v>
      </c>
      <c r="V184" s="702"/>
      <c r="W184" s="704">
        <f t="shared" si="101"/>
        <v>0</v>
      </c>
      <c r="X184" s="704"/>
      <c r="Y184" s="711">
        <f t="shared" si="102"/>
        <v>0</v>
      </c>
      <c r="Z184" s="701"/>
      <c r="AA184" s="636">
        <f t="shared" si="103"/>
        <v>0</v>
      </c>
      <c r="AB184" s="708"/>
      <c r="AC184" s="710">
        <f t="shared" si="104"/>
        <v>0</v>
      </c>
      <c r="AD184" s="710"/>
      <c r="AE184" s="710"/>
      <c r="AF184" s="710"/>
      <c r="AG184" s="710"/>
      <c r="AH184" s="704">
        <f t="shared" si="105"/>
        <v>0</v>
      </c>
      <c r="AI184" s="636"/>
      <c r="AJ184" s="634">
        <f t="shared" si="106"/>
        <v>2</v>
      </c>
      <c r="AK184" s="635"/>
      <c r="AL184" s="636">
        <f t="shared" si="107"/>
        <v>38</v>
      </c>
      <c r="AM184" s="637"/>
      <c r="AN184" s="692">
        <f t="shared" si="108"/>
        <v>2</v>
      </c>
      <c r="AO184" s="693"/>
      <c r="AP184" s="695">
        <f t="shared" si="109"/>
        <v>38</v>
      </c>
      <c r="AQ184" s="695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44"/>
      <c r="C185" s="647" t="s">
        <v>254</v>
      </c>
      <c r="D185" s="648"/>
      <c r="E185" s="648"/>
      <c r="F185" s="648"/>
      <c r="G185" s="648"/>
      <c r="H185" s="649"/>
      <c r="I185" s="701">
        <f t="shared" si="110"/>
        <v>0</v>
      </c>
      <c r="J185" s="702"/>
      <c r="K185" s="636">
        <f t="shared" si="111"/>
        <v>0</v>
      </c>
      <c r="L185" s="703"/>
      <c r="M185" s="702">
        <f t="shared" si="112"/>
        <v>0</v>
      </c>
      <c r="N185" s="702"/>
      <c r="O185" s="636">
        <f t="shared" si="113"/>
        <v>0</v>
      </c>
      <c r="P185" s="637"/>
      <c r="Q185" s="702">
        <f t="shared" si="114"/>
        <v>0</v>
      </c>
      <c r="R185" s="702"/>
      <c r="S185" s="636">
        <f t="shared" si="115"/>
        <v>0</v>
      </c>
      <c r="T185" s="637"/>
      <c r="U185" s="702">
        <f t="shared" si="100"/>
        <v>0</v>
      </c>
      <c r="V185" s="702"/>
      <c r="W185" s="704">
        <f t="shared" si="101"/>
        <v>0</v>
      </c>
      <c r="X185" s="704"/>
      <c r="Y185" s="711">
        <f t="shared" si="102"/>
        <v>0</v>
      </c>
      <c r="Z185" s="701"/>
      <c r="AA185" s="636">
        <f t="shared" si="103"/>
        <v>0</v>
      </c>
      <c r="AB185" s="708"/>
      <c r="AC185" s="710">
        <f t="shared" si="104"/>
        <v>2</v>
      </c>
      <c r="AD185" s="710"/>
      <c r="AE185" s="710"/>
      <c r="AF185" s="710"/>
      <c r="AG185" s="710"/>
      <c r="AH185" s="704">
        <f t="shared" si="105"/>
        <v>68</v>
      </c>
      <c r="AI185" s="636"/>
      <c r="AJ185" s="634">
        <f t="shared" si="106"/>
        <v>2</v>
      </c>
      <c r="AK185" s="635"/>
      <c r="AL185" s="636">
        <f t="shared" si="107"/>
        <v>68</v>
      </c>
      <c r="AM185" s="637"/>
      <c r="AN185" s="692">
        <f t="shared" si="108"/>
        <v>4</v>
      </c>
      <c r="AO185" s="693"/>
      <c r="AP185" s="695">
        <f t="shared" si="109"/>
        <v>136</v>
      </c>
      <c r="AQ185" s="695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44"/>
      <c r="C186" s="647" t="s">
        <v>255</v>
      </c>
      <c r="D186" s="648"/>
      <c r="E186" s="648"/>
      <c r="F186" s="648"/>
      <c r="G186" s="648"/>
      <c r="H186" s="649"/>
      <c r="I186" s="701">
        <f t="shared" si="110"/>
        <v>0</v>
      </c>
      <c r="J186" s="702"/>
      <c r="K186" s="636">
        <f t="shared" si="111"/>
        <v>0</v>
      </c>
      <c r="L186" s="703"/>
      <c r="M186" s="702">
        <f t="shared" si="112"/>
        <v>0</v>
      </c>
      <c r="N186" s="702"/>
      <c r="O186" s="636">
        <f t="shared" si="113"/>
        <v>0</v>
      </c>
      <c r="P186" s="637"/>
      <c r="Q186" s="702">
        <f t="shared" si="114"/>
        <v>0</v>
      </c>
      <c r="R186" s="702"/>
      <c r="S186" s="636">
        <f t="shared" si="115"/>
        <v>0</v>
      </c>
      <c r="T186" s="637"/>
      <c r="U186" s="702">
        <f t="shared" si="100"/>
        <v>0</v>
      </c>
      <c r="V186" s="702"/>
      <c r="W186" s="704">
        <f t="shared" si="101"/>
        <v>0</v>
      </c>
      <c r="X186" s="704"/>
      <c r="Y186" s="711">
        <f t="shared" si="102"/>
        <v>0</v>
      </c>
      <c r="Z186" s="701"/>
      <c r="AA186" s="636">
        <f t="shared" si="103"/>
        <v>0</v>
      </c>
      <c r="AB186" s="708"/>
      <c r="AC186" s="710">
        <f t="shared" si="104"/>
        <v>0</v>
      </c>
      <c r="AD186" s="710"/>
      <c r="AE186" s="710"/>
      <c r="AF186" s="710"/>
      <c r="AG186" s="710"/>
      <c r="AH186" s="704">
        <f t="shared" si="105"/>
        <v>0</v>
      </c>
      <c r="AI186" s="636"/>
      <c r="AJ186" s="634">
        <f t="shared" si="106"/>
        <v>0</v>
      </c>
      <c r="AK186" s="635"/>
      <c r="AL186" s="636">
        <f t="shared" si="107"/>
        <v>0</v>
      </c>
      <c r="AM186" s="637"/>
      <c r="AN186" s="692">
        <f t="shared" si="108"/>
        <v>0</v>
      </c>
      <c r="AO186" s="693"/>
      <c r="AP186" s="695">
        <f t="shared" si="109"/>
        <v>0</v>
      </c>
      <c r="AQ186" s="695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44"/>
      <c r="C187" s="647" t="s">
        <v>256</v>
      </c>
      <c r="D187" s="648"/>
      <c r="E187" s="648"/>
      <c r="F187" s="648"/>
      <c r="G187" s="648"/>
      <c r="H187" s="649"/>
      <c r="I187" s="701">
        <f t="shared" si="110"/>
        <v>0</v>
      </c>
      <c r="J187" s="702"/>
      <c r="K187" s="636">
        <f t="shared" si="111"/>
        <v>0</v>
      </c>
      <c r="L187" s="703"/>
      <c r="M187" s="702">
        <f t="shared" si="112"/>
        <v>0</v>
      </c>
      <c r="N187" s="702"/>
      <c r="O187" s="636">
        <f t="shared" si="113"/>
        <v>0</v>
      </c>
      <c r="P187" s="637"/>
      <c r="Q187" s="702">
        <f t="shared" si="114"/>
        <v>0</v>
      </c>
      <c r="R187" s="702"/>
      <c r="S187" s="636">
        <f t="shared" si="115"/>
        <v>0</v>
      </c>
      <c r="T187" s="637"/>
      <c r="U187" s="702">
        <f t="shared" si="100"/>
        <v>0</v>
      </c>
      <c r="V187" s="702"/>
      <c r="W187" s="704">
        <f t="shared" si="101"/>
        <v>0</v>
      </c>
      <c r="X187" s="704"/>
      <c r="Y187" s="711">
        <f t="shared" si="102"/>
        <v>0</v>
      </c>
      <c r="Z187" s="701"/>
      <c r="AA187" s="636">
        <f t="shared" si="103"/>
        <v>0</v>
      </c>
      <c r="AB187" s="708"/>
      <c r="AC187" s="710">
        <f t="shared" si="104"/>
        <v>0</v>
      </c>
      <c r="AD187" s="710"/>
      <c r="AE187" s="710"/>
      <c r="AF187" s="710"/>
      <c r="AG187" s="710"/>
      <c r="AH187" s="704">
        <f t="shared" si="105"/>
        <v>0</v>
      </c>
      <c r="AI187" s="636"/>
      <c r="AJ187" s="634">
        <f t="shared" si="106"/>
        <v>0</v>
      </c>
      <c r="AK187" s="635"/>
      <c r="AL187" s="636">
        <f t="shared" si="107"/>
        <v>0</v>
      </c>
      <c r="AM187" s="637"/>
      <c r="AN187" s="692">
        <f t="shared" si="108"/>
        <v>0</v>
      </c>
      <c r="AO187" s="693"/>
      <c r="AP187" s="695">
        <f t="shared" si="109"/>
        <v>0</v>
      </c>
      <c r="AQ187" s="695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44"/>
      <c r="C188" s="647" t="s">
        <v>257</v>
      </c>
      <c r="D188" s="648"/>
      <c r="E188" s="648"/>
      <c r="F188" s="648"/>
      <c r="G188" s="648"/>
      <c r="H188" s="649"/>
      <c r="I188" s="701">
        <f t="shared" si="110"/>
        <v>0</v>
      </c>
      <c r="J188" s="702"/>
      <c r="K188" s="636">
        <f t="shared" si="111"/>
        <v>0</v>
      </c>
      <c r="L188" s="703"/>
      <c r="M188" s="702">
        <f t="shared" si="112"/>
        <v>0</v>
      </c>
      <c r="N188" s="702"/>
      <c r="O188" s="636">
        <f t="shared" si="113"/>
        <v>0</v>
      </c>
      <c r="P188" s="637"/>
      <c r="Q188" s="702">
        <f t="shared" si="114"/>
        <v>0</v>
      </c>
      <c r="R188" s="702"/>
      <c r="S188" s="636">
        <f t="shared" si="115"/>
        <v>0</v>
      </c>
      <c r="T188" s="637"/>
      <c r="U188" s="702">
        <f t="shared" si="100"/>
        <v>0</v>
      </c>
      <c r="V188" s="702"/>
      <c r="W188" s="704">
        <f t="shared" si="101"/>
        <v>0</v>
      </c>
      <c r="X188" s="704"/>
      <c r="Y188" s="711">
        <f t="shared" si="102"/>
        <v>0</v>
      </c>
      <c r="Z188" s="701"/>
      <c r="AA188" s="636">
        <f t="shared" si="103"/>
        <v>0</v>
      </c>
      <c r="AB188" s="708"/>
      <c r="AC188" s="710">
        <f t="shared" si="104"/>
        <v>0</v>
      </c>
      <c r="AD188" s="710"/>
      <c r="AE188" s="710"/>
      <c r="AF188" s="710"/>
      <c r="AG188" s="710"/>
      <c r="AH188" s="704">
        <f t="shared" si="105"/>
        <v>0</v>
      </c>
      <c r="AI188" s="636"/>
      <c r="AJ188" s="634">
        <f t="shared" si="106"/>
        <v>0</v>
      </c>
      <c r="AK188" s="635"/>
      <c r="AL188" s="636">
        <f t="shared" si="107"/>
        <v>0</v>
      </c>
      <c r="AM188" s="637"/>
      <c r="AN188" s="692">
        <f t="shared" si="108"/>
        <v>0</v>
      </c>
      <c r="AO188" s="693"/>
      <c r="AP188" s="695">
        <f t="shared" si="109"/>
        <v>0</v>
      </c>
      <c r="AQ188" s="695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44"/>
      <c r="C189" s="647" t="s">
        <v>258</v>
      </c>
      <c r="D189" s="648"/>
      <c r="E189" s="648"/>
      <c r="F189" s="648"/>
      <c r="G189" s="648"/>
      <c r="H189" s="649"/>
      <c r="I189" s="701">
        <f t="shared" si="110"/>
        <v>0</v>
      </c>
      <c r="J189" s="702"/>
      <c r="K189" s="636">
        <f t="shared" si="111"/>
        <v>0</v>
      </c>
      <c r="L189" s="703"/>
      <c r="M189" s="702">
        <f t="shared" si="112"/>
        <v>0</v>
      </c>
      <c r="N189" s="702"/>
      <c r="O189" s="636">
        <f t="shared" si="113"/>
        <v>0</v>
      </c>
      <c r="P189" s="637"/>
      <c r="Q189" s="702">
        <f t="shared" si="114"/>
        <v>0</v>
      </c>
      <c r="R189" s="702"/>
      <c r="S189" s="636">
        <f t="shared" si="115"/>
        <v>0</v>
      </c>
      <c r="T189" s="637"/>
      <c r="U189" s="702">
        <f t="shared" si="100"/>
        <v>0</v>
      </c>
      <c r="V189" s="702"/>
      <c r="W189" s="704">
        <f t="shared" si="101"/>
        <v>0</v>
      </c>
      <c r="X189" s="704"/>
      <c r="Y189" s="711">
        <f t="shared" si="102"/>
        <v>0</v>
      </c>
      <c r="Z189" s="701"/>
      <c r="AA189" s="636">
        <f t="shared" si="103"/>
        <v>0</v>
      </c>
      <c r="AB189" s="708"/>
      <c r="AC189" s="710">
        <f t="shared" si="104"/>
        <v>1</v>
      </c>
      <c r="AD189" s="710"/>
      <c r="AE189" s="710"/>
      <c r="AF189" s="710"/>
      <c r="AG189" s="710"/>
      <c r="AH189" s="704">
        <f t="shared" si="105"/>
        <v>20</v>
      </c>
      <c r="AI189" s="636"/>
      <c r="AJ189" s="634">
        <f t="shared" si="106"/>
        <v>0</v>
      </c>
      <c r="AK189" s="635"/>
      <c r="AL189" s="636">
        <f t="shared" si="107"/>
        <v>0</v>
      </c>
      <c r="AM189" s="637"/>
      <c r="AN189" s="692">
        <f t="shared" si="108"/>
        <v>1</v>
      </c>
      <c r="AO189" s="693"/>
      <c r="AP189" s="695">
        <f t="shared" si="109"/>
        <v>20</v>
      </c>
      <c r="AQ189" s="695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44"/>
      <c r="C190" s="722" t="s">
        <v>259</v>
      </c>
      <c r="D190" s="723"/>
      <c r="E190" s="723"/>
      <c r="F190" s="723"/>
      <c r="G190" s="723"/>
      <c r="H190" s="724"/>
      <c r="I190" s="725">
        <f t="shared" si="110"/>
        <v>0</v>
      </c>
      <c r="J190" s="726"/>
      <c r="K190" s="727">
        <f t="shared" si="111"/>
        <v>0</v>
      </c>
      <c r="L190" s="728"/>
      <c r="M190" s="726">
        <f t="shared" si="112"/>
        <v>0</v>
      </c>
      <c r="N190" s="726"/>
      <c r="O190" s="727">
        <f t="shared" si="113"/>
        <v>0</v>
      </c>
      <c r="P190" s="761"/>
      <c r="Q190" s="726">
        <f t="shared" si="114"/>
        <v>0</v>
      </c>
      <c r="R190" s="726"/>
      <c r="S190" s="727">
        <f t="shared" si="115"/>
        <v>0</v>
      </c>
      <c r="T190" s="761"/>
      <c r="U190" s="726">
        <f t="shared" si="100"/>
        <v>0</v>
      </c>
      <c r="V190" s="726"/>
      <c r="W190" s="735">
        <f t="shared" si="101"/>
        <v>0</v>
      </c>
      <c r="X190" s="735"/>
      <c r="Y190" s="762">
        <f t="shared" si="102"/>
        <v>0</v>
      </c>
      <c r="Z190" s="725"/>
      <c r="AA190" s="727">
        <f t="shared" si="103"/>
        <v>0</v>
      </c>
      <c r="AB190" s="763"/>
      <c r="AC190" s="752">
        <f t="shared" si="104"/>
        <v>0</v>
      </c>
      <c r="AD190" s="752"/>
      <c r="AE190" s="752"/>
      <c r="AF190" s="752"/>
      <c r="AG190" s="752"/>
      <c r="AH190" s="735">
        <f t="shared" si="105"/>
        <v>0</v>
      </c>
      <c r="AI190" s="727"/>
      <c r="AJ190" s="634">
        <f t="shared" si="106"/>
        <v>0</v>
      </c>
      <c r="AK190" s="635"/>
      <c r="AL190" s="636">
        <f t="shared" si="107"/>
        <v>0</v>
      </c>
      <c r="AM190" s="637"/>
      <c r="AN190" s="692">
        <f t="shared" si="108"/>
        <v>0</v>
      </c>
      <c r="AO190" s="693"/>
      <c r="AP190" s="695">
        <f t="shared" si="109"/>
        <v>0</v>
      </c>
      <c r="AQ190" s="695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44"/>
      <c r="C191" s="654" t="s">
        <v>274</v>
      </c>
      <c r="D191" s="654"/>
      <c r="E191" s="654"/>
      <c r="F191" s="654"/>
      <c r="G191" s="654"/>
      <c r="H191" s="654"/>
      <c r="I191" s="725">
        <f t="shared" ref="I191:I200" si="116">M91+Y91+AP91+BD91</f>
        <v>0</v>
      </c>
      <c r="J191" s="726"/>
      <c r="K191" s="727">
        <f t="shared" ref="K191:K200" si="117">N91+Z91+AQ91+BE91</f>
        <v>0</v>
      </c>
      <c r="L191" s="728"/>
      <c r="M191" s="726">
        <f t="shared" ref="M191:M200" si="118">BP91+CI91+DA91+DU91</f>
        <v>0</v>
      </c>
      <c r="N191" s="726"/>
      <c r="O191" s="727">
        <f t="shared" ref="O191:O200" si="119">BQ91+CJ91+DB91+DV91</f>
        <v>0</v>
      </c>
      <c r="P191" s="761"/>
      <c r="Q191" s="726">
        <f t="shared" ref="Q191:Q200" si="120">EO91+FT91</f>
        <v>0</v>
      </c>
      <c r="R191" s="726"/>
      <c r="S191" s="727">
        <f t="shared" ref="S191:S200" si="121">EP91+FU91</f>
        <v>0</v>
      </c>
      <c r="T191" s="761"/>
      <c r="U191" s="726">
        <f t="shared" ref="U191:U200" si="122">GQ91+HL91+HW91+IM91</f>
        <v>0</v>
      </c>
      <c r="V191" s="726"/>
      <c r="W191" s="735">
        <f t="shared" ref="W191:W200" si="123">GR91+HM91+HX91+IN91</f>
        <v>0</v>
      </c>
      <c r="X191" s="735"/>
      <c r="Y191" s="762">
        <f t="shared" ref="Y191:Y200" si="124">IY91+KE91+KS91+LF91</f>
        <v>0</v>
      </c>
      <c r="Z191" s="725"/>
      <c r="AA191" s="727">
        <f t="shared" ref="AA191:AA200" si="125">IZ91+KF91+KT91+LG91</f>
        <v>0</v>
      </c>
      <c r="AB191" s="763"/>
      <c r="AC191" s="752">
        <f t="shared" ref="AC191:AC200" si="126">ME91+ND91</f>
        <v>1</v>
      </c>
      <c r="AD191" s="752"/>
      <c r="AE191" s="752"/>
      <c r="AF191" s="752"/>
      <c r="AG191" s="752"/>
      <c r="AH191" s="735">
        <f t="shared" ref="AH191:AH200" si="127">MF91+NE91</f>
        <v>5</v>
      </c>
      <c r="AI191" s="727"/>
      <c r="AJ191" s="634">
        <f t="shared" si="106"/>
        <v>3</v>
      </c>
      <c r="AK191" s="635"/>
      <c r="AL191" s="636">
        <f t="shared" si="107"/>
        <v>15</v>
      </c>
      <c r="AM191" s="637"/>
      <c r="AN191" s="692">
        <f t="shared" si="108"/>
        <v>4</v>
      </c>
      <c r="AO191" s="693"/>
      <c r="AP191" s="695">
        <f t="shared" si="109"/>
        <v>20</v>
      </c>
      <c r="AQ191" s="695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44"/>
      <c r="C192" s="654" t="s">
        <v>275</v>
      </c>
      <c r="D192" s="654"/>
      <c r="E192" s="654"/>
      <c r="F192" s="654"/>
      <c r="G192" s="654"/>
      <c r="H192" s="654"/>
      <c r="I192" s="725">
        <f t="shared" si="116"/>
        <v>0</v>
      </c>
      <c r="J192" s="726"/>
      <c r="K192" s="727">
        <f t="shared" si="117"/>
        <v>0</v>
      </c>
      <c r="L192" s="728"/>
      <c r="M192" s="726">
        <f t="shared" si="118"/>
        <v>0</v>
      </c>
      <c r="N192" s="726"/>
      <c r="O192" s="727">
        <f t="shared" si="119"/>
        <v>0</v>
      </c>
      <c r="P192" s="761"/>
      <c r="Q192" s="726">
        <f t="shared" si="120"/>
        <v>0</v>
      </c>
      <c r="R192" s="726"/>
      <c r="S192" s="727">
        <f t="shared" si="121"/>
        <v>0</v>
      </c>
      <c r="T192" s="761"/>
      <c r="U192" s="726">
        <f t="shared" si="122"/>
        <v>0</v>
      </c>
      <c r="V192" s="726"/>
      <c r="W192" s="735">
        <f t="shared" si="123"/>
        <v>0</v>
      </c>
      <c r="X192" s="735"/>
      <c r="Y192" s="762">
        <f t="shared" si="124"/>
        <v>0</v>
      </c>
      <c r="Z192" s="725"/>
      <c r="AA192" s="727">
        <f t="shared" si="125"/>
        <v>0</v>
      </c>
      <c r="AB192" s="763"/>
      <c r="AC192" s="752">
        <f>ME92+ND92</f>
        <v>4</v>
      </c>
      <c r="AD192" s="752"/>
      <c r="AE192" s="752"/>
      <c r="AF192" s="752"/>
      <c r="AG192" s="752"/>
      <c r="AH192" s="735">
        <f t="shared" si="127"/>
        <v>24</v>
      </c>
      <c r="AI192" s="727"/>
      <c r="AJ192" s="634">
        <f t="shared" si="106"/>
        <v>2</v>
      </c>
      <c r="AK192" s="635"/>
      <c r="AL192" s="636">
        <f t="shared" si="107"/>
        <v>12</v>
      </c>
      <c r="AM192" s="637"/>
      <c r="AN192" s="692">
        <f t="shared" si="108"/>
        <v>6</v>
      </c>
      <c r="AO192" s="693"/>
      <c r="AP192" s="695">
        <f t="shared" si="109"/>
        <v>36</v>
      </c>
      <c r="AQ192" s="695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44"/>
      <c r="C193" s="654" t="s">
        <v>276</v>
      </c>
      <c r="D193" s="654"/>
      <c r="E193" s="654"/>
      <c r="F193" s="654"/>
      <c r="G193" s="654"/>
      <c r="H193" s="654"/>
      <c r="I193" s="725">
        <f t="shared" si="116"/>
        <v>0</v>
      </c>
      <c r="J193" s="726"/>
      <c r="K193" s="727">
        <f t="shared" si="117"/>
        <v>0</v>
      </c>
      <c r="L193" s="728"/>
      <c r="M193" s="726">
        <f t="shared" si="118"/>
        <v>0</v>
      </c>
      <c r="N193" s="726"/>
      <c r="O193" s="727">
        <f t="shared" si="119"/>
        <v>0</v>
      </c>
      <c r="P193" s="761"/>
      <c r="Q193" s="726">
        <f t="shared" si="120"/>
        <v>0</v>
      </c>
      <c r="R193" s="726"/>
      <c r="S193" s="727">
        <f t="shared" si="121"/>
        <v>0</v>
      </c>
      <c r="T193" s="761"/>
      <c r="U193" s="726">
        <f t="shared" si="122"/>
        <v>0</v>
      </c>
      <c r="V193" s="726"/>
      <c r="W193" s="735">
        <f t="shared" si="123"/>
        <v>0</v>
      </c>
      <c r="X193" s="735"/>
      <c r="Y193" s="762">
        <f t="shared" si="124"/>
        <v>0</v>
      </c>
      <c r="Z193" s="725"/>
      <c r="AA193" s="727">
        <f t="shared" si="125"/>
        <v>0</v>
      </c>
      <c r="AB193" s="763"/>
      <c r="AC193" s="752">
        <f t="shared" si="126"/>
        <v>1</v>
      </c>
      <c r="AD193" s="752"/>
      <c r="AE193" s="752"/>
      <c r="AF193" s="752"/>
      <c r="AG193" s="752"/>
      <c r="AH193" s="735">
        <f t="shared" si="127"/>
        <v>9</v>
      </c>
      <c r="AI193" s="727"/>
      <c r="AJ193" s="634">
        <f t="shared" si="106"/>
        <v>9</v>
      </c>
      <c r="AK193" s="635"/>
      <c r="AL193" s="636">
        <f t="shared" si="107"/>
        <v>81</v>
      </c>
      <c r="AM193" s="637"/>
      <c r="AN193" s="692">
        <f t="shared" si="108"/>
        <v>10</v>
      </c>
      <c r="AO193" s="693"/>
      <c r="AP193" s="695">
        <f t="shared" si="109"/>
        <v>90</v>
      </c>
      <c r="AQ193" s="695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44"/>
      <c r="C194" s="722"/>
      <c r="D194" s="723"/>
      <c r="E194" s="723"/>
      <c r="F194" s="723"/>
      <c r="G194" s="723"/>
      <c r="H194" s="724"/>
      <c r="I194" s="725">
        <f t="shared" si="116"/>
        <v>0</v>
      </c>
      <c r="J194" s="726"/>
      <c r="K194" s="727">
        <f t="shared" si="117"/>
        <v>0</v>
      </c>
      <c r="L194" s="728"/>
      <c r="M194" s="726">
        <f t="shared" si="118"/>
        <v>0</v>
      </c>
      <c r="N194" s="726"/>
      <c r="O194" s="727">
        <f t="shared" si="119"/>
        <v>0</v>
      </c>
      <c r="P194" s="761"/>
      <c r="Q194" s="726">
        <f t="shared" si="120"/>
        <v>0</v>
      </c>
      <c r="R194" s="726"/>
      <c r="S194" s="727">
        <f t="shared" si="121"/>
        <v>0</v>
      </c>
      <c r="T194" s="761"/>
      <c r="U194" s="726">
        <f t="shared" si="122"/>
        <v>0</v>
      </c>
      <c r="V194" s="726"/>
      <c r="W194" s="735">
        <f t="shared" si="123"/>
        <v>0</v>
      </c>
      <c r="X194" s="735"/>
      <c r="Y194" s="762">
        <f t="shared" si="124"/>
        <v>0</v>
      </c>
      <c r="Z194" s="725"/>
      <c r="AA194" s="727">
        <f t="shared" si="125"/>
        <v>0</v>
      </c>
      <c r="AB194" s="763"/>
      <c r="AC194" s="752">
        <f t="shared" si="126"/>
        <v>0</v>
      </c>
      <c r="AD194" s="752"/>
      <c r="AE194" s="752"/>
      <c r="AF194" s="752"/>
      <c r="AG194" s="752"/>
      <c r="AH194" s="735">
        <f t="shared" si="127"/>
        <v>0</v>
      </c>
      <c r="AI194" s="727"/>
      <c r="AJ194" s="634">
        <f t="shared" si="106"/>
        <v>0</v>
      </c>
      <c r="AK194" s="635"/>
      <c r="AL194" s="636">
        <f t="shared" si="107"/>
        <v>0</v>
      </c>
      <c r="AM194" s="637"/>
      <c r="AN194" s="692">
        <f t="shared" si="108"/>
        <v>0</v>
      </c>
      <c r="AO194" s="693"/>
      <c r="AP194" s="695">
        <f t="shared" si="109"/>
        <v>0</v>
      </c>
      <c r="AQ194" s="695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44"/>
      <c r="C195" s="722"/>
      <c r="D195" s="723"/>
      <c r="E195" s="723"/>
      <c r="F195" s="723"/>
      <c r="G195" s="723"/>
      <c r="H195" s="724"/>
      <c r="I195" s="725">
        <f t="shared" si="116"/>
        <v>0</v>
      </c>
      <c r="J195" s="726"/>
      <c r="K195" s="727">
        <f t="shared" si="117"/>
        <v>0</v>
      </c>
      <c r="L195" s="728"/>
      <c r="M195" s="726">
        <f t="shared" si="118"/>
        <v>0</v>
      </c>
      <c r="N195" s="726"/>
      <c r="O195" s="727">
        <f t="shared" si="119"/>
        <v>0</v>
      </c>
      <c r="P195" s="761"/>
      <c r="Q195" s="726">
        <f t="shared" si="120"/>
        <v>0</v>
      </c>
      <c r="R195" s="726"/>
      <c r="S195" s="727">
        <f t="shared" si="121"/>
        <v>0</v>
      </c>
      <c r="T195" s="761"/>
      <c r="U195" s="726">
        <f t="shared" si="122"/>
        <v>0</v>
      </c>
      <c r="V195" s="726"/>
      <c r="W195" s="735">
        <f t="shared" si="123"/>
        <v>0</v>
      </c>
      <c r="X195" s="735"/>
      <c r="Y195" s="762">
        <f t="shared" si="124"/>
        <v>0</v>
      </c>
      <c r="Z195" s="725"/>
      <c r="AA195" s="727">
        <f t="shared" si="125"/>
        <v>0</v>
      </c>
      <c r="AB195" s="763"/>
      <c r="AC195" s="752">
        <f t="shared" si="126"/>
        <v>0</v>
      </c>
      <c r="AD195" s="752"/>
      <c r="AE195" s="752"/>
      <c r="AF195" s="752"/>
      <c r="AG195" s="752"/>
      <c r="AH195" s="735">
        <f t="shared" si="127"/>
        <v>0</v>
      </c>
      <c r="AI195" s="727"/>
      <c r="AJ195" s="634">
        <f t="shared" si="106"/>
        <v>0</v>
      </c>
      <c r="AK195" s="635"/>
      <c r="AL195" s="636">
        <f t="shared" si="107"/>
        <v>0</v>
      </c>
      <c r="AM195" s="637"/>
      <c r="AN195" s="692">
        <f t="shared" si="108"/>
        <v>0</v>
      </c>
      <c r="AO195" s="693"/>
      <c r="AP195" s="695">
        <f t="shared" si="109"/>
        <v>0</v>
      </c>
      <c r="AQ195" s="695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44"/>
      <c r="C196" s="722"/>
      <c r="D196" s="723"/>
      <c r="E196" s="723"/>
      <c r="F196" s="723"/>
      <c r="G196" s="723"/>
      <c r="H196" s="724"/>
      <c r="I196" s="725">
        <f t="shared" si="116"/>
        <v>0</v>
      </c>
      <c r="J196" s="726"/>
      <c r="K196" s="727">
        <f t="shared" si="117"/>
        <v>0</v>
      </c>
      <c r="L196" s="728"/>
      <c r="M196" s="726">
        <f t="shared" si="118"/>
        <v>0</v>
      </c>
      <c r="N196" s="726"/>
      <c r="O196" s="727">
        <f t="shared" si="119"/>
        <v>0</v>
      </c>
      <c r="P196" s="761"/>
      <c r="Q196" s="726">
        <f t="shared" si="120"/>
        <v>0</v>
      </c>
      <c r="R196" s="726"/>
      <c r="S196" s="727">
        <f t="shared" si="121"/>
        <v>0</v>
      </c>
      <c r="T196" s="761"/>
      <c r="U196" s="726">
        <f t="shared" si="122"/>
        <v>0</v>
      </c>
      <c r="V196" s="726"/>
      <c r="W196" s="735">
        <f t="shared" si="123"/>
        <v>0</v>
      </c>
      <c r="X196" s="735"/>
      <c r="Y196" s="762">
        <f t="shared" si="124"/>
        <v>0</v>
      </c>
      <c r="Z196" s="725"/>
      <c r="AA196" s="727">
        <f t="shared" si="125"/>
        <v>0</v>
      </c>
      <c r="AB196" s="763"/>
      <c r="AC196" s="752">
        <f t="shared" si="126"/>
        <v>0</v>
      </c>
      <c r="AD196" s="752"/>
      <c r="AE196" s="752"/>
      <c r="AF196" s="752"/>
      <c r="AG196" s="752"/>
      <c r="AH196" s="735">
        <f t="shared" si="127"/>
        <v>0</v>
      </c>
      <c r="AI196" s="727"/>
      <c r="AJ196" s="634">
        <f t="shared" si="106"/>
        <v>0</v>
      </c>
      <c r="AK196" s="635"/>
      <c r="AL196" s="636">
        <f t="shared" si="107"/>
        <v>0</v>
      </c>
      <c r="AM196" s="637"/>
      <c r="AN196" s="692">
        <f t="shared" si="108"/>
        <v>0</v>
      </c>
      <c r="AO196" s="693"/>
      <c r="AP196" s="695">
        <f t="shared" si="109"/>
        <v>0</v>
      </c>
      <c r="AQ196" s="695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44"/>
      <c r="C197" s="722"/>
      <c r="D197" s="723"/>
      <c r="E197" s="723"/>
      <c r="F197" s="723"/>
      <c r="G197" s="723"/>
      <c r="H197" s="724"/>
      <c r="I197" s="725">
        <f t="shared" si="116"/>
        <v>0</v>
      </c>
      <c r="J197" s="726"/>
      <c r="K197" s="727">
        <f t="shared" si="117"/>
        <v>0</v>
      </c>
      <c r="L197" s="728"/>
      <c r="M197" s="726">
        <f t="shared" si="118"/>
        <v>0</v>
      </c>
      <c r="N197" s="726"/>
      <c r="O197" s="727">
        <f t="shared" si="119"/>
        <v>0</v>
      </c>
      <c r="P197" s="761"/>
      <c r="Q197" s="726">
        <f t="shared" si="120"/>
        <v>0</v>
      </c>
      <c r="R197" s="726"/>
      <c r="S197" s="727">
        <f t="shared" si="121"/>
        <v>0</v>
      </c>
      <c r="T197" s="761"/>
      <c r="U197" s="726">
        <f t="shared" si="122"/>
        <v>0</v>
      </c>
      <c r="V197" s="726"/>
      <c r="W197" s="735">
        <f t="shared" si="123"/>
        <v>0</v>
      </c>
      <c r="X197" s="735"/>
      <c r="Y197" s="762">
        <f t="shared" si="124"/>
        <v>0</v>
      </c>
      <c r="Z197" s="725"/>
      <c r="AA197" s="727">
        <f t="shared" si="125"/>
        <v>0</v>
      </c>
      <c r="AB197" s="763"/>
      <c r="AC197" s="752">
        <f t="shared" si="126"/>
        <v>0</v>
      </c>
      <c r="AD197" s="752"/>
      <c r="AE197" s="752"/>
      <c r="AF197" s="752"/>
      <c r="AG197" s="752"/>
      <c r="AH197" s="735">
        <f t="shared" si="127"/>
        <v>0</v>
      </c>
      <c r="AI197" s="727"/>
      <c r="AJ197" s="634">
        <f t="shared" si="106"/>
        <v>0</v>
      </c>
      <c r="AK197" s="635"/>
      <c r="AL197" s="636">
        <f t="shared" si="107"/>
        <v>0</v>
      </c>
      <c r="AM197" s="637"/>
      <c r="AN197" s="692">
        <f t="shared" si="108"/>
        <v>0</v>
      </c>
      <c r="AO197" s="693"/>
      <c r="AP197" s="695">
        <f t="shared" si="109"/>
        <v>0</v>
      </c>
      <c r="AQ197" s="695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44"/>
      <c r="C198" s="722"/>
      <c r="D198" s="723"/>
      <c r="E198" s="723"/>
      <c r="F198" s="723"/>
      <c r="G198" s="723"/>
      <c r="H198" s="724"/>
      <c r="I198" s="725">
        <f t="shared" si="116"/>
        <v>0</v>
      </c>
      <c r="J198" s="726"/>
      <c r="K198" s="727">
        <f t="shared" si="117"/>
        <v>0</v>
      </c>
      <c r="L198" s="728"/>
      <c r="M198" s="726">
        <f t="shared" si="118"/>
        <v>0</v>
      </c>
      <c r="N198" s="726"/>
      <c r="O198" s="727">
        <f t="shared" si="119"/>
        <v>0</v>
      </c>
      <c r="P198" s="761"/>
      <c r="Q198" s="726">
        <f t="shared" si="120"/>
        <v>0</v>
      </c>
      <c r="R198" s="726"/>
      <c r="S198" s="727">
        <f t="shared" si="121"/>
        <v>0</v>
      </c>
      <c r="T198" s="761"/>
      <c r="U198" s="726">
        <f t="shared" si="122"/>
        <v>0</v>
      </c>
      <c r="V198" s="726"/>
      <c r="W198" s="735">
        <f t="shared" si="123"/>
        <v>0</v>
      </c>
      <c r="X198" s="735"/>
      <c r="Y198" s="762">
        <f t="shared" si="124"/>
        <v>0</v>
      </c>
      <c r="Z198" s="725"/>
      <c r="AA198" s="727">
        <f t="shared" si="125"/>
        <v>0</v>
      </c>
      <c r="AB198" s="763"/>
      <c r="AC198" s="752">
        <f t="shared" si="126"/>
        <v>0</v>
      </c>
      <c r="AD198" s="752"/>
      <c r="AE198" s="752"/>
      <c r="AF198" s="752"/>
      <c r="AG198" s="752"/>
      <c r="AH198" s="735">
        <f t="shared" si="127"/>
        <v>0</v>
      </c>
      <c r="AI198" s="727"/>
      <c r="AJ198" s="634">
        <f t="shared" si="106"/>
        <v>0</v>
      </c>
      <c r="AK198" s="635"/>
      <c r="AL198" s="636">
        <f t="shared" si="107"/>
        <v>0</v>
      </c>
      <c r="AM198" s="637"/>
      <c r="AN198" s="692">
        <f t="shared" si="108"/>
        <v>0</v>
      </c>
      <c r="AO198" s="693"/>
      <c r="AP198" s="695">
        <f t="shared" si="109"/>
        <v>0</v>
      </c>
      <c r="AQ198" s="695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44"/>
      <c r="C199" s="722"/>
      <c r="D199" s="723"/>
      <c r="E199" s="723"/>
      <c r="F199" s="723"/>
      <c r="G199" s="723"/>
      <c r="H199" s="724"/>
      <c r="I199" s="725">
        <f t="shared" si="116"/>
        <v>0</v>
      </c>
      <c r="J199" s="726"/>
      <c r="K199" s="727">
        <f t="shared" si="117"/>
        <v>0</v>
      </c>
      <c r="L199" s="728"/>
      <c r="M199" s="726">
        <f t="shared" si="118"/>
        <v>0</v>
      </c>
      <c r="N199" s="726"/>
      <c r="O199" s="727">
        <f t="shared" si="119"/>
        <v>0</v>
      </c>
      <c r="P199" s="761"/>
      <c r="Q199" s="726">
        <f t="shared" si="120"/>
        <v>0</v>
      </c>
      <c r="R199" s="726"/>
      <c r="S199" s="727">
        <f t="shared" si="121"/>
        <v>0</v>
      </c>
      <c r="T199" s="761"/>
      <c r="U199" s="726">
        <f t="shared" si="122"/>
        <v>0</v>
      </c>
      <c r="V199" s="726"/>
      <c r="W199" s="735">
        <f t="shared" si="123"/>
        <v>0</v>
      </c>
      <c r="X199" s="735"/>
      <c r="Y199" s="762">
        <f t="shared" si="124"/>
        <v>0</v>
      </c>
      <c r="Z199" s="725"/>
      <c r="AA199" s="727">
        <f t="shared" si="125"/>
        <v>0</v>
      </c>
      <c r="AB199" s="763"/>
      <c r="AC199" s="752">
        <f t="shared" si="126"/>
        <v>0</v>
      </c>
      <c r="AD199" s="752"/>
      <c r="AE199" s="752"/>
      <c r="AF199" s="752"/>
      <c r="AG199" s="752"/>
      <c r="AH199" s="735">
        <f t="shared" si="127"/>
        <v>0</v>
      </c>
      <c r="AI199" s="727"/>
      <c r="AJ199" s="634">
        <f t="shared" si="106"/>
        <v>0</v>
      </c>
      <c r="AK199" s="635"/>
      <c r="AL199" s="636">
        <f t="shared" si="107"/>
        <v>0</v>
      </c>
      <c r="AM199" s="637"/>
      <c r="AN199" s="692">
        <f t="shared" si="108"/>
        <v>0</v>
      </c>
      <c r="AO199" s="693"/>
      <c r="AP199" s="695">
        <f t="shared" si="109"/>
        <v>0</v>
      </c>
      <c r="AQ199" s="695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44"/>
      <c r="C200" s="722"/>
      <c r="D200" s="723"/>
      <c r="E200" s="723"/>
      <c r="F200" s="723"/>
      <c r="G200" s="723"/>
      <c r="H200" s="724"/>
      <c r="I200" s="725">
        <f t="shared" si="116"/>
        <v>0</v>
      </c>
      <c r="J200" s="726"/>
      <c r="K200" s="727">
        <f t="shared" si="117"/>
        <v>0</v>
      </c>
      <c r="L200" s="728"/>
      <c r="M200" s="726">
        <f t="shared" si="118"/>
        <v>0</v>
      </c>
      <c r="N200" s="726"/>
      <c r="O200" s="727">
        <f t="shared" si="119"/>
        <v>0</v>
      </c>
      <c r="P200" s="761"/>
      <c r="Q200" s="726">
        <f t="shared" si="120"/>
        <v>0</v>
      </c>
      <c r="R200" s="726"/>
      <c r="S200" s="727">
        <f t="shared" si="121"/>
        <v>0</v>
      </c>
      <c r="T200" s="761"/>
      <c r="U200" s="726">
        <f t="shared" si="122"/>
        <v>0</v>
      </c>
      <c r="V200" s="726"/>
      <c r="W200" s="735">
        <f t="shared" si="123"/>
        <v>0</v>
      </c>
      <c r="X200" s="735"/>
      <c r="Y200" s="762">
        <f t="shared" si="124"/>
        <v>0</v>
      </c>
      <c r="Z200" s="725"/>
      <c r="AA200" s="727">
        <f t="shared" si="125"/>
        <v>0</v>
      </c>
      <c r="AB200" s="763"/>
      <c r="AC200" s="752">
        <f t="shared" si="126"/>
        <v>0</v>
      </c>
      <c r="AD200" s="752"/>
      <c r="AE200" s="752"/>
      <c r="AF200" s="752"/>
      <c r="AG200" s="752"/>
      <c r="AH200" s="735">
        <f t="shared" si="127"/>
        <v>0</v>
      </c>
      <c r="AI200" s="727"/>
      <c r="AJ200" s="634">
        <f t="shared" si="106"/>
        <v>0</v>
      </c>
      <c r="AK200" s="635"/>
      <c r="AL200" s="636">
        <f t="shared" si="107"/>
        <v>0</v>
      </c>
      <c r="AM200" s="637"/>
      <c r="AN200" s="692">
        <f t="shared" si="108"/>
        <v>0</v>
      </c>
      <c r="AO200" s="693"/>
      <c r="AP200" s="695">
        <f t="shared" si="109"/>
        <v>0</v>
      </c>
      <c r="AQ200" s="695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44"/>
      <c r="C201" s="755" t="s">
        <v>72</v>
      </c>
      <c r="D201" s="756"/>
      <c r="E201" s="756"/>
      <c r="F201" s="756"/>
      <c r="G201" s="756"/>
      <c r="H201" s="757"/>
      <c r="I201" s="674">
        <f>SUM(K108:L173)</f>
        <v>6977</v>
      </c>
      <c r="J201" s="675"/>
      <c r="K201" s="675"/>
      <c r="L201" s="676"/>
      <c r="M201" s="732">
        <f>SUM(O108:P173)</f>
        <v>15103.5</v>
      </c>
      <c r="N201" s="675"/>
      <c r="O201" s="675"/>
      <c r="P201" s="733"/>
      <c r="Q201" s="674">
        <f>SUM(S108:T173)</f>
        <v>12957.5</v>
      </c>
      <c r="R201" s="675"/>
      <c r="S201" s="675"/>
      <c r="T201" s="676"/>
      <c r="U201" s="732">
        <f>SUM(W108:X173)</f>
        <v>16319.5</v>
      </c>
      <c r="V201" s="675"/>
      <c r="W201" s="675"/>
      <c r="X201" s="733"/>
      <c r="Y201" s="674">
        <f>SUM(AA108:AB190)</f>
        <v>26064.5</v>
      </c>
      <c r="Z201" s="675"/>
      <c r="AA201" s="675"/>
      <c r="AB201" s="676"/>
      <c r="AC201" s="680">
        <f>SUM(AH108:AI200)</f>
        <v>59703</v>
      </c>
      <c r="AD201" s="680"/>
      <c r="AE201" s="680"/>
      <c r="AF201" s="680"/>
      <c r="AG201" s="681"/>
      <c r="AH201" s="681"/>
      <c r="AI201" s="682"/>
      <c r="AJ201" s="638">
        <f>SUM(AL108:AM200)</f>
        <v>17914</v>
      </c>
      <c r="AK201" s="639"/>
      <c r="AL201" s="639"/>
      <c r="AM201" s="640"/>
      <c r="AN201" s="686">
        <f>SUM(AP108:AQ200)</f>
        <v>155039</v>
      </c>
      <c r="AO201" s="687"/>
      <c r="AP201" s="687"/>
      <c r="AQ201" s="688"/>
      <c r="AR201" s="219"/>
      <c r="AS201" s="219"/>
      <c r="AT201" s="219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44"/>
      <c r="C202" s="758" t="s">
        <v>262</v>
      </c>
      <c r="D202" s="759"/>
      <c r="E202" s="759"/>
      <c r="F202" s="759"/>
      <c r="G202" s="759"/>
      <c r="H202" s="760"/>
      <c r="I202" s="764">
        <v>0</v>
      </c>
      <c r="J202" s="765"/>
      <c r="K202" s="765"/>
      <c r="L202" s="766"/>
      <c r="M202" s="753">
        <v>0</v>
      </c>
      <c r="N202" s="678"/>
      <c r="O202" s="678"/>
      <c r="P202" s="754"/>
      <c r="Q202" s="677">
        <v>0</v>
      </c>
      <c r="R202" s="678"/>
      <c r="S202" s="678"/>
      <c r="T202" s="679"/>
      <c r="U202" s="753">
        <v>0</v>
      </c>
      <c r="V202" s="678"/>
      <c r="W202" s="678"/>
      <c r="X202" s="754"/>
      <c r="Y202" s="677">
        <f>KF102+KT102+LG102</f>
        <v>91.09</v>
      </c>
      <c r="Z202" s="678"/>
      <c r="AA202" s="678"/>
      <c r="AB202" s="679"/>
      <c r="AC202" s="683">
        <f>MF102</f>
        <v>79.5</v>
      </c>
      <c r="AD202" s="683"/>
      <c r="AE202" s="683"/>
      <c r="AF202" s="683"/>
      <c r="AG202" s="684"/>
      <c r="AH202" s="684"/>
      <c r="AI202" s="685"/>
      <c r="AJ202" s="641">
        <f>OD102</f>
        <v>-17.5</v>
      </c>
      <c r="AK202" s="642"/>
      <c r="AL202" s="642"/>
      <c r="AM202" s="643"/>
      <c r="AN202" s="689">
        <f ca="1">SUM(I202:AP202)</f>
        <v>170.59</v>
      </c>
      <c r="AO202" s="690"/>
      <c r="AP202" s="690"/>
      <c r="AQ202" s="691"/>
      <c r="AR202" s="220"/>
      <c r="AS202" s="220"/>
      <c r="AT202" s="220"/>
    </row>
    <row r="203" spans="1:57" ht="26.25" x14ac:dyDescent="0.25">
      <c r="A203" s="44"/>
      <c r="B203" s="44"/>
      <c r="C203" s="45"/>
      <c r="D203" s="45"/>
      <c r="E203" s="45"/>
      <c r="F203" s="45"/>
      <c r="G203" s="45"/>
      <c r="H203" s="43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3"/>
      <c r="Y203" s="43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44"/>
      <c r="B204" s="44"/>
      <c r="C204" s="45"/>
      <c r="D204" s="45"/>
      <c r="E204" s="45"/>
      <c r="F204" s="45"/>
      <c r="G204" s="45"/>
      <c r="H204" s="43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3"/>
      <c r="Y204" s="43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2"/>
      <c r="B206" s="734" t="s">
        <v>89</v>
      </c>
      <c r="C206" s="734"/>
      <c r="D206" s="734"/>
      <c r="E206" s="734"/>
      <c r="F206" s="734"/>
      <c r="G206" s="734"/>
      <c r="H206" s="734"/>
      <c r="I206" s="734"/>
      <c r="J206" s="734"/>
      <c r="K206" s="734"/>
      <c r="L206" s="734"/>
      <c r="M206" s="734"/>
      <c r="N206" s="734"/>
      <c r="O206" s="734"/>
      <c r="P206" s="734"/>
      <c r="Q206" s="734"/>
      <c r="R206" s="734"/>
      <c r="S206" s="734"/>
      <c r="T206" s="734"/>
      <c r="U206" s="734"/>
      <c r="V206" s="734"/>
      <c r="W206" s="734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2"/>
      <c r="B207" s="734"/>
      <c r="C207" s="734"/>
      <c r="D207" s="734"/>
      <c r="E207" s="734"/>
      <c r="F207" s="734"/>
      <c r="G207" s="734"/>
      <c r="H207" s="734"/>
      <c r="I207" s="734"/>
      <c r="J207" s="734"/>
      <c r="K207" s="734"/>
      <c r="L207" s="734"/>
      <c r="M207" s="734"/>
      <c r="N207" s="734"/>
      <c r="O207" s="734"/>
      <c r="P207" s="734"/>
      <c r="Q207" s="734"/>
      <c r="R207" s="734"/>
      <c r="S207" s="734"/>
      <c r="T207" s="734"/>
      <c r="U207" s="734"/>
      <c r="V207" s="734"/>
      <c r="W207" s="734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2"/>
      <c r="B208" s="734"/>
      <c r="C208" s="734"/>
      <c r="D208" s="734"/>
      <c r="E208" s="734"/>
      <c r="F208" s="734"/>
      <c r="G208" s="734"/>
      <c r="H208" s="734"/>
      <c r="I208" s="734"/>
      <c r="J208" s="734"/>
      <c r="K208" s="734"/>
      <c r="L208" s="734"/>
      <c r="M208" s="734"/>
      <c r="N208" s="734"/>
      <c r="O208" s="734"/>
      <c r="P208" s="734"/>
      <c r="Q208" s="734"/>
      <c r="R208" s="734"/>
      <c r="S208" s="734"/>
      <c r="T208" s="734"/>
      <c r="U208" s="734"/>
      <c r="V208" s="734"/>
      <c r="W208" s="734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2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64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2"/>
      <c r="C210" s="739" t="s">
        <v>80</v>
      </c>
      <c r="D210" s="740"/>
      <c r="E210" s="740"/>
      <c r="F210" s="740"/>
      <c r="G210" s="740"/>
      <c r="H210" s="740"/>
      <c r="I210" s="740"/>
      <c r="J210" s="740"/>
      <c r="K210" s="740"/>
      <c r="L210" s="740"/>
      <c r="M210" s="740"/>
      <c r="N210" s="740"/>
      <c r="O210" s="740"/>
      <c r="P210" s="740"/>
      <c r="Q210" s="740"/>
      <c r="R210" s="740"/>
      <c r="S210" s="740"/>
      <c r="T210" s="740"/>
      <c r="U210" s="740"/>
      <c r="V210" s="740"/>
      <c r="W210" s="741"/>
      <c r="X210" s="740"/>
      <c r="Y210" s="740"/>
      <c r="Z210" s="740"/>
      <c r="AA210" s="742"/>
      <c r="AB210" s="742"/>
      <c r="AC210" s="742"/>
      <c r="AD210" s="743"/>
      <c r="AE210" s="743"/>
      <c r="AF210" s="743"/>
      <c r="AG210" s="744"/>
      <c r="AH210" s="83"/>
      <c r="AI210" s="8"/>
      <c r="AJ210" s="8"/>
      <c r="AK210" s="8"/>
    </row>
    <row r="211" spans="1:51" ht="27" thickBot="1" x14ac:dyDescent="0.3">
      <c r="A211" s="42"/>
      <c r="C211" s="736" t="s">
        <v>2</v>
      </c>
      <c r="D211" s="737"/>
      <c r="E211" s="737"/>
      <c r="F211" s="737"/>
      <c r="G211" s="737"/>
      <c r="H211" s="738"/>
      <c r="I211" s="294"/>
      <c r="J211" s="294"/>
      <c r="K211" s="174">
        <v>1</v>
      </c>
      <c r="L211" s="175" t="s">
        <v>87</v>
      </c>
      <c r="M211" s="176" t="s">
        <v>86</v>
      </c>
      <c r="N211" s="153">
        <v>2</v>
      </c>
      <c r="O211" s="173" t="s">
        <v>87</v>
      </c>
      <c r="P211" s="177" t="s">
        <v>86</v>
      </c>
      <c r="Q211" s="174">
        <v>3</v>
      </c>
      <c r="R211" s="175" t="s">
        <v>87</v>
      </c>
      <c r="S211" s="176" t="s">
        <v>86</v>
      </c>
      <c r="T211" s="178">
        <v>4</v>
      </c>
      <c r="U211" s="175" t="s">
        <v>87</v>
      </c>
      <c r="V211" s="179" t="s">
        <v>86</v>
      </c>
      <c r="W211" s="180">
        <v>5</v>
      </c>
      <c r="X211" s="181" t="s">
        <v>87</v>
      </c>
      <c r="Y211" s="146" t="s">
        <v>203</v>
      </c>
      <c r="Z211" s="180">
        <v>6</v>
      </c>
      <c r="AA211" s="181" t="s">
        <v>87</v>
      </c>
      <c r="AB211" s="176" t="s">
        <v>203</v>
      </c>
      <c r="AC211" s="218">
        <v>7</v>
      </c>
      <c r="AD211" s="181" t="s">
        <v>87</v>
      </c>
      <c r="AE211" s="176" t="s">
        <v>203</v>
      </c>
      <c r="AF211" s="253">
        <v>8</v>
      </c>
      <c r="AG211" s="254" t="s">
        <v>87</v>
      </c>
      <c r="AH211" s="273" t="s">
        <v>203</v>
      </c>
      <c r="AI211" s="274">
        <v>9</v>
      </c>
      <c r="AJ211" s="275" t="s">
        <v>87</v>
      </c>
      <c r="AK211" s="198" t="s">
        <v>203</v>
      </c>
      <c r="AL211" s="251" t="s">
        <v>77</v>
      </c>
      <c r="AM211" s="182" t="s">
        <v>78</v>
      </c>
      <c r="AN211" s="182" t="s">
        <v>79</v>
      </c>
      <c r="AO211" s="183" t="s">
        <v>94</v>
      </c>
      <c r="AP211" s="9"/>
      <c r="AQ211" s="9"/>
      <c r="AR211" s="9"/>
    </row>
    <row r="212" spans="1:51" ht="19.899999999999999" customHeight="1" x14ac:dyDescent="0.25">
      <c r="A212" s="42"/>
      <c r="C212" s="717" t="s">
        <v>55</v>
      </c>
      <c r="D212" s="718"/>
      <c r="E212" s="718"/>
      <c r="F212" s="718"/>
      <c r="G212" s="718"/>
      <c r="H212" s="719"/>
      <c r="I212" s="296">
        <v>6</v>
      </c>
      <c r="J212" s="296">
        <v>6</v>
      </c>
      <c r="K212" s="158"/>
      <c r="L212" s="159"/>
      <c r="M212" s="160"/>
      <c r="N212" s="161"/>
      <c r="O212" s="162"/>
      <c r="P212" s="163"/>
      <c r="Q212" s="164">
        <v>72</v>
      </c>
      <c r="R212" s="165">
        <v>6.39</v>
      </c>
      <c r="S212" s="255">
        <v>72</v>
      </c>
      <c r="T212" s="167"/>
      <c r="U212" s="168">
        <v>5.9493103448275866</v>
      </c>
      <c r="V212" s="169"/>
      <c r="W212" s="256"/>
      <c r="X212" s="170">
        <v>6.1624800000000004</v>
      </c>
      <c r="Y212" s="148"/>
      <c r="Z212" s="256">
        <v>48</v>
      </c>
      <c r="AA212" s="168">
        <v>5.9493103448275866</v>
      </c>
      <c r="AB212" s="166">
        <v>21</v>
      </c>
      <c r="AC212" s="259"/>
      <c r="AD212" s="168">
        <v>5.5086206896551726</v>
      </c>
      <c r="AE212" s="166"/>
      <c r="AF212" s="261"/>
      <c r="AG212" s="261">
        <v>6.39</v>
      </c>
      <c r="AH212" s="68"/>
      <c r="AI212" s="279"/>
      <c r="AJ212" s="168">
        <v>5.5086206896551726</v>
      </c>
      <c r="AK212" s="276"/>
      <c r="AL212" s="252">
        <f>K212+N212+T212+Q212+Z212+W212+AC212+AF212+AI212</f>
        <v>120</v>
      </c>
      <c r="AM212" s="41">
        <f t="shared" ref="AM212:AM227" si="128">AN108</f>
        <v>119</v>
      </c>
      <c r="AN212" s="171">
        <f>AL212-AM212</f>
        <v>1</v>
      </c>
      <c r="AO212" s="172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2"/>
      <c r="C213" s="720" t="s">
        <v>4</v>
      </c>
      <c r="D213" s="654"/>
      <c r="E213" s="654"/>
      <c r="F213" s="654"/>
      <c r="G213" s="654"/>
      <c r="H213" s="721"/>
      <c r="I213" s="296">
        <v>12</v>
      </c>
      <c r="J213" s="296">
        <v>12</v>
      </c>
      <c r="K213" s="60">
        <v>80</v>
      </c>
      <c r="L213" s="51">
        <v>10.32</v>
      </c>
      <c r="M213" s="67">
        <v>80</v>
      </c>
      <c r="N213" s="81"/>
      <c r="O213" s="37"/>
      <c r="P213" s="53"/>
      <c r="Q213" s="60">
        <v>60</v>
      </c>
      <c r="R213" s="51">
        <v>12.69</v>
      </c>
      <c r="S213" s="67">
        <v>60</v>
      </c>
      <c r="T213" s="54">
        <v>40</v>
      </c>
      <c r="U213" s="113">
        <v>11.814827586206897</v>
      </c>
      <c r="V213" s="194">
        <v>40</v>
      </c>
      <c r="W213" s="257">
        <v>40</v>
      </c>
      <c r="X213" s="127">
        <v>12.227760000000002</v>
      </c>
      <c r="Y213" s="147">
        <v>40</v>
      </c>
      <c r="Z213" s="257">
        <v>100</v>
      </c>
      <c r="AA213" s="113">
        <v>11.814827586206897</v>
      </c>
      <c r="AB213" s="67">
        <v>100</v>
      </c>
      <c r="AC213" s="259">
        <v>80</v>
      </c>
      <c r="AD213" s="113">
        <v>10.939655172413794</v>
      </c>
      <c r="AE213" s="67">
        <v>80</v>
      </c>
      <c r="AF213" s="261"/>
      <c r="AG213" s="261">
        <v>12.69</v>
      </c>
      <c r="AH213" s="68"/>
      <c r="AI213" s="279"/>
      <c r="AJ213" s="113">
        <v>10.939655172413794</v>
      </c>
      <c r="AK213" s="276"/>
      <c r="AL213" s="252">
        <f t="shared" ref="AL213:AL234" si="130">K213+N213+T213+Q213+Z213+W213+AC213+AF213+AI213</f>
        <v>400</v>
      </c>
      <c r="AM213" s="15">
        <f t="shared" si="128"/>
        <v>402</v>
      </c>
      <c r="AN213" s="39">
        <f>AL213-AM213</f>
        <v>-2</v>
      </c>
      <c r="AO213" s="172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2"/>
      <c r="C214" s="720" t="s">
        <v>5</v>
      </c>
      <c r="D214" s="654"/>
      <c r="E214" s="654"/>
      <c r="F214" s="654"/>
      <c r="G214" s="654"/>
      <c r="H214" s="721"/>
      <c r="I214" s="296">
        <v>32</v>
      </c>
      <c r="J214" s="296">
        <v>32</v>
      </c>
      <c r="K214" s="60">
        <v>20</v>
      </c>
      <c r="L214" s="51">
        <v>28.5</v>
      </c>
      <c r="M214" s="67">
        <v>20</v>
      </c>
      <c r="N214" s="81"/>
      <c r="O214" s="37"/>
      <c r="P214" s="53"/>
      <c r="Q214" s="60">
        <v>40</v>
      </c>
      <c r="R214" s="51">
        <v>35.04</v>
      </c>
      <c r="S214" s="67">
        <v>40</v>
      </c>
      <c r="T214" s="54">
        <v>20</v>
      </c>
      <c r="U214" s="113">
        <v>32.623448275862074</v>
      </c>
      <c r="V214" s="194">
        <v>20</v>
      </c>
      <c r="W214" s="257">
        <v>20</v>
      </c>
      <c r="X214" s="127">
        <v>33.767280000000007</v>
      </c>
      <c r="Y214" s="147">
        <v>20</v>
      </c>
      <c r="Z214" s="257">
        <v>60</v>
      </c>
      <c r="AA214" s="113">
        <v>32.623448275862074</v>
      </c>
      <c r="AB214" s="67">
        <v>60</v>
      </c>
      <c r="AC214" s="259">
        <v>30</v>
      </c>
      <c r="AD214" s="113">
        <v>30.206896551724142</v>
      </c>
      <c r="AE214" s="67">
        <v>30</v>
      </c>
      <c r="AF214" s="261">
        <v>40</v>
      </c>
      <c r="AG214" s="261">
        <v>35.040000000000006</v>
      </c>
      <c r="AH214" s="68">
        <v>25</v>
      </c>
      <c r="AI214" s="279">
        <v>36</v>
      </c>
      <c r="AJ214" s="113">
        <v>30.206896551724142</v>
      </c>
      <c r="AK214" s="276"/>
      <c r="AL214" s="252">
        <f t="shared" si="130"/>
        <v>266</v>
      </c>
      <c r="AM214" s="15">
        <f t="shared" si="128"/>
        <v>252</v>
      </c>
      <c r="AN214" s="39">
        <f t="shared" ref="AN214:AN233" si="131">AL214-AM214</f>
        <v>14</v>
      </c>
      <c r="AO214" s="172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2"/>
      <c r="C215" s="720" t="s">
        <v>56</v>
      </c>
      <c r="D215" s="654"/>
      <c r="E215" s="654"/>
      <c r="F215" s="654"/>
      <c r="G215" s="654"/>
      <c r="H215" s="721"/>
      <c r="I215" s="296">
        <v>10</v>
      </c>
      <c r="J215" s="296">
        <v>10</v>
      </c>
      <c r="K215" s="60"/>
      <c r="L215" s="51"/>
      <c r="M215" s="58"/>
      <c r="N215" s="81"/>
      <c r="O215" s="37"/>
      <c r="P215" s="53"/>
      <c r="Q215" s="60">
        <v>32</v>
      </c>
      <c r="R215" s="51">
        <v>10.7</v>
      </c>
      <c r="S215" s="67">
        <v>32</v>
      </c>
      <c r="T215" s="54"/>
      <c r="U215" s="113">
        <v>9.9620689655172416</v>
      </c>
      <c r="V215" s="112"/>
      <c r="W215" s="257"/>
      <c r="X215" s="127">
        <v>10.31292</v>
      </c>
      <c r="Y215" s="148"/>
      <c r="Z215" s="257">
        <v>20</v>
      </c>
      <c r="AA215" s="113">
        <v>9.9620689655172416</v>
      </c>
      <c r="AB215" s="67">
        <v>20</v>
      </c>
      <c r="AC215" s="259">
        <v>20</v>
      </c>
      <c r="AD215" s="113">
        <v>9.2241379310344822</v>
      </c>
      <c r="AE215" s="68">
        <v>7</v>
      </c>
      <c r="AF215" s="261"/>
      <c r="AG215" s="261">
        <v>10.7</v>
      </c>
      <c r="AH215" s="68"/>
      <c r="AI215" s="279">
        <v>40</v>
      </c>
      <c r="AJ215" s="113">
        <v>9.2241379310344822</v>
      </c>
      <c r="AK215" s="276"/>
      <c r="AL215" s="252">
        <f t="shared" si="130"/>
        <v>112</v>
      </c>
      <c r="AM215" s="15">
        <f t="shared" si="128"/>
        <v>66</v>
      </c>
      <c r="AN215" s="39">
        <f t="shared" si="131"/>
        <v>46</v>
      </c>
      <c r="AO215" s="172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2"/>
      <c r="C216" s="720" t="s">
        <v>49</v>
      </c>
      <c r="D216" s="654"/>
      <c r="E216" s="654"/>
      <c r="F216" s="654"/>
      <c r="G216" s="654"/>
      <c r="H216" s="721"/>
      <c r="I216" s="296">
        <v>21</v>
      </c>
      <c r="J216" s="296">
        <v>21</v>
      </c>
      <c r="K216" s="60"/>
      <c r="L216" s="51"/>
      <c r="M216" s="58"/>
      <c r="N216" s="81">
        <v>10</v>
      </c>
      <c r="O216" s="37">
        <v>22.1</v>
      </c>
      <c r="P216" s="109">
        <v>10</v>
      </c>
      <c r="Q216" s="60">
        <v>40</v>
      </c>
      <c r="R216" s="51">
        <v>22.81</v>
      </c>
      <c r="S216" s="67">
        <v>40</v>
      </c>
      <c r="T216" s="54">
        <v>30</v>
      </c>
      <c r="U216" s="113">
        <v>21.23689655172414</v>
      </c>
      <c r="V216" s="194">
        <v>30</v>
      </c>
      <c r="W216" s="257">
        <v>20</v>
      </c>
      <c r="X216" s="127">
        <v>22.569840000000003</v>
      </c>
      <c r="Y216" s="147">
        <v>20</v>
      </c>
      <c r="Z216" s="257">
        <v>40</v>
      </c>
      <c r="AA216" s="113">
        <v>21.23689655172414</v>
      </c>
      <c r="AB216" s="67">
        <v>40</v>
      </c>
      <c r="AC216" s="259">
        <v>40</v>
      </c>
      <c r="AD216" s="113">
        <v>19.663793103448278</v>
      </c>
      <c r="AE216" s="67">
        <v>40</v>
      </c>
      <c r="AF216" s="261">
        <v>36</v>
      </c>
      <c r="AG216" s="261">
        <v>22.81</v>
      </c>
      <c r="AH216" s="68">
        <v>27</v>
      </c>
      <c r="AI216" s="279"/>
      <c r="AJ216" s="113">
        <v>19.663793103448278</v>
      </c>
      <c r="AK216" s="276"/>
      <c r="AL216" s="252">
        <f t="shared" si="130"/>
        <v>216</v>
      </c>
      <c r="AM216" s="15">
        <f t="shared" si="128"/>
        <v>219</v>
      </c>
      <c r="AN216" s="39">
        <f t="shared" si="131"/>
        <v>-3</v>
      </c>
      <c r="AO216" s="172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2"/>
      <c r="C217" s="720" t="s">
        <v>50</v>
      </c>
      <c r="D217" s="654"/>
      <c r="E217" s="654"/>
      <c r="F217" s="654"/>
      <c r="G217" s="654"/>
      <c r="H217" s="721"/>
      <c r="I217" s="296">
        <v>6</v>
      </c>
      <c r="J217" s="296">
        <v>6</v>
      </c>
      <c r="K217" s="60"/>
      <c r="L217" s="51"/>
      <c r="M217" s="58"/>
      <c r="N217" s="81">
        <v>24</v>
      </c>
      <c r="O217" s="37">
        <v>5.67</v>
      </c>
      <c r="P217" s="110">
        <v>20</v>
      </c>
      <c r="Q217" s="60"/>
      <c r="R217" s="51">
        <v>6</v>
      </c>
      <c r="S217" s="68"/>
      <c r="T217" s="54"/>
      <c r="U217" s="113">
        <v>5.5862068965517242</v>
      </c>
      <c r="V217" s="112"/>
      <c r="W217" s="257"/>
      <c r="X217" s="127">
        <v>5.79312</v>
      </c>
      <c r="Y217" s="148"/>
      <c r="Z217" s="257">
        <v>24</v>
      </c>
      <c r="AA217" s="113">
        <v>5.5862068965517242</v>
      </c>
      <c r="AB217" s="68"/>
      <c r="AC217" s="259"/>
      <c r="AD217" s="113">
        <v>5.1724137931034484</v>
      </c>
      <c r="AE217" s="68"/>
      <c r="AF217" s="261"/>
      <c r="AG217" s="261">
        <v>6</v>
      </c>
      <c r="AH217" s="68"/>
      <c r="AI217" s="279"/>
      <c r="AJ217" s="113">
        <v>5.1724137931034484</v>
      </c>
      <c r="AK217" s="276"/>
      <c r="AL217" s="252">
        <f t="shared" si="130"/>
        <v>48</v>
      </c>
      <c r="AM217" s="15">
        <f t="shared" si="128"/>
        <v>21</v>
      </c>
      <c r="AN217" s="39">
        <f t="shared" si="131"/>
        <v>27</v>
      </c>
      <c r="AO217" s="172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2"/>
      <c r="C218" s="720" t="s">
        <v>6</v>
      </c>
      <c r="D218" s="654"/>
      <c r="E218" s="654"/>
      <c r="F218" s="654"/>
      <c r="G218" s="654"/>
      <c r="H218" s="721"/>
      <c r="I218" s="296">
        <v>9</v>
      </c>
      <c r="J218" s="296">
        <v>9</v>
      </c>
      <c r="K218" s="60">
        <v>20</v>
      </c>
      <c r="L218" s="51">
        <v>7.51</v>
      </c>
      <c r="M218" s="67">
        <v>20</v>
      </c>
      <c r="N218" s="81"/>
      <c r="O218" s="37"/>
      <c r="P218" s="53"/>
      <c r="Q218" s="60">
        <v>40</v>
      </c>
      <c r="R218" s="51">
        <v>9.23</v>
      </c>
      <c r="S218" s="67">
        <v>40</v>
      </c>
      <c r="T218" s="54"/>
      <c r="U218" s="113">
        <v>8.5934482758620696</v>
      </c>
      <c r="V218" s="112"/>
      <c r="W218" s="257"/>
      <c r="X218" s="127">
        <v>8.8938000000000024</v>
      </c>
      <c r="Y218" s="148"/>
      <c r="Z218" s="257">
        <v>40</v>
      </c>
      <c r="AA218" s="113">
        <v>8.5934482758620696</v>
      </c>
      <c r="AB218" s="67">
        <v>40</v>
      </c>
      <c r="AC218" s="259">
        <v>20</v>
      </c>
      <c r="AD218" s="113">
        <v>7.9568965517241379</v>
      </c>
      <c r="AE218" s="68">
        <v>7</v>
      </c>
      <c r="AF218" s="261"/>
      <c r="AG218" s="261">
        <v>9.2299999999999986</v>
      </c>
      <c r="AH218" s="68"/>
      <c r="AI218" s="279">
        <v>20</v>
      </c>
      <c r="AJ218" s="113">
        <v>7.9568965517241379</v>
      </c>
      <c r="AK218" s="276"/>
      <c r="AL218" s="252">
        <f t="shared" si="130"/>
        <v>140</v>
      </c>
      <c r="AM218" s="15">
        <f t="shared" si="128"/>
        <v>121</v>
      </c>
      <c r="AN218" s="39">
        <f t="shared" si="131"/>
        <v>19</v>
      </c>
      <c r="AO218" s="172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2"/>
      <c r="C219" s="720" t="s">
        <v>7</v>
      </c>
      <c r="D219" s="654"/>
      <c r="E219" s="654"/>
      <c r="F219" s="654"/>
      <c r="G219" s="654"/>
      <c r="H219" s="721"/>
      <c r="I219" s="296">
        <v>25</v>
      </c>
      <c r="J219" s="296">
        <v>25</v>
      </c>
      <c r="K219" s="60">
        <v>5</v>
      </c>
      <c r="L219" s="51">
        <v>21.99</v>
      </c>
      <c r="M219" s="67">
        <v>5</v>
      </c>
      <c r="N219" s="81"/>
      <c r="O219" s="37"/>
      <c r="P219" s="53"/>
      <c r="Q219" s="60">
        <v>30</v>
      </c>
      <c r="R219" s="51">
        <v>27.04</v>
      </c>
      <c r="S219" s="67">
        <v>30</v>
      </c>
      <c r="T219" s="54">
        <v>5</v>
      </c>
      <c r="U219" s="113">
        <v>25.175172413793106</v>
      </c>
      <c r="V219" s="194">
        <v>5</v>
      </c>
      <c r="W219" s="257">
        <v>20</v>
      </c>
      <c r="X219" s="127">
        <v>26.05932</v>
      </c>
      <c r="Y219" s="147">
        <v>20</v>
      </c>
      <c r="Z219" s="257"/>
      <c r="AA219" s="113">
        <v>25.175172413793106</v>
      </c>
      <c r="AB219" s="68"/>
      <c r="AC219" s="259">
        <v>10</v>
      </c>
      <c r="AD219" s="113">
        <v>23.310344827586206</v>
      </c>
      <c r="AE219" s="67">
        <v>10</v>
      </c>
      <c r="AF219" s="261">
        <v>10</v>
      </c>
      <c r="AG219" s="261">
        <v>27.04</v>
      </c>
      <c r="AH219" s="67">
        <v>8</v>
      </c>
      <c r="AI219" s="279">
        <v>20</v>
      </c>
      <c r="AJ219" s="113">
        <v>23.310344827586206</v>
      </c>
      <c r="AK219" s="277"/>
      <c r="AL219" s="252">
        <f t="shared" si="130"/>
        <v>100</v>
      </c>
      <c r="AM219" s="15">
        <f t="shared" si="128"/>
        <v>89</v>
      </c>
      <c r="AN219" s="39">
        <f t="shared" si="131"/>
        <v>11</v>
      </c>
      <c r="AO219" s="172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2"/>
      <c r="C220" s="720" t="s">
        <v>8</v>
      </c>
      <c r="D220" s="654"/>
      <c r="E220" s="654"/>
      <c r="F220" s="654"/>
      <c r="G220" s="654"/>
      <c r="H220" s="721"/>
      <c r="I220" s="296">
        <v>11</v>
      </c>
      <c r="J220" s="296">
        <v>11</v>
      </c>
      <c r="K220" s="60">
        <v>40</v>
      </c>
      <c r="L220" s="51">
        <v>9.5500000000000007</v>
      </c>
      <c r="M220" s="67">
        <v>40</v>
      </c>
      <c r="N220" s="81"/>
      <c r="O220" s="37"/>
      <c r="P220" s="53"/>
      <c r="Q220" s="60">
        <v>12</v>
      </c>
      <c r="R220" s="51">
        <v>11.74</v>
      </c>
      <c r="S220" s="67">
        <v>12</v>
      </c>
      <c r="T220" s="54"/>
      <c r="U220" s="113">
        <v>10.930344827586209</v>
      </c>
      <c r="V220" s="112"/>
      <c r="W220" s="257">
        <v>40</v>
      </c>
      <c r="X220" s="127">
        <v>11.314080000000002</v>
      </c>
      <c r="Y220" s="147">
        <v>40</v>
      </c>
      <c r="Z220" s="257">
        <v>20</v>
      </c>
      <c r="AA220" s="113">
        <v>10.930344827586209</v>
      </c>
      <c r="AB220" s="67">
        <v>20</v>
      </c>
      <c r="AC220" s="259">
        <v>40</v>
      </c>
      <c r="AD220" s="113">
        <v>10.120689655172415</v>
      </c>
      <c r="AE220" s="68">
        <v>17</v>
      </c>
      <c r="AF220" s="261"/>
      <c r="AG220" s="261">
        <v>11.74</v>
      </c>
      <c r="AH220" s="68"/>
      <c r="AI220" s="279">
        <v>40</v>
      </c>
      <c r="AJ220" s="113">
        <v>10.120689655172415</v>
      </c>
      <c r="AK220" s="276"/>
      <c r="AL220" s="252">
        <f t="shared" si="130"/>
        <v>192</v>
      </c>
      <c r="AM220" s="15">
        <f t="shared" si="128"/>
        <v>154</v>
      </c>
      <c r="AN220" s="39">
        <f t="shared" si="131"/>
        <v>38</v>
      </c>
      <c r="AO220" s="172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2"/>
      <c r="C221" s="720" t="s">
        <v>9</v>
      </c>
      <c r="D221" s="654"/>
      <c r="E221" s="654"/>
      <c r="F221" s="654"/>
      <c r="G221" s="654"/>
      <c r="H221" s="721"/>
      <c r="I221" s="296">
        <v>24</v>
      </c>
      <c r="J221" s="296">
        <v>24</v>
      </c>
      <c r="K221" s="60">
        <v>20</v>
      </c>
      <c r="L221" s="51">
        <v>21.82</v>
      </c>
      <c r="M221" s="67">
        <v>20</v>
      </c>
      <c r="N221" s="81">
        <v>36</v>
      </c>
      <c r="O221" s="37">
        <v>25.31</v>
      </c>
      <c r="P221" s="109">
        <v>36</v>
      </c>
      <c r="Q221" s="60">
        <v>60</v>
      </c>
      <c r="R221" s="51">
        <v>26.83</v>
      </c>
      <c r="S221" s="67">
        <v>60</v>
      </c>
      <c r="T221" s="54">
        <v>30</v>
      </c>
      <c r="U221" s="113">
        <v>24.979655172413796</v>
      </c>
      <c r="V221" s="194">
        <v>30</v>
      </c>
      <c r="W221" s="257">
        <v>40</v>
      </c>
      <c r="X221" s="127">
        <v>25.855200000000004</v>
      </c>
      <c r="Y221" s="147">
        <v>40</v>
      </c>
      <c r="Z221" s="257">
        <v>60</v>
      </c>
      <c r="AA221" s="113">
        <v>24.979655172413796</v>
      </c>
      <c r="AB221" s="67">
        <v>60</v>
      </c>
      <c r="AC221" s="259">
        <v>60</v>
      </c>
      <c r="AD221" s="113">
        <v>23.129310344827587</v>
      </c>
      <c r="AE221" s="67">
        <v>61</v>
      </c>
      <c r="AF221" s="261"/>
      <c r="AG221" s="261">
        <v>26.83</v>
      </c>
      <c r="AH221" s="68"/>
      <c r="AI221" s="279">
        <v>108</v>
      </c>
      <c r="AJ221" s="113">
        <v>23.129310344827587</v>
      </c>
      <c r="AK221" s="276"/>
      <c r="AL221" s="252">
        <f t="shared" si="130"/>
        <v>414</v>
      </c>
      <c r="AM221" s="15">
        <f t="shared" si="128"/>
        <v>344</v>
      </c>
      <c r="AN221" s="39">
        <f t="shared" si="131"/>
        <v>70</v>
      </c>
      <c r="AO221" s="172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2"/>
      <c r="C222" s="720" t="s">
        <v>10</v>
      </c>
      <c r="D222" s="654"/>
      <c r="E222" s="654"/>
      <c r="F222" s="654"/>
      <c r="G222" s="654"/>
      <c r="H222" s="721"/>
      <c r="I222" s="296">
        <v>26</v>
      </c>
      <c r="J222" s="296">
        <v>26</v>
      </c>
      <c r="K222" s="60">
        <v>20</v>
      </c>
      <c r="L222" s="51">
        <v>22.74</v>
      </c>
      <c r="M222" s="67">
        <v>20</v>
      </c>
      <c r="N222" s="81"/>
      <c r="O222" s="37"/>
      <c r="P222" s="53"/>
      <c r="Q222" s="60">
        <v>40</v>
      </c>
      <c r="R222" s="51">
        <v>27.96</v>
      </c>
      <c r="S222" s="67">
        <v>40</v>
      </c>
      <c r="T222" s="54"/>
      <c r="U222" s="113">
        <v>26.03172413793104</v>
      </c>
      <c r="V222" s="112"/>
      <c r="W222" s="257">
        <v>20</v>
      </c>
      <c r="X222" s="127">
        <v>26.943840000000002</v>
      </c>
      <c r="Y222" s="147">
        <v>20</v>
      </c>
      <c r="Z222" s="257">
        <v>12</v>
      </c>
      <c r="AA222" s="113">
        <v>26.03172413793104</v>
      </c>
      <c r="AB222" s="67">
        <v>12</v>
      </c>
      <c r="AC222" s="259">
        <v>20</v>
      </c>
      <c r="AD222" s="113">
        <v>24.103448275862071</v>
      </c>
      <c r="AE222" s="68">
        <v>16</v>
      </c>
      <c r="AF222" s="261"/>
      <c r="AG222" s="261">
        <v>27.96</v>
      </c>
      <c r="AH222" s="68"/>
      <c r="AI222" s="279"/>
      <c r="AJ222" s="113">
        <v>24.103448275862071</v>
      </c>
      <c r="AK222" s="276"/>
      <c r="AL222" s="252">
        <f t="shared" si="130"/>
        <v>112</v>
      </c>
      <c r="AM222" s="15">
        <f t="shared" si="128"/>
        <v>115</v>
      </c>
      <c r="AN222" s="39">
        <f t="shared" si="131"/>
        <v>-3</v>
      </c>
      <c r="AO222" s="172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2"/>
      <c r="C223" s="720" t="s">
        <v>11</v>
      </c>
      <c r="D223" s="654"/>
      <c r="E223" s="654"/>
      <c r="F223" s="654"/>
      <c r="G223" s="654"/>
      <c r="H223" s="721"/>
      <c r="I223" s="296">
        <v>86</v>
      </c>
      <c r="J223" s="296">
        <v>86</v>
      </c>
      <c r="K223" s="60">
        <v>20</v>
      </c>
      <c r="L223" s="51">
        <v>77.28</v>
      </c>
      <c r="M223" s="67">
        <v>20</v>
      </c>
      <c r="N223" s="81"/>
      <c r="O223" s="37"/>
      <c r="P223" s="53"/>
      <c r="Q223" s="60">
        <v>40</v>
      </c>
      <c r="R223" s="51">
        <v>95.03</v>
      </c>
      <c r="S223" s="67">
        <v>40</v>
      </c>
      <c r="T223" s="54">
        <v>15</v>
      </c>
      <c r="U223" s="113">
        <v>88.476206896551744</v>
      </c>
      <c r="V223" s="194">
        <v>15</v>
      </c>
      <c r="W223" s="257">
        <v>20</v>
      </c>
      <c r="X223" s="127">
        <v>91.562400000000011</v>
      </c>
      <c r="Y223" s="147">
        <v>20</v>
      </c>
      <c r="Z223" s="257">
        <v>34</v>
      </c>
      <c r="AA223" s="113">
        <v>88.476206896551744</v>
      </c>
      <c r="AB223" s="67">
        <v>34</v>
      </c>
      <c r="AC223" s="259">
        <v>40</v>
      </c>
      <c r="AD223" s="113">
        <v>81.922413793103459</v>
      </c>
      <c r="AE223" s="68">
        <v>19</v>
      </c>
      <c r="AF223" s="261"/>
      <c r="AG223" s="261">
        <v>95.03</v>
      </c>
      <c r="AH223" s="68"/>
      <c r="AI223" s="279">
        <v>8</v>
      </c>
      <c r="AJ223" s="113">
        <v>81.922413793103459</v>
      </c>
      <c r="AK223" s="276"/>
      <c r="AL223" s="252">
        <f t="shared" si="130"/>
        <v>177</v>
      </c>
      <c r="AM223" s="15">
        <f t="shared" si="128"/>
        <v>177</v>
      </c>
      <c r="AN223" s="39">
        <f t="shared" si="131"/>
        <v>0</v>
      </c>
      <c r="AO223" s="172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2"/>
      <c r="C224" s="720" t="s">
        <v>57</v>
      </c>
      <c r="D224" s="654"/>
      <c r="E224" s="654"/>
      <c r="F224" s="654"/>
      <c r="G224" s="654"/>
      <c r="H224" s="721"/>
      <c r="I224" s="296">
        <v>40</v>
      </c>
      <c r="J224" s="296">
        <v>40</v>
      </c>
      <c r="K224" s="60"/>
      <c r="L224" s="51"/>
      <c r="M224" s="58"/>
      <c r="N224" s="81"/>
      <c r="O224" s="37"/>
      <c r="P224" s="53"/>
      <c r="Q224" s="60">
        <v>30</v>
      </c>
      <c r="R224" s="51">
        <v>44.03</v>
      </c>
      <c r="S224" s="67">
        <v>30</v>
      </c>
      <c r="T224" s="54">
        <v>10</v>
      </c>
      <c r="U224" s="113">
        <v>40.993448275862079</v>
      </c>
      <c r="V224" s="194">
        <v>10</v>
      </c>
      <c r="W224" s="257">
        <v>20</v>
      </c>
      <c r="X224" s="127">
        <v>42.427799999999998</v>
      </c>
      <c r="Y224" s="147">
        <v>20</v>
      </c>
      <c r="Z224" s="257">
        <v>50</v>
      </c>
      <c r="AA224" s="113">
        <v>40.993448275862079</v>
      </c>
      <c r="AB224" s="67">
        <v>50</v>
      </c>
      <c r="AC224" s="259">
        <v>18</v>
      </c>
      <c r="AD224" s="113">
        <v>37.956896551724142</v>
      </c>
      <c r="AE224" s="67">
        <v>18</v>
      </c>
      <c r="AF224" s="261">
        <v>36</v>
      </c>
      <c r="AG224" s="261">
        <v>44.03</v>
      </c>
      <c r="AH224" s="68">
        <v>20</v>
      </c>
      <c r="AI224" s="279"/>
      <c r="AJ224" s="113">
        <v>37.956896551724142</v>
      </c>
      <c r="AK224" s="276"/>
      <c r="AL224" s="252">
        <f t="shared" si="130"/>
        <v>164</v>
      </c>
      <c r="AM224" s="15">
        <f t="shared" si="128"/>
        <v>164</v>
      </c>
      <c r="AN224" s="39">
        <f t="shared" si="131"/>
        <v>0</v>
      </c>
      <c r="AO224" s="172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2"/>
      <c r="C225" s="720" t="s">
        <v>51</v>
      </c>
      <c r="D225" s="654"/>
      <c r="E225" s="654"/>
      <c r="F225" s="654"/>
      <c r="G225" s="654"/>
      <c r="H225" s="721"/>
      <c r="I225" s="296">
        <v>38</v>
      </c>
      <c r="J225" s="296">
        <v>38</v>
      </c>
      <c r="K225" s="60"/>
      <c r="L225" s="51"/>
      <c r="M225" s="58"/>
      <c r="N225" s="81">
        <v>5</v>
      </c>
      <c r="O225" s="37">
        <v>39.15</v>
      </c>
      <c r="P225" s="109">
        <v>5</v>
      </c>
      <c r="Q225" s="60"/>
      <c r="R225" s="51">
        <v>41.5</v>
      </c>
      <c r="S225" s="68"/>
      <c r="T225" s="54"/>
      <c r="U225" s="113">
        <v>38.637931034482769</v>
      </c>
      <c r="V225" s="112"/>
      <c r="W225" s="257">
        <v>10</v>
      </c>
      <c r="X225" s="127">
        <v>39.988080000000004</v>
      </c>
      <c r="Y225" s="147">
        <v>10</v>
      </c>
      <c r="Z225" s="257">
        <v>10</v>
      </c>
      <c r="AA225" s="113">
        <v>38.637931034482769</v>
      </c>
      <c r="AB225" s="67">
        <v>10</v>
      </c>
      <c r="AC225" s="259"/>
      <c r="AD225" s="113">
        <v>35.775862068965523</v>
      </c>
      <c r="AE225" s="68"/>
      <c r="AF225" s="261">
        <v>5</v>
      </c>
      <c r="AG225" s="261">
        <v>41.500000000000007</v>
      </c>
      <c r="AH225" s="68">
        <v>2</v>
      </c>
      <c r="AI225" s="279">
        <v>10</v>
      </c>
      <c r="AJ225" s="113">
        <v>35.775862068965523</v>
      </c>
      <c r="AK225" s="276"/>
      <c r="AL225" s="252">
        <f t="shared" si="130"/>
        <v>40</v>
      </c>
      <c r="AM225" s="15">
        <f t="shared" si="128"/>
        <v>29</v>
      </c>
      <c r="AN225" s="39">
        <f t="shared" si="131"/>
        <v>11</v>
      </c>
      <c r="AO225" s="172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2"/>
      <c r="C226" s="720" t="s">
        <v>52</v>
      </c>
      <c r="D226" s="654"/>
      <c r="E226" s="654"/>
      <c r="F226" s="654"/>
      <c r="G226" s="654"/>
      <c r="H226" s="721"/>
      <c r="I226" s="296">
        <v>49</v>
      </c>
      <c r="J226" s="296">
        <v>49</v>
      </c>
      <c r="K226" s="60"/>
      <c r="L226" s="51"/>
      <c r="M226" s="58"/>
      <c r="N226" s="81">
        <v>10</v>
      </c>
      <c r="O226" s="37">
        <v>48.29</v>
      </c>
      <c r="P226" s="110">
        <v>9</v>
      </c>
      <c r="Q226" s="60"/>
      <c r="R226" s="51">
        <v>54.09</v>
      </c>
      <c r="S226" s="68"/>
      <c r="T226" s="54"/>
      <c r="U226" s="113">
        <v>50.359655172413802</v>
      </c>
      <c r="V226" s="112"/>
      <c r="W226" s="257"/>
      <c r="X226" s="127">
        <v>52.118639999999999</v>
      </c>
      <c r="Y226" s="148"/>
      <c r="Z226" s="257"/>
      <c r="AA226" s="113">
        <v>50.359655172413802</v>
      </c>
      <c r="AB226" s="68"/>
      <c r="AC226" s="259"/>
      <c r="AD226" s="113">
        <v>46.629310344827594</v>
      </c>
      <c r="AE226" s="68"/>
      <c r="AF226" s="261"/>
      <c r="AG226" s="261">
        <v>54.09</v>
      </c>
      <c r="AH226" s="68"/>
      <c r="AI226" s="279">
        <v>15</v>
      </c>
      <c r="AJ226" s="113">
        <v>46.629310344827594</v>
      </c>
      <c r="AK226" s="276"/>
      <c r="AL226" s="252">
        <f t="shared" si="130"/>
        <v>25</v>
      </c>
      <c r="AM226" s="15">
        <f t="shared" si="128"/>
        <v>10</v>
      </c>
      <c r="AN226" s="39">
        <f t="shared" si="131"/>
        <v>15</v>
      </c>
      <c r="AO226" s="172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2"/>
      <c r="C227" s="720" t="s">
        <v>12</v>
      </c>
      <c r="D227" s="654"/>
      <c r="E227" s="654"/>
      <c r="F227" s="654"/>
      <c r="G227" s="654"/>
      <c r="H227" s="721"/>
      <c r="I227" s="296">
        <v>27</v>
      </c>
      <c r="J227" s="296">
        <v>27</v>
      </c>
      <c r="K227" s="60">
        <v>20</v>
      </c>
      <c r="L227" s="51">
        <v>22.4</v>
      </c>
      <c r="M227" s="67">
        <v>20</v>
      </c>
      <c r="N227" s="81"/>
      <c r="O227" s="37"/>
      <c r="P227" s="53"/>
      <c r="Q227" s="60">
        <v>90</v>
      </c>
      <c r="R227" s="51">
        <v>29.1</v>
      </c>
      <c r="S227" s="67">
        <v>90</v>
      </c>
      <c r="T227" s="54"/>
      <c r="U227" s="113">
        <v>27.093103448275865</v>
      </c>
      <c r="V227" s="112"/>
      <c r="W227" s="257">
        <v>40</v>
      </c>
      <c r="X227" s="127">
        <v>28.042200000000005</v>
      </c>
      <c r="Y227" s="147">
        <v>40</v>
      </c>
      <c r="Z227" s="257"/>
      <c r="AA227" s="113">
        <v>27.093103448275865</v>
      </c>
      <c r="AB227" s="68"/>
      <c r="AC227" s="259">
        <v>60</v>
      </c>
      <c r="AD227" s="113">
        <v>25.086206896551726</v>
      </c>
      <c r="AE227" s="67">
        <v>60</v>
      </c>
      <c r="AF227" s="261"/>
      <c r="AG227" s="261">
        <v>29.1</v>
      </c>
      <c r="AH227" s="68"/>
      <c r="AI227" s="279"/>
      <c r="AJ227" s="113">
        <v>25.086206896551726</v>
      </c>
      <c r="AK227" s="276"/>
      <c r="AL227" s="252">
        <f t="shared" si="130"/>
        <v>210</v>
      </c>
      <c r="AM227" s="15">
        <f t="shared" si="128"/>
        <v>210</v>
      </c>
      <c r="AN227" s="39">
        <f t="shared" si="131"/>
        <v>0</v>
      </c>
      <c r="AO227" s="172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2"/>
      <c r="C228" s="720" t="s">
        <v>13</v>
      </c>
      <c r="D228" s="654"/>
      <c r="E228" s="654"/>
      <c r="F228" s="654"/>
      <c r="G228" s="654"/>
      <c r="H228" s="721"/>
      <c r="I228" s="296">
        <v>28</v>
      </c>
      <c r="J228" s="296">
        <v>28</v>
      </c>
      <c r="K228" s="60">
        <v>80</v>
      </c>
      <c r="L228" s="51">
        <v>23.95</v>
      </c>
      <c r="M228" s="67">
        <v>80</v>
      </c>
      <c r="N228" s="81">
        <v>127</v>
      </c>
      <c r="O228" s="37">
        <v>27.78</v>
      </c>
      <c r="P228" s="109">
        <v>127</v>
      </c>
      <c r="Q228" s="60">
        <v>220</v>
      </c>
      <c r="R228" s="51">
        <v>31.11</v>
      </c>
      <c r="S228" s="67">
        <v>220</v>
      </c>
      <c r="T228" s="54">
        <v>120</v>
      </c>
      <c r="U228" s="113">
        <v>28.964482758620694</v>
      </c>
      <c r="V228" s="194">
        <v>120</v>
      </c>
      <c r="W228" s="257">
        <v>120</v>
      </c>
      <c r="X228" s="127">
        <v>29.986200000000004</v>
      </c>
      <c r="Y228" s="147">
        <v>120</v>
      </c>
      <c r="Z228" s="257">
        <f>300</f>
        <v>300</v>
      </c>
      <c r="AA228" s="113">
        <v>28.964482758620694</v>
      </c>
      <c r="AB228" s="67">
        <v>300</v>
      </c>
      <c r="AC228" s="259">
        <v>203</v>
      </c>
      <c r="AD228" s="113">
        <v>26.818965517241381</v>
      </c>
      <c r="AE228" s="67">
        <v>203</v>
      </c>
      <c r="AF228" s="261">
        <v>150</v>
      </c>
      <c r="AG228" s="261">
        <v>31.11</v>
      </c>
      <c r="AH228" s="68">
        <v>116</v>
      </c>
      <c r="AI228" s="279">
        <v>100</v>
      </c>
      <c r="AJ228" s="113">
        <v>26.818965517241381</v>
      </c>
      <c r="AK228" s="276"/>
      <c r="AL228" s="252">
        <f t="shared" si="130"/>
        <v>1420</v>
      </c>
      <c r="AM228" s="15">
        <f>AN124+AN125</f>
        <v>1427</v>
      </c>
      <c r="AN228" s="39">
        <f t="shared" si="131"/>
        <v>-7</v>
      </c>
      <c r="AO228" s="172">
        <f t="shared" si="129"/>
        <v>-187.73275862068965</v>
      </c>
      <c r="AP228" s="9"/>
      <c r="AQ228" s="143"/>
      <c r="AR228" s="143"/>
      <c r="AS228" s="143"/>
      <c r="AT228" s="143"/>
      <c r="AU228" s="143"/>
      <c r="AV228" s="143"/>
      <c r="AW228" s="143"/>
      <c r="AX228" s="143"/>
      <c r="AY228" s="143"/>
      <c r="AZ228" s="143"/>
      <c r="BA228" s="143"/>
      <c r="BB228" s="143"/>
    </row>
    <row r="229" spans="1:54" ht="15.75" x14ac:dyDescent="0.25">
      <c r="A229" s="42"/>
      <c r="C229" s="720" t="s">
        <v>98</v>
      </c>
      <c r="D229" s="654"/>
      <c r="E229" s="654"/>
      <c r="F229" s="654"/>
      <c r="G229" s="654"/>
      <c r="H229" s="721"/>
      <c r="I229" s="295"/>
      <c r="J229" s="296">
        <f t="shared" ref="J229:J234" si="132">I229*0.9*1.16/0.9</f>
        <v>0</v>
      </c>
      <c r="K229" s="60"/>
      <c r="L229" s="51"/>
      <c r="M229" s="67"/>
      <c r="N229" s="81"/>
      <c r="O229" s="37"/>
      <c r="P229" s="109"/>
      <c r="Q229" s="60">
        <v>5</v>
      </c>
      <c r="R229" s="51">
        <v>96.22</v>
      </c>
      <c r="S229" s="58"/>
      <c r="T229" s="54"/>
      <c r="U229" s="113">
        <v>89.584137931034491</v>
      </c>
      <c r="V229" s="112"/>
      <c r="W229" s="257"/>
      <c r="X229" s="127">
        <v>99.585000000000008</v>
      </c>
      <c r="Y229" s="148"/>
      <c r="Z229" s="257"/>
      <c r="AA229" s="113">
        <v>89.584137931034491</v>
      </c>
      <c r="AB229" s="68"/>
      <c r="AC229" s="259"/>
      <c r="AD229" s="113">
        <v>82.948275862068968</v>
      </c>
      <c r="AE229" s="68"/>
      <c r="AF229" s="261"/>
      <c r="AG229" s="261">
        <v>96.22</v>
      </c>
      <c r="AH229" s="68"/>
      <c r="AI229" s="279"/>
      <c r="AJ229" s="113">
        <v>82.948275862068968</v>
      </c>
      <c r="AK229" s="276"/>
      <c r="AL229" s="252">
        <f t="shared" si="130"/>
        <v>5</v>
      </c>
      <c r="AM229" s="15">
        <f>AN126</f>
        <v>0</v>
      </c>
      <c r="AN229" s="39">
        <f t="shared" si="131"/>
        <v>5</v>
      </c>
      <c r="AO229" s="172">
        <f t="shared" si="129"/>
        <v>414.74137931034483</v>
      </c>
      <c r="AP229" s="9"/>
      <c r="AQ229" s="143"/>
      <c r="AR229" s="143"/>
      <c r="AS229" s="143"/>
      <c r="AT229" s="143"/>
      <c r="AU229" s="143"/>
      <c r="AV229" s="143"/>
      <c r="AW229" s="143"/>
      <c r="AX229" s="143"/>
      <c r="AY229" s="143"/>
      <c r="AZ229" s="143"/>
      <c r="BA229" s="143"/>
      <c r="BB229" s="143"/>
    </row>
    <row r="230" spans="1:54" ht="15.75" x14ac:dyDescent="0.25">
      <c r="A230" s="42"/>
      <c r="C230" s="720" t="s">
        <v>99</v>
      </c>
      <c r="D230" s="654"/>
      <c r="E230" s="654"/>
      <c r="F230" s="654"/>
      <c r="G230" s="654"/>
      <c r="H230" s="721"/>
      <c r="I230" s="295"/>
      <c r="J230" s="296">
        <f t="shared" si="132"/>
        <v>0</v>
      </c>
      <c r="K230" s="60"/>
      <c r="L230" s="51"/>
      <c r="M230" s="67"/>
      <c r="N230" s="81"/>
      <c r="O230" s="37"/>
      <c r="P230" s="109"/>
      <c r="Q230" s="60">
        <v>5</v>
      </c>
      <c r="R230" s="51">
        <v>106.71</v>
      </c>
      <c r="S230" s="68">
        <v>1</v>
      </c>
      <c r="T230" s="54"/>
      <c r="U230" s="113">
        <v>99.350689655172417</v>
      </c>
      <c r="V230" s="112"/>
      <c r="W230" s="257"/>
      <c r="X230" s="127">
        <v>110.44800000000001</v>
      </c>
      <c r="Y230" s="148"/>
      <c r="Z230" s="257"/>
      <c r="AA230" s="113">
        <v>99.350689655172417</v>
      </c>
      <c r="AB230" s="68"/>
      <c r="AC230" s="259"/>
      <c r="AD230" s="113">
        <v>91.991379310344826</v>
      </c>
      <c r="AE230" s="68"/>
      <c r="AF230" s="261"/>
      <c r="AG230" s="261">
        <v>106.71</v>
      </c>
      <c r="AH230" s="68"/>
      <c r="AI230" s="279"/>
      <c r="AJ230" s="113">
        <v>91.991379310344826</v>
      </c>
      <c r="AK230" s="276"/>
      <c r="AL230" s="252">
        <f t="shared" si="130"/>
        <v>5</v>
      </c>
      <c r="AM230" s="15">
        <f>AN127</f>
        <v>2</v>
      </c>
      <c r="AN230" s="39">
        <f t="shared" si="131"/>
        <v>3</v>
      </c>
      <c r="AO230" s="172">
        <f t="shared" si="129"/>
        <v>275.97413793103448</v>
      </c>
      <c r="AP230" s="9"/>
      <c r="AQ230" s="143"/>
      <c r="AR230" s="143"/>
      <c r="AS230" s="143"/>
      <c r="AT230" s="143"/>
      <c r="AU230" s="143"/>
      <c r="AV230" s="143"/>
      <c r="AW230" s="143"/>
      <c r="AX230" s="143"/>
      <c r="AY230" s="143"/>
      <c r="AZ230" s="143"/>
      <c r="BA230" s="143"/>
      <c r="BB230" s="143"/>
    </row>
    <row r="231" spans="1:54" ht="15.75" x14ac:dyDescent="0.25">
      <c r="A231" s="42"/>
      <c r="C231" s="720" t="s">
        <v>100</v>
      </c>
      <c r="D231" s="654"/>
      <c r="E231" s="654"/>
      <c r="F231" s="654"/>
      <c r="G231" s="654"/>
      <c r="H231" s="721"/>
      <c r="I231" s="295"/>
      <c r="J231" s="296">
        <f t="shared" si="132"/>
        <v>0</v>
      </c>
      <c r="K231" s="60"/>
      <c r="L231" s="51"/>
      <c r="M231" s="67"/>
      <c r="N231" s="81"/>
      <c r="O231" s="37"/>
      <c r="P231" s="109"/>
      <c r="Q231" s="60">
        <v>5</v>
      </c>
      <c r="R231" s="51">
        <v>101.44</v>
      </c>
      <c r="S231" s="68">
        <v>4</v>
      </c>
      <c r="T231" s="54"/>
      <c r="U231" s="113">
        <v>94.44413793103449</v>
      </c>
      <c r="V231" s="112"/>
      <c r="W231" s="257"/>
      <c r="X231" s="127">
        <v>104.994</v>
      </c>
      <c r="Y231" s="148"/>
      <c r="Z231" s="257"/>
      <c r="AA231" s="113">
        <v>94.44413793103449</v>
      </c>
      <c r="AB231" s="68"/>
      <c r="AC231" s="259"/>
      <c r="AD231" s="113">
        <v>87.448275862068968</v>
      </c>
      <c r="AE231" s="68"/>
      <c r="AF231" s="261"/>
      <c r="AG231" s="261">
        <v>101.44</v>
      </c>
      <c r="AH231" s="68"/>
      <c r="AI231" s="279"/>
      <c r="AJ231" s="113">
        <v>87.448275862068968</v>
      </c>
      <c r="AK231" s="276"/>
      <c r="AL231" s="252">
        <f t="shared" si="130"/>
        <v>5</v>
      </c>
      <c r="AM231" s="15">
        <f>AN128</f>
        <v>5</v>
      </c>
      <c r="AN231" s="39">
        <f t="shared" si="131"/>
        <v>0</v>
      </c>
      <c r="AO231" s="172">
        <f t="shared" si="129"/>
        <v>0</v>
      </c>
      <c r="AP231" s="9"/>
      <c r="AQ231" s="143"/>
      <c r="AR231" s="143"/>
      <c r="AS231" s="143"/>
      <c r="AT231" s="143"/>
      <c r="AU231" s="143"/>
      <c r="AV231" s="143"/>
      <c r="AW231" s="143"/>
      <c r="AX231" s="143"/>
      <c r="AY231" s="143"/>
      <c r="AZ231" s="143"/>
      <c r="BA231" s="143"/>
      <c r="BB231" s="143"/>
    </row>
    <row r="232" spans="1:54" ht="15.75" x14ac:dyDescent="0.25">
      <c r="A232" s="42"/>
      <c r="C232" s="720" t="s">
        <v>101</v>
      </c>
      <c r="D232" s="654"/>
      <c r="E232" s="654"/>
      <c r="F232" s="654"/>
      <c r="G232" s="654"/>
      <c r="H232" s="721"/>
      <c r="I232" s="295"/>
      <c r="J232" s="296">
        <f t="shared" si="132"/>
        <v>0</v>
      </c>
      <c r="K232" s="60"/>
      <c r="L232" s="51"/>
      <c r="M232" s="67"/>
      <c r="N232" s="81"/>
      <c r="O232" s="37"/>
      <c r="P232" s="109"/>
      <c r="Q232" s="60">
        <v>5</v>
      </c>
      <c r="R232" s="51">
        <v>98.59</v>
      </c>
      <c r="S232" s="68">
        <v>1</v>
      </c>
      <c r="T232" s="54"/>
      <c r="U232" s="113">
        <v>91.790689655172429</v>
      </c>
      <c r="V232" s="112"/>
      <c r="W232" s="257"/>
      <c r="X232" s="127">
        <v>102.04199999999999</v>
      </c>
      <c r="Y232" s="148"/>
      <c r="Z232" s="257"/>
      <c r="AA232" s="113">
        <v>91.790689655172429</v>
      </c>
      <c r="AB232" s="68"/>
      <c r="AC232" s="259"/>
      <c r="AD232" s="113">
        <v>84.99137931034484</v>
      </c>
      <c r="AE232" s="68"/>
      <c r="AF232" s="261"/>
      <c r="AG232" s="261">
        <v>98.59</v>
      </c>
      <c r="AH232" s="68"/>
      <c r="AI232" s="279"/>
      <c r="AJ232" s="113">
        <v>84.99137931034484</v>
      </c>
      <c r="AK232" s="276"/>
      <c r="AL232" s="252">
        <f t="shared" si="130"/>
        <v>5</v>
      </c>
      <c r="AM232" s="15">
        <f>AN129</f>
        <v>2</v>
      </c>
      <c r="AN232" s="39">
        <f t="shared" si="131"/>
        <v>3</v>
      </c>
      <c r="AO232" s="172">
        <f t="shared" si="129"/>
        <v>254.97413793103453</v>
      </c>
      <c r="AP232" s="9"/>
      <c r="AQ232" s="143"/>
      <c r="AR232" s="143"/>
      <c r="AS232" s="143"/>
      <c r="AT232" s="143"/>
      <c r="AU232" s="143"/>
      <c r="AV232" s="143"/>
      <c r="AW232" s="143"/>
      <c r="AX232" s="143"/>
      <c r="AY232" s="143"/>
      <c r="AZ232" s="143"/>
      <c r="BA232" s="143"/>
      <c r="BB232" s="143"/>
    </row>
    <row r="233" spans="1:54" ht="15.75" x14ac:dyDescent="0.25">
      <c r="A233" s="42"/>
      <c r="C233" s="720" t="s">
        <v>53</v>
      </c>
      <c r="D233" s="654"/>
      <c r="E233" s="654"/>
      <c r="F233" s="654"/>
      <c r="G233" s="654"/>
      <c r="H233" s="721"/>
      <c r="I233" s="295"/>
      <c r="J233" s="296">
        <f t="shared" si="132"/>
        <v>0</v>
      </c>
      <c r="K233" s="60"/>
      <c r="L233" s="51"/>
      <c r="M233" s="58"/>
      <c r="N233" s="81">
        <v>5</v>
      </c>
      <c r="O233" s="37">
        <v>20.67</v>
      </c>
      <c r="P233" s="110">
        <v>4</v>
      </c>
      <c r="Q233" s="60"/>
      <c r="R233" s="51">
        <v>21.91</v>
      </c>
      <c r="S233" s="58"/>
      <c r="T233" s="54"/>
      <c r="U233" s="113">
        <v>20.398965517241383</v>
      </c>
      <c r="V233" s="112"/>
      <c r="W233" s="257"/>
      <c r="X233" s="127">
        <v>21.111840000000001</v>
      </c>
      <c r="Y233" s="148"/>
      <c r="Z233" s="257"/>
      <c r="AA233" s="113">
        <v>20.398965517241383</v>
      </c>
      <c r="AB233" s="68"/>
      <c r="AC233" s="259"/>
      <c r="AD233" s="113">
        <v>18.887931034482762</v>
      </c>
      <c r="AE233" s="68"/>
      <c r="AF233" s="261"/>
      <c r="AG233" s="261">
        <v>21.91</v>
      </c>
      <c r="AH233" s="68"/>
      <c r="AI233" s="279"/>
      <c r="AJ233" s="113">
        <v>18.887931034482762</v>
      </c>
      <c r="AK233" s="276"/>
      <c r="AL233" s="252">
        <f t="shared" si="130"/>
        <v>5</v>
      </c>
      <c r="AM233" s="15">
        <f>AN130</f>
        <v>4</v>
      </c>
      <c r="AN233" s="39">
        <f t="shared" si="131"/>
        <v>1</v>
      </c>
      <c r="AO233" s="172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2"/>
      <c r="C234" s="749" t="s">
        <v>232</v>
      </c>
      <c r="D234" s="750"/>
      <c r="E234" s="750"/>
      <c r="F234" s="750"/>
      <c r="G234" s="750"/>
      <c r="H234" s="751"/>
      <c r="I234" s="297"/>
      <c r="J234" s="296">
        <f t="shared" si="132"/>
        <v>0</v>
      </c>
      <c r="K234" s="61"/>
      <c r="L234" s="57"/>
      <c r="M234" s="59"/>
      <c r="N234" s="62"/>
      <c r="O234" s="56"/>
      <c r="P234" s="111"/>
      <c r="Q234" s="61"/>
      <c r="R234" s="57"/>
      <c r="S234" s="59"/>
      <c r="T234" s="55"/>
      <c r="U234" s="154"/>
      <c r="V234" s="155"/>
      <c r="W234" s="258">
        <v>5</v>
      </c>
      <c r="X234" s="128">
        <v>32.348160000000007</v>
      </c>
      <c r="Y234" s="147">
        <v>5</v>
      </c>
      <c r="Z234" s="258"/>
      <c r="AA234" s="154"/>
      <c r="AB234" s="157"/>
      <c r="AC234" s="260">
        <v>10</v>
      </c>
      <c r="AD234" s="154">
        <v>28.94</v>
      </c>
      <c r="AE234" s="157"/>
      <c r="AF234" s="261"/>
      <c r="AG234" s="261">
        <v>33.570399999999999</v>
      </c>
      <c r="AH234" s="68"/>
      <c r="AI234" s="280"/>
      <c r="AJ234" s="154">
        <v>28.94</v>
      </c>
      <c r="AK234" s="278"/>
      <c r="AL234" s="252">
        <f t="shared" si="130"/>
        <v>15</v>
      </c>
      <c r="AM234" s="63">
        <f>AN174</f>
        <v>16</v>
      </c>
      <c r="AN234" s="156">
        <f>AL234-AM234</f>
        <v>-1</v>
      </c>
      <c r="AO234" s="172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2"/>
      <c r="C235" s="70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272"/>
      <c r="AH235" s="272"/>
      <c r="AI235" s="272"/>
      <c r="AM235" s="86">
        <f>SUM(AO212:AO234)</f>
        <v>5091.3013793103464</v>
      </c>
    </row>
    <row r="236" spans="1:54" x14ac:dyDescent="0.25">
      <c r="A236" s="42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2"/>
      <c r="C237" s="705" t="s">
        <v>81</v>
      </c>
      <c r="D237" s="705"/>
      <c r="E237" s="705"/>
      <c r="F237" s="705"/>
      <c r="G237" s="705"/>
      <c r="H237" s="705"/>
      <c r="I237" s="705"/>
      <c r="J237" s="705"/>
      <c r="K237" s="705"/>
      <c r="L237" s="705"/>
      <c r="M237" s="705"/>
      <c r="N237" s="705"/>
      <c r="O237" s="705"/>
      <c r="P237" s="705"/>
      <c r="Q237" s="124"/>
      <c r="R237" s="124"/>
      <c r="S237" s="124"/>
      <c r="T237" s="124"/>
      <c r="U237" s="124"/>
      <c r="V237" s="12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2"/>
      <c r="C238" s="731" t="s">
        <v>2</v>
      </c>
      <c r="D238" s="731"/>
      <c r="E238" s="731"/>
      <c r="F238" s="731"/>
      <c r="G238" s="731"/>
      <c r="H238" s="121"/>
      <c r="I238" s="71">
        <v>1</v>
      </c>
      <c r="J238" s="120" t="s">
        <v>87</v>
      </c>
      <c r="K238" s="66" t="s">
        <v>86</v>
      </c>
      <c r="L238" s="122" t="s">
        <v>77</v>
      </c>
      <c r="M238" s="41" t="s">
        <v>78</v>
      </c>
      <c r="N238" s="41" t="s">
        <v>79</v>
      </c>
      <c r="O238" s="123" t="s">
        <v>94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2"/>
      <c r="C239" s="654" t="s">
        <v>14</v>
      </c>
      <c r="D239" s="654"/>
      <c r="E239" s="654"/>
      <c r="F239" s="654"/>
      <c r="G239" s="654"/>
      <c r="H239" s="654"/>
      <c r="I239" s="28">
        <v>9</v>
      </c>
      <c r="J239" s="28">
        <v>75</v>
      </c>
      <c r="K239" s="76">
        <v>7</v>
      </c>
      <c r="L239" s="52">
        <f t="shared" ref="L239:L244" si="133">I239</f>
        <v>9</v>
      </c>
      <c r="M239" s="15">
        <f>AN131</f>
        <v>8</v>
      </c>
      <c r="N239" s="69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2"/>
      <c r="C240" s="654" t="s">
        <v>15</v>
      </c>
      <c r="D240" s="654"/>
      <c r="E240" s="654"/>
      <c r="F240" s="654"/>
      <c r="G240" s="654"/>
      <c r="H240" s="654"/>
      <c r="I240" s="28">
        <v>10</v>
      </c>
      <c r="J240" s="28">
        <v>80</v>
      </c>
      <c r="K240" s="76">
        <v>8</v>
      </c>
      <c r="L240" s="52">
        <f t="shared" si="133"/>
        <v>10</v>
      </c>
      <c r="M240" s="15">
        <f>AN132</f>
        <v>8</v>
      </c>
      <c r="N240" s="69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2"/>
      <c r="C241" s="654" t="s">
        <v>16</v>
      </c>
      <c r="D241" s="654"/>
      <c r="E241" s="654"/>
      <c r="F241" s="654"/>
      <c r="G241" s="654"/>
      <c r="H241" s="654"/>
      <c r="I241" s="28">
        <v>6</v>
      </c>
      <c r="J241" s="28">
        <v>120</v>
      </c>
      <c r="K241" s="76">
        <v>4</v>
      </c>
      <c r="L241" s="52">
        <f t="shared" si="133"/>
        <v>6</v>
      </c>
      <c r="M241" s="15">
        <f>AN133</f>
        <v>4</v>
      </c>
      <c r="N241" s="69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2"/>
      <c r="C242" s="654" t="s">
        <v>17</v>
      </c>
      <c r="D242" s="654"/>
      <c r="E242" s="654"/>
      <c r="F242" s="654"/>
      <c r="G242" s="654"/>
      <c r="H242" s="647"/>
      <c r="I242" s="28">
        <v>3</v>
      </c>
      <c r="J242" s="28">
        <v>120</v>
      </c>
      <c r="K242" s="76">
        <v>0</v>
      </c>
      <c r="L242" s="52">
        <f t="shared" si="133"/>
        <v>3</v>
      </c>
      <c r="M242" s="15">
        <f>AN135</f>
        <v>0</v>
      </c>
      <c r="N242" s="69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2"/>
      <c r="C243" s="654" t="s">
        <v>18</v>
      </c>
      <c r="D243" s="654"/>
      <c r="E243" s="654"/>
      <c r="F243" s="654"/>
      <c r="G243" s="654"/>
      <c r="H243" s="647"/>
      <c r="I243" s="28">
        <v>2</v>
      </c>
      <c r="J243" s="28">
        <v>210</v>
      </c>
      <c r="K243" s="76">
        <v>1</v>
      </c>
      <c r="L243" s="52">
        <f t="shared" si="133"/>
        <v>2</v>
      </c>
      <c r="M243" s="15">
        <f>AN137</f>
        <v>1</v>
      </c>
      <c r="N243" s="69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2"/>
      <c r="C244" s="654" t="s">
        <v>19</v>
      </c>
      <c r="D244" s="654"/>
      <c r="E244" s="654"/>
      <c r="F244" s="654"/>
      <c r="G244" s="654"/>
      <c r="H244" s="647"/>
      <c r="I244" s="28">
        <v>1</v>
      </c>
      <c r="J244" s="28">
        <v>250</v>
      </c>
      <c r="K244" s="76">
        <v>0</v>
      </c>
      <c r="L244" s="52">
        <f t="shared" si="133"/>
        <v>1</v>
      </c>
      <c r="M244" s="15">
        <f>AN138</f>
        <v>0</v>
      </c>
      <c r="N244" s="69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2"/>
      <c r="C245" s="70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2"/>
      <c r="C246" s="70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79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2"/>
      <c r="C247" s="70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79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2"/>
      <c r="C248" s="70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79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2"/>
      <c r="C249" s="705" t="s">
        <v>179</v>
      </c>
      <c r="D249" s="705"/>
      <c r="E249" s="705"/>
      <c r="F249" s="705"/>
      <c r="G249" s="705"/>
      <c r="H249" s="705"/>
      <c r="I249" s="705"/>
      <c r="J249" s="705"/>
      <c r="K249" s="705"/>
      <c r="L249" s="705"/>
      <c r="M249" s="705"/>
      <c r="N249" s="705"/>
      <c r="O249" s="705"/>
      <c r="P249" s="705"/>
      <c r="Q249" s="124"/>
      <c r="R249" s="124"/>
      <c r="S249" s="124"/>
      <c r="T249" s="124"/>
      <c r="U249" s="124"/>
      <c r="V249" s="124"/>
      <c r="W249" s="79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2"/>
      <c r="C250" s="731" t="s">
        <v>2</v>
      </c>
      <c r="D250" s="731"/>
      <c r="E250" s="731"/>
      <c r="F250" s="731"/>
      <c r="G250" s="731"/>
      <c r="H250" s="121"/>
      <c r="I250" s="71">
        <v>1</v>
      </c>
      <c r="J250" s="120" t="s">
        <v>87</v>
      </c>
      <c r="K250" s="66" t="s">
        <v>86</v>
      </c>
      <c r="L250" s="71">
        <v>2</v>
      </c>
      <c r="M250" s="120" t="s">
        <v>87</v>
      </c>
      <c r="N250" s="66" t="s">
        <v>86</v>
      </c>
      <c r="O250" s="122" t="s">
        <v>77</v>
      </c>
      <c r="P250" s="41" t="s">
        <v>78</v>
      </c>
      <c r="Q250" s="41" t="s">
        <v>79</v>
      </c>
      <c r="R250" s="123" t="s">
        <v>94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2"/>
      <c r="C251" s="654" t="s">
        <v>16</v>
      </c>
      <c r="D251" s="654"/>
      <c r="E251" s="654"/>
      <c r="F251" s="654"/>
      <c r="G251" s="654"/>
      <c r="H251" s="654"/>
      <c r="I251" s="28">
        <v>31</v>
      </c>
      <c r="J251" s="28">
        <v>80</v>
      </c>
      <c r="K251" s="76">
        <v>25</v>
      </c>
      <c r="L251" s="28"/>
      <c r="M251" s="28">
        <v>70</v>
      </c>
      <c r="N251" s="76"/>
      <c r="O251" s="52">
        <f>I251+L251</f>
        <v>31</v>
      </c>
      <c r="P251" s="15">
        <f>AN134</f>
        <v>28</v>
      </c>
      <c r="Q251" s="69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2"/>
      <c r="C252" s="654" t="s">
        <v>93</v>
      </c>
      <c r="D252" s="654"/>
      <c r="E252" s="654"/>
      <c r="F252" s="654"/>
      <c r="G252" s="654"/>
      <c r="H252" s="654"/>
      <c r="I252" s="28">
        <v>25</v>
      </c>
      <c r="J252" s="28">
        <v>80</v>
      </c>
      <c r="K252" s="76">
        <v>22</v>
      </c>
      <c r="L252" s="28">
        <v>13</v>
      </c>
      <c r="M252" s="28">
        <v>70</v>
      </c>
      <c r="N252" s="76"/>
      <c r="O252" s="52">
        <f>I252+L252</f>
        <v>38</v>
      </c>
      <c r="P252" s="15">
        <f>AN136</f>
        <v>25</v>
      </c>
      <c r="Q252" s="69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2"/>
      <c r="C253" s="70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2"/>
      <c r="C254" s="70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79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2"/>
      <c r="C255" s="70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79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2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2"/>
      <c r="C257" s="705" t="s">
        <v>82</v>
      </c>
      <c r="D257" s="705"/>
      <c r="E257" s="705"/>
      <c r="F257" s="705"/>
      <c r="G257" s="705"/>
      <c r="H257" s="705"/>
      <c r="I257" s="705"/>
      <c r="J257" s="705"/>
      <c r="K257" s="705"/>
      <c r="L257" s="705"/>
      <c r="M257" s="705"/>
      <c r="N257" s="705"/>
      <c r="O257" s="705"/>
      <c r="P257" s="705"/>
      <c r="Q257" s="705"/>
      <c r="R257" s="705"/>
      <c r="S257" s="705"/>
      <c r="T257" s="705"/>
      <c r="U257" s="705"/>
      <c r="V257" s="705"/>
      <c r="W257" s="705"/>
      <c r="X257" s="705"/>
      <c r="Y257" s="705"/>
      <c r="Z257" s="705"/>
      <c r="AA257" s="705"/>
      <c r="AB257" s="705"/>
      <c r="AC257" s="705"/>
      <c r="AD257" s="705"/>
      <c r="AE257" s="705"/>
      <c r="AF257" s="705"/>
      <c r="AG257" s="705"/>
      <c r="AH257" s="14"/>
      <c r="AI257" s="14"/>
      <c r="AJ257" s="8"/>
      <c r="AK257" s="8"/>
      <c r="AL257" s="8"/>
    </row>
    <row r="258" spans="1:49" ht="24" x14ac:dyDescent="0.25">
      <c r="A258" s="42"/>
      <c r="C258" s="731" t="s">
        <v>2</v>
      </c>
      <c r="D258" s="731"/>
      <c r="E258" s="731"/>
      <c r="F258" s="731"/>
      <c r="G258" s="731"/>
      <c r="H258" s="26"/>
      <c r="I258" s="213">
        <v>1</v>
      </c>
      <c r="J258" s="120" t="s">
        <v>87</v>
      </c>
      <c r="K258" s="214" t="s">
        <v>86</v>
      </c>
      <c r="L258" s="215">
        <v>2</v>
      </c>
      <c r="M258" s="65" t="s">
        <v>87</v>
      </c>
      <c r="N258" s="216" t="s">
        <v>203</v>
      </c>
      <c r="O258" s="213">
        <v>3</v>
      </c>
      <c r="P258" s="120" t="s">
        <v>87</v>
      </c>
      <c r="Q258" s="214" t="s">
        <v>86</v>
      </c>
      <c r="R258" s="213">
        <v>4</v>
      </c>
      <c r="S258" s="120" t="s">
        <v>87</v>
      </c>
      <c r="T258" s="214" t="s">
        <v>86</v>
      </c>
      <c r="U258" s="213">
        <v>5</v>
      </c>
      <c r="V258" s="120" t="s">
        <v>87</v>
      </c>
      <c r="W258" s="214" t="s">
        <v>86</v>
      </c>
      <c r="X258" s="213">
        <v>6</v>
      </c>
      <c r="Y258" s="120" t="s">
        <v>87</v>
      </c>
      <c r="Z258" s="214" t="s">
        <v>86</v>
      </c>
      <c r="AA258" s="122" t="s">
        <v>77</v>
      </c>
      <c r="AB258" s="41" t="s">
        <v>78</v>
      </c>
      <c r="AC258" s="41" t="s">
        <v>79</v>
      </c>
      <c r="AD258" s="41" t="s">
        <v>87</v>
      </c>
      <c r="AE258" s="123" t="s">
        <v>94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2"/>
      <c r="C259" s="654" t="s">
        <v>20</v>
      </c>
      <c r="D259" s="654"/>
      <c r="E259" s="654"/>
      <c r="F259" s="654"/>
      <c r="G259" s="654"/>
      <c r="H259" s="647"/>
      <c r="I259" s="199">
        <v>28</v>
      </c>
      <c r="J259" s="28">
        <v>3.45</v>
      </c>
      <c r="K259" s="201">
        <v>28</v>
      </c>
      <c r="L259" s="199"/>
      <c r="M259" s="28"/>
      <c r="N259" s="206"/>
      <c r="O259" s="199"/>
      <c r="P259" s="195">
        <v>4.29</v>
      </c>
      <c r="Q259" s="206"/>
      <c r="R259" s="199"/>
      <c r="S259" s="195">
        <v>4.9400000000000004</v>
      </c>
      <c r="T259" s="112"/>
      <c r="U259" s="199">
        <v>20</v>
      </c>
      <c r="V259" s="195">
        <v>2.83</v>
      </c>
      <c r="W259" s="67">
        <v>21</v>
      </c>
      <c r="X259" s="265">
        <v>40</v>
      </c>
      <c r="Y259" s="265">
        <v>3.23</v>
      </c>
      <c r="Z259" s="147">
        <f>X259*Y259</f>
        <v>129.19999999999999</v>
      </c>
      <c r="AA259" s="52">
        <f>I259+U259+L259+O259+R259+X259</f>
        <v>88</v>
      </c>
      <c r="AB259" s="15">
        <f t="shared" ref="AB259:AB290" si="136">AN139</f>
        <v>49</v>
      </c>
      <c r="AC259" s="39">
        <f>AA259-AB259</f>
        <v>39</v>
      </c>
      <c r="AD259" s="39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2"/>
      <c r="C260" s="654" t="s">
        <v>21</v>
      </c>
      <c r="D260" s="654"/>
      <c r="E260" s="654"/>
      <c r="F260" s="654"/>
      <c r="G260" s="654"/>
      <c r="H260" s="647"/>
      <c r="I260" s="199">
        <v>8</v>
      </c>
      <c r="J260" s="28">
        <v>7.66</v>
      </c>
      <c r="K260" s="201">
        <v>8</v>
      </c>
      <c r="L260" s="199">
        <v>2</v>
      </c>
      <c r="M260" s="28">
        <v>13</v>
      </c>
      <c r="N260" s="201">
        <v>2</v>
      </c>
      <c r="O260" s="199"/>
      <c r="P260" s="195">
        <v>10.130000000000001</v>
      </c>
      <c r="Q260" s="206"/>
      <c r="R260" s="199">
        <v>6</v>
      </c>
      <c r="S260" s="195">
        <v>8.42</v>
      </c>
      <c r="T260" s="194">
        <v>6</v>
      </c>
      <c r="U260" s="199"/>
      <c r="V260" s="195"/>
      <c r="W260" s="68"/>
      <c r="X260" s="265">
        <v>10</v>
      </c>
      <c r="Y260" s="265">
        <v>7.31</v>
      </c>
      <c r="Z260" s="147">
        <f t="shared" ref="Z260:Z292" si="138">X260*Y260</f>
        <v>73.099999999999994</v>
      </c>
      <c r="AA260" s="52">
        <f t="shared" ref="AA260:AA292" si="139">I260+U260+L260+O260+R260+X260</f>
        <v>26</v>
      </c>
      <c r="AB260" s="15">
        <f t="shared" si="136"/>
        <v>18</v>
      </c>
      <c r="AC260" s="39">
        <f>AA260-AB260</f>
        <v>8</v>
      </c>
      <c r="AD260" s="39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2"/>
      <c r="C261" s="654" t="s">
        <v>22</v>
      </c>
      <c r="D261" s="654"/>
      <c r="E261" s="654"/>
      <c r="F261" s="654"/>
      <c r="G261" s="654"/>
      <c r="H261" s="647"/>
      <c r="I261" s="199">
        <v>12</v>
      </c>
      <c r="J261" s="28">
        <v>7.81</v>
      </c>
      <c r="K261" s="201">
        <v>12</v>
      </c>
      <c r="L261" s="199"/>
      <c r="M261" s="28"/>
      <c r="N261" s="206"/>
      <c r="O261" s="199"/>
      <c r="P261" s="195">
        <v>9.1</v>
      </c>
      <c r="Q261" s="206"/>
      <c r="R261" s="199"/>
      <c r="S261" s="195">
        <v>8.57</v>
      </c>
      <c r="T261" s="112"/>
      <c r="U261" s="199">
        <v>6</v>
      </c>
      <c r="V261" s="195">
        <v>6.56</v>
      </c>
      <c r="W261" s="68">
        <v>5</v>
      </c>
      <c r="X261" s="265">
        <v>10</v>
      </c>
      <c r="Y261" s="265">
        <v>7.45</v>
      </c>
      <c r="Z261" s="147">
        <f t="shared" si="138"/>
        <v>74.5</v>
      </c>
      <c r="AA261" s="52">
        <f t="shared" si="139"/>
        <v>28</v>
      </c>
      <c r="AB261" s="15">
        <f t="shared" si="136"/>
        <v>18</v>
      </c>
      <c r="AC261" s="39">
        <f t="shared" ref="AC261:AC284" si="141">AA261-AB261</f>
        <v>10</v>
      </c>
      <c r="AD261" s="39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2"/>
      <c r="C262" s="654" t="s">
        <v>23</v>
      </c>
      <c r="D262" s="654"/>
      <c r="E262" s="654"/>
      <c r="F262" s="654"/>
      <c r="G262" s="654"/>
      <c r="H262" s="647"/>
      <c r="I262" s="199">
        <v>18</v>
      </c>
      <c r="J262" s="28">
        <v>1.9</v>
      </c>
      <c r="K262" s="200">
        <v>11</v>
      </c>
      <c r="L262" s="199"/>
      <c r="M262" s="28"/>
      <c r="N262" s="206"/>
      <c r="O262" s="199"/>
      <c r="P262" s="195">
        <v>2.83</v>
      </c>
      <c r="Q262" s="206"/>
      <c r="R262" s="199"/>
      <c r="S262" s="195">
        <v>2.08</v>
      </c>
      <c r="T262" s="112"/>
      <c r="U262" s="199"/>
      <c r="V262" s="195"/>
      <c r="W262" s="68"/>
      <c r="X262" s="265"/>
      <c r="Y262" s="265"/>
      <c r="Z262" s="147">
        <f t="shared" si="138"/>
        <v>0</v>
      </c>
      <c r="AA262" s="52">
        <f t="shared" si="139"/>
        <v>18</v>
      </c>
      <c r="AB262" s="15">
        <f t="shared" si="136"/>
        <v>11</v>
      </c>
      <c r="AC262" s="39">
        <f t="shared" si="141"/>
        <v>7</v>
      </c>
      <c r="AD262" s="39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2"/>
      <c r="C263" s="654" t="s">
        <v>24</v>
      </c>
      <c r="D263" s="654"/>
      <c r="E263" s="654"/>
      <c r="F263" s="654"/>
      <c r="G263" s="654"/>
      <c r="H263" s="647"/>
      <c r="I263" s="199">
        <v>8</v>
      </c>
      <c r="J263" s="28">
        <v>4.29</v>
      </c>
      <c r="K263" s="201">
        <v>8</v>
      </c>
      <c r="L263" s="199"/>
      <c r="M263" s="28"/>
      <c r="N263" s="206"/>
      <c r="O263" s="199"/>
      <c r="P263" s="195">
        <v>6.5</v>
      </c>
      <c r="Q263" s="206"/>
      <c r="R263" s="199"/>
      <c r="S263" s="195">
        <v>4.72</v>
      </c>
      <c r="T263" s="112"/>
      <c r="U263" s="199">
        <v>6</v>
      </c>
      <c r="V263" s="195">
        <v>3.61</v>
      </c>
      <c r="W263" s="67">
        <v>16</v>
      </c>
      <c r="X263" s="265">
        <v>20</v>
      </c>
      <c r="Y263" s="265">
        <v>4.0999999999999996</v>
      </c>
      <c r="Z263" s="147">
        <f t="shared" si="138"/>
        <v>82</v>
      </c>
      <c r="AA263" s="52">
        <f t="shared" si="139"/>
        <v>34</v>
      </c>
      <c r="AB263" s="15">
        <f t="shared" si="136"/>
        <v>24</v>
      </c>
      <c r="AC263" s="39">
        <f t="shared" si="141"/>
        <v>10</v>
      </c>
      <c r="AD263" s="39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2"/>
      <c r="C264" s="654" t="s">
        <v>25</v>
      </c>
      <c r="D264" s="654"/>
      <c r="E264" s="654"/>
      <c r="F264" s="654"/>
      <c r="G264" s="654"/>
      <c r="H264" s="647"/>
      <c r="I264" s="199">
        <v>2</v>
      </c>
      <c r="J264" s="28">
        <v>18.059999999999999</v>
      </c>
      <c r="K264" s="201">
        <v>2</v>
      </c>
      <c r="L264" s="199"/>
      <c r="M264" s="28"/>
      <c r="N264" s="206"/>
      <c r="O264" s="199"/>
      <c r="P264" s="195">
        <v>19.940000000000001</v>
      </c>
      <c r="Q264" s="206"/>
      <c r="R264" s="199"/>
      <c r="S264" s="195">
        <v>14.26</v>
      </c>
      <c r="T264" s="112"/>
      <c r="U264" s="199"/>
      <c r="V264" s="195"/>
      <c r="W264" s="68"/>
      <c r="X264" s="265"/>
      <c r="Y264" s="265"/>
      <c r="Z264" s="147">
        <f t="shared" si="138"/>
        <v>0</v>
      </c>
      <c r="AA264" s="52">
        <f t="shared" si="139"/>
        <v>2</v>
      </c>
      <c r="AB264" s="15">
        <f t="shared" si="136"/>
        <v>2</v>
      </c>
      <c r="AC264" s="39">
        <f t="shared" si="141"/>
        <v>0</v>
      </c>
      <c r="AD264" s="39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2"/>
      <c r="C265" s="654" t="s">
        <v>26</v>
      </c>
      <c r="D265" s="654"/>
      <c r="E265" s="654"/>
      <c r="F265" s="654"/>
      <c r="G265" s="654"/>
      <c r="H265" s="647"/>
      <c r="I265" s="199">
        <v>2</v>
      </c>
      <c r="J265" s="28">
        <v>22.95</v>
      </c>
      <c r="K265" s="201">
        <v>2</v>
      </c>
      <c r="L265" s="199"/>
      <c r="M265" s="28"/>
      <c r="N265" s="206"/>
      <c r="O265" s="199"/>
      <c r="P265" s="195">
        <v>31.74</v>
      </c>
      <c r="Q265" s="206"/>
      <c r="R265" s="199"/>
      <c r="S265" s="195">
        <v>36.5</v>
      </c>
      <c r="T265" s="112"/>
      <c r="U265" s="199"/>
      <c r="V265" s="195"/>
      <c r="W265" s="68"/>
      <c r="X265" s="265"/>
      <c r="Y265" s="265"/>
      <c r="Z265" s="147">
        <f t="shared" si="138"/>
        <v>0</v>
      </c>
      <c r="AA265" s="52">
        <f t="shared" si="139"/>
        <v>2</v>
      </c>
      <c r="AB265" s="15">
        <f t="shared" si="136"/>
        <v>2</v>
      </c>
      <c r="AC265" s="39">
        <f t="shared" si="141"/>
        <v>0</v>
      </c>
      <c r="AD265" s="39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2"/>
      <c r="C266" s="654" t="s">
        <v>27</v>
      </c>
      <c r="D266" s="654"/>
      <c r="E266" s="654"/>
      <c r="F266" s="654"/>
      <c r="G266" s="654"/>
      <c r="H266" s="647"/>
      <c r="I266" s="199">
        <v>6</v>
      </c>
      <c r="J266" s="28">
        <v>95.86</v>
      </c>
      <c r="K266" s="201">
        <v>6</v>
      </c>
      <c r="L266" s="199"/>
      <c r="M266" s="28"/>
      <c r="N266" s="206"/>
      <c r="O266" s="199">
        <v>5</v>
      </c>
      <c r="P266" s="195">
        <v>121.42</v>
      </c>
      <c r="Q266" s="201">
        <v>5</v>
      </c>
      <c r="R266" s="199">
        <v>6</v>
      </c>
      <c r="S266" s="195">
        <v>119.6</v>
      </c>
      <c r="T266" s="194">
        <v>6</v>
      </c>
      <c r="U266" s="199">
        <v>12</v>
      </c>
      <c r="V266" s="195">
        <v>103.99</v>
      </c>
      <c r="W266" s="68">
        <v>9</v>
      </c>
      <c r="X266" s="265">
        <v>5</v>
      </c>
      <c r="Y266" s="265">
        <v>104</v>
      </c>
      <c r="Z266" s="147">
        <f t="shared" si="138"/>
        <v>520</v>
      </c>
      <c r="AA266" s="52">
        <f t="shared" si="139"/>
        <v>34</v>
      </c>
      <c r="AB266" s="15">
        <f t="shared" si="136"/>
        <v>34</v>
      </c>
      <c r="AC266" s="39">
        <f t="shared" si="141"/>
        <v>0</v>
      </c>
      <c r="AD266" s="39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2"/>
      <c r="C267" s="654" t="s">
        <v>28</v>
      </c>
      <c r="D267" s="654"/>
      <c r="E267" s="654"/>
      <c r="F267" s="654"/>
      <c r="G267" s="654"/>
      <c r="H267" s="647"/>
      <c r="I267" s="199">
        <v>8</v>
      </c>
      <c r="J267" s="28">
        <v>21.99</v>
      </c>
      <c r="K267" s="201">
        <v>8</v>
      </c>
      <c r="L267" s="199"/>
      <c r="M267" s="28"/>
      <c r="N267" s="206"/>
      <c r="O267" s="199">
        <v>12</v>
      </c>
      <c r="P267" s="195">
        <v>27.34</v>
      </c>
      <c r="Q267" s="194">
        <v>12</v>
      </c>
      <c r="R267" s="199"/>
      <c r="S267" s="195">
        <v>25.65</v>
      </c>
      <c r="T267" s="112">
        <v>2</v>
      </c>
      <c r="U267" s="199"/>
      <c r="V267" s="195"/>
      <c r="W267" s="68"/>
      <c r="X267" s="265">
        <v>12</v>
      </c>
      <c r="Y267" s="265">
        <v>22.3</v>
      </c>
      <c r="Z267" s="147">
        <f t="shared" si="138"/>
        <v>267.60000000000002</v>
      </c>
      <c r="AA267" s="52">
        <f t="shared" si="139"/>
        <v>32</v>
      </c>
      <c r="AB267" s="15">
        <f t="shared" si="136"/>
        <v>24</v>
      </c>
      <c r="AC267" s="39">
        <f>AA267-AB267</f>
        <v>8</v>
      </c>
      <c r="AD267" s="39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2"/>
      <c r="C268" s="654" t="s">
        <v>29</v>
      </c>
      <c r="D268" s="654"/>
      <c r="E268" s="654"/>
      <c r="F268" s="654"/>
      <c r="G268" s="654"/>
      <c r="H268" s="647"/>
      <c r="I268" s="199">
        <v>6</v>
      </c>
      <c r="J268" s="28">
        <v>95.86</v>
      </c>
      <c r="K268" s="201">
        <v>6</v>
      </c>
      <c r="L268" s="199"/>
      <c r="M268" s="28"/>
      <c r="N268" s="206"/>
      <c r="O268" s="199"/>
      <c r="P268" s="195">
        <v>121.42</v>
      </c>
      <c r="Q268" s="112"/>
      <c r="R268" s="199">
        <v>8</v>
      </c>
      <c r="S268" s="195">
        <v>119.6</v>
      </c>
      <c r="T268" s="194">
        <v>8</v>
      </c>
      <c r="U268" s="199">
        <v>12</v>
      </c>
      <c r="V268" s="195">
        <v>103.99</v>
      </c>
      <c r="W268" s="68">
        <v>7</v>
      </c>
      <c r="X268" s="265">
        <v>5</v>
      </c>
      <c r="Y268" s="265">
        <v>104</v>
      </c>
      <c r="Z268" s="147">
        <f t="shared" si="138"/>
        <v>520</v>
      </c>
      <c r="AA268" s="52">
        <f t="shared" si="139"/>
        <v>31</v>
      </c>
      <c r="AB268" s="15">
        <f t="shared" si="136"/>
        <v>26</v>
      </c>
      <c r="AC268" s="39">
        <f t="shared" si="141"/>
        <v>5</v>
      </c>
      <c r="AD268" s="39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2"/>
      <c r="C269" s="654" t="s">
        <v>113</v>
      </c>
      <c r="D269" s="654"/>
      <c r="E269" s="654"/>
      <c r="F269" s="654"/>
      <c r="G269" s="654"/>
      <c r="H269" s="647"/>
      <c r="I269" s="199"/>
      <c r="J269" s="28"/>
      <c r="K269" s="200"/>
      <c r="L269" s="199"/>
      <c r="M269" s="28"/>
      <c r="N269" s="206"/>
      <c r="O269" s="199">
        <v>8</v>
      </c>
      <c r="P269" s="195">
        <v>27.34</v>
      </c>
      <c r="Q269" s="194">
        <v>8</v>
      </c>
      <c r="R269" s="199"/>
      <c r="S269" s="195">
        <v>25.65</v>
      </c>
      <c r="T269" s="112"/>
      <c r="U269" s="199"/>
      <c r="V269" s="195"/>
      <c r="W269" s="68"/>
      <c r="X269" s="265">
        <v>12</v>
      </c>
      <c r="Y269" s="265">
        <v>22.3</v>
      </c>
      <c r="Z269" s="147">
        <f t="shared" si="138"/>
        <v>267.60000000000002</v>
      </c>
      <c r="AA269" s="52">
        <f t="shared" si="139"/>
        <v>20</v>
      </c>
      <c r="AB269" s="15">
        <f t="shared" si="136"/>
        <v>11</v>
      </c>
      <c r="AC269" s="39">
        <f>AA269-AB269</f>
        <v>9</v>
      </c>
      <c r="AD269" s="39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2"/>
      <c r="C270" s="654" t="s">
        <v>30</v>
      </c>
      <c r="D270" s="654"/>
      <c r="E270" s="654"/>
      <c r="F270" s="654"/>
      <c r="G270" s="654"/>
      <c r="H270" s="647"/>
      <c r="I270" s="199">
        <v>6</v>
      </c>
      <c r="J270" s="28">
        <v>95.86</v>
      </c>
      <c r="K270" s="201">
        <v>6</v>
      </c>
      <c r="L270" s="199"/>
      <c r="M270" s="28"/>
      <c r="N270" s="206"/>
      <c r="O270" s="199">
        <v>8</v>
      </c>
      <c r="P270" s="195">
        <v>121.42</v>
      </c>
      <c r="Q270" s="194">
        <v>8</v>
      </c>
      <c r="R270" s="199"/>
      <c r="S270" s="195">
        <v>119.6</v>
      </c>
      <c r="T270" s="112"/>
      <c r="U270" s="199">
        <v>8</v>
      </c>
      <c r="V270" s="195">
        <v>103.99</v>
      </c>
      <c r="W270" s="68"/>
      <c r="X270" s="148"/>
      <c r="Y270" s="148"/>
      <c r="Z270" s="147">
        <f t="shared" si="138"/>
        <v>0</v>
      </c>
      <c r="AA270" s="52">
        <f t="shared" si="139"/>
        <v>22</v>
      </c>
      <c r="AB270" s="15">
        <f t="shared" si="136"/>
        <v>16</v>
      </c>
      <c r="AC270" s="39">
        <f t="shared" si="141"/>
        <v>6</v>
      </c>
      <c r="AD270" s="39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2"/>
      <c r="C271" s="654" t="s">
        <v>31</v>
      </c>
      <c r="D271" s="654"/>
      <c r="E271" s="654"/>
      <c r="F271" s="654"/>
      <c r="G271" s="654"/>
      <c r="H271" s="647"/>
      <c r="I271" s="199">
        <v>8</v>
      </c>
      <c r="J271" s="28">
        <v>21.99</v>
      </c>
      <c r="K271" s="201">
        <v>8</v>
      </c>
      <c r="L271" s="199"/>
      <c r="M271" s="28"/>
      <c r="N271" s="206"/>
      <c r="O271" s="199"/>
      <c r="P271" s="195">
        <v>27.34</v>
      </c>
      <c r="Q271" s="112"/>
      <c r="R271" s="199"/>
      <c r="S271" s="195">
        <v>25.65</v>
      </c>
      <c r="T271" s="112"/>
      <c r="U271" s="199"/>
      <c r="V271" s="195"/>
      <c r="W271" s="68"/>
      <c r="X271" s="148"/>
      <c r="Y271" s="148"/>
      <c r="Z271" s="147">
        <f t="shared" si="138"/>
        <v>0</v>
      </c>
      <c r="AA271" s="52">
        <f t="shared" si="139"/>
        <v>8</v>
      </c>
      <c r="AB271" s="15">
        <f t="shared" si="136"/>
        <v>8</v>
      </c>
      <c r="AC271" s="39">
        <f t="shared" si="141"/>
        <v>0</v>
      </c>
      <c r="AD271" s="39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2"/>
      <c r="C272" s="654" t="s">
        <v>32</v>
      </c>
      <c r="D272" s="654"/>
      <c r="E272" s="654"/>
      <c r="F272" s="654"/>
      <c r="G272" s="654"/>
      <c r="H272" s="647"/>
      <c r="I272" s="199">
        <v>12</v>
      </c>
      <c r="J272" s="28">
        <v>11.4</v>
      </c>
      <c r="K272" s="201">
        <v>12</v>
      </c>
      <c r="L272" s="199"/>
      <c r="M272" s="28"/>
      <c r="N272" s="206"/>
      <c r="O272" s="199"/>
      <c r="P272" s="195">
        <v>14.07</v>
      </c>
      <c r="Q272" s="112"/>
      <c r="R272" s="199"/>
      <c r="S272" s="195">
        <v>13.23</v>
      </c>
      <c r="T272" s="112"/>
      <c r="U272" s="199">
        <v>12</v>
      </c>
      <c r="V272" s="195">
        <v>10.5</v>
      </c>
      <c r="W272" s="68">
        <v>7</v>
      </c>
      <c r="X272" s="148"/>
      <c r="Y272" s="148"/>
      <c r="Z272" s="147">
        <f t="shared" si="138"/>
        <v>0</v>
      </c>
      <c r="AA272" s="52">
        <f t="shared" si="139"/>
        <v>24</v>
      </c>
      <c r="AB272" s="15">
        <f t="shared" si="136"/>
        <v>20</v>
      </c>
      <c r="AC272" s="39">
        <f t="shared" si="141"/>
        <v>4</v>
      </c>
      <c r="AD272" s="39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2"/>
      <c r="C273" s="654" t="s">
        <v>33</v>
      </c>
      <c r="D273" s="654"/>
      <c r="E273" s="654"/>
      <c r="F273" s="654"/>
      <c r="G273" s="654"/>
      <c r="H273" s="647"/>
      <c r="I273" s="199">
        <v>12</v>
      </c>
      <c r="J273" s="28">
        <v>11.4</v>
      </c>
      <c r="K273" s="200">
        <v>10</v>
      </c>
      <c r="L273" s="199"/>
      <c r="M273" s="28"/>
      <c r="N273" s="206"/>
      <c r="O273" s="199"/>
      <c r="P273" s="195">
        <v>13.59</v>
      </c>
      <c r="Q273" s="112"/>
      <c r="R273" s="199"/>
      <c r="S273" s="195">
        <v>13.23</v>
      </c>
      <c r="T273" s="112"/>
      <c r="U273" s="199"/>
      <c r="V273" s="195"/>
      <c r="W273" s="68"/>
      <c r="X273" s="148"/>
      <c r="Y273" s="148"/>
      <c r="Z273" s="147">
        <f t="shared" si="138"/>
        <v>0</v>
      </c>
      <c r="AA273" s="52">
        <f t="shared" si="139"/>
        <v>12</v>
      </c>
      <c r="AB273" s="15">
        <f t="shared" si="136"/>
        <v>10</v>
      </c>
      <c r="AC273" s="39">
        <f t="shared" si="141"/>
        <v>2</v>
      </c>
      <c r="AD273" s="39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2"/>
      <c r="C274" s="654" t="s">
        <v>34</v>
      </c>
      <c r="D274" s="654"/>
      <c r="E274" s="654"/>
      <c r="F274" s="654"/>
      <c r="G274" s="654"/>
      <c r="H274" s="647"/>
      <c r="I274" s="199">
        <v>12</v>
      </c>
      <c r="J274" s="28">
        <v>11.4</v>
      </c>
      <c r="K274" s="200">
        <v>10</v>
      </c>
      <c r="L274" s="199"/>
      <c r="M274" s="28"/>
      <c r="N274" s="206"/>
      <c r="O274" s="199"/>
      <c r="P274" s="195">
        <v>13.59</v>
      </c>
      <c r="Q274" s="112"/>
      <c r="R274" s="199"/>
      <c r="S274" s="195">
        <v>13.23</v>
      </c>
      <c r="T274" s="112"/>
      <c r="U274" s="199"/>
      <c r="V274" s="195"/>
      <c r="W274" s="68"/>
      <c r="X274" s="148"/>
      <c r="Y274" s="148"/>
      <c r="Z274" s="147">
        <f t="shared" si="138"/>
        <v>0</v>
      </c>
      <c r="AA274" s="52">
        <f t="shared" si="139"/>
        <v>12</v>
      </c>
      <c r="AB274" s="15">
        <f t="shared" si="136"/>
        <v>10</v>
      </c>
      <c r="AC274" s="39">
        <f t="shared" si="141"/>
        <v>2</v>
      </c>
      <c r="AD274" s="39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2"/>
      <c r="C275" s="654" t="s">
        <v>35</v>
      </c>
      <c r="D275" s="654"/>
      <c r="E275" s="654"/>
      <c r="F275" s="654"/>
      <c r="G275" s="654"/>
      <c r="H275" s="647"/>
      <c r="I275" s="199">
        <v>12</v>
      </c>
      <c r="J275" s="28">
        <v>4.0599999999999996</v>
      </c>
      <c r="K275" s="201">
        <v>12</v>
      </c>
      <c r="L275" s="199"/>
      <c r="M275" s="28"/>
      <c r="N275" s="206"/>
      <c r="O275" s="199"/>
      <c r="P275" s="195">
        <v>5.44</v>
      </c>
      <c r="Q275" s="112"/>
      <c r="R275" s="199"/>
      <c r="S275" s="195">
        <v>4.83</v>
      </c>
      <c r="T275" s="112"/>
      <c r="U275" s="199">
        <v>12</v>
      </c>
      <c r="V275" s="195">
        <v>3.87</v>
      </c>
      <c r="W275" s="68">
        <v>3</v>
      </c>
      <c r="X275" s="148"/>
      <c r="Y275" s="148"/>
      <c r="Z275" s="147">
        <f t="shared" si="138"/>
        <v>0</v>
      </c>
      <c r="AA275" s="52">
        <f t="shared" si="139"/>
        <v>24</v>
      </c>
      <c r="AB275" s="15">
        <f t="shared" si="136"/>
        <v>15</v>
      </c>
      <c r="AC275" s="39">
        <f t="shared" si="141"/>
        <v>9</v>
      </c>
      <c r="AD275" s="39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2"/>
      <c r="C276" s="654" t="s">
        <v>36</v>
      </c>
      <c r="D276" s="654"/>
      <c r="E276" s="654"/>
      <c r="F276" s="654"/>
      <c r="G276" s="654"/>
      <c r="H276" s="647"/>
      <c r="I276" s="199">
        <v>24</v>
      </c>
      <c r="J276" s="28">
        <v>3.68</v>
      </c>
      <c r="K276" s="201">
        <v>27</v>
      </c>
      <c r="L276" s="199"/>
      <c r="M276" s="28"/>
      <c r="N276" s="206"/>
      <c r="O276" s="199"/>
      <c r="P276" s="195">
        <v>5.31</v>
      </c>
      <c r="Q276" s="112"/>
      <c r="R276" s="199"/>
      <c r="S276" s="195">
        <v>5.18</v>
      </c>
      <c r="T276" s="112"/>
      <c r="U276" s="199"/>
      <c r="V276" s="195"/>
      <c r="W276" s="68"/>
      <c r="X276" s="148"/>
      <c r="Y276" s="148"/>
      <c r="Z276" s="147">
        <f t="shared" si="138"/>
        <v>0</v>
      </c>
      <c r="AA276" s="52">
        <f t="shared" si="139"/>
        <v>24</v>
      </c>
      <c r="AB276" s="15">
        <f t="shared" si="136"/>
        <v>28</v>
      </c>
      <c r="AC276" s="39">
        <f t="shared" si="141"/>
        <v>-4</v>
      </c>
      <c r="AD276" s="39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2"/>
      <c r="C277" s="654" t="s">
        <v>37</v>
      </c>
      <c r="D277" s="654"/>
      <c r="E277" s="654"/>
      <c r="F277" s="654"/>
      <c r="G277" s="654"/>
      <c r="H277" s="647"/>
      <c r="I277" s="199">
        <v>12</v>
      </c>
      <c r="J277" s="28">
        <v>5.31</v>
      </c>
      <c r="K277" s="200">
        <v>10</v>
      </c>
      <c r="L277" s="199"/>
      <c r="M277" s="28"/>
      <c r="N277" s="206"/>
      <c r="O277" s="199"/>
      <c r="P277" s="195">
        <v>7.09</v>
      </c>
      <c r="Q277" s="112"/>
      <c r="R277" s="199"/>
      <c r="S277" s="195">
        <v>7.2</v>
      </c>
      <c r="T277" s="112"/>
      <c r="U277" s="199"/>
      <c r="V277" s="195"/>
      <c r="W277" s="68"/>
      <c r="X277" s="148"/>
      <c r="Y277" s="148"/>
      <c r="Z277" s="147">
        <f t="shared" si="138"/>
        <v>0</v>
      </c>
      <c r="AA277" s="52">
        <f t="shared" si="139"/>
        <v>12</v>
      </c>
      <c r="AB277" s="15">
        <f t="shared" si="136"/>
        <v>10</v>
      </c>
      <c r="AC277" s="39">
        <f t="shared" si="141"/>
        <v>2</v>
      </c>
      <c r="AD277" s="39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2"/>
      <c r="C278" s="654" t="s">
        <v>38</v>
      </c>
      <c r="D278" s="654"/>
      <c r="E278" s="654"/>
      <c r="F278" s="654"/>
      <c r="G278" s="654"/>
      <c r="H278" s="647"/>
      <c r="I278" s="199">
        <v>12</v>
      </c>
      <c r="J278" s="28">
        <v>7.49</v>
      </c>
      <c r="K278" s="200">
        <v>9</v>
      </c>
      <c r="L278" s="199"/>
      <c r="M278" s="28"/>
      <c r="N278" s="206"/>
      <c r="O278" s="199"/>
      <c r="P278" s="195">
        <v>10.130000000000001</v>
      </c>
      <c r="Q278" s="112"/>
      <c r="R278" s="199"/>
      <c r="S278" s="195">
        <v>9.3699999999999992</v>
      </c>
      <c r="T278" s="112"/>
      <c r="U278" s="199"/>
      <c r="V278" s="195"/>
      <c r="W278" s="68"/>
      <c r="X278" s="148"/>
      <c r="Y278" s="148"/>
      <c r="Z278" s="147">
        <f t="shared" si="138"/>
        <v>0</v>
      </c>
      <c r="AA278" s="52">
        <f t="shared" si="139"/>
        <v>12</v>
      </c>
      <c r="AB278" s="15">
        <f t="shared" si="136"/>
        <v>10</v>
      </c>
      <c r="AC278" s="39">
        <f t="shared" si="141"/>
        <v>2</v>
      </c>
      <c r="AD278" s="39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2"/>
      <c r="C279" s="654" t="s">
        <v>39</v>
      </c>
      <c r="D279" s="654"/>
      <c r="E279" s="654"/>
      <c r="F279" s="654"/>
      <c r="G279" s="654"/>
      <c r="H279" s="647"/>
      <c r="I279" s="199">
        <v>12</v>
      </c>
      <c r="J279" s="28">
        <v>10.220000000000001</v>
      </c>
      <c r="K279" s="200">
        <v>10</v>
      </c>
      <c r="L279" s="199"/>
      <c r="M279" s="28"/>
      <c r="N279" s="206"/>
      <c r="O279" s="199"/>
      <c r="P279" s="195">
        <v>13.96</v>
      </c>
      <c r="Q279" s="112"/>
      <c r="R279" s="199"/>
      <c r="S279" s="195">
        <v>12.91</v>
      </c>
      <c r="T279" s="112"/>
      <c r="U279" s="199"/>
      <c r="V279" s="195"/>
      <c r="W279" s="68"/>
      <c r="X279" s="148"/>
      <c r="Y279" s="148"/>
      <c r="Z279" s="147">
        <f t="shared" si="138"/>
        <v>0</v>
      </c>
      <c r="AA279" s="52">
        <f t="shared" si="139"/>
        <v>12</v>
      </c>
      <c r="AB279" s="15">
        <f t="shared" si="136"/>
        <v>10</v>
      </c>
      <c r="AC279" s="39">
        <f t="shared" si="141"/>
        <v>2</v>
      </c>
      <c r="AD279" s="39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2"/>
      <c r="C280" s="654" t="s">
        <v>48</v>
      </c>
      <c r="D280" s="654"/>
      <c r="E280" s="654"/>
      <c r="F280" s="654"/>
      <c r="G280" s="654"/>
      <c r="H280" s="647"/>
      <c r="I280" s="199">
        <v>2</v>
      </c>
      <c r="J280" s="28">
        <v>56.52</v>
      </c>
      <c r="K280" s="200">
        <v>1</v>
      </c>
      <c r="L280" s="199"/>
      <c r="M280" s="28"/>
      <c r="N280" s="206"/>
      <c r="O280" s="199"/>
      <c r="P280" s="195">
        <v>80</v>
      </c>
      <c r="Q280" s="112"/>
      <c r="R280" s="199"/>
      <c r="S280" s="195">
        <v>92</v>
      </c>
      <c r="T280" s="112"/>
      <c r="U280" s="199"/>
      <c r="V280" s="195"/>
      <c r="W280" s="68"/>
      <c r="X280" s="148"/>
      <c r="Y280" s="148"/>
      <c r="Z280" s="147">
        <f t="shared" si="138"/>
        <v>0</v>
      </c>
      <c r="AA280" s="52">
        <f t="shared" si="139"/>
        <v>2</v>
      </c>
      <c r="AB280" s="15">
        <f t="shared" si="136"/>
        <v>1</v>
      </c>
      <c r="AC280" s="39">
        <f t="shared" si="141"/>
        <v>1</v>
      </c>
      <c r="AD280" s="39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2"/>
      <c r="C281" s="654" t="s">
        <v>40</v>
      </c>
      <c r="D281" s="654"/>
      <c r="E281" s="654"/>
      <c r="F281" s="654"/>
      <c r="G281" s="654"/>
      <c r="H281" s="647"/>
      <c r="I281" s="199">
        <v>2</v>
      </c>
      <c r="J281" s="28">
        <v>39.340000000000003</v>
      </c>
      <c r="K281" s="200">
        <v>1</v>
      </c>
      <c r="L281" s="199"/>
      <c r="M281" s="28"/>
      <c r="N281" s="206"/>
      <c r="O281" s="199"/>
      <c r="P281" s="195">
        <v>71.45</v>
      </c>
      <c r="Q281" s="112"/>
      <c r="R281" s="199"/>
      <c r="S281" s="195">
        <v>82.17</v>
      </c>
      <c r="T281" s="112"/>
      <c r="U281" s="199"/>
      <c r="V281" s="195"/>
      <c r="W281" s="68"/>
      <c r="X281" s="148"/>
      <c r="Y281" s="148"/>
      <c r="Z281" s="147">
        <f t="shared" si="138"/>
        <v>0</v>
      </c>
      <c r="AA281" s="52">
        <f t="shared" si="139"/>
        <v>2</v>
      </c>
      <c r="AB281" s="15">
        <f t="shared" si="136"/>
        <v>1</v>
      </c>
      <c r="AC281" s="39">
        <f t="shared" si="141"/>
        <v>1</v>
      </c>
      <c r="AD281" s="39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2"/>
      <c r="C282" s="654" t="s">
        <v>41</v>
      </c>
      <c r="D282" s="654"/>
      <c r="E282" s="654"/>
      <c r="F282" s="654"/>
      <c r="G282" s="654"/>
      <c r="H282" s="647"/>
      <c r="I282" s="199">
        <v>16</v>
      </c>
      <c r="J282" s="28">
        <v>3.4</v>
      </c>
      <c r="K282" s="201">
        <v>16</v>
      </c>
      <c r="L282" s="199"/>
      <c r="M282" s="28"/>
      <c r="N282" s="206"/>
      <c r="O282" s="199">
        <v>8</v>
      </c>
      <c r="P282" s="195">
        <v>4.84</v>
      </c>
      <c r="Q282" s="194">
        <v>8</v>
      </c>
      <c r="R282" s="199">
        <v>24</v>
      </c>
      <c r="S282" s="195">
        <v>6.1</v>
      </c>
      <c r="T282" s="194">
        <v>24</v>
      </c>
      <c r="U282" s="199">
        <v>32</v>
      </c>
      <c r="V282" s="195">
        <v>6.1</v>
      </c>
      <c r="W282" s="68">
        <v>3</v>
      </c>
      <c r="X282" s="148"/>
      <c r="Y282" s="148"/>
      <c r="Z282" s="147">
        <f t="shared" si="138"/>
        <v>0</v>
      </c>
      <c r="AA282" s="52">
        <f t="shared" si="139"/>
        <v>80</v>
      </c>
      <c r="AB282" s="15">
        <f t="shared" si="136"/>
        <v>51</v>
      </c>
      <c r="AC282" s="39">
        <f t="shared" si="141"/>
        <v>29</v>
      </c>
      <c r="AD282" s="39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2"/>
      <c r="C283" s="654" t="s">
        <v>42</v>
      </c>
      <c r="D283" s="654"/>
      <c r="E283" s="654"/>
      <c r="F283" s="654"/>
      <c r="G283" s="654"/>
      <c r="H283" s="647"/>
      <c r="I283" s="199">
        <v>4</v>
      </c>
      <c r="J283" s="28">
        <v>3.4</v>
      </c>
      <c r="K283" s="201">
        <v>4</v>
      </c>
      <c r="L283" s="199"/>
      <c r="M283" s="28"/>
      <c r="N283" s="206"/>
      <c r="O283" s="199">
        <v>8</v>
      </c>
      <c r="P283" s="195">
        <v>4.84</v>
      </c>
      <c r="Q283" s="194">
        <v>8</v>
      </c>
      <c r="R283" s="199">
        <v>16</v>
      </c>
      <c r="S283" s="195">
        <v>6.1</v>
      </c>
      <c r="T283" s="112">
        <v>12</v>
      </c>
      <c r="U283" s="199"/>
      <c r="V283" s="195"/>
      <c r="W283" s="68"/>
      <c r="X283" s="148"/>
      <c r="Y283" s="148"/>
      <c r="Z283" s="147">
        <f t="shared" si="138"/>
        <v>0</v>
      </c>
      <c r="AA283" s="52">
        <f t="shared" si="139"/>
        <v>28</v>
      </c>
      <c r="AB283" s="15">
        <f t="shared" si="136"/>
        <v>24</v>
      </c>
      <c r="AC283" s="39">
        <f t="shared" si="141"/>
        <v>4</v>
      </c>
      <c r="AD283" s="39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2"/>
      <c r="C284" s="654" t="s">
        <v>45</v>
      </c>
      <c r="D284" s="654"/>
      <c r="E284" s="654"/>
      <c r="F284" s="654"/>
      <c r="G284" s="654"/>
      <c r="H284" s="647"/>
      <c r="I284" s="199">
        <v>4</v>
      </c>
      <c r="J284" s="28">
        <v>7.27</v>
      </c>
      <c r="K284" s="200">
        <v>3</v>
      </c>
      <c r="L284" s="199"/>
      <c r="M284" s="28"/>
      <c r="N284" s="206"/>
      <c r="O284" s="199"/>
      <c r="P284" s="195">
        <v>9.17</v>
      </c>
      <c r="Q284" s="112"/>
      <c r="R284" s="199"/>
      <c r="S284" s="195">
        <v>11.59</v>
      </c>
      <c r="T284" s="112"/>
      <c r="U284" s="199"/>
      <c r="V284" s="195"/>
      <c r="W284" s="68"/>
      <c r="X284" s="148"/>
      <c r="Y284" s="148"/>
      <c r="Z284" s="147">
        <f t="shared" si="138"/>
        <v>0</v>
      </c>
      <c r="AA284" s="52">
        <f t="shared" si="139"/>
        <v>4</v>
      </c>
      <c r="AB284" s="15">
        <f t="shared" si="136"/>
        <v>3</v>
      </c>
      <c r="AC284" s="39">
        <f t="shared" si="141"/>
        <v>1</v>
      </c>
      <c r="AD284" s="39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2"/>
      <c r="C285" s="654" t="s">
        <v>115</v>
      </c>
      <c r="D285" s="654"/>
      <c r="E285" s="654"/>
      <c r="F285" s="654"/>
      <c r="G285" s="654"/>
      <c r="H285" s="647"/>
      <c r="I285" s="199"/>
      <c r="J285" s="28"/>
      <c r="K285" s="200"/>
      <c r="L285" s="199"/>
      <c r="M285" s="28"/>
      <c r="N285" s="206"/>
      <c r="O285" s="199">
        <v>8</v>
      </c>
      <c r="P285" s="195">
        <v>4.84</v>
      </c>
      <c r="Q285" s="112">
        <v>6</v>
      </c>
      <c r="R285" s="199"/>
      <c r="S285" s="195">
        <v>6.1</v>
      </c>
      <c r="T285" s="112">
        <v>6</v>
      </c>
      <c r="U285" s="199">
        <v>8</v>
      </c>
      <c r="V285" s="195">
        <v>6.1</v>
      </c>
      <c r="W285" s="68"/>
      <c r="X285" s="148"/>
      <c r="Y285" s="148"/>
      <c r="Z285" s="147">
        <f t="shared" si="138"/>
        <v>0</v>
      </c>
      <c r="AA285" s="52">
        <f t="shared" si="139"/>
        <v>16</v>
      </c>
      <c r="AB285" s="15">
        <f t="shared" si="136"/>
        <v>6</v>
      </c>
      <c r="AC285" s="39">
        <f t="shared" ref="AC285:AC290" si="142">AA285-AB285</f>
        <v>10</v>
      </c>
      <c r="AD285" s="39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2"/>
      <c r="C286" s="654" t="s">
        <v>43</v>
      </c>
      <c r="D286" s="654"/>
      <c r="E286" s="654"/>
      <c r="F286" s="654"/>
      <c r="G286" s="654"/>
      <c r="H286" s="647"/>
      <c r="I286" s="202">
        <v>8</v>
      </c>
      <c r="J286" s="72">
        <v>3.4</v>
      </c>
      <c r="K286" s="200">
        <v>5</v>
      </c>
      <c r="L286" s="199"/>
      <c r="M286" s="28"/>
      <c r="N286" s="206"/>
      <c r="O286" s="202"/>
      <c r="P286" s="195">
        <v>4.84</v>
      </c>
      <c r="Q286" s="210"/>
      <c r="R286" s="202"/>
      <c r="S286" s="195">
        <v>6.1</v>
      </c>
      <c r="T286" s="210"/>
      <c r="U286" s="202"/>
      <c r="V286" s="195"/>
      <c r="W286" s="262"/>
      <c r="X286" s="264"/>
      <c r="Y286" s="264"/>
      <c r="Z286" s="147">
        <f t="shared" si="138"/>
        <v>0</v>
      </c>
      <c r="AA286" s="52">
        <f t="shared" si="139"/>
        <v>8</v>
      </c>
      <c r="AB286" s="15">
        <f t="shared" si="136"/>
        <v>5</v>
      </c>
      <c r="AC286" s="39">
        <f t="shared" si="142"/>
        <v>3</v>
      </c>
      <c r="AD286" s="39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2"/>
      <c r="C287" s="654" t="s">
        <v>46</v>
      </c>
      <c r="D287" s="654"/>
      <c r="E287" s="654"/>
      <c r="F287" s="654"/>
      <c r="G287" s="654"/>
      <c r="H287" s="647"/>
      <c r="I287" s="199">
        <v>4</v>
      </c>
      <c r="J287" s="28">
        <v>7.27</v>
      </c>
      <c r="K287" s="200">
        <v>3</v>
      </c>
      <c r="L287" s="199"/>
      <c r="M287" s="28"/>
      <c r="N287" s="206"/>
      <c r="O287" s="202"/>
      <c r="P287" s="195">
        <v>9.17</v>
      </c>
      <c r="Q287" s="210"/>
      <c r="R287" s="202"/>
      <c r="S287" s="195">
        <v>11.59</v>
      </c>
      <c r="T287" s="210"/>
      <c r="U287" s="202"/>
      <c r="V287" s="195"/>
      <c r="W287" s="262"/>
      <c r="X287" s="264"/>
      <c r="Y287" s="264"/>
      <c r="Z287" s="147">
        <f t="shared" si="138"/>
        <v>0</v>
      </c>
      <c r="AA287" s="52">
        <f t="shared" si="139"/>
        <v>4</v>
      </c>
      <c r="AB287" s="15">
        <f t="shared" si="136"/>
        <v>3</v>
      </c>
      <c r="AC287" s="39">
        <f t="shared" si="142"/>
        <v>1</v>
      </c>
      <c r="AD287" s="39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2"/>
      <c r="C288" s="647" t="s">
        <v>44</v>
      </c>
      <c r="D288" s="648"/>
      <c r="E288" s="648"/>
      <c r="F288" s="648"/>
      <c r="G288" s="648"/>
      <c r="H288" s="648"/>
      <c r="I288" s="199">
        <v>8</v>
      </c>
      <c r="J288" s="28">
        <v>3.4</v>
      </c>
      <c r="K288" s="200">
        <v>6</v>
      </c>
      <c r="L288" s="199"/>
      <c r="M288" s="28"/>
      <c r="N288" s="206"/>
      <c r="O288" s="202"/>
      <c r="P288" s="195">
        <v>4.84</v>
      </c>
      <c r="Q288" s="210"/>
      <c r="R288" s="202"/>
      <c r="S288" s="195">
        <v>6.1</v>
      </c>
      <c r="T288" s="210"/>
      <c r="U288" s="202"/>
      <c r="V288" s="195"/>
      <c r="W288" s="262"/>
      <c r="X288" s="264"/>
      <c r="Y288" s="264"/>
      <c r="Z288" s="147">
        <f t="shared" si="138"/>
        <v>0</v>
      </c>
      <c r="AA288" s="52">
        <f t="shared" si="139"/>
        <v>8</v>
      </c>
      <c r="AB288" s="15">
        <f t="shared" si="136"/>
        <v>6</v>
      </c>
      <c r="AC288" s="39">
        <f t="shared" si="142"/>
        <v>2</v>
      </c>
      <c r="AD288" s="39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2"/>
      <c r="C289" s="647" t="s">
        <v>114</v>
      </c>
      <c r="D289" s="648"/>
      <c r="E289" s="648"/>
      <c r="F289" s="648"/>
      <c r="G289" s="648"/>
      <c r="H289" s="648"/>
      <c r="I289" s="199"/>
      <c r="J289" s="28"/>
      <c r="K289" s="200"/>
      <c r="L289" s="199"/>
      <c r="M289" s="28"/>
      <c r="N289" s="206"/>
      <c r="O289" s="202">
        <v>8</v>
      </c>
      <c r="P289" s="195">
        <v>4.84</v>
      </c>
      <c r="Q289" s="210">
        <v>6</v>
      </c>
      <c r="R289" s="202"/>
      <c r="S289" s="195">
        <v>6.1</v>
      </c>
      <c r="T289" s="210">
        <v>6</v>
      </c>
      <c r="U289" s="202"/>
      <c r="V289" s="195"/>
      <c r="W289" s="262"/>
      <c r="X289" s="264"/>
      <c r="Y289" s="264"/>
      <c r="Z289" s="147">
        <f t="shared" si="138"/>
        <v>0</v>
      </c>
      <c r="AA289" s="52">
        <f t="shared" si="139"/>
        <v>8</v>
      </c>
      <c r="AB289" s="15">
        <f t="shared" si="136"/>
        <v>6</v>
      </c>
      <c r="AC289" s="39">
        <f t="shared" si="142"/>
        <v>2</v>
      </c>
      <c r="AD289" s="39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2"/>
      <c r="C290" s="654" t="s">
        <v>47</v>
      </c>
      <c r="D290" s="654"/>
      <c r="E290" s="654"/>
      <c r="F290" s="654"/>
      <c r="G290" s="654"/>
      <c r="H290" s="647"/>
      <c r="I290" s="199">
        <v>4</v>
      </c>
      <c r="J290" s="28">
        <v>7.27</v>
      </c>
      <c r="K290" s="200">
        <v>3</v>
      </c>
      <c r="L290" s="199"/>
      <c r="M290" s="28"/>
      <c r="N290" s="206"/>
      <c r="O290" s="202"/>
      <c r="P290" s="195">
        <v>9.17</v>
      </c>
      <c r="Q290" s="210"/>
      <c r="R290" s="202"/>
      <c r="S290" s="195">
        <v>11.59</v>
      </c>
      <c r="T290" s="210"/>
      <c r="U290" s="202"/>
      <c r="V290" s="195"/>
      <c r="W290" s="262"/>
      <c r="X290" s="264"/>
      <c r="Y290" s="264"/>
      <c r="Z290" s="147">
        <f t="shared" si="138"/>
        <v>0</v>
      </c>
      <c r="AA290" s="52">
        <f t="shared" si="139"/>
        <v>4</v>
      </c>
      <c r="AB290" s="15">
        <f t="shared" si="136"/>
        <v>3</v>
      </c>
      <c r="AC290" s="39">
        <f t="shared" si="142"/>
        <v>1</v>
      </c>
      <c r="AD290" s="39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2"/>
      <c r="C291" s="647" t="s">
        <v>245</v>
      </c>
      <c r="D291" s="648"/>
      <c r="E291" s="648"/>
      <c r="F291" s="648"/>
      <c r="G291" s="648"/>
      <c r="H291" s="648"/>
      <c r="I291" s="203"/>
      <c r="J291" s="204"/>
      <c r="K291" s="205"/>
      <c r="L291" s="203"/>
      <c r="M291" s="204"/>
      <c r="N291" s="207"/>
      <c r="O291" s="208"/>
      <c r="P291" s="209"/>
      <c r="Q291" s="211"/>
      <c r="R291" s="208">
        <v>16</v>
      </c>
      <c r="S291" s="209">
        <v>6.1</v>
      </c>
      <c r="T291" s="211">
        <v>1</v>
      </c>
      <c r="U291" s="208"/>
      <c r="V291" s="209"/>
      <c r="W291" s="263"/>
      <c r="X291" s="264"/>
      <c r="Y291" s="264"/>
      <c r="Z291" s="147">
        <f t="shared" si="138"/>
        <v>0</v>
      </c>
      <c r="AA291" s="52">
        <f t="shared" si="139"/>
        <v>16</v>
      </c>
      <c r="AB291" s="15">
        <f>AN176</f>
        <v>1</v>
      </c>
      <c r="AC291" s="39">
        <f>AA291-AB291</f>
        <v>15</v>
      </c>
      <c r="AD291" s="39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2"/>
      <c r="C292" s="654" t="s">
        <v>276</v>
      </c>
      <c r="D292" s="654"/>
      <c r="E292" s="654"/>
      <c r="F292" s="654"/>
      <c r="G292" s="654"/>
      <c r="H292" s="654"/>
      <c r="I292" s="203">
        <v>1</v>
      </c>
      <c r="J292" s="204">
        <v>0</v>
      </c>
      <c r="K292" s="205"/>
      <c r="L292" s="203"/>
      <c r="M292" s="204"/>
      <c r="N292" s="207"/>
      <c r="O292" s="208"/>
      <c r="P292" s="209"/>
      <c r="Q292" s="211"/>
      <c r="R292" s="208"/>
      <c r="S292" s="209"/>
      <c r="T292" s="211"/>
      <c r="U292" s="208"/>
      <c r="V292" s="209"/>
      <c r="W292" s="263"/>
      <c r="X292" s="266">
        <v>40</v>
      </c>
      <c r="Y292" s="266">
        <v>6.56</v>
      </c>
      <c r="Z292" s="147">
        <f t="shared" si="138"/>
        <v>262.39999999999998</v>
      </c>
      <c r="AA292" s="52">
        <f t="shared" si="139"/>
        <v>41</v>
      </c>
      <c r="AB292" s="15">
        <f>AN193</f>
        <v>10</v>
      </c>
      <c r="AC292" s="39">
        <f>AA292-AB292</f>
        <v>31</v>
      </c>
      <c r="AD292" s="39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2"/>
      <c r="C293" s="70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293">
        <f>SUM(Z259:Z292)</f>
        <v>2196.4</v>
      </c>
      <c r="AE293" s="86">
        <f>SUM(AE259:AE291)</f>
        <v>2533.3200000000006</v>
      </c>
    </row>
    <row r="294" spans="1:40" x14ac:dyDescent="0.25">
      <c r="A294" s="42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2"/>
      <c r="C295" s="706" t="s">
        <v>269</v>
      </c>
      <c r="D295" s="706"/>
      <c r="E295" s="706"/>
      <c r="F295" s="706"/>
      <c r="G295" s="706"/>
      <c r="H295" s="706"/>
      <c r="I295" s="707"/>
      <c r="J295" s="707"/>
      <c r="K295" s="707"/>
      <c r="L295" s="707"/>
      <c r="M295" s="707"/>
      <c r="N295" s="707"/>
      <c r="O295" s="706"/>
      <c r="P295" s="706"/>
      <c r="Q295" s="706"/>
      <c r="R295" s="706"/>
      <c r="S295" s="706"/>
      <c r="T295" s="706"/>
      <c r="U295" s="706"/>
      <c r="W295" s="8"/>
    </row>
    <row r="296" spans="1:40" ht="24" x14ac:dyDescent="0.25">
      <c r="A296" s="42"/>
      <c r="C296" s="745" t="s">
        <v>2</v>
      </c>
      <c r="D296" s="746"/>
      <c r="E296" s="746"/>
      <c r="F296" s="746"/>
      <c r="G296" s="746"/>
      <c r="H296" s="747"/>
      <c r="I296" s="196">
        <v>1</v>
      </c>
      <c r="J296" s="197" t="s">
        <v>87</v>
      </c>
      <c r="K296" s="198" t="s">
        <v>86</v>
      </c>
      <c r="L296" s="196">
        <v>2</v>
      </c>
      <c r="M296" s="197" t="s">
        <v>87</v>
      </c>
      <c r="N296" s="198" t="s">
        <v>86</v>
      </c>
      <c r="O296" s="122" t="s">
        <v>77</v>
      </c>
      <c r="P296" s="15" t="s">
        <v>78</v>
      </c>
      <c r="Q296" s="15" t="s">
        <v>79</v>
      </c>
      <c r="R296" s="13" t="s">
        <v>94</v>
      </c>
    </row>
    <row r="297" spans="1:40" ht="15.75" x14ac:dyDescent="0.25">
      <c r="A297" s="42"/>
      <c r="C297" s="654" t="s">
        <v>83</v>
      </c>
      <c r="D297" s="654"/>
      <c r="E297" s="654"/>
      <c r="F297" s="654"/>
      <c r="G297" s="654"/>
      <c r="H297" s="647"/>
      <c r="I297" s="199">
        <v>46</v>
      </c>
      <c r="J297" s="28">
        <v>11.5</v>
      </c>
      <c r="K297" s="201">
        <v>46</v>
      </c>
      <c r="L297" s="199">
        <v>98</v>
      </c>
      <c r="M297" s="28">
        <v>13</v>
      </c>
      <c r="N297" s="112">
        <v>36</v>
      </c>
      <c r="O297" s="52">
        <f t="shared" ref="O297:O313" si="143">L297+I297</f>
        <v>144</v>
      </c>
      <c r="P297" s="15">
        <f>AN171</f>
        <v>92</v>
      </c>
      <c r="Q297" s="39">
        <f>O297-P297</f>
        <v>52</v>
      </c>
      <c r="R297" s="13">
        <f>Q297*M297</f>
        <v>676</v>
      </c>
      <c r="S297" t="s">
        <v>90</v>
      </c>
      <c r="T297" s="143"/>
      <c r="U297" s="143"/>
      <c r="V297" s="143"/>
      <c r="W297" s="143"/>
      <c r="X297" s="143"/>
      <c r="Y297" s="143"/>
    </row>
    <row r="298" spans="1:40" ht="15.75" x14ac:dyDescent="0.25">
      <c r="A298" s="42"/>
      <c r="C298" s="654" t="s">
        <v>177</v>
      </c>
      <c r="D298" s="654"/>
      <c r="E298" s="654"/>
      <c r="F298" s="654"/>
      <c r="G298" s="654"/>
      <c r="H298" s="647"/>
      <c r="I298" s="199">
        <v>25</v>
      </c>
      <c r="J298" s="28">
        <v>14.51</v>
      </c>
      <c r="K298" s="200">
        <v>4</v>
      </c>
      <c r="L298" s="199"/>
      <c r="M298" s="28">
        <v>14.51</v>
      </c>
      <c r="N298" s="112"/>
      <c r="O298" s="52">
        <f t="shared" si="143"/>
        <v>25</v>
      </c>
      <c r="P298" s="15">
        <f>AN172</f>
        <v>9</v>
      </c>
      <c r="Q298" s="39">
        <f>O298-P298</f>
        <v>16</v>
      </c>
      <c r="R298" s="13">
        <f t="shared" ref="R298:R313" si="144">Q298*M298</f>
        <v>232.16</v>
      </c>
      <c r="T298" s="143"/>
      <c r="U298" s="143"/>
      <c r="V298" s="143"/>
      <c r="W298" s="143"/>
      <c r="X298" s="143"/>
      <c r="Y298" s="143"/>
    </row>
    <row r="299" spans="1:40" ht="15.75" x14ac:dyDescent="0.25">
      <c r="A299" s="42"/>
      <c r="C299" s="647" t="s">
        <v>234</v>
      </c>
      <c r="D299" s="648"/>
      <c r="E299" s="648"/>
      <c r="F299" s="648"/>
      <c r="G299" s="648"/>
      <c r="H299" s="648"/>
      <c r="I299" s="199">
        <v>50</v>
      </c>
      <c r="J299" s="28">
        <v>12</v>
      </c>
      <c r="K299" s="201">
        <v>50</v>
      </c>
      <c r="L299" s="199">
        <v>20</v>
      </c>
      <c r="M299" s="28">
        <v>12</v>
      </c>
      <c r="N299" s="112">
        <v>4</v>
      </c>
      <c r="O299" s="52">
        <f t="shared" si="143"/>
        <v>70</v>
      </c>
      <c r="P299" s="15">
        <f>AN175</f>
        <v>54</v>
      </c>
      <c r="Q299" s="39">
        <f>O299-P299</f>
        <v>16</v>
      </c>
      <c r="R299" s="13">
        <f t="shared" si="144"/>
        <v>192</v>
      </c>
      <c r="T299" s="143"/>
      <c r="U299" s="143"/>
      <c r="V299" s="143"/>
      <c r="W299" s="143"/>
      <c r="X299" s="143"/>
      <c r="Y299" s="143"/>
    </row>
    <row r="300" spans="1:40" ht="15.75" x14ac:dyDescent="0.25">
      <c r="A300" s="42"/>
      <c r="C300" s="647" t="s">
        <v>246</v>
      </c>
      <c r="D300" s="648"/>
      <c r="E300" s="648"/>
      <c r="F300" s="648"/>
      <c r="G300" s="648"/>
      <c r="H300" s="648"/>
      <c r="I300" s="199">
        <v>20</v>
      </c>
      <c r="J300" s="28">
        <v>10</v>
      </c>
      <c r="K300" s="200"/>
      <c r="L300" s="199"/>
      <c r="M300" s="28">
        <v>10</v>
      </c>
      <c r="N300" s="112"/>
      <c r="O300" s="52">
        <f t="shared" si="143"/>
        <v>20</v>
      </c>
      <c r="P300" s="15">
        <f t="shared" ref="P300:P313" si="145">AN177</f>
        <v>5</v>
      </c>
      <c r="Q300" s="39">
        <f t="shared" ref="Q300:Q313" si="146">O300-P300</f>
        <v>15</v>
      </c>
      <c r="R300" s="13">
        <f t="shared" si="144"/>
        <v>150</v>
      </c>
      <c r="T300" s="143"/>
      <c r="U300" s="143"/>
      <c r="V300" s="143"/>
      <c r="W300" s="143"/>
      <c r="X300" s="143"/>
      <c r="Y300" s="143"/>
    </row>
    <row r="301" spans="1:40" ht="15.75" x14ac:dyDescent="0.25">
      <c r="A301" s="42"/>
      <c r="C301" s="647" t="s">
        <v>247</v>
      </c>
      <c r="D301" s="648"/>
      <c r="E301" s="648"/>
      <c r="F301" s="648"/>
      <c r="G301" s="648"/>
      <c r="H301" s="648"/>
      <c r="I301" s="199">
        <v>20</v>
      </c>
      <c r="J301" s="28">
        <v>8</v>
      </c>
      <c r="K301" s="200"/>
      <c r="L301" s="199"/>
      <c r="M301" s="28">
        <v>8</v>
      </c>
      <c r="N301" s="112"/>
      <c r="O301" s="52">
        <f t="shared" si="143"/>
        <v>20</v>
      </c>
      <c r="P301" s="15">
        <f t="shared" si="145"/>
        <v>8</v>
      </c>
      <c r="Q301" s="39">
        <f t="shared" si="146"/>
        <v>12</v>
      </c>
      <c r="R301" s="13">
        <f t="shared" si="144"/>
        <v>96</v>
      </c>
      <c r="T301" s="143"/>
      <c r="U301" s="143"/>
      <c r="V301" s="143"/>
      <c r="W301" s="143"/>
      <c r="X301" s="143"/>
      <c r="Y301" s="143"/>
    </row>
    <row r="302" spans="1:40" ht="15.75" x14ac:dyDescent="0.25">
      <c r="A302" s="42"/>
      <c r="C302" s="647" t="s">
        <v>249</v>
      </c>
      <c r="D302" s="648"/>
      <c r="E302" s="648"/>
      <c r="F302" s="648"/>
      <c r="G302" s="648"/>
      <c r="H302" s="648"/>
      <c r="I302" s="199">
        <v>10</v>
      </c>
      <c r="J302" s="28">
        <v>26.33</v>
      </c>
      <c r="K302" s="200"/>
      <c r="L302" s="199"/>
      <c r="M302" s="28">
        <v>26.33</v>
      </c>
      <c r="N302" s="112"/>
      <c r="O302" s="52">
        <f t="shared" si="143"/>
        <v>10</v>
      </c>
      <c r="P302" s="15">
        <f t="shared" si="145"/>
        <v>0</v>
      </c>
      <c r="Q302" s="39">
        <f t="shared" si="146"/>
        <v>10</v>
      </c>
      <c r="R302" s="13">
        <f t="shared" si="144"/>
        <v>263.29999999999995</v>
      </c>
      <c r="T302" s="143"/>
      <c r="U302" s="143"/>
      <c r="V302" s="143"/>
      <c r="W302" s="143"/>
      <c r="X302" s="143"/>
      <c r="Y302" s="143"/>
    </row>
    <row r="303" spans="1:40" ht="15.75" x14ac:dyDescent="0.25">
      <c r="A303" s="42"/>
      <c r="C303" s="647" t="s">
        <v>250</v>
      </c>
      <c r="D303" s="648"/>
      <c r="E303" s="648"/>
      <c r="F303" s="648"/>
      <c r="G303" s="648"/>
      <c r="H303" s="648"/>
      <c r="I303" s="199">
        <v>10</v>
      </c>
      <c r="J303" s="28">
        <v>9.92</v>
      </c>
      <c r="K303" s="200"/>
      <c r="L303" s="199"/>
      <c r="M303" s="28">
        <v>9.92</v>
      </c>
      <c r="N303" s="112"/>
      <c r="O303" s="52">
        <f t="shared" si="143"/>
        <v>10</v>
      </c>
      <c r="P303" s="15">
        <f t="shared" si="145"/>
        <v>0</v>
      </c>
      <c r="Q303" s="39">
        <f t="shared" si="146"/>
        <v>10</v>
      </c>
      <c r="R303" s="13">
        <f t="shared" si="144"/>
        <v>99.2</v>
      </c>
      <c r="T303" s="143"/>
      <c r="U303" s="143"/>
      <c r="V303" s="143"/>
      <c r="W303" s="143"/>
      <c r="X303" s="143"/>
      <c r="Y303" s="143"/>
    </row>
    <row r="304" spans="1:40" ht="15.75" x14ac:dyDescent="0.25">
      <c r="A304" s="42"/>
      <c r="C304" s="647" t="s">
        <v>251</v>
      </c>
      <c r="D304" s="648"/>
      <c r="E304" s="648"/>
      <c r="F304" s="648"/>
      <c r="G304" s="648"/>
      <c r="H304" s="648"/>
      <c r="I304" s="199">
        <v>10</v>
      </c>
      <c r="J304" s="28">
        <v>7.26</v>
      </c>
      <c r="K304" s="200">
        <v>4</v>
      </c>
      <c r="L304" s="199"/>
      <c r="M304" s="28">
        <v>7.26</v>
      </c>
      <c r="N304" s="112"/>
      <c r="O304" s="52">
        <f t="shared" si="143"/>
        <v>10</v>
      </c>
      <c r="P304" s="15">
        <f t="shared" si="145"/>
        <v>7</v>
      </c>
      <c r="Q304" s="39">
        <f t="shared" si="146"/>
        <v>3</v>
      </c>
      <c r="R304" s="13">
        <f t="shared" si="144"/>
        <v>21.78</v>
      </c>
      <c r="T304" s="143"/>
      <c r="U304" s="143"/>
      <c r="V304" s="143"/>
      <c r="W304" s="143"/>
      <c r="X304" s="143"/>
      <c r="Y304" s="143"/>
    </row>
    <row r="305" spans="1:25" ht="15.75" x14ac:dyDescent="0.25">
      <c r="A305" s="42"/>
      <c r="C305" s="647" t="s">
        <v>252</v>
      </c>
      <c r="D305" s="648"/>
      <c r="E305" s="648"/>
      <c r="F305" s="648"/>
      <c r="G305" s="648"/>
      <c r="H305" s="648"/>
      <c r="I305" s="199">
        <v>5</v>
      </c>
      <c r="J305" s="28">
        <v>26.33</v>
      </c>
      <c r="K305" s="200"/>
      <c r="L305" s="199"/>
      <c r="M305" s="28">
        <v>26.33</v>
      </c>
      <c r="N305" s="112"/>
      <c r="O305" s="52">
        <f t="shared" si="143"/>
        <v>5</v>
      </c>
      <c r="P305" s="15">
        <f t="shared" si="145"/>
        <v>0</v>
      </c>
      <c r="Q305" s="39">
        <f t="shared" si="146"/>
        <v>5</v>
      </c>
      <c r="R305" s="13">
        <f t="shared" si="144"/>
        <v>131.64999999999998</v>
      </c>
      <c r="T305" s="143"/>
      <c r="U305" s="143"/>
      <c r="V305" s="143"/>
      <c r="W305" s="143"/>
      <c r="X305" s="143"/>
      <c r="Y305" s="143"/>
    </row>
    <row r="306" spans="1:25" ht="15.75" x14ac:dyDescent="0.25">
      <c r="A306" s="42"/>
      <c r="C306" s="647" t="s">
        <v>253</v>
      </c>
      <c r="D306" s="648"/>
      <c r="E306" s="648"/>
      <c r="F306" s="648"/>
      <c r="G306" s="648"/>
      <c r="H306" s="648"/>
      <c r="I306" s="199">
        <v>10</v>
      </c>
      <c r="J306" s="28">
        <v>12.67</v>
      </c>
      <c r="K306" s="200"/>
      <c r="L306" s="199"/>
      <c r="M306" s="28">
        <v>12.67</v>
      </c>
      <c r="N306" s="112"/>
      <c r="O306" s="52">
        <f t="shared" si="143"/>
        <v>10</v>
      </c>
      <c r="P306" s="15">
        <f t="shared" si="145"/>
        <v>4</v>
      </c>
      <c r="Q306" s="39">
        <f t="shared" si="146"/>
        <v>6</v>
      </c>
      <c r="R306" s="13">
        <f t="shared" si="144"/>
        <v>76.02</v>
      </c>
      <c r="T306" s="143"/>
      <c r="U306" s="143"/>
      <c r="V306" s="143"/>
      <c r="W306" s="143"/>
      <c r="X306" s="143"/>
      <c r="Y306" s="143"/>
    </row>
    <row r="307" spans="1:25" ht="15.75" x14ac:dyDescent="0.25">
      <c r="A307" s="42"/>
      <c r="C307" s="647" t="s">
        <v>248</v>
      </c>
      <c r="D307" s="648"/>
      <c r="E307" s="648"/>
      <c r="F307" s="648"/>
      <c r="G307" s="648"/>
      <c r="H307" s="648"/>
      <c r="I307" s="199">
        <v>10</v>
      </c>
      <c r="J307" s="28">
        <v>15.18</v>
      </c>
      <c r="K307" s="200"/>
      <c r="L307" s="199"/>
      <c r="M307" s="28">
        <v>15.18</v>
      </c>
      <c r="N307" s="112"/>
      <c r="O307" s="52">
        <f t="shared" si="143"/>
        <v>10</v>
      </c>
      <c r="P307" s="15">
        <f t="shared" si="145"/>
        <v>2</v>
      </c>
      <c r="Q307" s="39">
        <f t="shared" si="146"/>
        <v>8</v>
      </c>
      <c r="R307" s="13">
        <f t="shared" si="144"/>
        <v>121.44</v>
      </c>
      <c r="T307" s="143"/>
      <c r="U307" s="143"/>
      <c r="V307" s="143"/>
      <c r="W307" s="143"/>
      <c r="X307" s="143"/>
      <c r="Y307" s="143"/>
    </row>
    <row r="308" spans="1:25" ht="15.75" x14ac:dyDescent="0.25">
      <c r="A308" s="42"/>
      <c r="C308" s="647" t="s">
        <v>254</v>
      </c>
      <c r="D308" s="648"/>
      <c r="E308" s="648"/>
      <c r="F308" s="648"/>
      <c r="G308" s="648"/>
      <c r="H308" s="648"/>
      <c r="I308" s="199">
        <v>10</v>
      </c>
      <c r="J308" s="28">
        <v>26.69</v>
      </c>
      <c r="K308" s="200"/>
      <c r="L308" s="199"/>
      <c r="M308" s="28">
        <v>26.69</v>
      </c>
      <c r="N308" s="112"/>
      <c r="O308" s="52">
        <f t="shared" si="143"/>
        <v>10</v>
      </c>
      <c r="P308" s="15">
        <f t="shared" si="145"/>
        <v>4</v>
      </c>
      <c r="Q308" s="39">
        <f t="shared" si="146"/>
        <v>6</v>
      </c>
      <c r="R308" s="13">
        <f t="shared" si="144"/>
        <v>160.14000000000001</v>
      </c>
      <c r="T308" s="143"/>
      <c r="U308" s="143"/>
      <c r="V308" s="143"/>
      <c r="W308" s="143"/>
      <c r="X308" s="143"/>
      <c r="Y308" s="143"/>
    </row>
    <row r="309" spans="1:25" ht="15.75" x14ac:dyDescent="0.25">
      <c r="A309" s="42"/>
      <c r="C309" s="647" t="s">
        <v>255</v>
      </c>
      <c r="D309" s="648"/>
      <c r="E309" s="648"/>
      <c r="F309" s="648"/>
      <c r="G309" s="648"/>
      <c r="H309" s="648"/>
      <c r="I309" s="199">
        <v>10</v>
      </c>
      <c r="J309" s="28">
        <v>8.33</v>
      </c>
      <c r="K309" s="200"/>
      <c r="L309" s="199"/>
      <c r="M309" s="28">
        <v>8.33</v>
      </c>
      <c r="N309" s="112"/>
      <c r="O309" s="52">
        <f t="shared" si="143"/>
        <v>10</v>
      </c>
      <c r="P309" s="15">
        <f t="shared" si="145"/>
        <v>0</v>
      </c>
      <c r="Q309" s="39">
        <f t="shared" si="146"/>
        <v>10</v>
      </c>
      <c r="R309" s="13">
        <f t="shared" si="144"/>
        <v>83.3</v>
      </c>
      <c r="T309" s="143"/>
      <c r="U309" s="143"/>
      <c r="V309" s="143"/>
      <c r="W309" s="143"/>
      <c r="X309" s="143"/>
      <c r="Y309" s="143"/>
    </row>
    <row r="310" spans="1:25" ht="15.75" x14ac:dyDescent="0.25">
      <c r="A310" s="42"/>
      <c r="C310" s="647" t="s">
        <v>256</v>
      </c>
      <c r="D310" s="648"/>
      <c r="E310" s="648"/>
      <c r="F310" s="648"/>
      <c r="G310" s="648"/>
      <c r="H310" s="648"/>
      <c r="I310" s="199">
        <v>10</v>
      </c>
      <c r="J310" s="28">
        <v>10.59</v>
      </c>
      <c r="K310" s="200"/>
      <c r="L310" s="199"/>
      <c r="M310" s="28">
        <v>10.59</v>
      </c>
      <c r="N310" s="112"/>
      <c r="O310" s="52">
        <f t="shared" si="143"/>
        <v>10</v>
      </c>
      <c r="P310" s="15">
        <f t="shared" si="145"/>
        <v>0</v>
      </c>
      <c r="Q310" s="39">
        <f t="shared" si="146"/>
        <v>10</v>
      </c>
      <c r="R310" s="13">
        <f t="shared" si="144"/>
        <v>105.9</v>
      </c>
      <c r="T310" s="143"/>
      <c r="U310" s="143"/>
      <c r="V310" s="143"/>
      <c r="W310" s="143"/>
      <c r="X310" s="143"/>
      <c r="Y310" s="143"/>
    </row>
    <row r="311" spans="1:25" ht="15.75" x14ac:dyDescent="0.25">
      <c r="A311" s="42"/>
      <c r="C311" s="647" t="s">
        <v>257</v>
      </c>
      <c r="D311" s="648"/>
      <c r="E311" s="648"/>
      <c r="F311" s="648"/>
      <c r="G311" s="648"/>
      <c r="H311" s="648"/>
      <c r="I311" s="199">
        <v>10</v>
      </c>
      <c r="J311" s="28">
        <v>12.05</v>
      </c>
      <c r="K311" s="200"/>
      <c r="L311" s="199"/>
      <c r="M311" s="28">
        <v>12.05</v>
      </c>
      <c r="N311" s="112"/>
      <c r="O311" s="52">
        <f t="shared" si="143"/>
        <v>10</v>
      </c>
      <c r="P311" s="15">
        <f t="shared" si="145"/>
        <v>0</v>
      </c>
      <c r="Q311" s="39">
        <f t="shared" si="146"/>
        <v>10</v>
      </c>
      <c r="R311" s="13">
        <f t="shared" si="144"/>
        <v>120.5</v>
      </c>
      <c r="T311" s="143"/>
      <c r="U311" s="143"/>
      <c r="V311" s="143"/>
      <c r="W311" s="143"/>
      <c r="X311" s="143"/>
      <c r="Y311" s="143"/>
    </row>
    <row r="312" spans="1:25" ht="15.75" x14ac:dyDescent="0.25">
      <c r="A312" s="42"/>
      <c r="C312" s="647" t="s">
        <v>258</v>
      </c>
      <c r="D312" s="648"/>
      <c r="E312" s="648"/>
      <c r="F312" s="648"/>
      <c r="G312" s="648"/>
      <c r="H312" s="648"/>
      <c r="I312" s="199">
        <v>10</v>
      </c>
      <c r="J312" s="28">
        <v>15.83</v>
      </c>
      <c r="K312" s="200"/>
      <c r="L312" s="199"/>
      <c r="M312" s="28">
        <v>15.83</v>
      </c>
      <c r="N312" s="112"/>
      <c r="O312" s="52">
        <f t="shared" si="143"/>
        <v>10</v>
      </c>
      <c r="P312" s="15">
        <f t="shared" si="145"/>
        <v>1</v>
      </c>
      <c r="Q312" s="39">
        <f t="shared" si="146"/>
        <v>9</v>
      </c>
      <c r="R312" s="13">
        <f t="shared" si="144"/>
        <v>142.47</v>
      </c>
      <c r="T312" s="143"/>
      <c r="U312" s="143"/>
      <c r="V312" s="143"/>
      <c r="W312" s="143"/>
      <c r="X312" s="143"/>
      <c r="Y312" s="143"/>
    </row>
    <row r="313" spans="1:25" ht="16.5" thickBot="1" x14ac:dyDescent="0.3">
      <c r="A313" s="42"/>
      <c r="C313" s="647" t="s">
        <v>259</v>
      </c>
      <c r="D313" s="648"/>
      <c r="E313" s="648"/>
      <c r="F313" s="648"/>
      <c r="G313" s="648"/>
      <c r="H313" s="648"/>
      <c r="I313" s="203">
        <v>10</v>
      </c>
      <c r="J313" s="204">
        <v>13.2</v>
      </c>
      <c r="K313" s="205"/>
      <c r="L313" s="203"/>
      <c r="M313" s="204">
        <v>13.2</v>
      </c>
      <c r="N313" s="155"/>
      <c r="O313" s="52">
        <f t="shared" si="143"/>
        <v>10</v>
      </c>
      <c r="P313" s="15">
        <f t="shared" si="145"/>
        <v>0</v>
      </c>
      <c r="Q313" s="39">
        <f t="shared" si="146"/>
        <v>10</v>
      </c>
      <c r="R313" s="13">
        <f t="shared" si="144"/>
        <v>132</v>
      </c>
      <c r="T313" s="143"/>
      <c r="U313" s="143"/>
      <c r="V313" s="143"/>
      <c r="W313" s="143"/>
      <c r="X313" s="143"/>
      <c r="Y313" s="143"/>
    </row>
    <row r="314" spans="1:25" x14ac:dyDescent="0.25">
      <c r="A314" s="42"/>
      <c r="C314" s="70"/>
      <c r="R314" s="123">
        <f>SUM(R297:R313)</f>
        <v>2803.8599999999997</v>
      </c>
    </row>
    <row r="315" spans="1:25" x14ac:dyDescent="0.25">
      <c r="A315" s="42"/>
    </row>
    <row r="316" spans="1:25" ht="21" x14ac:dyDescent="0.35">
      <c r="A316" s="42"/>
      <c r="C316" s="706" t="s">
        <v>195</v>
      </c>
      <c r="D316" s="706"/>
      <c r="E316" s="706"/>
      <c r="F316" s="706"/>
      <c r="G316" s="706"/>
      <c r="H316" s="706"/>
      <c r="I316" s="706"/>
      <c r="J316" s="706"/>
      <c r="K316" s="706"/>
      <c r="L316" s="706"/>
      <c r="M316" s="706"/>
      <c r="N316" s="706"/>
      <c r="O316" s="706"/>
      <c r="P316" s="706"/>
      <c r="Q316" s="125"/>
      <c r="R316" s="125"/>
      <c r="W316" s="8"/>
    </row>
    <row r="317" spans="1:25" ht="24" x14ac:dyDescent="0.25">
      <c r="A317" s="42"/>
      <c r="C317" s="745" t="s">
        <v>2</v>
      </c>
      <c r="D317" s="746"/>
      <c r="E317" s="746"/>
      <c r="F317" s="746"/>
      <c r="G317" s="746"/>
      <c r="H317" s="696"/>
      <c r="I317" s="40">
        <v>1</v>
      </c>
      <c r="J317" s="80" t="s">
        <v>87</v>
      </c>
      <c r="K317" s="82" t="s">
        <v>86</v>
      </c>
      <c r="L317" s="41" t="s">
        <v>77</v>
      </c>
      <c r="M317" s="41" t="s">
        <v>78</v>
      </c>
      <c r="N317" s="41" t="s">
        <v>79</v>
      </c>
      <c r="O317" s="123" t="s">
        <v>94</v>
      </c>
    </row>
    <row r="318" spans="1:25" x14ac:dyDescent="0.25">
      <c r="A318" s="42"/>
      <c r="C318" s="654" t="s">
        <v>194</v>
      </c>
      <c r="D318" s="654"/>
      <c r="E318" s="654"/>
      <c r="F318" s="654"/>
      <c r="G318" s="654"/>
      <c r="H318" s="647"/>
      <c r="I318" s="15">
        <v>3</v>
      </c>
      <c r="J318" s="15">
        <v>59.23</v>
      </c>
      <c r="K318" s="107"/>
      <c r="L318" s="15">
        <f>I318</f>
        <v>3</v>
      </c>
      <c r="M318" s="15">
        <f>AN173</f>
        <v>3</v>
      </c>
      <c r="N318" s="39">
        <f>L318-M318</f>
        <v>0</v>
      </c>
      <c r="O318" s="13">
        <f>N318*J318</f>
        <v>0</v>
      </c>
    </row>
    <row r="319" spans="1:25" x14ac:dyDescent="0.25">
      <c r="A319" s="42"/>
      <c r="C319" s="70"/>
      <c r="O319" s="13">
        <f>SUM(O318:O318)</f>
        <v>0</v>
      </c>
    </row>
    <row r="320" spans="1:25" x14ac:dyDescent="0.25">
      <c r="A320" s="42"/>
      <c r="W320" s="8"/>
    </row>
    <row r="321" spans="1:23" x14ac:dyDescent="0.25">
      <c r="A321" s="42"/>
      <c r="W321" s="8"/>
    </row>
    <row r="322" spans="1:23" ht="21" x14ac:dyDescent="0.35">
      <c r="A322" s="42"/>
      <c r="C322" s="706" t="s">
        <v>277</v>
      </c>
      <c r="D322" s="706"/>
      <c r="E322" s="706"/>
      <c r="F322" s="706"/>
      <c r="G322" s="706"/>
      <c r="H322" s="706"/>
      <c r="I322" s="706"/>
      <c r="J322" s="706"/>
      <c r="K322" s="706"/>
      <c r="L322" s="706"/>
      <c r="M322" s="706"/>
      <c r="N322" s="706"/>
      <c r="O322" s="706"/>
      <c r="P322" s="706"/>
      <c r="W322" s="8"/>
    </row>
    <row r="323" spans="1:23" ht="24" x14ac:dyDescent="0.25">
      <c r="A323" s="42"/>
      <c r="B323" s="8"/>
      <c r="C323" s="745" t="s">
        <v>2</v>
      </c>
      <c r="D323" s="746"/>
      <c r="E323" s="746"/>
      <c r="F323" s="746"/>
      <c r="G323" s="746"/>
      <c r="H323" s="696"/>
      <c r="I323" s="40">
        <v>1</v>
      </c>
      <c r="J323" s="80" t="s">
        <v>87</v>
      </c>
      <c r="K323" s="82" t="s">
        <v>86</v>
      </c>
      <c r="L323" s="41" t="s">
        <v>77</v>
      </c>
      <c r="M323" s="41" t="s">
        <v>78</v>
      </c>
      <c r="N323" s="41" t="s">
        <v>79</v>
      </c>
      <c r="O323" s="123" t="s">
        <v>94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2"/>
      <c r="B324" s="8"/>
      <c r="C324" s="654" t="s">
        <v>274</v>
      </c>
      <c r="D324" s="654"/>
      <c r="E324" s="654"/>
      <c r="F324" s="654"/>
      <c r="G324" s="654"/>
      <c r="H324" s="654"/>
      <c r="I324" s="41">
        <v>5</v>
      </c>
      <c r="J324" s="80">
        <v>5</v>
      </c>
      <c r="K324" s="82"/>
      <c r="L324" s="15">
        <f>I324</f>
        <v>5</v>
      </c>
      <c r="M324" s="15">
        <f>AN191</f>
        <v>4</v>
      </c>
      <c r="N324" s="39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2"/>
      <c r="B325" s="8"/>
      <c r="C325" s="654" t="s">
        <v>275</v>
      </c>
      <c r="D325" s="654"/>
      <c r="E325" s="654"/>
      <c r="F325" s="654"/>
      <c r="G325" s="654"/>
      <c r="H325" s="654"/>
      <c r="I325" s="15">
        <v>6</v>
      </c>
      <c r="J325" s="15">
        <v>6</v>
      </c>
      <c r="K325" s="107"/>
      <c r="L325" s="15">
        <f>I325</f>
        <v>6</v>
      </c>
      <c r="M325" s="15">
        <f>AN192</f>
        <v>6</v>
      </c>
      <c r="N325" s="39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2"/>
      <c r="B326" s="8"/>
      <c r="C326" s="70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115"/>
      <c r="I327" s="6"/>
      <c r="W327" s="8"/>
    </row>
    <row r="328" spans="1:23" x14ac:dyDescent="0.25">
      <c r="A328" s="8"/>
      <c r="C328" s="6"/>
      <c r="D328" s="6"/>
      <c r="E328" s="6"/>
      <c r="F328" s="6"/>
      <c r="G328" s="115"/>
      <c r="I328" s="6"/>
      <c r="W328" s="8"/>
    </row>
    <row r="329" spans="1:23" x14ac:dyDescent="0.25">
      <c r="A329" s="8"/>
      <c r="C329" s="3"/>
      <c r="D329" s="6"/>
      <c r="E329" s="6"/>
      <c r="F329" s="6"/>
      <c r="G329" s="115"/>
      <c r="I329" s="6"/>
      <c r="W329" s="8"/>
    </row>
    <row r="330" spans="1:23" x14ac:dyDescent="0.25">
      <c r="A330" s="8"/>
      <c r="C330" s="6"/>
      <c r="D330" s="6"/>
      <c r="E330" s="6"/>
      <c r="F330" s="6"/>
      <c r="G330" s="115"/>
      <c r="I330" s="6"/>
      <c r="W330" s="8"/>
    </row>
    <row r="331" spans="1:23" ht="15.75" x14ac:dyDescent="0.25">
      <c r="A331" s="8"/>
      <c r="C331" s="116"/>
      <c r="D331" s="103"/>
      <c r="E331" s="103"/>
      <c r="F331" s="117"/>
      <c r="G331" s="118"/>
      <c r="I331" s="119"/>
      <c r="W331" s="8"/>
    </row>
    <row r="332" spans="1:23" x14ac:dyDescent="0.25">
      <c r="A332" s="8"/>
      <c r="C332" s="70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712" t="s">
        <v>85</v>
      </c>
      <c r="B1" s="712"/>
      <c r="C1" s="712"/>
      <c r="D1" s="712"/>
      <c r="E1" s="712"/>
      <c r="F1" s="712"/>
      <c r="G1" s="712"/>
      <c r="H1" s="712"/>
      <c r="I1" s="712"/>
      <c r="J1" s="712"/>
      <c r="K1" s="712"/>
      <c r="L1" s="712"/>
      <c r="M1" s="712"/>
      <c r="N1" s="712"/>
      <c r="O1" s="712"/>
      <c r="P1" s="712"/>
      <c r="Q1" s="712"/>
      <c r="R1" s="712"/>
      <c r="S1" s="712"/>
      <c r="T1" s="712"/>
      <c r="U1" s="712"/>
      <c r="V1" s="712"/>
      <c r="W1" s="712"/>
      <c r="X1" s="712"/>
      <c r="Y1" s="712"/>
      <c r="Z1" s="712"/>
      <c r="AA1" s="712"/>
      <c r="AB1" s="712"/>
      <c r="AC1" s="712"/>
      <c r="AD1" s="712"/>
      <c r="AE1" s="712"/>
      <c r="AF1" s="712"/>
      <c r="AG1" s="712"/>
      <c r="AH1" s="712"/>
      <c r="AI1" s="712"/>
      <c r="AJ1" s="712"/>
      <c r="AK1" s="712"/>
      <c r="AL1" s="712"/>
      <c r="AM1" s="712"/>
      <c r="AN1" s="712"/>
      <c r="AO1" s="712"/>
      <c r="AP1" s="712"/>
      <c r="AQ1" s="712"/>
      <c r="AR1" s="712"/>
      <c r="AS1" s="712"/>
      <c r="AT1" s="712"/>
      <c r="AU1" s="712"/>
      <c r="AV1" s="712"/>
      <c r="AW1" s="712"/>
      <c r="AX1" s="712"/>
      <c r="AY1" s="712"/>
      <c r="AZ1" s="712"/>
      <c r="BA1" s="712"/>
      <c r="BB1" s="712"/>
      <c r="BC1" s="712"/>
      <c r="BD1" s="712"/>
      <c r="BE1" s="712"/>
      <c r="BF1" s="712"/>
      <c r="BG1" s="712"/>
      <c r="BH1" s="712"/>
      <c r="BI1" s="712"/>
      <c r="BJ1" s="712"/>
      <c r="BK1" s="712"/>
      <c r="BL1" s="712"/>
      <c r="BM1" s="712"/>
      <c r="BN1" s="712"/>
      <c r="BO1" s="712"/>
      <c r="BP1" s="712"/>
      <c r="BQ1" s="712"/>
      <c r="BR1" s="712"/>
      <c r="BS1" s="712"/>
      <c r="BT1" s="712"/>
      <c r="BU1" s="712"/>
      <c r="BV1" s="712"/>
      <c r="BW1" s="712"/>
      <c r="BX1" s="712"/>
      <c r="BY1" s="712"/>
      <c r="BZ1" s="712"/>
      <c r="CA1" s="712"/>
      <c r="CB1" s="712"/>
      <c r="CC1" s="712"/>
      <c r="CD1" s="712"/>
      <c r="CE1" s="712"/>
      <c r="CF1" s="712"/>
      <c r="CG1" s="712"/>
      <c r="CH1" s="712"/>
      <c r="CI1" s="712"/>
      <c r="CJ1" s="712"/>
      <c r="CK1" s="712"/>
      <c r="CL1" s="712"/>
      <c r="CM1" s="712"/>
      <c r="CN1" s="712"/>
      <c r="CO1" s="712"/>
      <c r="CP1" s="712"/>
      <c r="CQ1" s="712"/>
      <c r="CR1" s="712"/>
      <c r="CS1" s="712"/>
      <c r="CT1" s="712"/>
      <c r="CU1" s="712"/>
      <c r="CV1" s="712"/>
      <c r="CW1" s="712"/>
      <c r="CX1" s="712"/>
      <c r="CY1" s="712"/>
      <c r="CZ1" s="712"/>
      <c r="DA1" s="712"/>
      <c r="DB1" s="712"/>
      <c r="DC1" s="712"/>
      <c r="DD1" s="712"/>
      <c r="DE1" s="712"/>
      <c r="DF1" s="712"/>
      <c r="DG1" s="712"/>
      <c r="DH1" s="712"/>
      <c r="DI1" s="712"/>
      <c r="DJ1" s="712"/>
      <c r="DK1" s="712"/>
      <c r="DL1" s="712"/>
      <c r="DM1" s="712"/>
      <c r="DN1" s="712"/>
      <c r="DO1" s="712"/>
    </row>
    <row r="2" spans="1:236" x14ac:dyDescent="0.25">
      <c r="A2" s="712"/>
      <c r="B2" s="712"/>
      <c r="C2" s="712"/>
      <c r="D2" s="712"/>
      <c r="E2" s="712"/>
      <c r="F2" s="712"/>
      <c r="G2" s="712"/>
      <c r="H2" s="712"/>
      <c r="I2" s="712"/>
      <c r="J2" s="712"/>
      <c r="K2" s="712"/>
      <c r="L2" s="712"/>
      <c r="M2" s="712"/>
      <c r="N2" s="712"/>
      <c r="O2" s="712"/>
      <c r="P2" s="712"/>
      <c r="Q2" s="712"/>
      <c r="R2" s="712"/>
      <c r="S2" s="712"/>
      <c r="T2" s="712"/>
      <c r="U2" s="712"/>
      <c r="V2" s="712"/>
      <c r="W2" s="712"/>
      <c r="X2" s="712"/>
      <c r="Y2" s="712"/>
      <c r="Z2" s="712"/>
      <c r="AA2" s="712"/>
      <c r="AB2" s="712"/>
      <c r="AC2" s="712"/>
      <c r="AD2" s="712"/>
      <c r="AE2" s="712"/>
      <c r="AF2" s="712"/>
      <c r="AG2" s="712"/>
      <c r="AH2" s="712"/>
      <c r="AI2" s="712"/>
      <c r="AJ2" s="712"/>
      <c r="AK2" s="712"/>
      <c r="AL2" s="712"/>
      <c r="AM2" s="712"/>
      <c r="AN2" s="712"/>
      <c r="AO2" s="712"/>
      <c r="AP2" s="712"/>
      <c r="AQ2" s="712"/>
      <c r="AR2" s="712"/>
      <c r="AS2" s="712"/>
      <c r="AT2" s="712"/>
      <c r="AU2" s="712"/>
      <c r="AV2" s="712"/>
      <c r="AW2" s="712"/>
      <c r="AX2" s="712"/>
      <c r="AY2" s="712"/>
      <c r="AZ2" s="712"/>
      <c r="BA2" s="712"/>
      <c r="BB2" s="712"/>
      <c r="BC2" s="712"/>
      <c r="BD2" s="712"/>
      <c r="BE2" s="712"/>
      <c r="BF2" s="712"/>
      <c r="BG2" s="712"/>
      <c r="BH2" s="712"/>
      <c r="BI2" s="712"/>
      <c r="BJ2" s="712"/>
      <c r="BK2" s="712"/>
      <c r="BL2" s="712"/>
      <c r="BM2" s="712"/>
      <c r="BN2" s="712"/>
      <c r="BO2" s="712"/>
      <c r="BP2" s="712"/>
      <c r="BQ2" s="712"/>
      <c r="BR2" s="712"/>
      <c r="BS2" s="712"/>
      <c r="BT2" s="712"/>
      <c r="BU2" s="712"/>
      <c r="BV2" s="712"/>
      <c r="BW2" s="712"/>
      <c r="BX2" s="712"/>
      <c r="BY2" s="712"/>
      <c r="BZ2" s="712"/>
      <c r="CA2" s="712"/>
      <c r="CB2" s="712"/>
      <c r="CC2" s="712"/>
      <c r="CD2" s="712"/>
      <c r="CE2" s="712"/>
      <c r="CF2" s="712"/>
      <c r="CG2" s="712"/>
      <c r="CH2" s="712"/>
      <c r="CI2" s="712"/>
      <c r="CJ2" s="712"/>
      <c r="CK2" s="712"/>
      <c r="CL2" s="712"/>
      <c r="CM2" s="712"/>
      <c r="CN2" s="712"/>
      <c r="CO2" s="712"/>
      <c r="CP2" s="712"/>
      <c r="CQ2" s="712"/>
      <c r="CR2" s="712"/>
      <c r="CS2" s="712"/>
      <c r="CT2" s="712"/>
      <c r="CU2" s="712"/>
      <c r="CV2" s="712"/>
      <c r="CW2" s="712"/>
      <c r="CX2" s="712"/>
      <c r="CY2" s="712"/>
      <c r="CZ2" s="712"/>
      <c r="DA2" s="712"/>
      <c r="DB2" s="712"/>
      <c r="DC2" s="712"/>
      <c r="DD2" s="712"/>
      <c r="DE2" s="712"/>
      <c r="DF2" s="712"/>
      <c r="DG2" s="712"/>
      <c r="DH2" s="712"/>
      <c r="DI2" s="712"/>
      <c r="DJ2" s="712"/>
      <c r="DK2" s="712"/>
      <c r="DL2" s="712"/>
      <c r="DM2" s="712"/>
      <c r="DN2" s="712"/>
      <c r="DO2" s="712"/>
    </row>
    <row r="3" spans="1:236" x14ac:dyDescent="0.25">
      <c r="A3" s="712"/>
      <c r="B3" s="712"/>
      <c r="C3" s="712"/>
      <c r="D3" s="712"/>
      <c r="E3" s="712"/>
      <c r="F3" s="712"/>
      <c r="G3" s="712"/>
      <c r="H3" s="712"/>
      <c r="I3" s="712"/>
      <c r="J3" s="712"/>
      <c r="K3" s="712"/>
      <c r="L3" s="712"/>
      <c r="M3" s="712"/>
      <c r="N3" s="712"/>
      <c r="O3" s="712"/>
      <c r="P3" s="712"/>
      <c r="Q3" s="712"/>
      <c r="R3" s="712"/>
      <c r="S3" s="712"/>
      <c r="T3" s="712"/>
      <c r="U3" s="712"/>
      <c r="V3" s="712"/>
      <c r="W3" s="712"/>
      <c r="X3" s="712"/>
      <c r="Y3" s="712"/>
      <c r="Z3" s="712"/>
      <c r="AA3" s="712"/>
      <c r="AB3" s="712"/>
      <c r="AC3" s="712"/>
      <c r="AD3" s="712"/>
      <c r="AE3" s="712"/>
      <c r="AF3" s="712"/>
      <c r="AG3" s="712"/>
      <c r="AH3" s="712"/>
      <c r="AI3" s="712"/>
      <c r="AJ3" s="712"/>
      <c r="AK3" s="712"/>
      <c r="AL3" s="712"/>
      <c r="AM3" s="712"/>
      <c r="AN3" s="712"/>
      <c r="AO3" s="712"/>
      <c r="AP3" s="712"/>
      <c r="AQ3" s="712"/>
      <c r="AR3" s="712"/>
      <c r="AS3" s="712"/>
      <c r="AT3" s="712"/>
      <c r="AU3" s="712"/>
      <c r="AV3" s="712"/>
      <c r="AW3" s="712"/>
      <c r="AX3" s="712"/>
      <c r="AY3" s="712"/>
      <c r="AZ3" s="712"/>
      <c r="BA3" s="712"/>
      <c r="BB3" s="712"/>
      <c r="BC3" s="712"/>
      <c r="BD3" s="712"/>
      <c r="BE3" s="712"/>
      <c r="BF3" s="712"/>
      <c r="BG3" s="712"/>
      <c r="BH3" s="712"/>
      <c r="BI3" s="712"/>
      <c r="BJ3" s="712"/>
      <c r="BK3" s="712"/>
      <c r="BL3" s="712"/>
      <c r="BM3" s="712"/>
      <c r="BN3" s="712"/>
      <c r="BO3" s="712"/>
      <c r="BP3" s="712"/>
      <c r="BQ3" s="712"/>
      <c r="BR3" s="712"/>
      <c r="BS3" s="712"/>
      <c r="BT3" s="712"/>
      <c r="BU3" s="712"/>
      <c r="BV3" s="712"/>
      <c r="BW3" s="712"/>
      <c r="BX3" s="712"/>
      <c r="BY3" s="712"/>
      <c r="BZ3" s="712"/>
      <c r="CA3" s="712"/>
      <c r="CB3" s="712"/>
      <c r="CC3" s="712"/>
      <c r="CD3" s="712"/>
      <c r="CE3" s="712"/>
      <c r="CF3" s="712"/>
      <c r="CG3" s="712"/>
      <c r="CH3" s="712"/>
      <c r="CI3" s="712"/>
      <c r="CJ3" s="712"/>
      <c r="CK3" s="712"/>
      <c r="CL3" s="712"/>
      <c r="CM3" s="712"/>
      <c r="CN3" s="712"/>
      <c r="CO3" s="712"/>
      <c r="CP3" s="712"/>
      <c r="CQ3" s="712"/>
      <c r="CR3" s="712"/>
      <c r="CS3" s="712"/>
      <c r="CT3" s="712"/>
      <c r="CU3" s="712"/>
      <c r="CV3" s="712"/>
      <c r="CW3" s="712"/>
      <c r="CX3" s="712"/>
      <c r="CY3" s="712"/>
      <c r="CZ3" s="712"/>
      <c r="DA3" s="712"/>
      <c r="DB3" s="712"/>
      <c r="DC3" s="712"/>
      <c r="DD3" s="712"/>
      <c r="DE3" s="712"/>
      <c r="DF3" s="712"/>
      <c r="DG3" s="712"/>
      <c r="DH3" s="712"/>
      <c r="DI3" s="712"/>
      <c r="DJ3" s="712"/>
      <c r="DK3" s="712"/>
      <c r="DL3" s="712"/>
      <c r="DM3" s="712"/>
      <c r="DN3" s="712"/>
      <c r="DO3" s="712"/>
    </row>
    <row r="4" spans="1:236" ht="14.45" customHeight="1" x14ac:dyDescent="0.25">
      <c r="A4" s="47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47"/>
      <c r="B5" s="7"/>
      <c r="C5" s="632"/>
      <c r="D5" s="632"/>
      <c r="E5" s="632"/>
      <c r="F5" s="632"/>
      <c r="G5" s="632"/>
      <c r="H5" s="632"/>
      <c r="I5" s="5"/>
      <c r="J5" s="7"/>
      <c r="K5" s="9"/>
      <c r="L5" s="9"/>
      <c r="M5" s="9"/>
      <c r="N5" s="9"/>
      <c r="O5" s="770"/>
      <c r="P5" s="770"/>
      <c r="Q5" s="770"/>
      <c r="R5" s="770"/>
      <c r="S5" s="770"/>
      <c r="T5" s="770"/>
      <c r="U5" s="770"/>
      <c r="V5" s="7"/>
      <c r="W5" s="9"/>
      <c r="X5" s="9"/>
      <c r="Y5" s="9"/>
      <c r="AA5" s="769"/>
      <c r="AB5" s="770"/>
      <c r="AC5" s="770"/>
      <c r="AD5" s="770"/>
      <c r="AE5" s="770"/>
      <c r="AF5" s="770"/>
      <c r="AG5" s="770"/>
      <c r="AH5" s="7"/>
      <c r="AI5" s="7"/>
      <c r="AJ5" s="7"/>
      <c r="AL5" s="769"/>
      <c r="AM5" s="770"/>
      <c r="AN5" s="770"/>
      <c r="AO5" s="770"/>
      <c r="AP5" s="770"/>
      <c r="AQ5" s="770"/>
      <c r="AR5" s="770"/>
      <c r="AS5" s="7"/>
      <c r="AZ5" s="769"/>
      <c r="BA5" s="770"/>
      <c r="BB5" s="770"/>
      <c r="BC5" s="770"/>
      <c r="BD5" s="770"/>
      <c r="BE5" s="770"/>
      <c r="BF5" s="770"/>
      <c r="BG5" s="7"/>
      <c r="BL5" s="769"/>
      <c r="BM5" s="770"/>
      <c r="BN5" s="770"/>
      <c r="BO5" s="770"/>
      <c r="BP5" s="770"/>
      <c r="BQ5" s="770"/>
      <c r="BR5" s="770"/>
      <c r="BS5" s="7"/>
      <c r="CE5" s="769"/>
      <c r="CF5" s="770"/>
      <c r="CG5" s="770"/>
      <c r="CH5" s="770"/>
      <c r="CI5" s="770"/>
      <c r="CJ5" s="770"/>
      <c r="CK5" s="770"/>
      <c r="CL5" s="7"/>
      <c r="CW5" s="769"/>
      <c r="CX5" s="770"/>
      <c r="CY5" s="770"/>
      <c r="CZ5" s="770"/>
      <c r="DA5" s="770"/>
      <c r="DB5" s="770"/>
      <c r="DC5" s="770"/>
      <c r="DQ5" s="769"/>
      <c r="DR5" s="770"/>
      <c r="DS5" s="770"/>
      <c r="DT5" s="770"/>
      <c r="DU5" s="770"/>
      <c r="DV5" s="770"/>
      <c r="DW5" s="770"/>
      <c r="EK5" s="769"/>
      <c r="EL5" s="770"/>
      <c r="EM5" s="770"/>
      <c r="EN5" s="770"/>
      <c r="EO5" s="770"/>
      <c r="EP5" s="770"/>
      <c r="EQ5" s="770"/>
      <c r="FP5" s="769"/>
      <c r="FQ5" s="770"/>
      <c r="FR5" s="770"/>
      <c r="FS5" s="770"/>
      <c r="FT5" s="770"/>
      <c r="FU5" s="770"/>
      <c r="FV5" s="770"/>
      <c r="GM5" s="769"/>
      <c r="GN5" s="770"/>
      <c r="GO5" s="770"/>
      <c r="GP5" s="770"/>
      <c r="GQ5" s="770"/>
      <c r="GR5" s="770"/>
      <c r="GS5" s="770"/>
      <c r="HH5" s="769"/>
      <c r="HI5" s="770"/>
      <c r="HJ5" s="770"/>
      <c r="HK5" s="770"/>
      <c r="HL5" s="770"/>
      <c r="HM5" s="770"/>
      <c r="HN5" s="770"/>
      <c r="HS5" s="769"/>
      <c r="HT5" s="770"/>
      <c r="HU5" s="770"/>
      <c r="HV5" s="770"/>
      <c r="HW5" s="770"/>
      <c r="HX5" s="770"/>
      <c r="HY5" s="770"/>
    </row>
    <row r="6" spans="1:236" ht="14.45" customHeight="1" x14ac:dyDescent="0.25">
      <c r="A6" s="47"/>
      <c r="B6" s="7"/>
      <c r="C6" s="632"/>
      <c r="D6" s="632"/>
      <c r="E6" s="632"/>
      <c r="F6" s="632"/>
      <c r="G6" s="632"/>
      <c r="H6" s="632"/>
      <c r="I6" s="5"/>
      <c r="J6" s="7"/>
      <c r="K6" s="9"/>
      <c r="L6" s="9"/>
      <c r="M6" s="9"/>
      <c r="N6" s="9"/>
      <c r="O6" s="770"/>
      <c r="P6" s="770"/>
      <c r="Q6" s="770"/>
      <c r="R6" s="770"/>
      <c r="S6" s="770"/>
      <c r="T6" s="770"/>
      <c r="U6" s="770"/>
      <c r="V6" s="7"/>
      <c r="W6" s="9"/>
      <c r="X6" s="9"/>
      <c r="Y6" s="9"/>
      <c r="AA6" s="770"/>
      <c r="AB6" s="770"/>
      <c r="AC6" s="770"/>
      <c r="AD6" s="770"/>
      <c r="AE6" s="770"/>
      <c r="AF6" s="770"/>
      <c r="AG6" s="770"/>
      <c r="AH6" s="7"/>
      <c r="AI6" s="7"/>
      <c r="AJ6" s="7"/>
      <c r="AL6" s="770"/>
      <c r="AM6" s="770"/>
      <c r="AN6" s="770"/>
      <c r="AO6" s="770"/>
      <c r="AP6" s="770"/>
      <c r="AQ6" s="770"/>
      <c r="AR6" s="770"/>
      <c r="AS6" s="7"/>
      <c r="AZ6" s="770"/>
      <c r="BA6" s="770"/>
      <c r="BB6" s="770"/>
      <c r="BC6" s="770"/>
      <c r="BD6" s="770"/>
      <c r="BE6" s="770"/>
      <c r="BF6" s="770"/>
      <c r="BG6" s="7"/>
      <c r="BL6" s="770"/>
      <c r="BM6" s="770"/>
      <c r="BN6" s="770"/>
      <c r="BO6" s="770"/>
      <c r="BP6" s="770"/>
      <c r="BQ6" s="770"/>
      <c r="BR6" s="770"/>
      <c r="BS6" s="7"/>
      <c r="CE6" s="770"/>
      <c r="CF6" s="770"/>
      <c r="CG6" s="770"/>
      <c r="CH6" s="770"/>
      <c r="CI6" s="770"/>
      <c r="CJ6" s="770"/>
      <c r="CK6" s="770"/>
      <c r="CL6" s="7"/>
      <c r="CW6" s="770"/>
      <c r="CX6" s="770"/>
      <c r="CY6" s="770"/>
      <c r="CZ6" s="770"/>
      <c r="DA6" s="770"/>
      <c r="DB6" s="770"/>
      <c r="DC6" s="770"/>
      <c r="DQ6" s="770"/>
      <c r="DR6" s="770"/>
      <c r="DS6" s="770"/>
      <c r="DT6" s="770"/>
      <c r="DU6" s="770"/>
      <c r="DV6" s="770"/>
      <c r="DW6" s="770"/>
      <c r="EK6" s="770"/>
      <c r="EL6" s="770"/>
      <c r="EM6" s="770"/>
      <c r="EN6" s="770"/>
      <c r="EO6" s="770"/>
      <c r="EP6" s="770"/>
      <c r="EQ6" s="770"/>
      <c r="FP6" s="770"/>
      <c r="FQ6" s="770"/>
      <c r="FR6" s="770"/>
      <c r="FS6" s="770"/>
      <c r="FT6" s="770"/>
      <c r="FU6" s="770"/>
      <c r="FV6" s="770"/>
      <c r="GM6" s="770"/>
      <c r="GN6" s="770"/>
      <c r="GO6" s="770"/>
      <c r="GP6" s="770"/>
      <c r="GQ6" s="770"/>
      <c r="GR6" s="770"/>
      <c r="GS6" s="770"/>
      <c r="HH6" s="770"/>
      <c r="HI6" s="770"/>
      <c r="HJ6" s="770"/>
      <c r="HK6" s="770"/>
      <c r="HL6" s="770"/>
      <c r="HM6" s="770"/>
      <c r="HN6" s="770"/>
      <c r="HS6" s="770"/>
      <c r="HT6" s="770"/>
      <c r="HU6" s="770"/>
      <c r="HV6" s="770"/>
      <c r="HW6" s="770"/>
      <c r="HX6" s="770"/>
      <c r="HY6" s="770"/>
    </row>
    <row r="7" spans="1:236" ht="14.45" customHeight="1" x14ac:dyDescent="0.25">
      <c r="A7" s="47"/>
      <c r="B7" s="10"/>
      <c r="C7" s="673" t="s">
        <v>2</v>
      </c>
      <c r="D7" s="673"/>
      <c r="E7" s="673"/>
      <c r="F7" s="673"/>
      <c r="G7" s="673"/>
      <c r="H7" s="133" t="s">
        <v>3</v>
      </c>
      <c r="I7" s="132">
        <v>44782</v>
      </c>
      <c r="J7" s="134">
        <v>44800</v>
      </c>
      <c r="K7" s="129"/>
      <c r="L7" s="18" t="s">
        <v>1</v>
      </c>
      <c r="M7" s="18" t="s">
        <v>72</v>
      </c>
      <c r="N7" s="17"/>
      <c r="R7" s="768"/>
      <c r="S7" s="768"/>
      <c r="T7" s="768"/>
      <c r="U7" s="10"/>
      <c r="V7" s="17"/>
      <c r="W7" s="17"/>
      <c r="X7" s="17"/>
      <c r="Y7" s="17"/>
      <c r="Z7" s="17"/>
      <c r="AA7" s="767"/>
      <c r="AB7" s="767"/>
      <c r="AC7" s="767"/>
      <c r="AD7" s="767"/>
      <c r="AE7" s="767"/>
      <c r="AF7" s="767"/>
      <c r="AG7" s="10"/>
      <c r="AH7" s="17"/>
      <c r="AI7" s="17"/>
      <c r="AJ7" s="17"/>
      <c r="AL7" s="767"/>
      <c r="AM7" s="767"/>
      <c r="AN7" s="767"/>
      <c r="AO7" s="767"/>
      <c r="AP7" s="767"/>
      <c r="AQ7" s="767"/>
      <c r="AR7" s="10"/>
      <c r="AS7" s="17"/>
      <c r="AT7" s="17"/>
      <c r="AU7" s="17"/>
      <c r="AV7" s="17"/>
      <c r="AW7" s="17"/>
      <c r="AX7" s="17"/>
      <c r="AY7" s="17"/>
      <c r="AZ7" s="767"/>
      <c r="BA7" s="767"/>
      <c r="BB7" s="767"/>
      <c r="BC7" s="767"/>
      <c r="BD7" s="767"/>
      <c r="BE7" s="767"/>
      <c r="BF7" s="10"/>
      <c r="BG7" s="17"/>
      <c r="BH7" s="17"/>
      <c r="BI7" s="17"/>
      <c r="BJ7" s="17"/>
      <c r="BK7" s="17"/>
      <c r="BL7" s="767"/>
      <c r="BM7" s="767"/>
      <c r="BN7" s="767"/>
      <c r="BO7" s="767"/>
      <c r="BP7" s="767"/>
      <c r="BQ7" s="767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767"/>
      <c r="CF7" s="767"/>
      <c r="CG7" s="767"/>
      <c r="CH7" s="767"/>
      <c r="CI7" s="767"/>
      <c r="CJ7" s="767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767"/>
      <c r="CX7" s="767"/>
      <c r="CY7" s="767"/>
      <c r="CZ7" s="767"/>
      <c r="DA7" s="767"/>
      <c r="DB7" s="767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767"/>
      <c r="DR7" s="767"/>
      <c r="DS7" s="767"/>
      <c r="DT7" s="767"/>
      <c r="DU7" s="767"/>
      <c r="DV7" s="767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767"/>
      <c r="EL7" s="767"/>
      <c r="EM7" s="767"/>
      <c r="EN7" s="767"/>
      <c r="EO7" s="767"/>
      <c r="EP7" s="767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767"/>
      <c r="FQ7" s="767"/>
      <c r="FR7" s="767"/>
      <c r="FS7" s="767"/>
      <c r="FT7" s="767"/>
      <c r="FU7" s="767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767"/>
      <c r="GN7" s="767"/>
      <c r="GO7" s="767"/>
      <c r="GP7" s="767"/>
      <c r="GQ7" s="767"/>
      <c r="GR7" s="767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767"/>
      <c r="HI7" s="767"/>
      <c r="HJ7" s="767"/>
      <c r="HK7" s="767"/>
      <c r="HL7" s="767"/>
      <c r="HM7" s="767"/>
      <c r="HN7" s="10"/>
      <c r="HO7" s="17"/>
      <c r="HP7" s="17"/>
      <c r="HQ7" s="17"/>
      <c r="HS7" s="767"/>
      <c r="HT7" s="767"/>
      <c r="HU7" s="767"/>
      <c r="HV7" s="767"/>
      <c r="HW7" s="767"/>
      <c r="HX7" s="767"/>
      <c r="HY7" s="10"/>
      <c r="HZ7" s="17"/>
      <c r="IA7" s="17"/>
      <c r="IB7" s="17"/>
    </row>
    <row r="8" spans="1:236" ht="14.45" customHeight="1" x14ac:dyDescent="0.25">
      <c r="A8" s="47"/>
      <c r="B8" s="12"/>
      <c r="C8" s="772" t="s">
        <v>119</v>
      </c>
      <c r="D8" s="772"/>
      <c r="E8" s="772"/>
      <c r="F8" s="772"/>
      <c r="G8" s="772"/>
      <c r="H8" s="102"/>
      <c r="I8" s="13"/>
      <c r="J8" s="13"/>
      <c r="K8" s="13"/>
      <c r="L8" s="19">
        <f>SUM(I8:K8)</f>
        <v>0</v>
      </c>
      <c r="M8" s="19">
        <f>L8*H8</f>
        <v>0</v>
      </c>
      <c r="N8" s="12"/>
      <c r="R8" s="768"/>
      <c r="S8" s="768"/>
      <c r="T8" s="768"/>
      <c r="U8" s="12"/>
      <c r="V8" s="12"/>
      <c r="W8" s="12"/>
      <c r="X8" s="12"/>
      <c r="Y8" s="12"/>
      <c r="Z8" s="6"/>
      <c r="AA8" s="771"/>
      <c r="AB8" s="771"/>
      <c r="AC8" s="771"/>
      <c r="AD8" s="771"/>
      <c r="AE8" s="771"/>
      <c r="AF8" s="10"/>
      <c r="AG8" s="12"/>
      <c r="AH8" s="12"/>
      <c r="AI8" s="12"/>
      <c r="AJ8" s="12"/>
      <c r="AL8" s="771"/>
      <c r="AM8" s="771"/>
      <c r="AN8" s="771"/>
      <c r="AO8" s="771"/>
      <c r="AP8" s="771"/>
      <c r="AQ8" s="771"/>
      <c r="AR8" s="12"/>
      <c r="AS8" s="12"/>
      <c r="AT8" s="12"/>
      <c r="AU8" s="12"/>
      <c r="AV8" s="12"/>
      <c r="AW8" s="12"/>
      <c r="AX8" s="12"/>
      <c r="AY8" s="12"/>
      <c r="AZ8" s="771"/>
      <c r="BA8" s="771"/>
      <c r="BB8" s="771"/>
      <c r="BC8" s="771"/>
      <c r="BD8" s="771"/>
      <c r="BE8" s="771"/>
      <c r="BF8" s="12"/>
      <c r="BG8" s="12"/>
      <c r="BH8" s="12"/>
      <c r="BI8" s="12"/>
      <c r="BJ8" s="12"/>
      <c r="BK8" s="12"/>
      <c r="BL8" s="771"/>
      <c r="BM8" s="771"/>
      <c r="BN8" s="771"/>
      <c r="BO8" s="771"/>
      <c r="BP8" s="771"/>
      <c r="BQ8" s="771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771"/>
      <c r="CF8" s="771"/>
      <c r="CG8" s="771"/>
      <c r="CH8" s="771"/>
      <c r="CI8" s="771"/>
      <c r="CJ8" s="771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771"/>
      <c r="CX8" s="771"/>
      <c r="CY8" s="771"/>
      <c r="CZ8" s="771"/>
      <c r="DA8" s="771"/>
      <c r="DB8" s="771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771"/>
      <c r="DR8" s="771"/>
      <c r="DS8" s="771"/>
      <c r="DT8" s="771"/>
      <c r="DU8" s="771"/>
      <c r="DV8" s="771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771"/>
      <c r="EL8" s="771"/>
      <c r="EM8" s="771"/>
      <c r="EN8" s="771"/>
      <c r="EO8" s="771"/>
      <c r="EP8" s="771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771"/>
      <c r="FQ8" s="771"/>
      <c r="FR8" s="771"/>
      <c r="FS8" s="771"/>
      <c r="FT8" s="771"/>
      <c r="FU8" s="771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771"/>
      <c r="GN8" s="771"/>
      <c r="GO8" s="771"/>
      <c r="GP8" s="771"/>
      <c r="GQ8" s="771"/>
      <c r="GR8" s="771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771"/>
      <c r="HI8" s="771"/>
      <c r="HJ8" s="771"/>
      <c r="HK8" s="771"/>
      <c r="HL8" s="771"/>
      <c r="HM8" s="771"/>
      <c r="HN8" s="12"/>
      <c r="HO8" s="12"/>
      <c r="HP8" s="12"/>
      <c r="HQ8" s="12"/>
      <c r="HS8" s="771"/>
      <c r="HT8" s="771"/>
      <c r="HU8" s="771"/>
      <c r="HV8" s="771"/>
      <c r="HW8" s="771"/>
      <c r="HX8" s="771"/>
      <c r="HY8" s="12"/>
      <c r="HZ8" s="12"/>
      <c r="IA8" s="12"/>
      <c r="IB8" s="12"/>
    </row>
    <row r="9" spans="1:236" ht="14.45" customHeight="1" x14ac:dyDescent="0.25">
      <c r="A9" s="47"/>
      <c r="B9" s="12"/>
      <c r="C9" s="772" t="s">
        <v>120</v>
      </c>
      <c r="D9" s="772"/>
      <c r="E9" s="772"/>
      <c r="F9" s="772"/>
      <c r="G9" s="772"/>
      <c r="H9" s="102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768"/>
      <c r="S9" s="768"/>
      <c r="T9" s="768"/>
      <c r="U9" s="12"/>
      <c r="V9" s="12"/>
      <c r="W9" s="12"/>
      <c r="X9" s="12"/>
      <c r="Y9" s="12"/>
      <c r="Z9" s="6"/>
      <c r="AA9" s="771"/>
      <c r="AB9" s="771"/>
      <c r="AC9" s="771"/>
      <c r="AD9" s="771"/>
      <c r="AE9" s="771"/>
      <c r="AF9" s="771"/>
      <c r="AG9" s="12"/>
      <c r="AH9" s="12"/>
      <c r="AI9" s="12"/>
      <c r="AJ9" s="12"/>
      <c r="AL9" s="771"/>
      <c r="AM9" s="771"/>
      <c r="AN9" s="771"/>
      <c r="AO9" s="771"/>
      <c r="AP9" s="771"/>
      <c r="AQ9" s="771"/>
      <c r="AR9" s="12"/>
      <c r="AS9" s="12"/>
      <c r="AT9" s="12"/>
      <c r="AU9" s="12"/>
      <c r="AV9" s="12"/>
      <c r="AW9" s="12"/>
      <c r="AX9" s="12"/>
      <c r="AY9" s="12"/>
      <c r="AZ9" s="771"/>
      <c r="BA9" s="771"/>
      <c r="BB9" s="771"/>
      <c r="BC9" s="771"/>
      <c r="BD9" s="771"/>
      <c r="BE9" s="771"/>
      <c r="BF9" s="12"/>
      <c r="BG9" s="12"/>
      <c r="BH9" s="12"/>
      <c r="BI9" s="12"/>
      <c r="BJ9" s="12"/>
      <c r="BK9" s="12"/>
      <c r="BL9" s="771"/>
      <c r="BM9" s="771"/>
      <c r="BN9" s="771"/>
      <c r="BO9" s="771"/>
      <c r="BP9" s="771"/>
      <c r="BQ9" s="771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771"/>
      <c r="CF9" s="771"/>
      <c r="CG9" s="771"/>
      <c r="CH9" s="771"/>
      <c r="CI9" s="771"/>
      <c r="CJ9" s="771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771"/>
      <c r="CX9" s="771"/>
      <c r="CY9" s="771"/>
      <c r="CZ9" s="771"/>
      <c r="DA9" s="771"/>
      <c r="DB9" s="771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771"/>
      <c r="DR9" s="771"/>
      <c r="DS9" s="771"/>
      <c r="DT9" s="771"/>
      <c r="DU9" s="771"/>
      <c r="DV9" s="771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771"/>
      <c r="EL9" s="771"/>
      <c r="EM9" s="771"/>
      <c r="EN9" s="771"/>
      <c r="EO9" s="771"/>
      <c r="EP9" s="771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771"/>
      <c r="FQ9" s="771"/>
      <c r="FR9" s="771"/>
      <c r="FS9" s="771"/>
      <c r="FT9" s="771"/>
      <c r="FU9" s="771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771"/>
      <c r="GN9" s="771"/>
      <c r="GO9" s="771"/>
      <c r="GP9" s="771"/>
      <c r="GQ9" s="771"/>
      <c r="GR9" s="771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771"/>
      <c r="HI9" s="771"/>
      <c r="HJ9" s="771"/>
      <c r="HK9" s="771"/>
      <c r="HL9" s="771"/>
      <c r="HM9" s="771"/>
      <c r="HN9" s="12"/>
      <c r="HO9" s="12"/>
      <c r="HP9" s="12"/>
      <c r="HQ9" s="12"/>
      <c r="HS9" s="771"/>
      <c r="HT9" s="771"/>
      <c r="HU9" s="771"/>
      <c r="HV9" s="771"/>
      <c r="HW9" s="771"/>
      <c r="HX9" s="771"/>
      <c r="HY9" s="12"/>
      <c r="HZ9" s="12"/>
      <c r="IA9" s="12"/>
      <c r="IB9" s="12"/>
    </row>
    <row r="10" spans="1:236" ht="14.45" customHeight="1" x14ac:dyDescent="0.25">
      <c r="A10" s="47"/>
      <c r="B10" s="12"/>
      <c r="C10" s="772" t="s">
        <v>122</v>
      </c>
      <c r="D10" s="772"/>
      <c r="E10" s="772"/>
      <c r="F10" s="772"/>
      <c r="G10" s="772"/>
      <c r="H10" s="102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768"/>
      <c r="S10" s="768"/>
      <c r="T10" s="768"/>
      <c r="U10" s="12"/>
      <c r="V10" s="12"/>
      <c r="W10" s="12"/>
      <c r="X10" s="12"/>
      <c r="Y10" s="12"/>
      <c r="Z10" s="6"/>
      <c r="AA10" s="771"/>
      <c r="AB10" s="771"/>
      <c r="AC10" s="771"/>
      <c r="AD10" s="771"/>
      <c r="AE10" s="771"/>
      <c r="AF10" s="771"/>
      <c r="AG10" s="12"/>
      <c r="AH10" s="12"/>
      <c r="AI10" s="12"/>
      <c r="AJ10" s="12"/>
      <c r="AL10" s="771"/>
      <c r="AM10" s="771"/>
      <c r="AN10" s="771"/>
      <c r="AO10" s="771"/>
      <c r="AP10" s="771"/>
      <c r="AQ10" s="771"/>
      <c r="AR10" s="12"/>
      <c r="AS10" s="12"/>
      <c r="AT10" s="12"/>
      <c r="AU10" s="12"/>
      <c r="AV10" s="12"/>
      <c r="AW10" s="12"/>
      <c r="AX10" s="12"/>
      <c r="AY10" s="12"/>
      <c r="AZ10" s="771"/>
      <c r="BA10" s="771"/>
      <c r="BB10" s="771"/>
      <c r="BC10" s="771"/>
      <c r="BD10" s="771"/>
      <c r="BE10" s="771"/>
      <c r="BF10" s="12"/>
      <c r="BG10" s="12"/>
      <c r="BH10" s="12"/>
      <c r="BI10" s="12"/>
      <c r="BJ10" s="12"/>
      <c r="BK10" s="12"/>
      <c r="BL10" s="771"/>
      <c r="BM10" s="771"/>
      <c r="BN10" s="771"/>
      <c r="BO10" s="771"/>
      <c r="BP10" s="771"/>
      <c r="BQ10" s="771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771"/>
      <c r="CF10" s="771"/>
      <c r="CG10" s="771"/>
      <c r="CH10" s="771"/>
      <c r="CI10" s="771"/>
      <c r="CJ10" s="771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771"/>
      <c r="CX10" s="771"/>
      <c r="CY10" s="771"/>
      <c r="CZ10" s="771"/>
      <c r="DA10" s="771"/>
      <c r="DB10" s="771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771"/>
      <c r="DR10" s="771"/>
      <c r="DS10" s="771"/>
      <c r="DT10" s="771"/>
      <c r="DU10" s="771"/>
      <c r="DV10" s="771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771"/>
      <c r="EL10" s="771"/>
      <c r="EM10" s="771"/>
      <c r="EN10" s="771"/>
      <c r="EO10" s="771"/>
      <c r="EP10" s="771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771"/>
      <c r="FQ10" s="771"/>
      <c r="FR10" s="771"/>
      <c r="FS10" s="771"/>
      <c r="FT10" s="771"/>
      <c r="FU10" s="771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771"/>
      <c r="GN10" s="771"/>
      <c r="GO10" s="771"/>
      <c r="GP10" s="771"/>
      <c r="GQ10" s="771"/>
      <c r="GR10" s="771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771"/>
      <c r="HI10" s="771"/>
      <c r="HJ10" s="771"/>
      <c r="HK10" s="771"/>
      <c r="HL10" s="771"/>
      <c r="HM10" s="771"/>
      <c r="HN10" s="12"/>
      <c r="HO10" s="12"/>
      <c r="HP10" s="12"/>
      <c r="HQ10" s="12"/>
      <c r="HS10" s="771"/>
      <c r="HT10" s="771"/>
      <c r="HU10" s="771"/>
      <c r="HV10" s="771"/>
      <c r="HW10" s="771"/>
      <c r="HX10" s="771"/>
      <c r="HY10" s="12"/>
      <c r="HZ10" s="12"/>
      <c r="IA10" s="12"/>
      <c r="IB10" s="12"/>
    </row>
    <row r="11" spans="1:236" ht="14.45" customHeight="1" x14ac:dyDescent="0.25">
      <c r="A11" s="47"/>
      <c r="B11" s="12"/>
      <c r="C11" s="772" t="s">
        <v>121</v>
      </c>
      <c r="D11" s="772"/>
      <c r="E11" s="772"/>
      <c r="F11" s="772"/>
      <c r="G11" s="772"/>
      <c r="H11" s="102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768"/>
      <c r="S11" s="768"/>
      <c r="T11" s="768"/>
      <c r="U11" s="12"/>
      <c r="V11" s="12"/>
      <c r="W11" s="12"/>
      <c r="X11" s="12"/>
      <c r="Y11" s="12"/>
      <c r="Z11" s="6"/>
      <c r="AA11" s="771"/>
      <c r="AB11" s="771"/>
      <c r="AC11" s="771"/>
      <c r="AD11" s="771"/>
      <c r="AE11" s="771"/>
      <c r="AF11" s="771"/>
      <c r="AG11" s="12"/>
      <c r="AH11" s="12"/>
      <c r="AI11" s="12"/>
      <c r="AJ11" s="12"/>
      <c r="AL11" s="771"/>
      <c r="AM11" s="771"/>
      <c r="AN11" s="771"/>
      <c r="AO11" s="771"/>
      <c r="AP11" s="771"/>
      <c r="AQ11" s="771"/>
      <c r="AR11" s="12"/>
      <c r="AS11" s="12"/>
      <c r="AT11" s="12"/>
      <c r="AU11" s="12"/>
      <c r="AV11" s="12"/>
      <c r="AW11" s="12"/>
      <c r="AX11" s="12"/>
      <c r="AY11" s="12"/>
      <c r="AZ11" s="771"/>
      <c r="BA11" s="771"/>
      <c r="BB11" s="771"/>
      <c r="BC11" s="771"/>
      <c r="BD11" s="771"/>
      <c r="BE11" s="771"/>
      <c r="BF11" s="12"/>
      <c r="BG11" s="12"/>
      <c r="BH11" s="12"/>
      <c r="BI11" s="12"/>
      <c r="BJ11" s="12"/>
      <c r="BK11" s="12"/>
      <c r="BL11" s="771"/>
      <c r="BM11" s="771"/>
      <c r="BN11" s="771"/>
      <c r="BO11" s="771"/>
      <c r="BP11" s="771"/>
      <c r="BQ11" s="771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771"/>
      <c r="CF11" s="771"/>
      <c r="CG11" s="771"/>
      <c r="CH11" s="771"/>
      <c r="CI11" s="771"/>
      <c r="CJ11" s="771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771"/>
      <c r="CX11" s="771"/>
      <c r="CY11" s="771"/>
      <c r="CZ11" s="771"/>
      <c r="DA11" s="771"/>
      <c r="DB11" s="771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771"/>
      <c r="DR11" s="771"/>
      <c r="DS11" s="771"/>
      <c r="DT11" s="771"/>
      <c r="DU11" s="771"/>
      <c r="DV11" s="771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771"/>
      <c r="EL11" s="771"/>
      <c r="EM11" s="771"/>
      <c r="EN11" s="771"/>
      <c r="EO11" s="771"/>
      <c r="EP11" s="771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771"/>
      <c r="FQ11" s="771"/>
      <c r="FR11" s="771"/>
      <c r="FS11" s="771"/>
      <c r="FT11" s="771"/>
      <c r="FU11" s="771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771"/>
      <c r="GN11" s="771"/>
      <c r="GO11" s="771"/>
      <c r="GP11" s="771"/>
      <c r="GQ11" s="771"/>
      <c r="GR11" s="771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771"/>
      <c r="HI11" s="771"/>
      <c r="HJ11" s="771"/>
      <c r="HK11" s="771"/>
      <c r="HL11" s="771"/>
      <c r="HM11" s="771"/>
      <c r="HN11" s="12"/>
      <c r="HO11" s="12"/>
      <c r="HP11" s="12"/>
      <c r="HQ11" s="12"/>
      <c r="HS11" s="771"/>
      <c r="HT11" s="771"/>
      <c r="HU11" s="771"/>
      <c r="HV11" s="771"/>
      <c r="HW11" s="771"/>
      <c r="HX11" s="771"/>
      <c r="HY11" s="12"/>
      <c r="HZ11" s="12"/>
      <c r="IA11" s="12"/>
      <c r="IB11" s="12"/>
    </row>
    <row r="12" spans="1:236" ht="14.45" customHeight="1" x14ac:dyDescent="0.25">
      <c r="A12" s="47"/>
      <c r="B12" s="14"/>
      <c r="C12" s="772" t="s">
        <v>123</v>
      </c>
      <c r="D12" s="772"/>
      <c r="E12" s="772"/>
      <c r="F12" s="772"/>
      <c r="G12" s="772"/>
      <c r="H12" s="102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768"/>
      <c r="S12" s="768"/>
      <c r="T12" s="768"/>
      <c r="U12" s="12"/>
      <c r="V12" s="12"/>
      <c r="W12" s="12"/>
      <c r="X12" s="12"/>
      <c r="Y12" s="12"/>
      <c r="Z12" s="6"/>
      <c r="AA12" s="771"/>
      <c r="AB12" s="771"/>
      <c r="AC12" s="771"/>
      <c r="AD12" s="771"/>
      <c r="AE12" s="771"/>
      <c r="AF12" s="771"/>
      <c r="AG12" s="12"/>
      <c r="AH12" s="12"/>
      <c r="AI12" s="12"/>
      <c r="AJ12" s="12"/>
      <c r="AL12" s="771"/>
      <c r="AM12" s="771"/>
      <c r="AN12" s="771"/>
      <c r="AO12" s="771"/>
      <c r="AP12" s="771"/>
      <c r="AQ12" s="771"/>
      <c r="AR12" s="12"/>
      <c r="AS12" s="12"/>
      <c r="AT12" s="12"/>
      <c r="AU12" s="12"/>
      <c r="AV12" s="12"/>
      <c r="AW12" s="12"/>
      <c r="AX12" s="12"/>
      <c r="AY12" s="12"/>
      <c r="AZ12" s="771"/>
      <c r="BA12" s="771"/>
      <c r="BB12" s="771"/>
      <c r="BC12" s="771"/>
      <c r="BD12" s="771"/>
      <c r="BE12" s="771"/>
      <c r="BF12" s="12"/>
      <c r="BG12" s="12"/>
      <c r="BH12" s="12"/>
      <c r="BI12" s="12"/>
      <c r="BJ12" s="12"/>
      <c r="BK12" s="12"/>
      <c r="BL12" s="771"/>
      <c r="BM12" s="771"/>
      <c r="BN12" s="771"/>
      <c r="BO12" s="771"/>
      <c r="BP12" s="771"/>
      <c r="BQ12" s="771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771"/>
      <c r="CF12" s="771"/>
      <c r="CG12" s="771"/>
      <c r="CH12" s="771"/>
      <c r="CI12" s="771"/>
      <c r="CJ12" s="771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771"/>
      <c r="CX12" s="771"/>
      <c r="CY12" s="771"/>
      <c r="CZ12" s="771"/>
      <c r="DA12" s="771"/>
      <c r="DB12" s="771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771"/>
      <c r="DR12" s="771"/>
      <c r="DS12" s="771"/>
      <c r="DT12" s="771"/>
      <c r="DU12" s="771"/>
      <c r="DV12" s="771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771"/>
      <c r="EL12" s="771"/>
      <c r="EM12" s="771"/>
      <c r="EN12" s="771"/>
      <c r="EO12" s="771"/>
      <c r="EP12" s="771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771"/>
      <c r="FQ12" s="771"/>
      <c r="FR12" s="771"/>
      <c r="FS12" s="771"/>
      <c r="FT12" s="771"/>
      <c r="FU12" s="771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771"/>
      <c r="GN12" s="771"/>
      <c r="GO12" s="771"/>
      <c r="GP12" s="771"/>
      <c r="GQ12" s="771"/>
      <c r="GR12" s="771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771"/>
      <c r="HI12" s="771"/>
      <c r="HJ12" s="771"/>
      <c r="HK12" s="771"/>
      <c r="HL12" s="771"/>
      <c r="HM12" s="771"/>
      <c r="HN12" s="12"/>
      <c r="HO12" s="12"/>
      <c r="HP12" s="12"/>
      <c r="HQ12" s="12"/>
      <c r="HS12" s="771"/>
      <c r="HT12" s="771"/>
      <c r="HU12" s="771"/>
      <c r="HV12" s="771"/>
      <c r="HW12" s="771"/>
      <c r="HX12" s="771"/>
      <c r="HY12" s="12"/>
      <c r="HZ12" s="12"/>
      <c r="IA12" s="12"/>
      <c r="IB12" s="12"/>
    </row>
    <row r="13" spans="1:236" ht="14.45" customHeight="1" x14ac:dyDescent="0.25">
      <c r="A13" s="47"/>
      <c r="B13" s="14"/>
      <c r="C13" s="772" t="s">
        <v>124</v>
      </c>
      <c r="D13" s="772"/>
      <c r="E13" s="772"/>
      <c r="F13" s="772"/>
      <c r="G13" s="772"/>
      <c r="H13" s="102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768"/>
      <c r="S13" s="768"/>
      <c r="T13" s="768"/>
      <c r="U13" s="12"/>
      <c r="V13" s="12"/>
      <c r="W13" s="12"/>
      <c r="X13" s="12"/>
      <c r="Y13" s="12"/>
      <c r="Z13" s="6"/>
      <c r="AA13" s="771"/>
      <c r="AB13" s="771"/>
      <c r="AC13" s="771"/>
      <c r="AD13" s="771"/>
      <c r="AE13" s="771"/>
      <c r="AF13" s="771"/>
      <c r="AG13" s="12"/>
      <c r="AH13" s="12"/>
      <c r="AI13" s="12"/>
      <c r="AJ13" s="12"/>
      <c r="AL13" s="771"/>
      <c r="AM13" s="771"/>
      <c r="AN13" s="771"/>
      <c r="AO13" s="771"/>
      <c r="AP13" s="771"/>
      <c r="AQ13" s="771"/>
      <c r="AR13" s="12"/>
      <c r="AS13" s="12"/>
      <c r="AT13" s="12"/>
      <c r="AU13" s="12"/>
      <c r="AV13" s="12"/>
      <c r="AW13" s="12"/>
      <c r="AX13" s="12"/>
      <c r="AY13" s="12"/>
      <c r="AZ13" s="771"/>
      <c r="BA13" s="771"/>
      <c r="BB13" s="771"/>
      <c r="BC13" s="771"/>
      <c r="BD13" s="771"/>
      <c r="BE13" s="771"/>
      <c r="BF13" s="12"/>
      <c r="BG13" s="12"/>
      <c r="BH13" s="12"/>
      <c r="BI13" s="12"/>
      <c r="BJ13" s="12"/>
      <c r="BK13" s="12"/>
      <c r="BL13" s="771"/>
      <c r="BM13" s="771"/>
      <c r="BN13" s="771"/>
      <c r="BO13" s="771"/>
      <c r="BP13" s="771"/>
      <c r="BQ13" s="771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771"/>
      <c r="CF13" s="771"/>
      <c r="CG13" s="771"/>
      <c r="CH13" s="771"/>
      <c r="CI13" s="771"/>
      <c r="CJ13" s="771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771"/>
      <c r="CX13" s="771"/>
      <c r="CY13" s="771"/>
      <c r="CZ13" s="771"/>
      <c r="DA13" s="771"/>
      <c r="DB13" s="771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771"/>
      <c r="DR13" s="771"/>
      <c r="DS13" s="771"/>
      <c r="DT13" s="771"/>
      <c r="DU13" s="771"/>
      <c r="DV13" s="771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771"/>
      <c r="EL13" s="771"/>
      <c r="EM13" s="771"/>
      <c r="EN13" s="771"/>
      <c r="EO13" s="771"/>
      <c r="EP13" s="771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771"/>
      <c r="FQ13" s="771"/>
      <c r="FR13" s="771"/>
      <c r="FS13" s="771"/>
      <c r="FT13" s="771"/>
      <c r="FU13" s="771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771"/>
      <c r="GN13" s="771"/>
      <c r="GO13" s="771"/>
      <c r="GP13" s="771"/>
      <c r="GQ13" s="771"/>
      <c r="GR13" s="771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771"/>
      <c r="HI13" s="771"/>
      <c r="HJ13" s="771"/>
      <c r="HK13" s="771"/>
      <c r="HL13" s="771"/>
      <c r="HM13" s="771"/>
      <c r="HN13" s="12"/>
      <c r="HO13" s="12"/>
      <c r="HP13" s="12"/>
      <c r="HQ13" s="12"/>
      <c r="HS13" s="771"/>
      <c r="HT13" s="771"/>
      <c r="HU13" s="771"/>
      <c r="HV13" s="771"/>
      <c r="HW13" s="771"/>
      <c r="HX13" s="771"/>
      <c r="HY13" s="12"/>
      <c r="HZ13" s="12"/>
      <c r="IA13" s="12"/>
      <c r="IB13" s="12"/>
    </row>
    <row r="14" spans="1:236" ht="14.45" customHeight="1" x14ac:dyDescent="0.25">
      <c r="A14" s="47"/>
      <c r="B14" s="14"/>
      <c r="C14" s="772" t="s">
        <v>127</v>
      </c>
      <c r="D14" s="772"/>
      <c r="E14" s="772"/>
      <c r="F14" s="772"/>
      <c r="G14" s="772"/>
      <c r="H14" s="102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768"/>
      <c r="S14" s="768"/>
      <c r="T14" s="768"/>
      <c r="U14" s="12"/>
      <c r="V14" s="12"/>
      <c r="W14" s="12"/>
      <c r="X14" s="12"/>
      <c r="Y14" s="12"/>
      <c r="Z14" s="6"/>
      <c r="AA14" s="771"/>
      <c r="AB14" s="771"/>
      <c r="AC14" s="771"/>
      <c r="AD14" s="771"/>
      <c r="AE14" s="771"/>
      <c r="AF14" s="771"/>
      <c r="AG14" s="12"/>
      <c r="AH14" s="12"/>
      <c r="AI14" s="12"/>
      <c r="AJ14" s="12"/>
      <c r="AL14" s="771"/>
      <c r="AM14" s="771"/>
      <c r="AN14" s="771"/>
      <c r="AO14" s="771"/>
      <c r="AP14" s="771"/>
      <c r="AQ14" s="771"/>
      <c r="AR14" s="12"/>
      <c r="AS14" s="12"/>
      <c r="AT14" s="12"/>
      <c r="AU14" s="12"/>
      <c r="AV14" s="12"/>
      <c r="AW14" s="12"/>
      <c r="AX14" s="12"/>
      <c r="AY14" s="12"/>
      <c r="AZ14" s="771"/>
      <c r="BA14" s="771"/>
      <c r="BB14" s="771"/>
      <c r="BC14" s="771"/>
      <c r="BD14" s="771"/>
      <c r="BE14" s="771"/>
      <c r="BF14" s="12"/>
      <c r="BG14" s="12"/>
      <c r="BH14" s="12"/>
      <c r="BI14" s="12"/>
      <c r="BJ14" s="12"/>
      <c r="BK14" s="12"/>
      <c r="BL14" s="771"/>
      <c r="BM14" s="771"/>
      <c r="BN14" s="771"/>
      <c r="BO14" s="771"/>
      <c r="BP14" s="771"/>
      <c r="BQ14" s="771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771"/>
      <c r="CF14" s="771"/>
      <c r="CG14" s="771"/>
      <c r="CH14" s="771"/>
      <c r="CI14" s="771"/>
      <c r="CJ14" s="771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771"/>
      <c r="CX14" s="771"/>
      <c r="CY14" s="771"/>
      <c r="CZ14" s="771"/>
      <c r="DA14" s="771"/>
      <c r="DB14" s="771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771"/>
      <c r="DR14" s="771"/>
      <c r="DS14" s="771"/>
      <c r="DT14" s="771"/>
      <c r="DU14" s="771"/>
      <c r="DV14" s="771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771"/>
      <c r="EL14" s="771"/>
      <c r="EM14" s="771"/>
      <c r="EN14" s="771"/>
      <c r="EO14" s="771"/>
      <c r="EP14" s="771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771"/>
      <c r="FQ14" s="771"/>
      <c r="FR14" s="771"/>
      <c r="FS14" s="771"/>
      <c r="FT14" s="771"/>
      <c r="FU14" s="771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771"/>
      <c r="GN14" s="771"/>
      <c r="GO14" s="771"/>
      <c r="GP14" s="771"/>
      <c r="GQ14" s="771"/>
      <c r="GR14" s="771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771"/>
      <c r="HI14" s="771"/>
      <c r="HJ14" s="771"/>
      <c r="HK14" s="771"/>
      <c r="HL14" s="771"/>
      <c r="HM14" s="771"/>
      <c r="HN14" s="12"/>
      <c r="HO14" s="12"/>
      <c r="HP14" s="12"/>
      <c r="HQ14" s="12"/>
      <c r="HS14" s="771"/>
      <c r="HT14" s="771"/>
      <c r="HU14" s="771"/>
      <c r="HV14" s="771"/>
      <c r="HW14" s="771"/>
      <c r="HX14" s="771"/>
      <c r="HY14" s="12"/>
      <c r="HZ14" s="12"/>
      <c r="IA14" s="12"/>
      <c r="IB14" s="12"/>
    </row>
    <row r="15" spans="1:236" ht="14.45" customHeight="1" x14ac:dyDescent="0.25">
      <c r="A15" s="47"/>
      <c r="B15" s="14"/>
      <c r="C15" s="772" t="s">
        <v>128</v>
      </c>
      <c r="D15" s="772"/>
      <c r="E15" s="772"/>
      <c r="F15" s="772"/>
      <c r="G15" s="772"/>
      <c r="H15" s="102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768"/>
      <c r="S15" s="768"/>
      <c r="T15" s="768"/>
      <c r="U15" s="12"/>
      <c r="V15" s="12"/>
      <c r="W15" s="12"/>
      <c r="X15" s="12"/>
      <c r="Y15" s="12"/>
      <c r="Z15" s="6"/>
      <c r="AA15" s="771"/>
      <c r="AB15" s="771"/>
      <c r="AC15" s="771"/>
      <c r="AD15" s="771"/>
      <c r="AE15" s="771"/>
      <c r="AF15" s="771"/>
      <c r="AG15" s="12"/>
      <c r="AH15" s="12"/>
      <c r="AI15" s="12"/>
      <c r="AJ15" s="12"/>
      <c r="AL15" s="771"/>
      <c r="AM15" s="771"/>
      <c r="AN15" s="771"/>
      <c r="AO15" s="771"/>
      <c r="AP15" s="771"/>
      <c r="AQ15" s="771"/>
      <c r="AR15" s="12"/>
      <c r="AS15" s="12"/>
      <c r="AT15" s="12"/>
      <c r="AU15" s="12"/>
      <c r="AV15" s="12"/>
      <c r="AW15" s="12"/>
      <c r="AX15" s="12"/>
      <c r="AY15" s="12"/>
      <c r="AZ15" s="771"/>
      <c r="BA15" s="771"/>
      <c r="BB15" s="771"/>
      <c r="BC15" s="771"/>
      <c r="BD15" s="771"/>
      <c r="BE15" s="771"/>
      <c r="BF15" s="12"/>
      <c r="BG15" s="12"/>
      <c r="BH15" s="12"/>
      <c r="BI15" s="12"/>
      <c r="BJ15" s="12"/>
      <c r="BK15" s="12"/>
      <c r="BL15" s="771"/>
      <c r="BM15" s="771"/>
      <c r="BN15" s="771"/>
      <c r="BO15" s="771"/>
      <c r="BP15" s="771"/>
      <c r="BQ15" s="771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771"/>
      <c r="CF15" s="771"/>
      <c r="CG15" s="771"/>
      <c r="CH15" s="771"/>
      <c r="CI15" s="771"/>
      <c r="CJ15" s="771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771"/>
      <c r="CX15" s="771"/>
      <c r="CY15" s="771"/>
      <c r="CZ15" s="771"/>
      <c r="DA15" s="771"/>
      <c r="DB15" s="771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771"/>
      <c r="DR15" s="771"/>
      <c r="DS15" s="771"/>
      <c r="DT15" s="771"/>
      <c r="DU15" s="771"/>
      <c r="DV15" s="771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771"/>
      <c r="EL15" s="771"/>
      <c r="EM15" s="771"/>
      <c r="EN15" s="771"/>
      <c r="EO15" s="771"/>
      <c r="EP15" s="771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771"/>
      <c r="FQ15" s="771"/>
      <c r="FR15" s="771"/>
      <c r="FS15" s="771"/>
      <c r="FT15" s="771"/>
      <c r="FU15" s="771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771"/>
      <c r="GN15" s="771"/>
      <c r="GO15" s="771"/>
      <c r="GP15" s="771"/>
      <c r="GQ15" s="771"/>
      <c r="GR15" s="771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771"/>
      <c r="HI15" s="771"/>
      <c r="HJ15" s="771"/>
      <c r="HK15" s="771"/>
      <c r="HL15" s="771"/>
      <c r="HM15" s="771"/>
      <c r="HN15" s="12"/>
      <c r="HO15" s="12"/>
      <c r="HP15" s="12"/>
      <c r="HQ15" s="12"/>
      <c r="HS15" s="771"/>
      <c r="HT15" s="771"/>
      <c r="HU15" s="771"/>
      <c r="HV15" s="771"/>
      <c r="HW15" s="771"/>
      <c r="HX15" s="771"/>
      <c r="HY15" s="12"/>
      <c r="HZ15" s="12"/>
      <c r="IA15" s="12"/>
      <c r="IB15" s="12"/>
    </row>
    <row r="16" spans="1:236" ht="14.45" customHeight="1" x14ac:dyDescent="0.25">
      <c r="A16" s="47"/>
      <c r="B16" s="14"/>
      <c r="C16" s="772" t="s">
        <v>129</v>
      </c>
      <c r="D16" s="772"/>
      <c r="E16" s="772"/>
      <c r="F16" s="772"/>
      <c r="G16" s="772"/>
      <c r="H16" s="102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768"/>
      <c r="S16" s="768"/>
      <c r="T16" s="768"/>
      <c r="U16" s="12"/>
      <c r="V16" s="12"/>
      <c r="W16" s="12"/>
      <c r="X16" s="12"/>
      <c r="Y16" s="12"/>
      <c r="Z16" s="6"/>
      <c r="AA16" s="771"/>
      <c r="AB16" s="771"/>
      <c r="AC16" s="771"/>
      <c r="AD16" s="771"/>
      <c r="AE16" s="771"/>
      <c r="AF16" s="771"/>
      <c r="AG16" s="12"/>
      <c r="AH16" s="12"/>
      <c r="AI16" s="12"/>
      <c r="AJ16" s="12"/>
      <c r="AL16" s="771"/>
      <c r="AM16" s="771"/>
      <c r="AN16" s="771"/>
      <c r="AO16" s="771"/>
      <c r="AP16" s="771"/>
      <c r="AQ16" s="771"/>
      <c r="AR16" s="12"/>
      <c r="AS16" s="12"/>
      <c r="AT16" s="12"/>
      <c r="AU16" s="12"/>
      <c r="AV16" s="12"/>
      <c r="AW16" s="12"/>
      <c r="AX16" s="12"/>
      <c r="AY16" s="12"/>
      <c r="AZ16" s="771"/>
      <c r="BA16" s="771"/>
      <c r="BB16" s="771"/>
      <c r="BC16" s="771"/>
      <c r="BD16" s="771"/>
      <c r="BE16" s="771"/>
      <c r="BF16" s="12"/>
      <c r="BG16" s="12"/>
      <c r="BH16" s="12"/>
      <c r="BI16" s="12"/>
      <c r="BJ16" s="12"/>
      <c r="BK16" s="12"/>
      <c r="BL16" s="771"/>
      <c r="BM16" s="771"/>
      <c r="BN16" s="771"/>
      <c r="BO16" s="771"/>
      <c r="BP16" s="771"/>
      <c r="BQ16" s="771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771"/>
      <c r="CF16" s="771"/>
      <c r="CG16" s="771"/>
      <c r="CH16" s="771"/>
      <c r="CI16" s="771"/>
      <c r="CJ16" s="771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771"/>
      <c r="CX16" s="771"/>
      <c r="CY16" s="771"/>
      <c r="CZ16" s="771"/>
      <c r="DA16" s="771"/>
      <c r="DB16" s="771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771"/>
      <c r="DR16" s="771"/>
      <c r="DS16" s="771"/>
      <c r="DT16" s="771"/>
      <c r="DU16" s="771"/>
      <c r="DV16" s="771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771"/>
      <c r="EL16" s="771"/>
      <c r="EM16" s="771"/>
      <c r="EN16" s="771"/>
      <c r="EO16" s="771"/>
      <c r="EP16" s="771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771"/>
      <c r="FQ16" s="771"/>
      <c r="FR16" s="771"/>
      <c r="FS16" s="771"/>
      <c r="FT16" s="771"/>
      <c r="FU16" s="771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771"/>
      <c r="GN16" s="771"/>
      <c r="GO16" s="771"/>
      <c r="GP16" s="771"/>
      <c r="GQ16" s="771"/>
      <c r="GR16" s="771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771"/>
      <c r="HI16" s="771"/>
      <c r="HJ16" s="771"/>
      <c r="HK16" s="771"/>
      <c r="HL16" s="771"/>
      <c r="HM16" s="771"/>
      <c r="HN16" s="12"/>
      <c r="HO16" s="12"/>
      <c r="HP16" s="12"/>
      <c r="HQ16" s="12"/>
      <c r="HS16" s="771"/>
      <c r="HT16" s="771"/>
      <c r="HU16" s="771"/>
      <c r="HV16" s="771"/>
      <c r="HW16" s="771"/>
      <c r="HX16" s="771"/>
      <c r="HY16" s="12"/>
      <c r="HZ16" s="12"/>
      <c r="IA16" s="12"/>
      <c r="IB16" s="12"/>
    </row>
    <row r="17" spans="1:236" ht="14.45" customHeight="1" x14ac:dyDescent="0.25">
      <c r="A17" s="47"/>
      <c r="B17" s="14"/>
      <c r="C17" s="772" t="s">
        <v>130</v>
      </c>
      <c r="D17" s="772"/>
      <c r="E17" s="772"/>
      <c r="F17" s="772"/>
      <c r="G17" s="772"/>
      <c r="H17" s="102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768"/>
      <c r="S17" s="768"/>
      <c r="T17" s="768"/>
      <c r="U17" s="12"/>
      <c r="V17" s="12"/>
      <c r="W17" s="12"/>
      <c r="X17" s="12"/>
      <c r="Y17" s="12"/>
      <c r="Z17" s="6"/>
      <c r="AA17" s="771"/>
      <c r="AB17" s="771"/>
      <c r="AC17" s="771"/>
      <c r="AD17" s="771"/>
      <c r="AE17" s="771"/>
      <c r="AF17" s="771"/>
      <c r="AG17" s="12"/>
      <c r="AH17" s="12"/>
      <c r="AI17" s="12"/>
      <c r="AJ17" s="12"/>
      <c r="AL17" s="771"/>
      <c r="AM17" s="771"/>
      <c r="AN17" s="771"/>
      <c r="AO17" s="771"/>
      <c r="AP17" s="771"/>
      <c r="AQ17" s="771"/>
      <c r="AR17" s="12"/>
      <c r="AS17" s="12"/>
      <c r="AT17" s="12"/>
      <c r="AU17" s="12"/>
      <c r="AV17" s="12"/>
      <c r="AW17" s="12"/>
      <c r="AX17" s="12"/>
      <c r="AY17" s="12"/>
      <c r="AZ17" s="771"/>
      <c r="BA17" s="771"/>
      <c r="BB17" s="771"/>
      <c r="BC17" s="771"/>
      <c r="BD17" s="771"/>
      <c r="BE17" s="771"/>
      <c r="BF17" s="12"/>
      <c r="BG17" s="12"/>
      <c r="BH17" s="12"/>
      <c r="BI17" s="12"/>
      <c r="BJ17" s="12"/>
      <c r="BK17" s="12"/>
      <c r="BL17" s="771"/>
      <c r="BM17" s="771"/>
      <c r="BN17" s="771"/>
      <c r="BO17" s="771"/>
      <c r="BP17" s="771"/>
      <c r="BQ17" s="771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771"/>
      <c r="CF17" s="771"/>
      <c r="CG17" s="771"/>
      <c r="CH17" s="771"/>
      <c r="CI17" s="771"/>
      <c r="CJ17" s="771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771"/>
      <c r="CX17" s="771"/>
      <c r="CY17" s="771"/>
      <c r="CZ17" s="771"/>
      <c r="DA17" s="771"/>
      <c r="DB17" s="771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771"/>
      <c r="DR17" s="771"/>
      <c r="DS17" s="771"/>
      <c r="DT17" s="771"/>
      <c r="DU17" s="771"/>
      <c r="DV17" s="771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771"/>
      <c r="EL17" s="771"/>
      <c r="EM17" s="771"/>
      <c r="EN17" s="771"/>
      <c r="EO17" s="771"/>
      <c r="EP17" s="771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771"/>
      <c r="FQ17" s="771"/>
      <c r="FR17" s="771"/>
      <c r="FS17" s="771"/>
      <c r="FT17" s="771"/>
      <c r="FU17" s="771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771"/>
      <c r="GN17" s="771"/>
      <c r="GO17" s="771"/>
      <c r="GP17" s="771"/>
      <c r="GQ17" s="771"/>
      <c r="GR17" s="771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771"/>
      <c r="HI17" s="771"/>
      <c r="HJ17" s="771"/>
      <c r="HK17" s="771"/>
      <c r="HL17" s="771"/>
      <c r="HM17" s="771"/>
      <c r="HN17" s="12"/>
      <c r="HO17" s="12"/>
      <c r="HP17" s="12"/>
      <c r="HQ17" s="12"/>
      <c r="HS17" s="771"/>
      <c r="HT17" s="771"/>
      <c r="HU17" s="771"/>
      <c r="HV17" s="771"/>
      <c r="HW17" s="771"/>
      <c r="HX17" s="771"/>
      <c r="HY17" s="12"/>
      <c r="HZ17" s="12"/>
      <c r="IA17" s="12"/>
      <c r="IB17" s="12"/>
    </row>
    <row r="18" spans="1:236" ht="14.45" customHeight="1" x14ac:dyDescent="0.25">
      <c r="A18" s="47"/>
      <c r="B18" s="14"/>
      <c r="C18" s="772" t="s">
        <v>139</v>
      </c>
      <c r="D18" s="772"/>
      <c r="E18" s="772"/>
      <c r="F18" s="772"/>
      <c r="G18" s="772"/>
      <c r="H18" s="102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768"/>
      <c r="S18" s="768"/>
      <c r="T18" s="768"/>
      <c r="U18" s="12"/>
      <c r="V18" s="12"/>
      <c r="W18" s="12"/>
      <c r="X18" s="12"/>
      <c r="Y18" s="12"/>
      <c r="Z18" s="6"/>
      <c r="AA18" s="771"/>
      <c r="AB18" s="771"/>
      <c r="AC18" s="771"/>
      <c r="AD18" s="771"/>
      <c r="AE18" s="771"/>
      <c r="AF18" s="771"/>
      <c r="AG18" s="12"/>
      <c r="AH18" s="12"/>
      <c r="AI18" s="12"/>
      <c r="AJ18" s="12"/>
      <c r="AL18" s="771"/>
      <c r="AM18" s="771"/>
      <c r="AN18" s="771"/>
      <c r="AO18" s="771"/>
      <c r="AP18" s="771"/>
      <c r="AQ18" s="771"/>
      <c r="AR18" s="12"/>
      <c r="AS18" s="12"/>
      <c r="AT18" s="12"/>
      <c r="AU18" s="12"/>
      <c r="AV18" s="12"/>
      <c r="AW18" s="12"/>
      <c r="AX18" s="12"/>
      <c r="AY18" s="12"/>
      <c r="AZ18" s="771"/>
      <c r="BA18" s="771"/>
      <c r="BB18" s="771"/>
      <c r="BC18" s="771"/>
      <c r="BD18" s="771"/>
      <c r="BE18" s="771"/>
      <c r="BF18" s="12"/>
      <c r="BG18" s="12"/>
      <c r="BH18" s="12"/>
      <c r="BI18" s="12"/>
      <c r="BJ18" s="12"/>
      <c r="BK18" s="12"/>
      <c r="BL18" s="771"/>
      <c r="BM18" s="771"/>
      <c r="BN18" s="771"/>
      <c r="BO18" s="771"/>
      <c r="BP18" s="771"/>
      <c r="BQ18" s="771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771"/>
      <c r="CF18" s="771"/>
      <c r="CG18" s="771"/>
      <c r="CH18" s="771"/>
      <c r="CI18" s="771"/>
      <c r="CJ18" s="771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771"/>
      <c r="CX18" s="771"/>
      <c r="CY18" s="771"/>
      <c r="CZ18" s="771"/>
      <c r="DA18" s="771"/>
      <c r="DB18" s="771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771"/>
      <c r="DR18" s="771"/>
      <c r="DS18" s="771"/>
      <c r="DT18" s="771"/>
      <c r="DU18" s="771"/>
      <c r="DV18" s="771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771"/>
      <c r="EL18" s="771"/>
      <c r="EM18" s="771"/>
      <c r="EN18" s="771"/>
      <c r="EO18" s="771"/>
      <c r="EP18" s="771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771"/>
      <c r="FQ18" s="771"/>
      <c r="FR18" s="771"/>
      <c r="FS18" s="771"/>
      <c r="FT18" s="771"/>
      <c r="FU18" s="771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771"/>
      <c r="GN18" s="771"/>
      <c r="GO18" s="771"/>
      <c r="GP18" s="771"/>
      <c r="GQ18" s="771"/>
      <c r="GR18" s="771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771"/>
      <c r="HI18" s="771"/>
      <c r="HJ18" s="771"/>
      <c r="HK18" s="771"/>
      <c r="HL18" s="771"/>
      <c r="HM18" s="771"/>
      <c r="HN18" s="12"/>
      <c r="HO18" s="12"/>
      <c r="HP18" s="12"/>
      <c r="HQ18" s="12"/>
      <c r="HS18" s="771"/>
      <c r="HT18" s="771"/>
      <c r="HU18" s="771"/>
      <c r="HV18" s="771"/>
      <c r="HW18" s="771"/>
      <c r="HX18" s="771"/>
      <c r="HY18" s="12"/>
      <c r="HZ18" s="12"/>
      <c r="IA18" s="12"/>
      <c r="IB18" s="12"/>
    </row>
    <row r="19" spans="1:236" ht="14.45" customHeight="1" x14ac:dyDescent="0.25">
      <c r="A19" s="47"/>
      <c r="B19" s="14"/>
      <c r="C19" s="772" t="s">
        <v>145</v>
      </c>
      <c r="D19" s="772"/>
      <c r="E19" s="772"/>
      <c r="F19" s="772"/>
      <c r="G19" s="772"/>
      <c r="H19" s="102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768"/>
      <c r="S19" s="768"/>
      <c r="T19" s="768"/>
      <c r="U19" s="12"/>
      <c r="V19" s="12"/>
      <c r="W19" s="12"/>
      <c r="X19" s="12"/>
      <c r="Y19" s="12"/>
      <c r="Z19" s="6"/>
      <c r="AA19" s="771"/>
      <c r="AB19" s="771"/>
      <c r="AC19" s="771"/>
      <c r="AD19" s="771"/>
      <c r="AE19" s="771"/>
      <c r="AF19" s="771"/>
      <c r="AG19" s="12"/>
      <c r="AH19" s="12"/>
      <c r="AI19" s="12"/>
      <c r="AJ19" s="12"/>
      <c r="AL19" s="771"/>
      <c r="AM19" s="771"/>
      <c r="AN19" s="771"/>
      <c r="AO19" s="771"/>
      <c r="AP19" s="771"/>
      <c r="AQ19" s="771"/>
      <c r="AR19" s="12"/>
      <c r="AS19" s="12"/>
      <c r="AT19" s="12"/>
      <c r="AU19" s="12"/>
      <c r="AV19" s="12"/>
      <c r="AW19" s="12"/>
      <c r="AX19" s="12"/>
      <c r="AY19" s="12"/>
      <c r="AZ19" s="771"/>
      <c r="BA19" s="771"/>
      <c r="BB19" s="771"/>
      <c r="BC19" s="771"/>
      <c r="BD19" s="771"/>
      <c r="BE19" s="771"/>
      <c r="BF19" s="12"/>
      <c r="BG19" s="12"/>
      <c r="BH19" s="12"/>
      <c r="BI19" s="12"/>
      <c r="BJ19" s="12"/>
      <c r="BK19" s="12"/>
      <c r="BL19" s="771"/>
      <c r="BM19" s="771"/>
      <c r="BN19" s="771"/>
      <c r="BO19" s="771"/>
      <c r="BP19" s="771"/>
      <c r="BQ19" s="771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771"/>
      <c r="CF19" s="771"/>
      <c r="CG19" s="771"/>
      <c r="CH19" s="771"/>
      <c r="CI19" s="771"/>
      <c r="CJ19" s="771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771"/>
      <c r="CX19" s="771"/>
      <c r="CY19" s="771"/>
      <c r="CZ19" s="771"/>
      <c r="DA19" s="771"/>
      <c r="DB19" s="771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771"/>
      <c r="DR19" s="771"/>
      <c r="DS19" s="771"/>
      <c r="DT19" s="771"/>
      <c r="DU19" s="771"/>
      <c r="DV19" s="771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771"/>
      <c r="EL19" s="771"/>
      <c r="EM19" s="771"/>
      <c r="EN19" s="771"/>
      <c r="EO19" s="771"/>
      <c r="EP19" s="771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771"/>
      <c r="FQ19" s="771"/>
      <c r="FR19" s="771"/>
      <c r="FS19" s="771"/>
      <c r="FT19" s="771"/>
      <c r="FU19" s="771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771"/>
      <c r="GN19" s="771"/>
      <c r="GO19" s="771"/>
      <c r="GP19" s="771"/>
      <c r="GQ19" s="771"/>
      <c r="GR19" s="771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771"/>
      <c r="HI19" s="771"/>
      <c r="HJ19" s="771"/>
      <c r="HK19" s="771"/>
      <c r="HL19" s="771"/>
      <c r="HM19" s="771"/>
      <c r="HN19" s="12"/>
      <c r="HO19" s="12"/>
      <c r="HP19" s="12"/>
      <c r="HQ19" s="12"/>
      <c r="HS19" s="771"/>
      <c r="HT19" s="771"/>
      <c r="HU19" s="771"/>
      <c r="HV19" s="771"/>
      <c r="HW19" s="771"/>
      <c r="HX19" s="771"/>
      <c r="HY19" s="12"/>
      <c r="HZ19" s="12"/>
      <c r="IA19" s="12"/>
      <c r="IB19" s="12"/>
    </row>
    <row r="20" spans="1:236" ht="14.45" customHeight="1" x14ac:dyDescent="0.25">
      <c r="A20" s="47"/>
      <c r="B20" s="14"/>
      <c r="C20" s="772" t="s">
        <v>140</v>
      </c>
      <c r="D20" s="772"/>
      <c r="E20" s="772"/>
      <c r="F20" s="772"/>
      <c r="G20" s="772"/>
      <c r="H20" s="102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768"/>
      <c r="S20" s="768"/>
      <c r="T20" s="768"/>
      <c r="U20" s="12"/>
      <c r="V20" s="12"/>
      <c r="W20" s="12"/>
      <c r="X20" s="12"/>
      <c r="Y20" s="12"/>
      <c r="Z20" s="6"/>
      <c r="AA20" s="771"/>
      <c r="AB20" s="771"/>
      <c r="AC20" s="771"/>
      <c r="AD20" s="771"/>
      <c r="AE20" s="771"/>
      <c r="AF20" s="12"/>
      <c r="AG20" s="12"/>
      <c r="AH20" s="12"/>
      <c r="AI20" s="12"/>
      <c r="AJ20" s="12"/>
      <c r="AL20" s="771"/>
      <c r="AM20" s="771"/>
      <c r="AN20" s="771"/>
      <c r="AO20" s="771"/>
      <c r="AP20" s="771"/>
      <c r="AQ20" s="771"/>
      <c r="AR20" s="12"/>
      <c r="AS20" s="12"/>
      <c r="AT20" s="12"/>
      <c r="AU20" s="12"/>
      <c r="AV20" s="12"/>
      <c r="AW20" s="12"/>
      <c r="AX20" s="12"/>
      <c r="AY20" s="12"/>
      <c r="AZ20" s="771"/>
      <c r="BA20" s="771"/>
      <c r="BB20" s="771"/>
      <c r="BC20" s="771"/>
      <c r="BD20" s="771"/>
      <c r="BE20" s="771"/>
      <c r="BF20" s="12"/>
      <c r="BG20" s="12"/>
      <c r="BH20" s="12"/>
      <c r="BI20" s="12"/>
      <c r="BJ20" s="12"/>
      <c r="BK20" s="12"/>
      <c r="BL20" s="771"/>
      <c r="BM20" s="771"/>
      <c r="BN20" s="771"/>
      <c r="BO20" s="771"/>
      <c r="BP20" s="771"/>
      <c r="BQ20" s="771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771"/>
      <c r="CF20" s="771"/>
      <c r="CG20" s="771"/>
      <c r="CH20" s="771"/>
      <c r="CI20" s="771"/>
      <c r="CJ20" s="771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771"/>
      <c r="CX20" s="771"/>
      <c r="CY20" s="771"/>
      <c r="CZ20" s="771"/>
      <c r="DA20" s="771"/>
      <c r="DB20" s="771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771"/>
      <c r="DR20" s="771"/>
      <c r="DS20" s="771"/>
      <c r="DT20" s="771"/>
      <c r="DU20" s="771"/>
      <c r="DV20" s="771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771"/>
      <c r="EL20" s="771"/>
      <c r="EM20" s="771"/>
      <c r="EN20" s="771"/>
      <c r="EO20" s="771"/>
      <c r="EP20" s="771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771"/>
      <c r="FQ20" s="771"/>
      <c r="FR20" s="771"/>
      <c r="FS20" s="771"/>
      <c r="FT20" s="771"/>
      <c r="FU20" s="771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771"/>
      <c r="GN20" s="771"/>
      <c r="GO20" s="771"/>
      <c r="GP20" s="771"/>
      <c r="GQ20" s="771"/>
      <c r="GR20" s="771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771"/>
      <c r="HI20" s="771"/>
      <c r="HJ20" s="771"/>
      <c r="HK20" s="771"/>
      <c r="HL20" s="771"/>
      <c r="HM20" s="771"/>
      <c r="HN20" s="12"/>
      <c r="HO20" s="12"/>
      <c r="HP20" s="12"/>
      <c r="HQ20" s="12"/>
      <c r="HS20" s="771"/>
      <c r="HT20" s="771"/>
      <c r="HU20" s="771"/>
      <c r="HV20" s="771"/>
      <c r="HW20" s="771"/>
      <c r="HX20" s="771"/>
      <c r="HY20" s="12"/>
      <c r="HZ20" s="12"/>
      <c r="IA20" s="12"/>
      <c r="IB20" s="12"/>
    </row>
    <row r="21" spans="1:236" ht="14.45" customHeight="1" x14ac:dyDescent="0.25">
      <c r="A21" s="47"/>
      <c r="B21" s="14"/>
      <c r="C21" s="772" t="s">
        <v>141</v>
      </c>
      <c r="D21" s="772"/>
      <c r="E21" s="772"/>
      <c r="F21" s="772"/>
      <c r="G21" s="772"/>
      <c r="H21" s="102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768"/>
      <c r="S21" s="768"/>
      <c r="T21" s="768"/>
      <c r="U21" s="12"/>
      <c r="V21" s="12"/>
      <c r="W21" s="12"/>
      <c r="X21" s="12"/>
      <c r="Y21" s="12"/>
      <c r="Z21" s="6"/>
      <c r="AA21" s="771"/>
      <c r="AB21" s="771"/>
      <c r="AC21" s="771"/>
      <c r="AD21" s="771"/>
      <c r="AE21" s="771"/>
      <c r="AF21" s="771"/>
      <c r="AG21" s="12"/>
      <c r="AH21" s="12"/>
      <c r="AI21" s="12"/>
      <c r="AJ21" s="12"/>
      <c r="AL21" s="771"/>
      <c r="AM21" s="771"/>
      <c r="AN21" s="771"/>
      <c r="AO21" s="771"/>
      <c r="AP21" s="771"/>
      <c r="AQ21" s="771"/>
      <c r="AR21" s="12"/>
      <c r="AS21" s="12"/>
      <c r="AT21" s="12"/>
      <c r="AU21" s="12"/>
      <c r="AV21" s="12"/>
      <c r="AW21" s="12"/>
      <c r="AX21" s="12"/>
      <c r="AY21" s="12"/>
      <c r="AZ21" s="771"/>
      <c r="BA21" s="771"/>
      <c r="BB21" s="771"/>
      <c r="BC21" s="771"/>
      <c r="BD21" s="771"/>
      <c r="BE21" s="771"/>
      <c r="BF21" s="12"/>
      <c r="BG21" s="12"/>
      <c r="BH21" s="12"/>
      <c r="BI21" s="12"/>
      <c r="BJ21" s="12"/>
      <c r="BK21" s="12"/>
      <c r="BL21" s="771"/>
      <c r="BM21" s="771"/>
      <c r="BN21" s="771"/>
      <c r="BO21" s="771"/>
      <c r="BP21" s="771"/>
      <c r="BQ21" s="771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771"/>
      <c r="CF21" s="771"/>
      <c r="CG21" s="771"/>
      <c r="CH21" s="771"/>
      <c r="CI21" s="771"/>
      <c r="CJ21" s="771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771"/>
      <c r="CX21" s="771"/>
      <c r="CY21" s="771"/>
      <c r="CZ21" s="771"/>
      <c r="DA21" s="771"/>
      <c r="DB21" s="771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771"/>
      <c r="DR21" s="771"/>
      <c r="DS21" s="771"/>
      <c r="DT21" s="771"/>
      <c r="DU21" s="771"/>
      <c r="DV21" s="771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771"/>
      <c r="EL21" s="771"/>
      <c r="EM21" s="771"/>
      <c r="EN21" s="771"/>
      <c r="EO21" s="771"/>
      <c r="EP21" s="771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771"/>
      <c r="FQ21" s="771"/>
      <c r="FR21" s="771"/>
      <c r="FS21" s="771"/>
      <c r="FT21" s="771"/>
      <c r="FU21" s="771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771"/>
      <c r="GN21" s="771"/>
      <c r="GO21" s="771"/>
      <c r="GP21" s="771"/>
      <c r="GQ21" s="771"/>
      <c r="GR21" s="771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771"/>
      <c r="HI21" s="771"/>
      <c r="HJ21" s="771"/>
      <c r="HK21" s="771"/>
      <c r="HL21" s="771"/>
      <c r="HM21" s="771"/>
      <c r="HN21" s="12"/>
      <c r="HO21" s="12"/>
      <c r="HP21" s="12"/>
      <c r="HQ21" s="12"/>
      <c r="HS21" s="771"/>
      <c r="HT21" s="771"/>
      <c r="HU21" s="771"/>
      <c r="HV21" s="771"/>
      <c r="HW21" s="771"/>
      <c r="HX21" s="771"/>
      <c r="HY21" s="12"/>
      <c r="HZ21" s="12"/>
      <c r="IA21" s="12"/>
      <c r="IB21" s="12"/>
    </row>
    <row r="22" spans="1:236" ht="14.45" customHeight="1" x14ac:dyDescent="0.25">
      <c r="A22" s="47"/>
      <c r="B22" s="14"/>
      <c r="C22" s="772" t="s">
        <v>142</v>
      </c>
      <c r="D22" s="772"/>
      <c r="E22" s="772"/>
      <c r="F22" s="772"/>
      <c r="G22" s="772"/>
      <c r="H22" s="102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768"/>
      <c r="S22" s="768"/>
      <c r="T22" s="768"/>
      <c r="U22" s="12"/>
      <c r="V22" s="12"/>
      <c r="W22" s="12"/>
      <c r="X22" s="12"/>
      <c r="Y22" s="12"/>
      <c r="Z22" s="6"/>
      <c r="AA22" s="771"/>
      <c r="AB22" s="771"/>
      <c r="AC22" s="771"/>
      <c r="AD22" s="771"/>
      <c r="AE22" s="771"/>
      <c r="AF22" s="771"/>
      <c r="AG22" s="12"/>
      <c r="AH22" s="12"/>
      <c r="AI22" s="12"/>
      <c r="AJ22" s="12"/>
      <c r="AL22" s="771"/>
      <c r="AM22" s="771"/>
      <c r="AN22" s="771"/>
      <c r="AO22" s="771"/>
      <c r="AP22" s="771"/>
      <c r="AQ22" s="771"/>
      <c r="AR22" s="12"/>
      <c r="AS22" s="12"/>
      <c r="AT22" s="12"/>
      <c r="AU22" s="12"/>
      <c r="AV22" s="12"/>
      <c r="AW22" s="12"/>
      <c r="AX22" s="12"/>
      <c r="AY22" s="12"/>
      <c r="AZ22" s="771"/>
      <c r="BA22" s="771"/>
      <c r="BB22" s="771"/>
      <c r="BC22" s="771"/>
      <c r="BD22" s="771"/>
      <c r="BE22" s="771"/>
      <c r="BF22" s="12"/>
      <c r="BG22" s="12"/>
      <c r="BH22" s="12"/>
      <c r="BI22" s="12"/>
      <c r="BJ22" s="12"/>
      <c r="BK22" s="12"/>
      <c r="BL22" s="771"/>
      <c r="BM22" s="771"/>
      <c r="BN22" s="771"/>
      <c r="BO22" s="771"/>
      <c r="BP22" s="771"/>
      <c r="BQ22" s="771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771"/>
      <c r="CF22" s="771"/>
      <c r="CG22" s="771"/>
      <c r="CH22" s="771"/>
      <c r="CI22" s="771"/>
      <c r="CJ22" s="771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771"/>
      <c r="CX22" s="771"/>
      <c r="CY22" s="771"/>
      <c r="CZ22" s="771"/>
      <c r="DA22" s="771"/>
      <c r="DB22" s="771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771"/>
      <c r="DR22" s="771"/>
      <c r="DS22" s="771"/>
      <c r="DT22" s="771"/>
      <c r="DU22" s="771"/>
      <c r="DV22" s="771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771"/>
      <c r="EL22" s="771"/>
      <c r="EM22" s="771"/>
      <c r="EN22" s="771"/>
      <c r="EO22" s="771"/>
      <c r="EP22" s="771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771"/>
      <c r="FQ22" s="771"/>
      <c r="FR22" s="771"/>
      <c r="FS22" s="771"/>
      <c r="FT22" s="771"/>
      <c r="FU22" s="771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771"/>
      <c r="GN22" s="771"/>
      <c r="GO22" s="771"/>
      <c r="GP22" s="771"/>
      <c r="GQ22" s="771"/>
      <c r="GR22" s="771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771"/>
      <c r="HI22" s="771"/>
      <c r="HJ22" s="771"/>
      <c r="HK22" s="771"/>
      <c r="HL22" s="771"/>
      <c r="HM22" s="771"/>
      <c r="HN22" s="12"/>
      <c r="HO22" s="12"/>
      <c r="HP22" s="12"/>
      <c r="HQ22" s="12"/>
      <c r="HS22" s="771"/>
      <c r="HT22" s="771"/>
      <c r="HU22" s="771"/>
      <c r="HV22" s="771"/>
      <c r="HW22" s="771"/>
      <c r="HX22" s="771"/>
      <c r="HY22" s="12"/>
      <c r="HZ22" s="12"/>
      <c r="IA22" s="12"/>
      <c r="IB22" s="12"/>
    </row>
    <row r="23" spans="1:236" ht="14.45" customHeight="1" x14ac:dyDescent="0.25">
      <c r="A23" s="47"/>
      <c r="B23" s="14"/>
      <c r="C23" s="772" t="s">
        <v>144</v>
      </c>
      <c r="D23" s="772"/>
      <c r="E23" s="772"/>
      <c r="F23" s="772"/>
      <c r="G23" s="772"/>
      <c r="H23" s="102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768"/>
      <c r="S23" s="768"/>
      <c r="T23" s="768"/>
      <c r="U23" s="12"/>
      <c r="V23" s="12"/>
      <c r="W23" s="12"/>
      <c r="X23" s="12"/>
      <c r="Y23" s="12"/>
      <c r="Z23" s="6"/>
      <c r="AA23" s="771"/>
      <c r="AB23" s="771"/>
      <c r="AC23" s="771"/>
      <c r="AD23" s="771"/>
      <c r="AE23" s="771"/>
      <c r="AF23" s="771"/>
      <c r="AG23" s="12"/>
      <c r="AH23" s="12"/>
      <c r="AI23" s="12"/>
      <c r="AJ23" s="12"/>
      <c r="AL23" s="771"/>
      <c r="AM23" s="771"/>
      <c r="AN23" s="771"/>
      <c r="AO23" s="771"/>
      <c r="AP23" s="771"/>
      <c r="AQ23" s="771"/>
      <c r="AR23" s="12"/>
      <c r="AS23" s="12"/>
      <c r="AT23" s="12"/>
      <c r="AU23" s="12"/>
      <c r="AV23" s="12"/>
      <c r="AW23" s="12"/>
      <c r="AX23" s="12"/>
      <c r="AY23" s="12"/>
      <c r="AZ23" s="771"/>
      <c r="BA23" s="771"/>
      <c r="BB23" s="771"/>
      <c r="BC23" s="771"/>
      <c r="BD23" s="771"/>
      <c r="BE23" s="771"/>
      <c r="BF23" s="12"/>
      <c r="BG23" s="12"/>
      <c r="BH23" s="12"/>
      <c r="BI23" s="12"/>
      <c r="BJ23" s="12"/>
      <c r="BK23" s="12"/>
      <c r="BL23" s="771"/>
      <c r="BM23" s="771"/>
      <c r="BN23" s="771"/>
      <c r="BO23" s="771"/>
      <c r="BP23" s="771"/>
      <c r="BQ23" s="771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771"/>
      <c r="CF23" s="771"/>
      <c r="CG23" s="771"/>
      <c r="CH23" s="771"/>
      <c r="CI23" s="771"/>
      <c r="CJ23" s="771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771"/>
      <c r="CX23" s="771"/>
      <c r="CY23" s="771"/>
      <c r="CZ23" s="771"/>
      <c r="DA23" s="771"/>
      <c r="DB23" s="771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771"/>
      <c r="DR23" s="771"/>
      <c r="DS23" s="771"/>
      <c r="DT23" s="771"/>
      <c r="DU23" s="771"/>
      <c r="DV23" s="771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771"/>
      <c r="EL23" s="771"/>
      <c r="EM23" s="771"/>
      <c r="EN23" s="771"/>
      <c r="EO23" s="771"/>
      <c r="EP23" s="771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771"/>
      <c r="FQ23" s="771"/>
      <c r="FR23" s="771"/>
      <c r="FS23" s="771"/>
      <c r="FT23" s="771"/>
      <c r="FU23" s="771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771"/>
      <c r="GN23" s="771"/>
      <c r="GO23" s="771"/>
      <c r="GP23" s="771"/>
      <c r="GQ23" s="771"/>
      <c r="GR23" s="771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771"/>
      <c r="HI23" s="771"/>
      <c r="HJ23" s="771"/>
      <c r="HK23" s="771"/>
      <c r="HL23" s="771"/>
      <c r="HM23" s="771"/>
      <c r="HN23" s="12"/>
      <c r="HO23" s="12"/>
      <c r="HP23" s="12"/>
      <c r="HQ23" s="12"/>
      <c r="HS23" s="771"/>
      <c r="HT23" s="771"/>
      <c r="HU23" s="771"/>
      <c r="HV23" s="771"/>
      <c r="HW23" s="771"/>
      <c r="HX23" s="771"/>
      <c r="HY23" s="12"/>
      <c r="HZ23" s="12"/>
      <c r="IA23" s="12"/>
      <c r="IB23" s="12"/>
    </row>
    <row r="24" spans="1:236" ht="14.45" customHeight="1" x14ac:dyDescent="0.25">
      <c r="A24" s="47"/>
      <c r="B24" s="14"/>
      <c r="C24" s="772" t="s">
        <v>143</v>
      </c>
      <c r="D24" s="772"/>
      <c r="E24" s="772"/>
      <c r="F24" s="772"/>
      <c r="G24" s="772"/>
      <c r="H24" s="102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768"/>
      <c r="S24" s="768"/>
      <c r="T24" s="768"/>
      <c r="U24" s="12"/>
      <c r="V24" s="12"/>
      <c r="W24" s="12"/>
      <c r="X24" s="12"/>
      <c r="Y24" s="12"/>
      <c r="Z24" s="6"/>
      <c r="AA24" s="771"/>
      <c r="AB24" s="771"/>
      <c r="AC24" s="771"/>
      <c r="AD24" s="771"/>
      <c r="AE24" s="771"/>
      <c r="AF24" s="771"/>
      <c r="AG24" s="12"/>
      <c r="AH24" s="12"/>
      <c r="AI24" s="12"/>
      <c r="AJ24" s="12"/>
      <c r="AL24" s="771"/>
      <c r="AM24" s="771"/>
      <c r="AN24" s="771"/>
      <c r="AO24" s="771"/>
      <c r="AP24" s="771"/>
      <c r="AQ24" s="771"/>
      <c r="AR24" s="12"/>
      <c r="AS24" s="12"/>
      <c r="AT24" s="12"/>
      <c r="AU24" s="12"/>
      <c r="AV24" s="12"/>
      <c r="AW24" s="12"/>
      <c r="AX24" s="12"/>
      <c r="AY24" s="12"/>
      <c r="AZ24" s="771"/>
      <c r="BA24" s="771"/>
      <c r="BB24" s="771"/>
      <c r="BC24" s="771"/>
      <c r="BD24" s="771"/>
      <c r="BE24" s="771"/>
      <c r="BF24" s="12"/>
      <c r="BG24" s="12"/>
      <c r="BH24" s="12"/>
      <c r="BI24" s="12"/>
      <c r="BJ24" s="12"/>
      <c r="BK24" s="12"/>
      <c r="BL24" s="771"/>
      <c r="BM24" s="771"/>
      <c r="BN24" s="771"/>
      <c r="BO24" s="771"/>
      <c r="BP24" s="771"/>
      <c r="BQ24" s="771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771"/>
      <c r="CF24" s="771"/>
      <c r="CG24" s="771"/>
      <c r="CH24" s="771"/>
      <c r="CI24" s="771"/>
      <c r="CJ24" s="771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771"/>
      <c r="CX24" s="771"/>
      <c r="CY24" s="771"/>
      <c r="CZ24" s="771"/>
      <c r="DA24" s="771"/>
      <c r="DB24" s="771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771"/>
      <c r="DR24" s="771"/>
      <c r="DS24" s="771"/>
      <c r="DT24" s="771"/>
      <c r="DU24" s="771"/>
      <c r="DV24" s="771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771"/>
      <c r="EL24" s="771"/>
      <c r="EM24" s="771"/>
      <c r="EN24" s="771"/>
      <c r="EO24" s="771"/>
      <c r="EP24" s="771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771"/>
      <c r="FQ24" s="771"/>
      <c r="FR24" s="771"/>
      <c r="FS24" s="771"/>
      <c r="FT24" s="771"/>
      <c r="FU24" s="771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771"/>
      <c r="GN24" s="771"/>
      <c r="GO24" s="771"/>
      <c r="GP24" s="771"/>
      <c r="GQ24" s="771"/>
      <c r="GR24" s="771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771"/>
      <c r="HI24" s="771"/>
      <c r="HJ24" s="771"/>
      <c r="HK24" s="771"/>
      <c r="HL24" s="771"/>
      <c r="HM24" s="771"/>
      <c r="HN24" s="12"/>
      <c r="HO24" s="12"/>
      <c r="HP24" s="12"/>
      <c r="HQ24" s="12"/>
      <c r="HS24" s="771"/>
      <c r="HT24" s="771"/>
      <c r="HU24" s="771"/>
      <c r="HV24" s="771"/>
      <c r="HW24" s="771"/>
      <c r="HX24" s="771"/>
      <c r="HY24" s="12"/>
      <c r="HZ24" s="12"/>
      <c r="IA24" s="12"/>
      <c r="IB24" s="12"/>
    </row>
    <row r="25" spans="1:236" ht="14.45" customHeight="1" x14ac:dyDescent="0.25">
      <c r="A25" s="47"/>
      <c r="B25" s="14"/>
      <c r="C25" s="772" t="s">
        <v>133</v>
      </c>
      <c r="D25" s="772"/>
      <c r="E25" s="772"/>
      <c r="F25" s="772"/>
      <c r="G25" s="772"/>
      <c r="H25" s="102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768"/>
      <c r="S25" s="768"/>
      <c r="T25" s="768"/>
      <c r="U25" s="12"/>
      <c r="V25" s="12"/>
      <c r="W25" s="12"/>
      <c r="X25" s="12"/>
      <c r="Y25" s="12"/>
      <c r="Z25" s="6"/>
      <c r="AA25" s="694"/>
      <c r="AB25" s="694"/>
      <c r="AC25" s="694"/>
      <c r="AD25" s="694"/>
      <c r="AE25" s="694"/>
      <c r="AF25" s="694"/>
      <c r="AG25" s="12"/>
      <c r="AH25" s="12"/>
      <c r="AI25" s="12"/>
      <c r="AJ25" s="12"/>
      <c r="AL25" s="694"/>
      <c r="AM25" s="694"/>
      <c r="AN25" s="694"/>
      <c r="AO25" s="694"/>
      <c r="AP25" s="694"/>
      <c r="AQ25" s="694"/>
      <c r="AR25" s="12"/>
      <c r="AS25" s="12"/>
      <c r="AT25" s="12"/>
      <c r="AU25" s="12"/>
      <c r="AV25" s="12"/>
      <c r="AW25" s="12"/>
      <c r="AX25" s="12"/>
      <c r="AY25" s="12"/>
      <c r="AZ25" s="694"/>
      <c r="BA25" s="694"/>
      <c r="BB25" s="694"/>
      <c r="BC25" s="694"/>
      <c r="BD25" s="694"/>
      <c r="BE25" s="694"/>
      <c r="BF25" s="12"/>
      <c r="BG25" s="12"/>
      <c r="BH25" s="12"/>
      <c r="BI25" s="12"/>
      <c r="BJ25" s="12"/>
      <c r="BK25" s="12"/>
      <c r="BL25" s="694"/>
      <c r="BM25" s="694"/>
      <c r="BN25" s="694"/>
      <c r="BO25" s="694"/>
      <c r="BP25" s="694"/>
      <c r="BQ25" s="694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694"/>
      <c r="CF25" s="694"/>
      <c r="CG25" s="694"/>
      <c r="CH25" s="694"/>
      <c r="CI25" s="694"/>
      <c r="CJ25" s="694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694"/>
      <c r="CX25" s="694"/>
      <c r="CY25" s="694"/>
      <c r="CZ25" s="694"/>
      <c r="DA25" s="694"/>
      <c r="DB25" s="694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694"/>
      <c r="DR25" s="694"/>
      <c r="DS25" s="694"/>
      <c r="DT25" s="694"/>
      <c r="DU25" s="694"/>
      <c r="DV25" s="694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694"/>
      <c r="EL25" s="694"/>
      <c r="EM25" s="694"/>
      <c r="EN25" s="694"/>
      <c r="EO25" s="694"/>
      <c r="EP25" s="694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694"/>
      <c r="FQ25" s="694"/>
      <c r="FR25" s="694"/>
      <c r="FS25" s="694"/>
      <c r="FT25" s="694"/>
      <c r="FU25" s="694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694"/>
      <c r="GN25" s="694"/>
      <c r="GO25" s="694"/>
      <c r="GP25" s="694"/>
      <c r="GQ25" s="694"/>
      <c r="GR25" s="694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694"/>
      <c r="HI25" s="694"/>
      <c r="HJ25" s="694"/>
      <c r="HK25" s="694"/>
      <c r="HL25" s="694"/>
      <c r="HM25" s="694"/>
      <c r="HO25" s="6"/>
      <c r="HP25" s="12"/>
      <c r="HQ25" s="12"/>
      <c r="HS25" s="694"/>
      <c r="HT25" s="694"/>
      <c r="HU25" s="694"/>
      <c r="HV25" s="694"/>
      <c r="HW25" s="694"/>
      <c r="HX25" s="694"/>
      <c r="HZ25" s="6"/>
      <c r="IA25" s="12"/>
      <c r="IB25" s="12"/>
    </row>
    <row r="26" spans="1:236" ht="14.45" customHeight="1" x14ac:dyDescent="0.25">
      <c r="A26" s="47"/>
      <c r="B26" s="14"/>
      <c r="C26" s="772" t="s">
        <v>166</v>
      </c>
      <c r="D26" s="772"/>
      <c r="E26" s="772"/>
      <c r="F26" s="772"/>
      <c r="G26" s="772"/>
      <c r="H26" s="102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768"/>
      <c r="S26" s="768"/>
      <c r="T26" s="768"/>
      <c r="U26" s="12"/>
      <c r="V26" s="12"/>
      <c r="W26" s="12"/>
      <c r="X26" s="12"/>
      <c r="Y26" s="12"/>
      <c r="Z26" s="6"/>
      <c r="AA26" s="771"/>
      <c r="AB26" s="771"/>
      <c r="AC26" s="771"/>
      <c r="AD26" s="771"/>
      <c r="AE26" s="771"/>
      <c r="AF26" s="771"/>
      <c r="AG26" s="12"/>
      <c r="AH26" s="12"/>
      <c r="AI26" s="12"/>
      <c r="AJ26" s="12"/>
      <c r="AL26" s="771"/>
      <c r="AM26" s="771"/>
      <c r="AN26" s="771"/>
      <c r="AO26" s="771"/>
      <c r="AP26" s="771"/>
      <c r="AQ26" s="771"/>
      <c r="AR26" s="12"/>
      <c r="AS26" s="12"/>
      <c r="AT26" s="12"/>
      <c r="AU26" s="12"/>
      <c r="AV26" s="12"/>
      <c r="AW26" s="12"/>
      <c r="AX26" s="12"/>
      <c r="AY26" s="12"/>
      <c r="AZ26" s="771"/>
      <c r="BA26" s="771"/>
      <c r="BB26" s="771"/>
      <c r="BC26" s="771"/>
      <c r="BD26" s="771"/>
      <c r="BE26" s="771"/>
      <c r="BF26" s="12"/>
      <c r="BG26" s="12"/>
      <c r="BH26" s="12"/>
      <c r="BI26" s="12"/>
      <c r="BJ26" s="12"/>
      <c r="BK26" s="12"/>
      <c r="BL26" s="771"/>
      <c r="BM26" s="771"/>
      <c r="BN26" s="771"/>
      <c r="BO26" s="771"/>
      <c r="BP26" s="771"/>
      <c r="BQ26" s="771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771"/>
      <c r="CF26" s="771"/>
      <c r="CG26" s="771"/>
      <c r="CH26" s="771"/>
      <c r="CI26" s="771"/>
      <c r="CJ26" s="771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771"/>
      <c r="CX26" s="771"/>
      <c r="CY26" s="771"/>
      <c r="CZ26" s="771"/>
      <c r="DA26" s="771"/>
      <c r="DB26" s="771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771"/>
      <c r="DR26" s="771"/>
      <c r="DS26" s="771"/>
      <c r="DT26" s="771"/>
      <c r="DU26" s="771"/>
      <c r="DV26" s="771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771"/>
      <c r="EL26" s="771"/>
      <c r="EM26" s="771"/>
      <c r="EN26" s="771"/>
      <c r="EO26" s="771"/>
      <c r="EP26" s="771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771"/>
      <c r="FQ26" s="771"/>
      <c r="FR26" s="771"/>
      <c r="FS26" s="771"/>
      <c r="FT26" s="771"/>
      <c r="FU26" s="771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771"/>
      <c r="GN26" s="771"/>
      <c r="GO26" s="771"/>
      <c r="GP26" s="771"/>
      <c r="GQ26" s="771"/>
      <c r="GR26" s="771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771"/>
      <c r="HI26" s="771"/>
      <c r="HJ26" s="771"/>
      <c r="HK26" s="771"/>
      <c r="HL26" s="771"/>
      <c r="HM26" s="771"/>
      <c r="HN26" s="6"/>
      <c r="HO26" s="6"/>
      <c r="HP26" s="12"/>
      <c r="HQ26" s="12"/>
      <c r="HS26" s="771"/>
      <c r="HT26" s="771"/>
      <c r="HU26" s="771"/>
      <c r="HV26" s="771"/>
      <c r="HW26" s="771"/>
      <c r="HX26" s="771"/>
      <c r="HY26" s="6"/>
      <c r="HZ26" s="6"/>
      <c r="IA26" s="12"/>
      <c r="IB26" s="12"/>
    </row>
    <row r="27" spans="1:236" ht="14.45" customHeight="1" x14ac:dyDescent="0.25">
      <c r="A27" s="47"/>
      <c r="B27" s="14"/>
      <c r="C27" s="772" t="s">
        <v>131</v>
      </c>
      <c r="D27" s="772"/>
      <c r="E27" s="772"/>
      <c r="F27" s="772"/>
      <c r="G27" s="772"/>
      <c r="H27" s="102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768"/>
      <c r="S27" s="768"/>
      <c r="T27" s="768"/>
      <c r="U27" s="12"/>
      <c r="V27" s="12"/>
      <c r="W27" s="12"/>
      <c r="X27" s="12"/>
      <c r="Y27" s="12"/>
      <c r="Z27" s="6"/>
      <c r="AA27" s="771"/>
      <c r="AB27" s="771"/>
      <c r="AC27" s="771"/>
      <c r="AD27" s="771"/>
      <c r="AE27" s="771"/>
      <c r="AF27" s="771"/>
      <c r="AG27" s="12"/>
      <c r="AH27" s="12"/>
      <c r="AI27" s="12"/>
      <c r="AJ27" s="12"/>
      <c r="AL27" s="771"/>
      <c r="AM27" s="771"/>
      <c r="AN27" s="771"/>
      <c r="AO27" s="771"/>
      <c r="AP27" s="771"/>
      <c r="AQ27" s="771"/>
      <c r="AR27" s="12"/>
      <c r="AS27" s="12"/>
      <c r="AT27" s="12"/>
      <c r="AU27" s="12"/>
      <c r="AV27" s="12"/>
      <c r="AW27" s="12"/>
      <c r="AX27" s="12"/>
      <c r="AY27" s="12"/>
      <c r="AZ27" s="771"/>
      <c r="BA27" s="771"/>
      <c r="BB27" s="771"/>
      <c r="BC27" s="771"/>
      <c r="BD27" s="771"/>
      <c r="BE27" s="771"/>
      <c r="BF27" s="12"/>
      <c r="BG27" s="12"/>
      <c r="BH27" s="12"/>
      <c r="BI27" s="12"/>
      <c r="BJ27" s="12"/>
      <c r="BK27" s="12"/>
      <c r="BL27" s="771"/>
      <c r="BM27" s="771"/>
      <c r="BN27" s="771"/>
      <c r="BO27" s="771"/>
      <c r="BP27" s="771"/>
      <c r="BQ27" s="771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771"/>
      <c r="CF27" s="771"/>
      <c r="CG27" s="771"/>
      <c r="CH27" s="771"/>
      <c r="CI27" s="771"/>
      <c r="CJ27" s="771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771"/>
      <c r="CX27" s="771"/>
      <c r="CY27" s="771"/>
      <c r="CZ27" s="771"/>
      <c r="DA27" s="771"/>
      <c r="DB27" s="771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771"/>
      <c r="DR27" s="771"/>
      <c r="DS27" s="771"/>
      <c r="DT27" s="771"/>
      <c r="DU27" s="771"/>
      <c r="DV27" s="771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771"/>
      <c r="EL27" s="771"/>
      <c r="EM27" s="771"/>
      <c r="EN27" s="771"/>
      <c r="EO27" s="771"/>
      <c r="EP27" s="771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771"/>
      <c r="FQ27" s="771"/>
      <c r="FR27" s="771"/>
      <c r="FS27" s="771"/>
      <c r="FT27" s="771"/>
      <c r="FU27" s="771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771"/>
      <c r="GN27" s="771"/>
      <c r="GO27" s="771"/>
      <c r="GP27" s="771"/>
      <c r="GQ27" s="771"/>
      <c r="GR27" s="771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771"/>
      <c r="HI27" s="771"/>
      <c r="HJ27" s="771"/>
      <c r="HK27" s="771"/>
      <c r="HL27" s="771"/>
      <c r="HM27" s="771"/>
      <c r="HN27" s="6"/>
      <c r="HO27" s="6"/>
      <c r="HP27" s="12"/>
      <c r="HQ27" s="12"/>
      <c r="HS27" s="771"/>
      <c r="HT27" s="771"/>
      <c r="HU27" s="771"/>
      <c r="HV27" s="771"/>
      <c r="HW27" s="771"/>
      <c r="HX27" s="771"/>
      <c r="HY27" s="6"/>
      <c r="HZ27" s="6"/>
      <c r="IA27" s="12"/>
      <c r="IB27" s="12"/>
    </row>
    <row r="28" spans="1:236" ht="14.45" customHeight="1" x14ac:dyDescent="0.25">
      <c r="A28" s="47"/>
      <c r="B28" s="14"/>
      <c r="C28" s="772" t="s">
        <v>132</v>
      </c>
      <c r="D28" s="772"/>
      <c r="E28" s="772"/>
      <c r="F28" s="772"/>
      <c r="G28" s="772"/>
      <c r="H28" s="102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768"/>
      <c r="S28" s="768"/>
      <c r="T28" s="768"/>
      <c r="U28" s="12"/>
      <c r="V28" s="12"/>
      <c r="W28" s="12"/>
      <c r="X28" s="12"/>
      <c r="Y28" s="12"/>
      <c r="Z28" s="6"/>
      <c r="AA28" s="771"/>
      <c r="AB28" s="771"/>
      <c r="AC28" s="771"/>
      <c r="AD28" s="771"/>
      <c r="AE28" s="771"/>
      <c r="AF28" s="771"/>
      <c r="AG28" s="12"/>
      <c r="AH28" s="12"/>
      <c r="AI28" s="12"/>
      <c r="AJ28" s="12"/>
      <c r="AL28" s="771"/>
      <c r="AM28" s="771"/>
      <c r="AN28" s="771"/>
      <c r="AO28" s="771"/>
      <c r="AP28" s="771"/>
      <c r="AQ28" s="771"/>
      <c r="AR28" s="12"/>
      <c r="AS28" s="12"/>
      <c r="AT28" s="12"/>
      <c r="AU28" s="12"/>
      <c r="AV28" s="12"/>
      <c r="AW28" s="12"/>
      <c r="AX28" s="12"/>
      <c r="AY28" s="12"/>
      <c r="AZ28" s="771"/>
      <c r="BA28" s="771"/>
      <c r="BB28" s="771"/>
      <c r="BC28" s="771"/>
      <c r="BD28" s="771"/>
      <c r="BE28" s="771"/>
      <c r="BF28" s="12"/>
      <c r="BG28" s="12"/>
      <c r="BH28" s="12"/>
      <c r="BI28" s="12"/>
      <c r="BJ28" s="12"/>
      <c r="BK28" s="12"/>
      <c r="BL28" s="771"/>
      <c r="BM28" s="771"/>
      <c r="BN28" s="771"/>
      <c r="BO28" s="771"/>
      <c r="BP28" s="771"/>
      <c r="BQ28" s="771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771"/>
      <c r="CF28" s="771"/>
      <c r="CG28" s="771"/>
      <c r="CH28" s="771"/>
      <c r="CI28" s="771"/>
      <c r="CJ28" s="771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771"/>
      <c r="CX28" s="771"/>
      <c r="CY28" s="771"/>
      <c r="CZ28" s="771"/>
      <c r="DA28" s="771"/>
      <c r="DB28" s="771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771"/>
      <c r="DR28" s="771"/>
      <c r="DS28" s="771"/>
      <c r="DT28" s="771"/>
      <c r="DU28" s="771"/>
      <c r="DV28" s="771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771"/>
      <c r="EL28" s="771"/>
      <c r="EM28" s="771"/>
      <c r="EN28" s="771"/>
      <c r="EO28" s="771"/>
      <c r="EP28" s="771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771"/>
      <c r="FQ28" s="771"/>
      <c r="FR28" s="771"/>
      <c r="FS28" s="771"/>
      <c r="FT28" s="771"/>
      <c r="FU28" s="771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771"/>
      <c r="GN28" s="771"/>
      <c r="GO28" s="771"/>
      <c r="GP28" s="771"/>
      <c r="GQ28" s="771"/>
      <c r="GR28" s="771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771"/>
      <c r="HI28" s="771"/>
      <c r="HJ28" s="771"/>
      <c r="HK28" s="771"/>
      <c r="HL28" s="771"/>
      <c r="HM28" s="771"/>
      <c r="HN28" s="6"/>
      <c r="HO28" s="6"/>
      <c r="HP28" s="12"/>
      <c r="HQ28" s="12"/>
      <c r="HS28" s="771"/>
      <c r="HT28" s="771"/>
      <c r="HU28" s="771"/>
      <c r="HV28" s="771"/>
      <c r="HW28" s="771"/>
      <c r="HX28" s="771"/>
      <c r="HY28" s="6"/>
      <c r="HZ28" s="6"/>
      <c r="IA28" s="12"/>
      <c r="IB28" s="12"/>
    </row>
    <row r="29" spans="1:236" ht="14.45" customHeight="1" x14ac:dyDescent="0.25">
      <c r="A29" s="47"/>
      <c r="B29" s="14"/>
      <c r="C29" s="772" t="s">
        <v>167</v>
      </c>
      <c r="D29" s="772"/>
      <c r="E29" s="772"/>
      <c r="F29" s="772"/>
      <c r="G29" s="772"/>
      <c r="H29" s="102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768"/>
      <c r="S29" s="768"/>
      <c r="T29" s="768"/>
      <c r="U29" s="12"/>
      <c r="V29" s="12"/>
      <c r="W29" s="12"/>
      <c r="X29" s="12"/>
      <c r="Y29" s="12"/>
      <c r="Z29" s="6"/>
      <c r="AA29" s="771"/>
      <c r="AB29" s="771"/>
      <c r="AC29" s="771"/>
      <c r="AD29" s="771"/>
      <c r="AE29" s="771"/>
      <c r="AF29" s="771"/>
      <c r="AG29" s="12"/>
      <c r="AH29" s="12"/>
      <c r="AI29" s="12"/>
      <c r="AJ29" s="12"/>
      <c r="AL29" s="771"/>
      <c r="AM29" s="771"/>
      <c r="AN29" s="771"/>
      <c r="AO29" s="771"/>
      <c r="AP29" s="771"/>
      <c r="AQ29" s="771"/>
      <c r="AR29" s="12"/>
      <c r="AS29" s="12"/>
      <c r="AT29" s="12"/>
      <c r="AU29" s="12"/>
      <c r="AV29" s="12"/>
      <c r="AW29" s="12"/>
      <c r="AX29" s="12"/>
      <c r="AY29" s="12"/>
      <c r="AZ29" s="771"/>
      <c r="BA29" s="771"/>
      <c r="BB29" s="771"/>
      <c r="BC29" s="771"/>
      <c r="BD29" s="771"/>
      <c r="BE29" s="771"/>
      <c r="BF29" s="12"/>
      <c r="BG29" s="12"/>
      <c r="BH29" s="12"/>
      <c r="BI29" s="12"/>
      <c r="BJ29" s="12"/>
      <c r="BK29" s="12"/>
      <c r="BL29" s="771"/>
      <c r="BM29" s="771"/>
      <c r="BN29" s="771"/>
      <c r="BO29" s="771"/>
      <c r="BP29" s="771"/>
      <c r="BQ29" s="771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771"/>
      <c r="CF29" s="771"/>
      <c r="CG29" s="771"/>
      <c r="CH29" s="771"/>
      <c r="CI29" s="771"/>
      <c r="CJ29" s="771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771"/>
      <c r="CX29" s="771"/>
      <c r="CY29" s="771"/>
      <c r="CZ29" s="771"/>
      <c r="DA29" s="771"/>
      <c r="DB29" s="771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771"/>
      <c r="DR29" s="771"/>
      <c r="DS29" s="771"/>
      <c r="DT29" s="771"/>
      <c r="DU29" s="771"/>
      <c r="DV29" s="771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771"/>
      <c r="EL29" s="771"/>
      <c r="EM29" s="771"/>
      <c r="EN29" s="771"/>
      <c r="EO29" s="771"/>
      <c r="EP29" s="771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771"/>
      <c r="FQ29" s="771"/>
      <c r="FR29" s="771"/>
      <c r="FS29" s="771"/>
      <c r="FT29" s="771"/>
      <c r="FU29" s="771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771"/>
      <c r="GN29" s="771"/>
      <c r="GO29" s="771"/>
      <c r="GP29" s="771"/>
      <c r="GQ29" s="771"/>
      <c r="GR29" s="771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771"/>
      <c r="HI29" s="771"/>
      <c r="HJ29" s="771"/>
      <c r="HK29" s="771"/>
      <c r="HL29" s="771"/>
      <c r="HM29" s="771"/>
      <c r="HN29" s="6"/>
      <c r="HO29" s="6"/>
      <c r="HP29" s="12"/>
      <c r="HQ29" s="12"/>
      <c r="HS29" s="771"/>
      <c r="HT29" s="771"/>
      <c r="HU29" s="771"/>
      <c r="HV29" s="771"/>
      <c r="HW29" s="771"/>
      <c r="HX29" s="771"/>
      <c r="HY29" s="6"/>
      <c r="HZ29" s="6"/>
      <c r="IA29" s="12"/>
      <c r="IB29" s="12"/>
    </row>
    <row r="30" spans="1:236" ht="14.45" customHeight="1" x14ac:dyDescent="0.25">
      <c r="A30" s="47"/>
      <c r="B30" s="14"/>
      <c r="C30" s="772" t="s">
        <v>134</v>
      </c>
      <c r="D30" s="772"/>
      <c r="E30" s="772"/>
      <c r="F30" s="772"/>
      <c r="G30" s="772"/>
      <c r="H30" s="102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768"/>
      <c r="S30" s="768"/>
      <c r="T30" s="768"/>
      <c r="U30" s="12"/>
      <c r="V30" s="12"/>
      <c r="W30" s="12"/>
      <c r="X30" s="12"/>
      <c r="Y30" s="12"/>
      <c r="Z30" s="6"/>
      <c r="AA30" s="771"/>
      <c r="AB30" s="771"/>
      <c r="AC30" s="771"/>
      <c r="AD30" s="771"/>
      <c r="AE30" s="771"/>
      <c r="AF30" s="771"/>
      <c r="AG30" s="12"/>
      <c r="AH30" s="12"/>
      <c r="AI30" s="12"/>
      <c r="AJ30" s="12"/>
      <c r="AL30" s="771"/>
      <c r="AM30" s="771"/>
      <c r="AN30" s="771"/>
      <c r="AO30" s="771"/>
      <c r="AP30" s="771"/>
      <c r="AQ30" s="771"/>
      <c r="AR30" s="12"/>
      <c r="AS30" s="12"/>
      <c r="AT30" s="12"/>
      <c r="AU30" s="12"/>
      <c r="AV30" s="12"/>
      <c r="AW30" s="12"/>
      <c r="AX30" s="12"/>
      <c r="AY30" s="12"/>
      <c r="AZ30" s="771"/>
      <c r="BA30" s="771"/>
      <c r="BB30" s="771"/>
      <c r="BC30" s="771"/>
      <c r="BD30" s="771"/>
      <c r="BE30" s="771"/>
      <c r="BF30" s="12"/>
      <c r="BG30" s="12"/>
      <c r="BH30" s="12"/>
      <c r="BI30" s="12"/>
      <c r="BJ30" s="12"/>
      <c r="BK30" s="12"/>
      <c r="BL30" s="771"/>
      <c r="BM30" s="771"/>
      <c r="BN30" s="771"/>
      <c r="BO30" s="771"/>
      <c r="BP30" s="771"/>
      <c r="BQ30" s="771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771"/>
      <c r="CF30" s="771"/>
      <c r="CG30" s="771"/>
      <c r="CH30" s="771"/>
      <c r="CI30" s="771"/>
      <c r="CJ30" s="771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771"/>
      <c r="CX30" s="771"/>
      <c r="CY30" s="771"/>
      <c r="CZ30" s="771"/>
      <c r="DA30" s="771"/>
      <c r="DB30" s="771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771"/>
      <c r="DR30" s="771"/>
      <c r="DS30" s="771"/>
      <c r="DT30" s="771"/>
      <c r="DU30" s="771"/>
      <c r="DV30" s="771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771"/>
      <c r="EL30" s="771"/>
      <c r="EM30" s="771"/>
      <c r="EN30" s="771"/>
      <c r="EO30" s="771"/>
      <c r="EP30" s="771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771"/>
      <c r="FQ30" s="771"/>
      <c r="FR30" s="771"/>
      <c r="FS30" s="771"/>
      <c r="FT30" s="771"/>
      <c r="FU30" s="771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771"/>
      <c r="GN30" s="771"/>
      <c r="GO30" s="771"/>
      <c r="GP30" s="771"/>
      <c r="GQ30" s="771"/>
      <c r="GR30" s="771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771"/>
      <c r="HI30" s="771"/>
      <c r="HJ30" s="771"/>
      <c r="HK30" s="771"/>
      <c r="HL30" s="771"/>
      <c r="HM30" s="771"/>
      <c r="HN30" s="6"/>
      <c r="HO30" s="12"/>
      <c r="HP30" s="12"/>
      <c r="HQ30" s="12"/>
      <c r="HS30" s="771"/>
      <c r="HT30" s="771"/>
      <c r="HU30" s="771"/>
      <c r="HV30" s="771"/>
      <c r="HW30" s="771"/>
      <c r="HX30" s="771"/>
      <c r="HY30" s="6"/>
      <c r="HZ30" s="12"/>
      <c r="IA30" s="12"/>
      <c r="IB30" s="12"/>
    </row>
    <row r="31" spans="1:236" ht="14.45" customHeight="1" x14ac:dyDescent="0.25">
      <c r="A31" s="47"/>
      <c r="B31" s="12"/>
      <c r="C31" s="772" t="s">
        <v>135</v>
      </c>
      <c r="D31" s="772"/>
      <c r="E31" s="772"/>
      <c r="F31" s="772"/>
      <c r="G31" s="772"/>
      <c r="H31" s="102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768"/>
      <c r="S31" s="768"/>
      <c r="T31" s="768"/>
      <c r="U31" s="12"/>
      <c r="V31" s="12"/>
      <c r="W31" s="12"/>
      <c r="X31" s="12"/>
      <c r="Y31" s="12"/>
      <c r="Z31" s="6"/>
      <c r="AA31" s="771"/>
      <c r="AB31" s="771"/>
      <c r="AC31" s="771"/>
      <c r="AD31" s="771"/>
      <c r="AE31" s="771"/>
      <c r="AF31" s="771"/>
      <c r="AG31" s="12"/>
      <c r="AH31" s="12"/>
      <c r="AI31" s="12"/>
      <c r="AJ31" s="12"/>
      <c r="AL31" s="771"/>
      <c r="AM31" s="771"/>
      <c r="AN31" s="771"/>
      <c r="AO31" s="771"/>
      <c r="AP31" s="771"/>
      <c r="AQ31" s="771"/>
      <c r="AR31" s="12"/>
      <c r="AS31" s="12"/>
      <c r="AT31" s="12"/>
      <c r="AU31" s="12"/>
      <c r="AV31" s="12"/>
      <c r="AW31" s="12"/>
      <c r="AX31" s="12"/>
      <c r="AY31" s="12"/>
      <c r="AZ31" s="771"/>
      <c r="BA31" s="771"/>
      <c r="BB31" s="771"/>
      <c r="BC31" s="771"/>
      <c r="BD31" s="771"/>
      <c r="BE31" s="771"/>
      <c r="BF31" s="12"/>
      <c r="BG31" s="12"/>
      <c r="BH31" s="12"/>
      <c r="BI31" s="12"/>
      <c r="BJ31" s="12"/>
      <c r="BK31" s="12"/>
      <c r="BL31" s="771"/>
      <c r="BM31" s="771"/>
      <c r="BN31" s="771"/>
      <c r="BO31" s="771"/>
      <c r="BP31" s="771"/>
      <c r="BQ31" s="771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771"/>
      <c r="CF31" s="771"/>
      <c r="CG31" s="771"/>
      <c r="CH31" s="771"/>
      <c r="CI31" s="771"/>
      <c r="CJ31" s="771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771"/>
      <c r="CX31" s="771"/>
      <c r="CY31" s="771"/>
      <c r="CZ31" s="771"/>
      <c r="DA31" s="771"/>
      <c r="DB31" s="771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771"/>
      <c r="DR31" s="771"/>
      <c r="DS31" s="771"/>
      <c r="DT31" s="771"/>
      <c r="DU31" s="771"/>
      <c r="DV31" s="771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771"/>
      <c r="EL31" s="771"/>
      <c r="EM31" s="771"/>
      <c r="EN31" s="771"/>
      <c r="EO31" s="771"/>
      <c r="EP31" s="771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771"/>
      <c r="FQ31" s="771"/>
      <c r="FR31" s="771"/>
      <c r="FS31" s="771"/>
      <c r="FT31" s="771"/>
      <c r="FU31" s="771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771"/>
      <c r="GN31" s="771"/>
      <c r="GO31" s="771"/>
      <c r="GP31" s="771"/>
      <c r="GQ31" s="771"/>
      <c r="GR31" s="771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771"/>
      <c r="HI31" s="771"/>
      <c r="HJ31" s="771"/>
      <c r="HK31" s="771"/>
      <c r="HL31" s="771"/>
      <c r="HM31" s="771"/>
      <c r="HN31" s="12"/>
      <c r="HO31" s="12"/>
      <c r="HP31" s="12"/>
      <c r="HQ31" s="12"/>
      <c r="HS31" s="771"/>
      <c r="HT31" s="771"/>
      <c r="HU31" s="771"/>
      <c r="HV31" s="771"/>
      <c r="HW31" s="771"/>
      <c r="HX31" s="771"/>
      <c r="HY31" s="12"/>
      <c r="HZ31" s="12"/>
      <c r="IA31" s="12"/>
      <c r="IB31" s="12"/>
    </row>
    <row r="32" spans="1:236" ht="14.45" customHeight="1" x14ac:dyDescent="0.25">
      <c r="A32" s="47"/>
      <c r="B32" s="12"/>
      <c r="C32" s="772" t="s">
        <v>136</v>
      </c>
      <c r="D32" s="772"/>
      <c r="E32" s="772"/>
      <c r="F32" s="772"/>
      <c r="G32" s="772"/>
      <c r="H32" s="102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768"/>
      <c r="S32" s="768"/>
      <c r="T32" s="768"/>
      <c r="U32" s="12"/>
      <c r="V32" s="12"/>
      <c r="W32" s="12"/>
      <c r="X32" s="12"/>
      <c r="Y32" s="12"/>
      <c r="Z32" s="6"/>
      <c r="AA32" s="771"/>
      <c r="AB32" s="771"/>
      <c r="AC32" s="771"/>
      <c r="AD32" s="771"/>
      <c r="AE32" s="771"/>
      <c r="AF32" s="771"/>
      <c r="AG32" s="12"/>
      <c r="AH32" s="12"/>
      <c r="AI32" s="12"/>
      <c r="AJ32" s="12"/>
      <c r="AL32" s="771"/>
      <c r="AM32" s="771"/>
      <c r="AN32" s="771"/>
      <c r="AO32" s="771"/>
      <c r="AP32" s="771"/>
      <c r="AQ32" s="771"/>
      <c r="AR32" s="12"/>
      <c r="AS32" s="12"/>
      <c r="AT32" s="12"/>
      <c r="AU32" s="12"/>
      <c r="AV32" s="12"/>
      <c r="AW32" s="12"/>
      <c r="AX32" s="12"/>
      <c r="AY32" s="12"/>
      <c r="AZ32" s="771"/>
      <c r="BA32" s="771"/>
      <c r="BB32" s="771"/>
      <c r="BC32" s="771"/>
      <c r="BD32" s="771"/>
      <c r="BE32" s="771"/>
      <c r="BF32" s="12"/>
      <c r="BG32" s="12"/>
      <c r="BH32" s="12"/>
      <c r="BI32" s="12"/>
      <c r="BJ32" s="12"/>
      <c r="BK32" s="12"/>
      <c r="BL32" s="771"/>
      <c r="BM32" s="771"/>
      <c r="BN32" s="771"/>
      <c r="BO32" s="771"/>
      <c r="BP32" s="771"/>
      <c r="BQ32" s="771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771"/>
      <c r="CF32" s="771"/>
      <c r="CG32" s="771"/>
      <c r="CH32" s="771"/>
      <c r="CI32" s="771"/>
      <c r="CJ32" s="771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771"/>
      <c r="CX32" s="771"/>
      <c r="CY32" s="771"/>
      <c r="CZ32" s="771"/>
      <c r="DA32" s="771"/>
      <c r="DB32" s="771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771"/>
      <c r="DR32" s="771"/>
      <c r="DS32" s="771"/>
      <c r="DT32" s="771"/>
      <c r="DU32" s="771"/>
      <c r="DV32" s="771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771"/>
      <c r="EL32" s="771"/>
      <c r="EM32" s="771"/>
      <c r="EN32" s="771"/>
      <c r="EO32" s="771"/>
      <c r="EP32" s="771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771"/>
      <c r="FQ32" s="771"/>
      <c r="FR32" s="771"/>
      <c r="FS32" s="771"/>
      <c r="FT32" s="771"/>
      <c r="FU32" s="771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771"/>
      <c r="GN32" s="771"/>
      <c r="GO32" s="771"/>
      <c r="GP32" s="771"/>
      <c r="GQ32" s="771"/>
      <c r="GR32" s="771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771"/>
      <c r="HI32" s="771"/>
      <c r="HJ32" s="771"/>
      <c r="HK32" s="771"/>
      <c r="HL32" s="771"/>
      <c r="HM32" s="771"/>
      <c r="HN32" s="12"/>
      <c r="HO32" s="12"/>
      <c r="HP32" s="12"/>
      <c r="HQ32" s="12"/>
      <c r="HS32" s="771"/>
      <c r="HT32" s="771"/>
      <c r="HU32" s="771"/>
      <c r="HV32" s="771"/>
      <c r="HW32" s="771"/>
      <c r="HX32" s="771"/>
      <c r="HY32" s="12"/>
      <c r="HZ32" s="12"/>
      <c r="IA32" s="12"/>
      <c r="IB32" s="12"/>
    </row>
    <row r="33" spans="1:236" ht="14.45" customHeight="1" x14ac:dyDescent="0.25">
      <c r="A33" s="47"/>
      <c r="B33" s="12"/>
      <c r="C33" s="772" t="s">
        <v>146</v>
      </c>
      <c r="D33" s="772"/>
      <c r="E33" s="772"/>
      <c r="F33" s="772"/>
      <c r="G33" s="772"/>
      <c r="H33" s="102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768"/>
      <c r="S33" s="768"/>
      <c r="T33" s="768"/>
      <c r="U33" s="12"/>
      <c r="V33" s="12"/>
      <c r="W33" s="12"/>
      <c r="X33" s="12"/>
      <c r="Y33" s="12"/>
      <c r="Z33" s="6"/>
      <c r="AA33" s="771"/>
      <c r="AB33" s="771"/>
      <c r="AC33" s="771"/>
      <c r="AD33" s="771"/>
      <c r="AE33" s="771"/>
      <c r="AF33" s="771"/>
      <c r="AG33" s="12"/>
      <c r="AH33" s="12"/>
      <c r="AI33" s="12"/>
      <c r="AJ33" s="12"/>
      <c r="AL33" s="771"/>
      <c r="AM33" s="771"/>
      <c r="AN33" s="771"/>
      <c r="AO33" s="771"/>
      <c r="AP33" s="771"/>
      <c r="AQ33" s="771"/>
      <c r="AR33" s="12"/>
      <c r="AS33" s="12"/>
      <c r="AT33" s="12"/>
      <c r="AU33" s="12"/>
      <c r="AV33" s="12"/>
      <c r="AW33" s="12"/>
      <c r="AX33" s="12"/>
      <c r="AY33" s="12"/>
      <c r="AZ33" s="771"/>
      <c r="BA33" s="771"/>
      <c r="BB33" s="771"/>
      <c r="BC33" s="771"/>
      <c r="BD33" s="771"/>
      <c r="BE33" s="771"/>
      <c r="BF33" s="12"/>
      <c r="BG33" s="12"/>
      <c r="BH33" s="12"/>
      <c r="BI33" s="12"/>
      <c r="BJ33" s="12"/>
      <c r="BK33" s="12"/>
      <c r="BL33" s="771"/>
      <c r="BM33" s="771"/>
      <c r="BN33" s="771"/>
      <c r="BO33" s="771"/>
      <c r="BP33" s="771"/>
      <c r="BQ33" s="771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771"/>
      <c r="CF33" s="771"/>
      <c r="CG33" s="771"/>
      <c r="CH33" s="771"/>
      <c r="CI33" s="771"/>
      <c r="CJ33" s="771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771"/>
      <c r="CX33" s="771"/>
      <c r="CY33" s="771"/>
      <c r="CZ33" s="771"/>
      <c r="DA33" s="771"/>
      <c r="DB33" s="771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771"/>
      <c r="DR33" s="771"/>
      <c r="DS33" s="771"/>
      <c r="DT33" s="771"/>
      <c r="DU33" s="771"/>
      <c r="DV33" s="771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771"/>
      <c r="EL33" s="771"/>
      <c r="EM33" s="771"/>
      <c r="EN33" s="771"/>
      <c r="EO33" s="771"/>
      <c r="EP33" s="771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771"/>
      <c r="FQ33" s="771"/>
      <c r="FR33" s="771"/>
      <c r="FS33" s="771"/>
      <c r="FT33" s="771"/>
      <c r="FU33" s="771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771"/>
      <c r="GN33" s="771"/>
      <c r="GO33" s="771"/>
      <c r="GP33" s="771"/>
      <c r="GQ33" s="771"/>
      <c r="GR33" s="771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771"/>
      <c r="HI33" s="771"/>
      <c r="HJ33" s="771"/>
      <c r="HK33" s="771"/>
      <c r="HL33" s="771"/>
      <c r="HM33" s="771"/>
      <c r="HN33" s="12"/>
      <c r="HO33" s="12"/>
      <c r="HP33" s="12"/>
      <c r="HQ33" s="12"/>
      <c r="HS33" s="771"/>
      <c r="HT33" s="771"/>
      <c r="HU33" s="771"/>
      <c r="HV33" s="771"/>
      <c r="HW33" s="771"/>
      <c r="HX33" s="771"/>
      <c r="HY33" s="12"/>
      <c r="HZ33" s="12"/>
      <c r="IA33" s="12"/>
      <c r="IB33" s="12"/>
    </row>
    <row r="34" spans="1:236" ht="14.45" customHeight="1" x14ac:dyDescent="0.25">
      <c r="A34" s="47"/>
      <c r="B34" s="12"/>
      <c r="C34" s="772" t="s">
        <v>173</v>
      </c>
      <c r="D34" s="772"/>
      <c r="E34" s="772"/>
      <c r="F34" s="772"/>
      <c r="G34" s="772"/>
      <c r="H34" s="102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768"/>
      <c r="S34" s="768"/>
      <c r="T34" s="768"/>
      <c r="U34" s="12"/>
      <c r="V34" s="12"/>
      <c r="W34" s="12"/>
      <c r="X34" s="12"/>
      <c r="Y34" s="12"/>
      <c r="Z34" s="6"/>
      <c r="AA34" s="771"/>
      <c r="AB34" s="771"/>
      <c r="AC34" s="771"/>
      <c r="AD34" s="771"/>
      <c r="AE34" s="771"/>
      <c r="AF34" s="771"/>
      <c r="AG34" s="12"/>
      <c r="AH34" s="12"/>
      <c r="AI34" s="12"/>
      <c r="AJ34" s="12"/>
      <c r="AL34" s="771"/>
      <c r="AM34" s="771"/>
      <c r="AN34" s="771"/>
      <c r="AO34" s="771"/>
      <c r="AP34" s="771"/>
      <c r="AQ34" s="771"/>
      <c r="AR34" s="12"/>
      <c r="AS34" s="12"/>
      <c r="AT34" s="12"/>
      <c r="AU34" s="12"/>
      <c r="AV34" s="12"/>
      <c r="AW34" s="12"/>
      <c r="AX34" s="12"/>
      <c r="AY34" s="12"/>
      <c r="AZ34" s="771"/>
      <c r="BA34" s="771"/>
      <c r="BB34" s="771"/>
      <c r="BC34" s="771"/>
      <c r="BD34" s="771"/>
      <c r="BE34" s="771"/>
      <c r="BF34" s="12"/>
      <c r="BG34" s="12"/>
      <c r="BH34" s="12"/>
      <c r="BI34" s="12"/>
      <c r="BJ34" s="12"/>
      <c r="BK34" s="12"/>
      <c r="BL34" s="771"/>
      <c r="BM34" s="771"/>
      <c r="BN34" s="771"/>
      <c r="BO34" s="771"/>
      <c r="BP34" s="771"/>
      <c r="BQ34" s="771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771"/>
      <c r="CF34" s="771"/>
      <c r="CG34" s="771"/>
      <c r="CH34" s="771"/>
      <c r="CI34" s="771"/>
      <c r="CJ34" s="771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771"/>
      <c r="CX34" s="771"/>
      <c r="CY34" s="771"/>
      <c r="CZ34" s="771"/>
      <c r="DA34" s="771"/>
      <c r="DB34" s="771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771"/>
      <c r="DR34" s="771"/>
      <c r="DS34" s="771"/>
      <c r="DT34" s="771"/>
      <c r="DU34" s="771"/>
      <c r="DV34" s="771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771"/>
      <c r="EL34" s="771"/>
      <c r="EM34" s="771"/>
      <c r="EN34" s="771"/>
      <c r="EO34" s="771"/>
      <c r="EP34" s="771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771"/>
      <c r="FQ34" s="771"/>
      <c r="FR34" s="771"/>
      <c r="FS34" s="771"/>
      <c r="FT34" s="771"/>
      <c r="FU34" s="771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771"/>
      <c r="GN34" s="771"/>
      <c r="GO34" s="771"/>
      <c r="GP34" s="771"/>
      <c r="GQ34" s="771"/>
      <c r="GR34" s="771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771"/>
      <c r="HI34" s="771"/>
      <c r="HJ34" s="771"/>
      <c r="HK34" s="771"/>
      <c r="HL34" s="771"/>
      <c r="HM34" s="771"/>
      <c r="HN34" s="12"/>
      <c r="HO34" s="12"/>
      <c r="HP34" s="12"/>
      <c r="HQ34" s="12"/>
      <c r="HS34" s="771"/>
      <c r="HT34" s="771"/>
      <c r="HU34" s="771"/>
      <c r="HV34" s="771"/>
      <c r="HW34" s="771"/>
      <c r="HX34" s="771"/>
      <c r="HY34" s="12"/>
      <c r="HZ34" s="12"/>
      <c r="IA34" s="12"/>
      <c r="IB34" s="12"/>
    </row>
    <row r="35" spans="1:236" ht="14.45" customHeight="1" x14ac:dyDescent="0.25">
      <c r="A35" s="47"/>
      <c r="B35" s="12"/>
      <c r="C35" s="772" t="s">
        <v>209</v>
      </c>
      <c r="D35" s="772"/>
      <c r="E35" s="772"/>
      <c r="F35" s="772"/>
      <c r="G35" s="772"/>
      <c r="H35" s="102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768"/>
      <c r="S35" s="768"/>
      <c r="T35" s="768"/>
      <c r="U35" s="12"/>
      <c r="V35" s="12"/>
      <c r="W35" s="12"/>
      <c r="X35" s="12"/>
      <c r="Y35" s="12"/>
      <c r="Z35" s="6"/>
      <c r="AA35" s="771"/>
      <c r="AB35" s="771"/>
      <c r="AC35" s="771"/>
      <c r="AD35" s="771"/>
      <c r="AE35" s="771"/>
      <c r="AF35" s="771"/>
      <c r="AG35" s="12"/>
      <c r="AH35" s="12"/>
      <c r="AI35" s="12"/>
      <c r="AJ35" s="12"/>
      <c r="AL35" s="771"/>
      <c r="AM35" s="771"/>
      <c r="AN35" s="771"/>
      <c r="AO35" s="771"/>
      <c r="AP35" s="771"/>
      <c r="AQ35" s="771"/>
      <c r="AR35" s="12"/>
      <c r="AS35" s="12"/>
      <c r="AT35" s="12"/>
      <c r="AU35" s="12"/>
      <c r="AV35" s="12"/>
      <c r="AW35" s="12"/>
      <c r="AX35" s="12"/>
      <c r="AY35" s="12"/>
      <c r="AZ35" s="771"/>
      <c r="BA35" s="771"/>
      <c r="BB35" s="771"/>
      <c r="BC35" s="771"/>
      <c r="BD35" s="771"/>
      <c r="BE35" s="771"/>
      <c r="BF35" s="12"/>
      <c r="BG35" s="12"/>
      <c r="BH35" s="12"/>
      <c r="BI35" s="12"/>
      <c r="BJ35" s="12"/>
      <c r="BK35" s="12"/>
      <c r="BL35" s="771"/>
      <c r="BM35" s="771"/>
      <c r="BN35" s="771"/>
      <c r="BO35" s="771"/>
      <c r="BP35" s="771"/>
      <c r="BQ35" s="771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771"/>
      <c r="CF35" s="771"/>
      <c r="CG35" s="771"/>
      <c r="CH35" s="771"/>
      <c r="CI35" s="771"/>
      <c r="CJ35" s="771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771"/>
      <c r="CX35" s="771"/>
      <c r="CY35" s="771"/>
      <c r="CZ35" s="771"/>
      <c r="DA35" s="771"/>
      <c r="DB35" s="771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771"/>
      <c r="DR35" s="771"/>
      <c r="DS35" s="771"/>
      <c r="DT35" s="771"/>
      <c r="DU35" s="771"/>
      <c r="DV35" s="771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771"/>
      <c r="EL35" s="771"/>
      <c r="EM35" s="771"/>
      <c r="EN35" s="771"/>
      <c r="EO35" s="771"/>
      <c r="EP35" s="771"/>
      <c r="EQ35" s="12"/>
      <c r="ER35" s="12"/>
      <c r="ES35" s="131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771"/>
      <c r="FQ35" s="771"/>
      <c r="FR35" s="771"/>
      <c r="FS35" s="771"/>
      <c r="FT35" s="771"/>
      <c r="FU35" s="771"/>
      <c r="FV35" s="12"/>
      <c r="FW35" s="12"/>
      <c r="FX35" s="131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771"/>
      <c r="GN35" s="771"/>
      <c r="GO35" s="771"/>
      <c r="GP35" s="771"/>
      <c r="GQ35" s="771"/>
      <c r="GR35" s="771"/>
      <c r="GS35" s="12"/>
      <c r="GT35" s="131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771"/>
      <c r="HI35" s="771"/>
      <c r="HJ35" s="771"/>
      <c r="HK35" s="771"/>
      <c r="HL35" s="771"/>
      <c r="HM35" s="771"/>
      <c r="HN35" s="12"/>
      <c r="HO35" s="131"/>
      <c r="HP35" s="12"/>
      <c r="HQ35" s="12"/>
      <c r="HS35" s="771"/>
      <c r="HT35" s="771"/>
      <c r="HU35" s="771"/>
      <c r="HV35" s="771"/>
      <c r="HW35" s="771"/>
      <c r="HX35" s="771"/>
      <c r="HY35" s="12"/>
      <c r="HZ35" s="131"/>
      <c r="IA35" s="12"/>
      <c r="IB35" s="12"/>
    </row>
    <row r="36" spans="1:236" ht="14.45" customHeight="1" x14ac:dyDescent="0.25">
      <c r="A36" s="47"/>
      <c r="B36" s="12"/>
      <c r="C36" s="772" t="s">
        <v>147</v>
      </c>
      <c r="D36" s="772"/>
      <c r="E36" s="772"/>
      <c r="F36" s="772"/>
      <c r="G36" s="772"/>
      <c r="H36" s="102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768"/>
      <c r="S36" s="768"/>
      <c r="T36" s="768"/>
      <c r="U36" s="12"/>
      <c r="V36" s="12"/>
      <c r="W36" s="12"/>
      <c r="X36" s="12"/>
      <c r="Y36" s="12"/>
      <c r="Z36" s="6"/>
      <c r="AA36" s="771"/>
      <c r="AB36" s="771"/>
      <c r="AC36" s="771"/>
      <c r="AD36" s="771"/>
      <c r="AE36" s="771"/>
      <c r="AF36" s="771"/>
      <c r="AG36" s="12"/>
      <c r="AH36" s="12"/>
      <c r="AI36" s="12"/>
      <c r="AJ36" s="12"/>
      <c r="AL36" s="771"/>
      <c r="AM36" s="771"/>
      <c r="AN36" s="771"/>
      <c r="AO36" s="771"/>
      <c r="AP36" s="771"/>
      <c r="AQ36" s="771"/>
      <c r="AR36" s="12"/>
      <c r="AS36" s="12"/>
      <c r="AT36" s="12"/>
      <c r="AU36" s="12"/>
      <c r="AV36" s="12"/>
      <c r="AW36" s="12"/>
      <c r="AX36" s="12"/>
      <c r="AY36" s="12"/>
      <c r="AZ36" s="771"/>
      <c r="BA36" s="771"/>
      <c r="BB36" s="771"/>
      <c r="BC36" s="771"/>
      <c r="BD36" s="771"/>
      <c r="BE36" s="771"/>
      <c r="BF36" s="12"/>
      <c r="BG36" s="12"/>
      <c r="BH36" s="12"/>
      <c r="BI36" s="12"/>
      <c r="BJ36" s="12"/>
      <c r="BK36" s="12"/>
      <c r="BL36" s="771"/>
      <c r="BM36" s="771"/>
      <c r="BN36" s="771"/>
      <c r="BO36" s="771"/>
      <c r="BP36" s="771"/>
      <c r="BQ36" s="771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771"/>
      <c r="CF36" s="771"/>
      <c r="CG36" s="771"/>
      <c r="CH36" s="771"/>
      <c r="CI36" s="771"/>
      <c r="CJ36" s="771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771"/>
      <c r="CX36" s="771"/>
      <c r="CY36" s="771"/>
      <c r="CZ36" s="771"/>
      <c r="DA36" s="771"/>
      <c r="DB36" s="771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771"/>
      <c r="DR36" s="771"/>
      <c r="DS36" s="771"/>
      <c r="DT36" s="771"/>
      <c r="DU36" s="771"/>
      <c r="DV36" s="771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771"/>
      <c r="EL36" s="771"/>
      <c r="EM36" s="771"/>
      <c r="EN36" s="771"/>
      <c r="EO36" s="771"/>
      <c r="EP36" s="771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771"/>
      <c r="FQ36" s="771"/>
      <c r="FR36" s="771"/>
      <c r="FS36" s="771"/>
      <c r="FT36" s="771"/>
      <c r="FU36" s="771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771"/>
      <c r="GN36" s="771"/>
      <c r="GO36" s="771"/>
      <c r="GP36" s="771"/>
      <c r="GQ36" s="771"/>
      <c r="GR36" s="771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771"/>
      <c r="HI36" s="771"/>
      <c r="HJ36" s="771"/>
      <c r="HK36" s="771"/>
      <c r="HL36" s="771"/>
      <c r="HM36" s="771"/>
      <c r="HN36" s="12"/>
      <c r="HO36" s="12"/>
      <c r="HP36" s="12"/>
      <c r="HQ36" s="12"/>
      <c r="HS36" s="771"/>
      <c r="HT36" s="771"/>
      <c r="HU36" s="771"/>
      <c r="HV36" s="771"/>
      <c r="HW36" s="771"/>
      <c r="HX36" s="771"/>
      <c r="HY36" s="12"/>
      <c r="HZ36" s="12"/>
      <c r="IA36" s="12"/>
      <c r="IB36" s="12"/>
    </row>
    <row r="37" spans="1:236" ht="14.45" customHeight="1" x14ac:dyDescent="0.25">
      <c r="A37" s="47"/>
      <c r="B37" s="12"/>
      <c r="C37" s="772" t="s">
        <v>168</v>
      </c>
      <c r="D37" s="772"/>
      <c r="E37" s="772"/>
      <c r="F37" s="772"/>
      <c r="G37" s="772"/>
      <c r="H37" s="102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768"/>
      <c r="S37" s="768"/>
      <c r="T37" s="768"/>
      <c r="U37" s="12"/>
      <c r="V37" s="12"/>
      <c r="W37" s="12"/>
      <c r="X37" s="12"/>
      <c r="Y37" s="12"/>
      <c r="Z37" s="6"/>
      <c r="AA37" s="771"/>
      <c r="AB37" s="771"/>
      <c r="AC37" s="771"/>
      <c r="AD37" s="771"/>
      <c r="AE37" s="771"/>
      <c r="AF37" s="771"/>
      <c r="AG37" s="12"/>
      <c r="AH37" s="12"/>
      <c r="AI37" s="12"/>
      <c r="AJ37" s="12"/>
      <c r="AL37" s="771"/>
      <c r="AM37" s="771"/>
      <c r="AN37" s="771"/>
      <c r="AO37" s="771"/>
      <c r="AP37" s="771"/>
      <c r="AQ37" s="771"/>
      <c r="AR37" s="12"/>
      <c r="AS37" s="12"/>
      <c r="AT37" s="12"/>
      <c r="AU37" s="12"/>
      <c r="AV37" s="12"/>
      <c r="AW37" s="12"/>
      <c r="AX37" s="12"/>
      <c r="AY37" s="12"/>
      <c r="AZ37" s="771"/>
      <c r="BA37" s="771"/>
      <c r="BB37" s="771"/>
      <c r="BC37" s="771"/>
      <c r="BD37" s="771"/>
      <c r="BE37" s="771"/>
      <c r="BF37" s="12"/>
      <c r="BG37" s="12"/>
      <c r="BH37" s="12"/>
      <c r="BI37" s="12"/>
      <c r="BJ37" s="12"/>
      <c r="BK37" s="12"/>
      <c r="BL37" s="771"/>
      <c r="BM37" s="771"/>
      <c r="BN37" s="771"/>
      <c r="BO37" s="771"/>
      <c r="BP37" s="771"/>
      <c r="BQ37" s="771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771"/>
      <c r="CF37" s="771"/>
      <c r="CG37" s="771"/>
      <c r="CH37" s="771"/>
      <c r="CI37" s="771"/>
      <c r="CJ37" s="771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771"/>
      <c r="CX37" s="771"/>
      <c r="CY37" s="771"/>
      <c r="CZ37" s="771"/>
      <c r="DA37" s="771"/>
      <c r="DB37" s="771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771"/>
      <c r="DR37" s="771"/>
      <c r="DS37" s="771"/>
      <c r="DT37" s="771"/>
      <c r="DU37" s="771"/>
      <c r="DV37" s="771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771"/>
      <c r="EL37" s="771"/>
      <c r="EM37" s="771"/>
      <c r="EN37" s="771"/>
      <c r="EO37" s="771"/>
      <c r="EP37" s="771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771"/>
      <c r="FQ37" s="771"/>
      <c r="FR37" s="771"/>
      <c r="FS37" s="771"/>
      <c r="FT37" s="771"/>
      <c r="FU37" s="771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771"/>
      <c r="GN37" s="771"/>
      <c r="GO37" s="771"/>
      <c r="GP37" s="771"/>
      <c r="GQ37" s="771"/>
      <c r="GR37" s="771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771"/>
      <c r="HI37" s="771"/>
      <c r="HJ37" s="771"/>
      <c r="HK37" s="771"/>
      <c r="HL37" s="771"/>
      <c r="HM37" s="771"/>
      <c r="HN37" s="12"/>
      <c r="HO37" s="12"/>
      <c r="HP37" s="12"/>
      <c r="HQ37" s="12"/>
      <c r="HS37" s="771"/>
      <c r="HT37" s="771"/>
      <c r="HU37" s="771"/>
      <c r="HV37" s="771"/>
      <c r="HW37" s="771"/>
      <c r="HX37" s="771"/>
      <c r="HY37" s="12"/>
      <c r="HZ37" s="12"/>
      <c r="IA37" s="12"/>
      <c r="IB37" s="12"/>
    </row>
    <row r="38" spans="1:236" ht="14.45" customHeight="1" x14ac:dyDescent="0.25">
      <c r="A38" s="47"/>
      <c r="B38" s="12"/>
      <c r="C38" s="772" t="s">
        <v>155</v>
      </c>
      <c r="D38" s="772"/>
      <c r="E38" s="772"/>
      <c r="F38" s="772"/>
      <c r="G38" s="772"/>
      <c r="H38" s="102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768"/>
      <c r="S38" s="768"/>
      <c r="T38" s="768"/>
      <c r="U38" s="12"/>
      <c r="V38" s="12"/>
      <c r="W38" s="12"/>
      <c r="X38" s="12"/>
      <c r="Y38" s="12"/>
      <c r="Z38" s="6"/>
      <c r="AA38" s="771"/>
      <c r="AB38" s="771"/>
      <c r="AC38" s="771"/>
      <c r="AD38" s="771"/>
      <c r="AE38" s="771"/>
      <c r="AF38" s="771"/>
      <c r="AG38" s="12"/>
      <c r="AH38" s="12"/>
      <c r="AI38" s="12"/>
      <c r="AJ38" s="12"/>
      <c r="AL38" s="771"/>
      <c r="AM38" s="771"/>
      <c r="AN38" s="771"/>
      <c r="AO38" s="771"/>
      <c r="AP38" s="771"/>
      <c r="AQ38" s="771"/>
      <c r="AR38" s="12"/>
      <c r="AS38" s="12"/>
      <c r="AT38" s="12"/>
      <c r="AU38" s="12"/>
      <c r="AV38" s="12"/>
      <c r="AW38" s="12"/>
      <c r="AX38" s="12"/>
      <c r="AY38" s="12"/>
      <c r="AZ38" s="771"/>
      <c r="BA38" s="771"/>
      <c r="BB38" s="771"/>
      <c r="BC38" s="771"/>
      <c r="BD38" s="771"/>
      <c r="BE38" s="771"/>
      <c r="BF38" s="12"/>
      <c r="BG38" s="12"/>
      <c r="BH38" s="12"/>
      <c r="BI38" s="12"/>
      <c r="BJ38" s="12"/>
      <c r="BK38" s="12"/>
      <c r="BL38" s="771"/>
      <c r="BM38" s="771"/>
      <c r="BN38" s="771"/>
      <c r="BO38" s="771"/>
      <c r="BP38" s="771"/>
      <c r="BQ38" s="771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771"/>
      <c r="CF38" s="771"/>
      <c r="CG38" s="771"/>
      <c r="CH38" s="771"/>
      <c r="CI38" s="771"/>
      <c r="CJ38" s="771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771"/>
      <c r="CX38" s="771"/>
      <c r="CY38" s="771"/>
      <c r="CZ38" s="771"/>
      <c r="DA38" s="771"/>
      <c r="DB38" s="771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771"/>
      <c r="DR38" s="771"/>
      <c r="DS38" s="771"/>
      <c r="DT38" s="771"/>
      <c r="DU38" s="771"/>
      <c r="DV38" s="771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771"/>
      <c r="EL38" s="771"/>
      <c r="EM38" s="771"/>
      <c r="EN38" s="771"/>
      <c r="EO38" s="771"/>
      <c r="EP38" s="771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771"/>
      <c r="FQ38" s="771"/>
      <c r="FR38" s="771"/>
      <c r="FS38" s="771"/>
      <c r="FT38" s="771"/>
      <c r="FU38" s="771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771"/>
      <c r="GN38" s="771"/>
      <c r="GO38" s="771"/>
      <c r="GP38" s="771"/>
      <c r="GQ38" s="771"/>
      <c r="GR38" s="771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771"/>
      <c r="HI38" s="771"/>
      <c r="HJ38" s="771"/>
      <c r="HK38" s="771"/>
      <c r="HL38" s="771"/>
      <c r="HM38" s="771"/>
      <c r="HN38" s="12"/>
      <c r="HO38" s="12"/>
      <c r="HP38" s="12"/>
      <c r="HQ38" s="12"/>
      <c r="HS38" s="771"/>
      <c r="HT38" s="771"/>
      <c r="HU38" s="771"/>
      <c r="HV38" s="771"/>
      <c r="HW38" s="771"/>
      <c r="HX38" s="771"/>
      <c r="HY38" s="12"/>
      <c r="HZ38" s="12"/>
      <c r="IA38" s="12"/>
      <c r="IB38" s="12"/>
    </row>
    <row r="39" spans="1:236" ht="14.45" customHeight="1" x14ac:dyDescent="0.25">
      <c r="A39" s="47"/>
      <c r="B39" s="12"/>
      <c r="C39" s="772" t="s">
        <v>149</v>
      </c>
      <c r="D39" s="772"/>
      <c r="E39" s="772"/>
      <c r="F39" s="772"/>
      <c r="G39" s="772"/>
      <c r="H39" s="102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768"/>
      <c r="S39" s="768"/>
      <c r="T39" s="768"/>
      <c r="U39" s="12"/>
      <c r="V39" s="12"/>
      <c r="W39" s="12"/>
      <c r="X39" s="12"/>
      <c r="Y39" s="12"/>
      <c r="Z39" s="6"/>
      <c r="AA39" s="771"/>
      <c r="AB39" s="771"/>
      <c r="AC39" s="771"/>
      <c r="AD39" s="771"/>
      <c r="AE39" s="771"/>
      <c r="AF39" s="771"/>
      <c r="AG39" s="12"/>
      <c r="AH39" s="12"/>
      <c r="AI39" s="12"/>
      <c r="AJ39" s="12"/>
      <c r="AL39" s="771"/>
      <c r="AM39" s="771"/>
      <c r="AN39" s="771"/>
      <c r="AO39" s="771"/>
      <c r="AP39" s="771"/>
      <c r="AQ39" s="771"/>
      <c r="AR39" s="12"/>
      <c r="AS39" s="12"/>
      <c r="AT39" s="12"/>
      <c r="AU39" s="12"/>
      <c r="AV39" s="12"/>
      <c r="AW39" s="12"/>
      <c r="AX39" s="12"/>
      <c r="AY39" s="12"/>
      <c r="AZ39" s="771"/>
      <c r="BA39" s="771"/>
      <c r="BB39" s="771"/>
      <c r="BC39" s="771"/>
      <c r="BD39" s="771"/>
      <c r="BE39" s="771"/>
      <c r="BF39" s="12"/>
      <c r="BG39" s="12"/>
      <c r="BH39" s="12"/>
      <c r="BI39" s="12"/>
      <c r="BJ39" s="12"/>
      <c r="BK39" s="12"/>
      <c r="BL39" s="771"/>
      <c r="BM39" s="771"/>
      <c r="BN39" s="771"/>
      <c r="BO39" s="771"/>
      <c r="BP39" s="771"/>
      <c r="BQ39" s="771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771"/>
      <c r="CF39" s="771"/>
      <c r="CG39" s="771"/>
      <c r="CH39" s="771"/>
      <c r="CI39" s="771"/>
      <c r="CJ39" s="771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771"/>
      <c r="CX39" s="771"/>
      <c r="CY39" s="771"/>
      <c r="CZ39" s="771"/>
      <c r="DA39" s="771"/>
      <c r="DB39" s="771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771"/>
      <c r="DR39" s="771"/>
      <c r="DS39" s="771"/>
      <c r="DT39" s="771"/>
      <c r="DU39" s="771"/>
      <c r="DV39" s="771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771"/>
      <c r="EL39" s="771"/>
      <c r="EM39" s="771"/>
      <c r="EN39" s="771"/>
      <c r="EO39" s="771"/>
      <c r="EP39" s="771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771"/>
      <c r="FQ39" s="771"/>
      <c r="FR39" s="771"/>
      <c r="FS39" s="771"/>
      <c r="FT39" s="771"/>
      <c r="FU39" s="771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771"/>
      <c r="GN39" s="771"/>
      <c r="GO39" s="771"/>
      <c r="GP39" s="771"/>
      <c r="GQ39" s="771"/>
      <c r="GR39" s="771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771"/>
      <c r="HI39" s="771"/>
      <c r="HJ39" s="771"/>
      <c r="HK39" s="771"/>
      <c r="HL39" s="771"/>
      <c r="HM39" s="771"/>
      <c r="HN39" s="12"/>
      <c r="HO39" s="12"/>
      <c r="HP39" s="12"/>
      <c r="HQ39" s="12"/>
      <c r="HS39" s="771"/>
      <c r="HT39" s="771"/>
      <c r="HU39" s="771"/>
      <c r="HV39" s="771"/>
      <c r="HW39" s="771"/>
      <c r="HX39" s="771"/>
      <c r="HY39" s="12"/>
      <c r="HZ39" s="12"/>
      <c r="IA39" s="12"/>
      <c r="IB39" s="12"/>
    </row>
    <row r="40" spans="1:236" ht="14.45" customHeight="1" x14ac:dyDescent="0.25">
      <c r="A40" s="47"/>
      <c r="B40" s="12"/>
      <c r="C40" s="772" t="s">
        <v>148</v>
      </c>
      <c r="D40" s="772"/>
      <c r="E40" s="772"/>
      <c r="F40" s="772"/>
      <c r="G40" s="772"/>
      <c r="H40" s="102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768"/>
      <c r="S40" s="768"/>
      <c r="T40" s="768"/>
      <c r="U40" s="12"/>
      <c r="V40" s="12"/>
      <c r="W40" s="12"/>
      <c r="X40" s="12"/>
      <c r="Y40" s="12"/>
      <c r="Z40" s="6"/>
      <c r="AA40" s="771"/>
      <c r="AB40" s="771"/>
      <c r="AC40" s="771"/>
      <c r="AD40" s="771"/>
      <c r="AE40" s="771"/>
      <c r="AF40" s="771"/>
      <c r="AG40" s="12"/>
      <c r="AH40" s="12"/>
      <c r="AI40" s="12"/>
      <c r="AJ40" s="12"/>
      <c r="AL40" s="771"/>
      <c r="AM40" s="771"/>
      <c r="AN40" s="771"/>
      <c r="AO40" s="771"/>
      <c r="AP40" s="771"/>
      <c r="AQ40" s="771"/>
      <c r="AR40" s="12"/>
      <c r="AS40" s="12"/>
      <c r="AT40" s="12"/>
      <c r="AU40" s="12"/>
      <c r="AV40" s="12"/>
      <c r="AW40" s="12"/>
      <c r="AX40" s="12"/>
      <c r="AY40" s="12"/>
      <c r="AZ40" s="771"/>
      <c r="BA40" s="771"/>
      <c r="BB40" s="771"/>
      <c r="BC40" s="771"/>
      <c r="BD40" s="771"/>
      <c r="BE40" s="771"/>
      <c r="BF40" s="12"/>
      <c r="BG40" s="12"/>
      <c r="BH40" s="12"/>
      <c r="BI40" s="12"/>
      <c r="BJ40" s="12"/>
      <c r="BK40" s="12"/>
      <c r="BL40" s="771"/>
      <c r="BM40" s="771"/>
      <c r="BN40" s="771"/>
      <c r="BO40" s="771"/>
      <c r="BP40" s="771"/>
      <c r="BQ40" s="771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771"/>
      <c r="CF40" s="771"/>
      <c r="CG40" s="771"/>
      <c r="CH40" s="771"/>
      <c r="CI40" s="771"/>
      <c r="CJ40" s="771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771"/>
      <c r="CX40" s="771"/>
      <c r="CY40" s="771"/>
      <c r="CZ40" s="771"/>
      <c r="DA40" s="771"/>
      <c r="DB40" s="771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771"/>
      <c r="DR40" s="771"/>
      <c r="DS40" s="771"/>
      <c r="DT40" s="771"/>
      <c r="DU40" s="771"/>
      <c r="DV40" s="771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771"/>
      <c r="EL40" s="771"/>
      <c r="EM40" s="771"/>
      <c r="EN40" s="771"/>
      <c r="EO40" s="771"/>
      <c r="EP40" s="771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771"/>
      <c r="FQ40" s="771"/>
      <c r="FR40" s="771"/>
      <c r="FS40" s="771"/>
      <c r="FT40" s="771"/>
      <c r="FU40" s="771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771"/>
      <c r="GN40" s="771"/>
      <c r="GO40" s="771"/>
      <c r="GP40" s="771"/>
      <c r="GQ40" s="771"/>
      <c r="GR40" s="771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771"/>
      <c r="HI40" s="771"/>
      <c r="HJ40" s="771"/>
      <c r="HK40" s="771"/>
      <c r="HL40" s="771"/>
      <c r="HM40" s="771"/>
      <c r="HN40" s="12"/>
      <c r="HO40" s="12"/>
      <c r="HP40" s="12"/>
      <c r="HQ40" s="12"/>
      <c r="HS40" s="771"/>
      <c r="HT40" s="771"/>
      <c r="HU40" s="771"/>
      <c r="HV40" s="771"/>
      <c r="HW40" s="771"/>
      <c r="HX40" s="771"/>
      <c r="HY40" s="12"/>
      <c r="HZ40" s="12"/>
      <c r="IA40" s="12"/>
      <c r="IB40" s="12"/>
    </row>
    <row r="41" spans="1:236" ht="14.45" customHeight="1" x14ac:dyDescent="0.25">
      <c r="A41" s="47"/>
      <c r="B41" s="12"/>
      <c r="C41" s="772" t="s">
        <v>150</v>
      </c>
      <c r="D41" s="772"/>
      <c r="E41" s="772"/>
      <c r="F41" s="772"/>
      <c r="G41" s="772"/>
      <c r="H41" s="102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768"/>
      <c r="S41" s="768"/>
      <c r="T41" s="768"/>
      <c r="U41" s="12"/>
      <c r="V41" s="12"/>
      <c r="W41" s="12"/>
      <c r="X41" s="12"/>
      <c r="Y41" s="12"/>
      <c r="Z41" s="6"/>
      <c r="AA41" s="771"/>
      <c r="AB41" s="771"/>
      <c r="AC41" s="771"/>
      <c r="AD41" s="771"/>
      <c r="AE41" s="771"/>
      <c r="AF41" s="771"/>
      <c r="AG41" s="12"/>
      <c r="AH41" s="12"/>
      <c r="AI41" s="12"/>
      <c r="AJ41" s="12"/>
      <c r="AL41" s="771"/>
      <c r="AM41" s="771"/>
      <c r="AN41" s="771"/>
      <c r="AO41" s="771"/>
      <c r="AP41" s="771"/>
      <c r="AQ41" s="771"/>
      <c r="AR41" s="12"/>
      <c r="AS41" s="12"/>
      <c r="AT41" s="12"/>
      <c r="AU41" s="12"/>
      <c r="AV41" s="12"/>
      <c r="AW41" s="12"/>
      <c r="AX41" s="12"/>
      <c r="AY41" s="12"/>
      <c r="AZ41" s="771"/>
      <c r="BA41" s="771"/>
      <c r="BB41" s="771"/>
      <c r="BC41" s="771"/>
      <c r="BD41" s="771"/>
      <c r="BE41" s="771"/>
      <c r="BF41" s="12"/>
      <c r="BG41" s="12"/>
      <c r="BH41" s="12"/>
      <c r="BI41" s="12"/>
      <c r="BJ41" s="12"/>
      <c r="BK41" s="12"/>
      <c r="BL41" s="771"/>
      <c r="BM41" s="771"/>
      <c r="BN41" s="771"/>
      <c r="BO41" s="771"/>
      <c r="BP41" s="771"/>
      <c r="BQ41" s="771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771"/>
      <c r="CF41" s="771"/>
      <c r="CG41" s="771"/>
      <c r="CH41" s="771"/>
      <c r="CI41" s="771"/>
      <c r="CJ41" s="771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771"/>
      <c r="CX41" s="771"/>
      <c r="CY41" s="771"/>
      <c r="CZ41" s="771"/>
      <c r="DA41" s="771"/>
      <c r="DB41" s="771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771"/>
      <c r="DR41" s="771"/>
      <c r="DS41" s="771"/>
      <c r="DT41" s="771"/>
      <c r="DU41" s="771"/>
      <c r="DV41" s="771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771"/>
      <c r="EL41" s="771"/>
      <c r="EM41" s="771"/>
      <c r="EN41" s="771"/>
      <c r="EO41" s="771"/>
      <c r="EP41" s="771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771"/>
      <c r="FQ41" s="771"/>
      <c r="FR41" s="771"/>
      <c r="FS41" s="771"/>
      <c r="FT41" s="771"/>
      <c r="FU41" s="771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771"/>
      <c r="GN41" s="771"/>
      <c r="GO41" s="771"/>
      <c r="GP41" s="771"/>
      <c r="GQ41" s="771"/>
      <c r="GR41" s="771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771"/>
      <c r="HI41" s="771"/>
      <c r="HJ41" s="771"/>
      <c r="HK41" s="771"/>
      <c r="HL41" s="771"/>
      <c r="HM41" s="771"/>
      <c r="HN41" s="12"/>
      <c r="HO41" s="12"/>
      <c r="HP41" s="12"/>
      <c r="HQ41" s="12"/>
      <c r="HS41" s="771"/>
      <c r="HT41" s="771"/>
      <c r="HU41" s="771"/>
      <c r="HV41" s="771"/>
      <c r="HW41" s="771"/>
      <c r="HX41" s="771"/>
      <c r="HY41" s="12"/>
      <c r="HZ41" s="12"/>
      <c r="IA41" s="12"/>
      <c r="IB41" s="12"/>
    </row>
    <row r="42" spans="1:236" ht="14.45" customHeight="1" x14ac:dyDescent="0.25">
      <c r="A42" s="47"/>
      <c r="B42" s="12"/>
      <c r="C42" s="772" t="s">
        <v>171</v>
      </c>
      <c r="D42" s="772"/>
      <c r="E42" s="772"/>
      <c r="F42" s="772"/>
      <c r="G42" s="772"/>
      <c r="H42" s="102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768"/>
      <c r="S42" s="768"/>
      <c r="T42" s="768"/>
      <c r="U42" s="12"/>
      <c r="V42" s="12"/>
      <c r="W42" s="12"/>
      <c r="X42" s="12"/>
      <c r="Y42" s="12"/>
      <c r="Z42" s="6"/>
      <c r="AA42" s="771"/>
      <c r="AB42" s="771"/>
      <c r="AC42" s="771"/>
      <c r="AD42" s="771"/>
      <c r="AE42" s="771"/>
      <c r="AF42" s="771"/>
      <c r="AG42" s="12"/>
      <c r="AH42" s="12"/>
      <c r="AI42" s="12"/>
      <c r="AJ42" s="12"/>
      <c r="AL42" s="771"/>
      <c r="AM42" s="771"/>
      <c r="AN42" s="771"/>
      <c r="AO42" s="771"/>
      <c r="AP42" s="771"/>
      <c r="AQ42" s="771"/>
      <c r="AR42" s="12"/>
      <c r="AS42" s="12"/>
      <c r="AT42" s="12"/>
      <c r="AU42" s="12"/>
      <c r="AV42" s="12"/>
      <c r="AW42" s="12"/>
      <c r="AX42" s="12"/>
      <c r="AY42" s="12"/>
      <c r="AZ42" s="771"/>
      <c r="BA42" s="771"/>
      <c r="BB42" s="771"/>
      <c r="BC42" s="771"/>
      <c r="BD42" s="771"/>
      <c r="BE42" s="771"/>
      <c r="BF42" s="12"/>
      <c r="BG42" s="12"/>
      <c r="BH42" s="12"/>
      <c r="BI42" s="12"/>
      <c r="BJ42" s="12"/>
      <c r="BK42" s="12"/>
      <c r="BL42" s="771"/>
      <c r="BM42" s="771"/>
      <c r="BN42" s="771"/>
      <c r="BO42" s="771"/>
      <c r="BP42" s="771"/>
      <c r="BQ42" s="771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771"/>
      <c r="CF42" s="771"/>
      <c r="CG42" s="771"/>
      <c r="CH42" s="771"/>
      <c r="CI42" s="771"/>
      <c r="CJ42" s="771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771"/>
      <c r="CX42" s="771"/>
      <c r="CY42" s="771"/>
      <c r="CZ42" s="771"/>
      <c r="DA42" s="771"/>
      <c r="DB42" s="771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771"/>
      <c r="DR42" s="771"/>
      <c r="DS42" s="771"/>
      <c r="DT42" s="771"/>
      <c r="DU42" s="771"/>
      <c r="DV42" s="771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771"/>
      <c r="EL42" s="771"/>
      <c r="EM42" s="771"/>
      <c r="EN42" s="771"/>
      <c r="EO42" s="771"/>
      <c r="EP42" s="771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771"/>
      <c r="FQ42" s="771"/>
      <c r="FR42" s="771"/>
      <c r="FS42" s="771"/>
      <c r="FT42" s="771"/>
      <c r="FU42" s="771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771"/>
      <c r="GN42" s="771"/>
      <c r="GO42" s="771"/>
      <c r="GP42" s="771"/>
      <c r="GQ42" s="771"/>
      <c r="GR42" s="771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771"/>
      <c r="HI42" s="771"/>
      <c r="HJ42" s="771"/>
      <c r="HK42" s="771"/>
      <c r="HL42" s="771"/>
      <c r="HM42" s="771"/>
      <c r="HN42" s="12"/>
      <c r="HO42" s="12"/>
      <c r="HP42" s="12"/>
      <c r="HQ42" s="12"/>
      <c r="HS42" s="771"/>
      <c r="HT42" s="771"/>
      <c r="HU42" s="771"/>
      <c r="HV42" s="771"/>
      <c r="HW42" s="771"/>
      <c r="HX42" s="771"/>
      <c r="HY42" s="12"/>
      <c r="HZ42" s="12"/>
      <c r="IA42" s="12"/>
      <c r="IB42" s="12"/>
    </row>
    <row r="43" spans="1:236" ht="14.45" customHeight="1" x14ac:dyDescent="0.25">
      <c r="A43" s="47"/>
      <c r="B43" s="12"/>
      <c r="C43" s="772" t="s">
        <v>172</v>
      </c>
      <c r="D43" s="772"/>
      <c r="E43" s="772"/>
      <c r="F43" s="772"/>
      <c r="G43" s="772"/>
      <c r="H43" s="102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768"/>
      <c r="S43" s="768"/>
      <c r="T43" s="768"/>
      <c r="U43" s="12"/>
      <c r="V43" s="12"/>
      <c r="W43" s="12"/>
      <c r="X43" s="12"/>
      <c r="Y43" s="12"/>
      <c r="Z43" s="6"/>
      <c r="AA43" s="771"/>
      <c r="AB43" s="771"/>
      <c r="AC43" s="771"/>
      <c r="AD43" s="771"/>
      <c r="AE43" s="771"/>
      <c r="AF43" s="771"/>
      <c r="AG43" s="12"/>
      <c r="AH43" s="12"/>
      <c r="AI43" s="12"/>
      <c r="AJ43" s="12"/>
      <c r="AL43" s="771"/>
      <c r="AM43" s="771"/>
      <c r="AN43" s="771"/>
      <c r="AO43" s="771"/>
      <c r="AP43" s="771"/>
      <c r="AQ43" s="771"/>
      <c r="AR43" s="12"/>
      <c r="AS43" s="12"/>
      <c r="AT43" s="12"/>
      <c r="AU43" s="12"/>
      <c r="AV43" s="12"/>
      <c r="AW43" s="12"/>
      <c r="AX43" s="12"/>
      <c r="AY43" s="12"/>
      <c r="AZ43" s="771"/>
      <c r="BA43" s="771"/>
      <c r="BB43" s="771"/>
      <c r="BC43" s="771"/>
      <c r="BD43" s="771"/>
      <c r="BE43" s="771"/>
      <c r="BF43" s="12"/>
      <c r="BG43" s="12"/>
      <c r="BH43" s="12"/>
      <c r="BI43" s="12"/>
      <c r="BJ43" s="12"/>
      <c r="BK43" s="12"/>
      <c r="BL43" s="771"/>
      <c r="BM43" s="771"/>
      <c r="BN43" s="771"/>
      <c r="BO43" s="771"/>
      <c r="BP43" s="771"/>
      <c r="BQ43" s="771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771"/>
      <c r="CF43" s="771"/>
      <c r="CG43" s="771"/>
      <c r="CH43" s="771"/>
      <c r="CI43" s="771"/>
      <c r="CJ43" s="771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771"/>
      <c r="CX43" s="771"/>
      <c r="CY43" s="771"/>
      <c r="CZ43" s="771"/>
      <c r="DA43" s="771"/>
      <c r="DB43" s="771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771"/>
      <c r="DR43" s="771"/>
      <c r="DS43" s="771"/>
      <c r="DT43" s="771"/>
      <c r="DU43" s="771"/>
      <c r="DV43" s="771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771"/>
      <c r="EL43" s="771"/>
      <c r="EM43" s="771"/>
      <c r="EN43" s="771"/>
      <c r="EO43" s="771"/>
      <c r="EP43" s="771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771"/>
      <c r="FQ43" s="771"/>
      <c r="FR43" s="771"/>
      <c r="FS43" s="771"/>
      <c r="FT43" s="771"/>
      <c r="FU43" s="771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771"/>
      <c r="GN43" s="771"/>
      <c r="GO43" s="771"/>
      <c r="GP43" s="771"/>
      <c r="GQ43" s="771"/>
      <c r="GR43" s="771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771"/>
      <c r="HI43" s="771"/>
      <c r="HJ43" s="771"/>
      <c r="HK43" s="771"/>
      <c r="HL43" s="771"/>
      <c r="HM43" s="771"/>
      <c r="HN43" s="12"/>
      <c r="HO43" s="12"/>
      <c r="HP43" s="12"/>
      <c r="HQ43" s="12"/>
      <c r="HS43" s="771"/>
      <c r="HT43" s="771"/>
      <c r="HU43" s="771"/>
      <c r="HV43" s="771"/>
      <c r="HW43" s="771"/>
      <c r="HX43" s="771"/>
      <c r="HY43" s="12"/>
      <c r="HZ43" s="12"/>
      <c r="IA43" s="12"/>
      <c r="IB43" s="12"/>
    </row>
    <row r="44" spans="1:236" ht="14.45" customHeight="1" x14ac:dyDescent="0.25">
      <c r="A44" s="47"/>
      <c r="B44" s="12"/>
      <c r="C44" s="772" t="s">
        <v>154</v>
      </c>
      <c r="D44" s="772"/>
      <c r="E44" s="772"/>
      <c r="F44" s="772"/>
      <c r="G44" s="772"/>
      <c r="H44" s="102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768"/>
      <c r="S44" s="768"/>
      <c r="T44" s="768"/>
      <c r="U44" s="12"/>
      <c r="V44" s="12"/>
      <c r="W44" s="12"/>
      <c r="X44" s="12"/>
      <c r="Y44" s="12"/>
      <c r="Z44" s="6"/>
      <c r="AA44" s="771"/>
      <c r="AB44" s="771"/>
      <c r="AC44" s="771"/>
      <c r="AD44" s="771"/>
      <c r="AE44" s="771"/>
      <c r="AF44" s="771"/>
      <c r="AG44" s="12"/>
      <c r="AH44" s="12"/>
      <c r="AI44" s="12"/>
      <c r="AJ44" s="12"/>
      <c r="AL44" s="771"/>
      <c r="AM44" s="771"/>
      <c r="AN44" s="771"/>
      <c r="AO44" s="771"/>
      <c r="AP44" s="771"/>
      <c r="AQ44" s="771"/>
      <c r="AR44" s="12"/>
      <c r="AS44" s="12"/>
      <c r="AT44" s="12"/>
      <c r="AU44" s="12"/>
      <c r="AV44" s="12"/>
      <c r="AW44" s="12"/>
      <c r="AX44" s="12"/>
      <c r="AY44" s="12"/>
      <c r="AZ44" s="771"/>
      <c r="BA44" s="771"/>
      <c r="BB44" s="771"/>
      <c r="BC44" s="771"/>
      <c r="BD44" s="771"/>
      <c r="BE44" s="771"/>
      <c r="BF44" s="12"/>
      <c r="BG44" s="12"/>
      <c r="BH44" s="12"/>
      <c r="BI44" s="12"/>
      <c r="BJ44" s="12"/>
      <c r="BK44" s="12"/>
      <c r="BL44" s="771"/>
      <c r="BM44" s="771"/>
      <c r="BN44" s="771"/>
      <c r="BO44" s="771"/>
      <c r="BP44" s="771"/>
      <c r="BQ44" s="771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771"/>
      <c r="CF44" s="771"/>
      <c r="CG44" s="771"/>
      <c r="CH44" s="771"/>
      <c r="CI44" s="771"/>
      <c r="CJ44" s="771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771"/>
      <c r="CX44" s="771"/>
      <c r="CY44" s="771"/>
      <c r="CZ44" s="771"/>
      <c r="DA44" s="771"/>
      <c r="DB44" s="771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771"/>
      <c r="DR44" s="771"/>
      <c r="DS44" s="771"/>
      <c r="DT44" s="771"/>
      <c r="DU44" s="771"/>
      <c r="DV44" s="771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771"/>
      <c r="EL44" s="771"/>
      <c r="EM44" s="771"/>
      <c r="EN44" s="771"/>
      <c r="EO44" s="771"/>
      <c r="EP44" s="771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771"/>
      <c r="FQ44" s="771"/>
      <c r="FR44" s="771"/>
      <c r="FS44" s="771"/>
      <c r="FT44" s="771"/>
      <c r="FU44" s="771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771"/>
      <c r="GN44" s="771"/>
      <c r="GO44" s="771"/>
      <c r="GP44" s="771"/>
      <c r="GQ44" s="771"/>
      <c r="GR44" s="771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771"/>
      <c r="HI44" s="771"/>
      <c r="HJ44" s="771"/>
      <c r="HK44" s="771"/>
      <c r="HL44" s="771"/>
      <c r="HM44" s="771"/>
      <c r="HN44" s="12"/>
      <c r="HO44" s="12"/>
      <c r="HP44" s="12"/>
      <c r="HQ44" s="12"/>
      <c r="HS44" s="771"/>
      <c r="HT44" s="771"/>
      <c r="HU44" s="771"/>
      <c r="HV44" s="771"/>
      <c r="HW44" s="771"/>
      <c r="HX44" s="771"/>
      <c r="HY44" s="12"/>
      <c r="HZ44" s="12"/>
      <c r="IA44" s="12"/>
      <c r="IB44" s="12"/>
    </row>
    <row r="45" spans="1:236" ht="14.45" customHeight="1" x14ac:dyDescent="0.25">
      <c r="A45" s="47"/>
      <c r="B45" s="12"/>
      <c r="C45" s="772" t="s">
        <v>151</v>
      </c>
      <c r="D45" s="772"/>
      <c r="E45" s="772"/>
      <c r="F45" s="772"/>
      <c r="G45" s="772"/>
      <c r="H45" s="102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768"/>
      <c r="S45" s="768"/>
      <c r="T45" s="768"/>
      <c r="U45" s="12"/>
      <c r="V45" s="12"/>
      <c r="W45" s="12"/>
      <c r="X45" s="12"/>
      <c r="Y45" s="12"/>
      <c r="Z45" s="6"/>
      <c r="AA45" s="771"/>
      <c r="AB45" s="771"/>
      <c r="AC45" s="771"/>
      <c r="AD45" s="771"/>
      <c r="AE45" s="771"/>
      <c r="AF45" s="771"/>
      <c r="AG45" s="12"/>
      <c r="AH45" s="12"/>
      <c r="AI45" s="12"/>
      <c r="AJ45" s="12"/>
      <c r="AL45" s="771"/>
      <c r="AM45" s="771"/>
      <c r="AN45" s="771"/>
      <c r="AO45" s="771"/>
      <c r="AP45" s="771"/>
      <c r="AQ45" s="771"/>
      <c r="AR45" s="12"/>
      <c r="AS45" s="12"/>
      <c r="AT45" s="12"/>
      <c r="AU45" s="12"/>
      <c r="AV45" s="12"/>
      <c r="AW45" s="12"/>
      <c r="AX45" s="12"/>
      <c r="AY45" s="12"/>
      <c r="AZ45" s="771"/>
      <c r="BA45" s="771"/>
      <c r="BB45" s="771"/>
      <c r="BC45" s="771"/>
      <c r="BD45" s="771"/>
      <c r="BE45" s="771"/>
      <c r="BF45" s="12"/>
      <c r="BG45" s="12"/>
      <c r="BH45" s="12"/>
      <c r="BI45" s="12"/>
      <c r="BJ45" s="12"/>
      <c r="BK45" s="12"/>
      <c r="BL45" s="771"/>
      <c r="BM45" s="771"/>
      <c r="BN45" s="771"/>
      <c r="BO45" s="771"/>
      <c r="BP45" s="771"/>
      <c r="BQ45" s="771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771"/>
      <c r="CF45" s="771"/>
      <c r="CG45" s="771"/>
      <c r="CH45" s="771"/>
      <c r="CI45" s="771"/>
      <c r="CJ45" s="771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771"/>
      <c r="CX45" s="771"/>
      <c r="CY45" s="771"/>
      <c r="CZ45" s="771"/>
      <c r="DA45" s="771"/>
      <c r="DB45" s="771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771"/>
      <c r="DR45" s="771"/>
      <c r="DS45" s="771"/>
      <c r="DT45" s="771"/>
      <c r="DU45" s="771"/>
      <c r="DV45" s="771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771"/>
      <c r="EL45" s="771"/>
      <c r="EM45" s="771"/>
      <c r="EN45" s="771"/>
      <c r="EO45" s="771"/>
      <c r="EP45" s="771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771"/>
      <c r="FQ45" s="771"/>
      <c r="FR45" s="771"/>
      <c r="FS45" s="771"/>
      <c r="FT45" s="771"/>
      <c r="FU45" s="771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771"/>
      <c r="GN45" s="771"/>
      <c r="GO45" s="771"/>
      <c r="GP45" s="771"/>
      <c r="GQ45" s="771"/>
      <c r="GR45" s="771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771"/>
      <c r="HI45" s="771"/>
      <c r="HJ45" s="771"/>
      <c r="HK45" s="771"/>
      <c r="HL45" s="771"/>
      <c r="HM45" s="771"/>
      <c r="HN45" s="12"/>
      <c r="HO45" s="12"/>
      <c r="HP45" s="12"/>
      <c r="HQ45" s="12"/>
      <c r="HS45" s="771"/>
      <c r="HT45" s="771"/>
      <c r="HU45" s="771"/>
      <c r="HV45" s="771"/>
      <c r="HW45" s="771"/>
      <c r="HX45" s="771"/>
      <c r="HY45" s="12"/>
      <c r="HZ45" s="12"/>
      <c r="IA45" s="12"/>
      <c r="IB45" s="12"/>
    </row>
    <row r="46" spans="1:236" ht="14.45" customHeight="1" x14ac:dyDescent="0.25">
      <c r="A46" s="47"/>
      <c r="B46" s="12"/>
      <c r="C46" s="772" t="s">
        <v>152</v>
      </c>
      <c r="D46" s="772"/>
      <c r="E46" s="772"/>
      <c r="F46" s="772"/>
      <c r="G46" s="772"/>
      <c r="H46" s="102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768"/>
      <c r="S46" s="768"/>
      <c r="T46" s="768"/>
      <c r="U46" s="12"/>
      <c r="V46" s="12"/>
      <c r="W46" s="12"/>
      <c r="X46" s="12"/>
      <c r="Y46" s="12"/>
      <c r="Z46" s="6"/>
      <c r="AA46" s="771"/>
      <c r="AB46" s="771"/>
      <c r="AC46" s="771"/>
      <c r="AD46" s="771"/>
      <c r="AE46" s="771"/>
      <c r="AF46" s="771"/>
      <c r="AG46" s="12"/>
      <c r="AH46" s="12"/>
      <c r="AI46" s="12"/>
      <c r="AJ46" s="12"/>
      <c r="AL46" s="771"/>
      <c r="AM46" s="771"/>
      <c r="AN46" s="771"/>
      <c r="AO46" s="771"/>
      <c r="AP46" s="771"/>
      <c r="AQ46" s="771"/>
      <c r="AR46" s="12"/>
      <c r="AS46" s="12"/>
      <c r="AT46" s="12"/>
      <c r="AU46" s="12"/>
      <c r="AV46" s="12"/>
      <c r="AW46" s="12"/>
      <c r="AX46" s="12"/>
      <c r="AY46" s="12"/>
      <c r="AZ46" s="771"/>
      <c r="BA46" s="771"/>
      <c r="BB46" s="771"/>
      <c r="BC46" s="771"/>
      <c r="BD46" s="771"/>
      <c r="BE46" s="771"/>
      <c r="BF46" s="12"/>
      <c r="BG46" s="12"/>
      <c r="BH46" s="12"/>
      <c r="BI46" s="12"/>
      <c r="BJ46" s="12"/>
      <c r="BK46" s="12"/>
      <c r="BL46" s="771"/>
      <c r="BM46" s="771"/>
      <c r="BN46" s="771"/>
      <c r="BO46" s="771"/>
      <c r="BP46" s="771"/>
      <c r="BQ46" s="771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771"/>
      <c r="CF46" s="771"/>
      <c r="CG46" s="771"/>
      <c r="CH46" s="771"/>
      <c r="CI46" s="771"/>
      <c r="CJ46" s="771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771"/>
      <c r="CX46" s="771"/>
      <c r="CY46" s="771"/>
      <c r="CZ46" s="771"/>
      <c r="DA46" s="771"/>
      <c r="DB46" s="771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771"/>
      <c r="DR46" s="771"/>
      <c r="DS46" s="771"/>
      <c r="DT46" s="771"/>
      <c r="DU46" s="771"/>
      <c r="DV46" s="771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771"/>
      <c r="EL46" s="771"/>
      <c r="EM46" s="771"/>
      <c r="EN46" s="771"/>
      <c r="EO46" s="771"/>
      <c r="EP46" s="771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771"/>
      <c r="FQ46" s="771"/>
      <c r="FR46" s="771"/>
      <c r="FS46" s="771"/>
      <c r="FT46" s="771"/>
      <c r="FU46" s="771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771"/>
      <c r="GN46" s="771"/>
      <c r="GO46" s="771"/>
      <c r="GP46" s="771"/>
      <c r="GQ46" s="771"/>
      <c r="GR46" s="771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771"/>
      <c r="HI46" s="771"/>
      <c r="HJ46" s="771"/>
      <c r="HK46" s="771"/>
      <c r="HL46" s="771"/>
      <c r="HM46" s="771"/>
      <c r="HN46" s="12"/>
      <c r="HO46" s="12"/>
      <c r="HP46" s="12"/>
      <c r="HQ46" s="12"/>
      <c r="HS46" s="771"/>
      <c r="HT46" s="771"/>
      <c r="HU46" s="771"/>
      <c r="HV46" s="771"/>
      <c r="HW46" s="771"/>
      <c r="HX46" s="771"/>
      <c r="HY46" s="12"/>
      <c r="HZ46" s="12"/>
      <c r="IA46" s="12"/>
      <c r="IB46" s="12"/>
    </row>
    <row r="47" spans="1:236" ht="14.45" customHeight="1" x14ac:dyDescent="0.25">
      <c r="A47" s="47"/>
      <c r="B47" s="12"/>
      <c r="C47" s="772" t="s">
        <v>153</v>
      </c>
      <c r="D47" s="772"/>
      <c r="E47" s="772"/>
      <c r="F47" s="772"/>
      <c r="G47" s="772"/>
      <c r="H47" s="102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768"/>
      <c r="S47" s="768"/>
      <c r="T47" s="768"/>
      <c r="U47" s="12"/>
      <c r="V47" s="12"/>
      <c r="W47" s="12"/>
      <c r="X47" s="12"/>
      <c r="Y47" s="12"/>
      <c r="Z47" s="6"/>
      <c r="AA47" s="771"/>
      <c r="AB47" s="771"/>
      <c r="AC47" s="771"/>
      <c r="AD47" s="771"/>
      <c r="AE47" s="771"/>
      <c r="AF47" s="771"/>
      <c r="AG47" s="12"/>
      <c r="AH47" s="12"/>
      <c r="AI47" s="12"/>
      <c r="AJ47" s="12"/>
      <c r="AL47" s="771"/>
      <c r="AM47" s="771"/>
      <c r="AN47" s="771"/>
      <c r="AO47" s="771"/>
      <c r="AP47" s="771"/>
      <c r="AQ47" s="771"/>
      <c r="AR47" s="12"/>
      <c r="AS47" s="12"/>
      <c r="AT47" s="12"/>
      <c r="AU47" s="12"/>
      <c r="AV47" s="12"/>
      <c r="AW47" s="12"/>
      <c r="AX47" s="12"/>
      <c r="AY47" s="12"/>
      <c r="AZ47" s="771"/>
      <c r="BA47" s="771"/>
      <c r="BB47" s="771"/>
      <c r="BC47" s="771"/>
      <c r="BD47" s="771"/>
      <c r="BE47" s="771"/>
      <c r="BF47" s="12"/>
      <c r="BG47" s="12"/>
      <c r="BH47" s="12"/>
      <c r="BI47" s="12"/>
      <c r="BJ47" s="12"/>
      <c r="BK47" s="12"/>
      <c r="BL47" s="771"/>
      <c r="BM47" s="771"/>
      <c r="BN47" s="771"/>
      <c r="BO47" s="771"/>
      <c r="BP47" s="771"/>
      <c r="BQ47" s="771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771"/>
      <c r="CF47" s="771"/>
      <c r="CG47" s="771"/>
      <c r="CH47" s="771"/>
      <c r="CI47" s="771"/>
      <c r="CJ47" s="771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771"/>
      <c r="CX47" s="771"/>
      <c r="CY47" s="771"/>
      <c r="CZ47" s="771"/>
      <c r="DA47" s="771"/>
      <c r="DB47" s="771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771"/>
      <c r="DR47" s="771"/>
      <c r="DS47" s="771"/>
      <c r="DT47" s="771"/>
      <c r="DU47" s="771"/>
      <c r="DV47" s="771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771"/>
      <c r="EL47" s="771"/>
      <c r="EM47" s="771"/>
      <c r="EN47" s="771"/>
      <c r="EO47" s="771"/>
      <c r="EP47" s="771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771"/>
      <c r="FQ47" s="771"/>
      <c r="FR47" s="771"/>
      <c r="FS47" s="771"/>
      <c r="FT47" s="771"/>
      <c r="FU47" s="771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771"/>
      <c r="GN47" s="771"/>
      <c r="GO47" s="771"/>
      <c r="GP47" s="771"/>
      <c r="GQ47" s="771"/>
      <c r="GR47" s="771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771"/>
      <c r="HI47" s="771"/>
      <c r="HJ47" s="771"/>
      <c r="HK47" s="771"/>
      <c r="HL47" s="771"/>
      <c r="HM47" s="771"/>
      <c r="HN47" s="12"/>
      <c r="HO47" s="12"/>
      <c r="HP47" s="12"/>
      <c r="HQ47" s="12"/>
      <c r="HS47" s="771"/>
      <c r="HT47" s="771"/>
      <c r="HU47" s="771"/>
      <c r="HV47" s="771"/>
      <c r="HW47" s="771"/>
      <c r="HX47" s="771"/>
      <c r="HY47" s="12"/>
      <c r="HZ47" s="12"/>
      <c r="IA47" s="12"/>
      <c r="IB47" s="12"/>
    </row>
    <row r="48" spans="1:236" ht="14.45" customHeight="1" x14ac:dyDescent="0.25">
      <c r="A48" s="47"/>
      <c r="B48" s="12"/>
      <c r="C48" s="772" t="s">
        <v>169</v>
      </c>
      <c r="D48" s="772"/>
      <c r="E48" s="772"/>
      <c r="F48" s="772"/>
      <c r="G48" s="772"/>
      <c r="H48" s="102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768"/>
      <c r="S48" s="768"/>
      <c r="T48" s="768"/>
      <c r="U48" s="12"/>
      <c r="V48" s="12"/>
      <c r="W48" s="12"/>
      <c r="X48" s="12"/>
      <c r="Y48" s="12"/>
      <c r="Z48" s="6"/>
      <c r="AA48" s="771"/>
      <c r="AB48" s="771"/>
      <c r="AC48" s="771"/>
      <c r="AD48" s="771"/>
      <c r="AE48" s="771"/>
      <c r="AF48" s="771"/>
      <c r="AG48" s="12"/>
      <c r="AH48" s="12"/>
      <c r="AI48" s="12"/>
      <c r="AJ48" s="12"/>
      <c r="AL48" s="771"/>
      <c r="AM48" s="771"/>
      <c r="AN48" s="771"/>
      <c r="AO48" s="771"/>
      <c r="AP48" s="771"/>
      <c r="AQ48" s="771"/>
      <c r="AR48" s="12"/>
      <c r="AS48" s="12"/>
      <c r="AT48" s="12"/>
      <c r="AU48" s="12"/>
      <c r="AV48" s="12"/>
      <c r="AW48" s="12"/>
      <c r="AX48" s="12"/>
      <c r="AY48" s="12"/>
      <c r="AZ48" s="771"/>
      <c r="BA48" s="771"/>
      <c r="BB48" s="771"/>
      <c r="BC48" s="771"/>
      <c r="BD48" s="771"/>
      <c r="BE48" s="771"/>
      <c r="BF48" s="12"/>
      <c r="BG48" s="12"/>
      <c r="BH48" s="12"/>
      <c r="BI48" s="12"/>
      <c r="BJ48" s="12"/>
      <c r="BK48" s="12"/>
      <c r="BL48" s="771"/>
      <c r="BM48" s="771"/>
      <c r="BN48" s="771"/>
      <c r="BO48" s="771"/>
      <c r="BP48" s="771"/>
      <c r="BQ48" s="771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771"/>
      <c r="CF48" s="771"/>
      <c r="CG48" s="771"/>
      <c r="CH48" s="771"/>
      <c r="CI48" s="771"/>
      <c r="CJ48" s="771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771"/>
      <c r="CX48" s="771"/>
      <c r="CY48" s="771"/>
      <c r="CZ48" s="771"/>
      <c r="DA48" s="771"/>
      <c r="DB48" s="771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771"/>
      <c r="DR48" s="771"/>
      <c r="DS48" s="771"/>
      <c r="DT48" s="771"/>
      <c r="DU48" s="771"/>
      <c r="DV48" s="771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771"/>
      <c r="EL48" s="771"/>
      <c r="EM48" s="771"/>
      <c r="EN48" s="771"/>
      <c r="EO48" s="771"/>
      <c r="EP48" s="771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771"/>
      <c r="FQ48" s="771"/>
      <c r="FR48" s="771"/>
      <c r="FS48" s="771"/>
      <c r="FT48" s="771"/>
      <c r="FU48" s="771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771"/>
      <c r="GN48" s="771"/>
      <c r="GO48" s="771"/>
      <c r="GP48" s="771"/>
      <c r="GQ48" s="771"/>
      <c r="GR48" s="771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771"/>
      <c r="HI48" s="771"/>
      <c r="HJ48" s="771"/>
      <c r="HK48" s="771"/>
      <c r="HL48" s="771"/>
      <c r="HM48" s="771"/>
      <c r="HN48" s="12"/>
      <c r="HO48" s="12"/>
      <c r="HP48" s="12"/>
      <c r="HQ48" s="12"/>
      <c r="HS48" s="771"/>
      <c r="HT48" s="771"/>
      <c r="HU48" s="771"/>
      <c r="HV48" s="771"/>
      <c r="HW48" s="771"/>
      <c r="HX48" s="771"/>
      <c r="HY48" s="12"/>
      <c r="HZ48" s="12"/>
      <c r="IA48" s="12"/>
      <c r="IB48" s="12"/>
    </row>
    <row r="49" spans="1:236" ht="14.45" customHeight="1" x14ac:dyDescent="0.25">
      <c r="A49" s="47"/>
      <c r="B49" s="12"/>
      <c r="C49" s="772" t="s">
        <v>170</v>
      </c>
      <c r="D49" s="772"/>
      <c r="E49" s="772"/>
      <c r="F49" s="772"/>
      <c r="G49" s="772"/>
      <c r="H49" s="102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768"/>
      <c r="S49" s="768"/>
      <c r="T49" s="768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771"/>
      <c r="EL49" s="771"/>
      <c r="EM49" s="771"/>
      <c r="EN49" s="771"/>
      <c r="EO49" s="771"/>
      <c r="EP49" s="771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771"/>
      <c r="FQ49" s="771"/>
      <c r="FR49" s="771"/>
      <c r="FS49" s="771"/>
      <c r="FT49" s="771"/>
      <c r="FU49" s="771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771"/>
      <c r="GN49" s="771"/>
      <c r="GO49" s="771"/>
      <c r="GP49" s="771"/>
      <c r="GQ49" s="771"/>
      <c r="GR49" s="771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771"/>
      <c r="HI49" s="771"/>
      <c r="HJ49" s="771"/>
      <c r="HK49" s="771"/>
      <c r="HL49" s="771"/>
      <c r="HM49" s="771"/>
      <c r="HN49" s="12"/>
      <c r="HO49" s="12"/>
      <c r="HP49" s="12"/>
      <c r="HQ49" s="12"/>
      <c r="HS49" s="771"/>
      <c r="HT49" s="771"/>
      <c r="HU49" s="771"/>
      <c r="HV49" s="771"/>
      <c r="HW49" s="771"/>
      <c r="HX49" s="771"/>
      <c r="HY49" s="12"/>
      <c r="HZ49" s="12"/>
      <c r="IA49" s="12"/>
      <c r="IB49" s="12"/>
    </row>
    <row r="50" spans="1:236" ht="14.45" customHeight="1" x14ac:dyDescent="0.25">
      <c r="A50" s="47"/>
      <c r="B50" s="12"/>
      <c r="C50" s="772" t="s">
        <v>210</v>
      </c>
      <c r="D50" s="772"/>
      <c r="E50" s="772"/>
      <c r="F50" s="772"/>
      <c r="G50" s="772"/>
      <c r="H50" s="102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768"/>
      <c r="S50" s="768"/>
      <c r="T50" s="768"/>
      <c r="U50" s="12"/>
      <c r="V50" s="12"/>
      <c r="W50" s="12"/>
      <c r="X50" s="12"/>
      <c r="Y50" s="12"/>
      <c r="Z50" s="6"/>
      <c r="AA50" s="771"/>
      <c r="AB50" s="771"/>
      <c r="AC50" s="771"/>
      <c r="AD50" s="771"/>
      <c r="AE50" s="771"/>
      <c r="AF50" s="771"/>
      <c r="AG50" s="12"/>
      <c r="AH50" s="12"/>
      <c r="AI50" s="12"/>
      <c r="AJ50" s="12"/>
      <c r="AL50" s="771"/>
      <c r="AM50" s="771"/>
      <c r="AN50" s="771"/>
      <c r="AO50" s="771"/>
      <c r="AP50" s="771"/>
      <c r="AQ50" s="771"/>
      <c r="AR50" s="12"/>
      <c r="AS50" s="12"/>
      <c r="AT50" s="12"/>
      <c r="AU50" s="12"/>
      <c r="AV50" s="12"/>
      <c r="AW50" s="12"/>
      <c r="AX50" s="12"/>
      <c r="AY50" s="12"/>
      <c r="AZ50" s="771"/>
      <c r="BA50" s="771"/>
      <c r="BB50" s="771"/>
      <c r="BC50" s="771"/>
      <c r="BD50" s="771"/>
      <c r="BE50" s="771"/>
      <c r="BF50" s="12"/>
      <c r="BG50" s="12"/>
      <c r="BH50" s="12"/>
      <c r="BI50" s="12"/>
      <c r="BJ50" s="12"/>
      <c r="BK50" s="12"/>
      <c r="BL50" s="771"/>
      <c r="BM50" s="771"/>
      <c r="BN50" s="771"/>
      <c r="BO50" s="771"/>
      <c r="BP50" s="771"/>
      <c r="BQ50" s="771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771"/>
      <c r="CF50" s="771"/>
      <c r="CG50" s="771"/>
      <c r="CH50" s="771"/>
      <c r="CI50" s="771"/>
      <c r="CJ50" s="771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771"/>
      <c r="CX50" s="771"/>
      <c r="CY50" s="771"/>
      <c r="CZ50" s="771"/>
      <c r="DA50" s="771"/>
      <c r="DB50" s="771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771"/>
      <c r="DR50" s="771"/>
      <c r="DS50" s="771"/>
      <c r="DT50" s="771"/>
      <c r="DU50" s="771"/>
      <c r="DV50" s="771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771"/>
      <c r="EL50" s="771"/>
      <c r="EM50" s="771"/>
      <c r="EN50" s="771"/>
      <c r="EO50" s="771"/>
      <c r="EP50" s="771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771"/>
      <c r="FQ50" s="771"/>
      <c r="FR50" s="771"/>
      <c r="FS50" s="771"/>
      <c r="FT50" s="771"/>
      <c r="FU50" s="771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771"/>
      <c r="GN50" s="771"/>
      <c r="GO50" s="771"/>
      <c r="GP50" s="771"/>
      <c r="GQ50" s="771"/>
      <c r="GR50" s="771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771"/>
      <c r="HI50" s="771"/>
      <c r="HJ50" s="771"/>
      <c r="HK50" s="771"/>
      <c r="HL50" s="771"/>
      <c r="HM50" s="771"/>
      <c r="HN50" s="12"/>
      <c r="HO50" s="12"/>
      <c r="HP50" s="12"/>
      <c r="HQ50" s="12"/>
      <c r="HS50" s="771"/>
      <c r="HT50" s="771"/>
      <c r="HU50" s="771"/>
      <c r="HV50" s="771"/>
      <c r="HW50" s="771"/>
      <c r="HX50" s="771"/>
      <c r="HY50" s="12"/>
      <c r="HZ50" s="12"/>
      <c r="IA50" s="12"/>
      <c r="IB50" s="12"/>
    </row>
    <row r="51" spans="1:236" ht="14.45" customHeight="1" x14ac:dyDescent="0.25">
      <c r="A51" s="47"/>
      <c r="B51" s="12"/>
      <c r="C51" s="772" t="s">
        <v>211</v>
      </c>
      <c r="D51" s="772"/>
      <c r="E51" s="772"/>
      <c r="F51" s="772"/>
      <c r="G51" s="772"/>
      <c r="H51" s="102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768"/>
      <c r="S51" s="768"/>
      <c r="T51" s="768"/>
      <c r="U51" s="12"/>
      <c r="V51" s="12"/>
      <c r="W51" s="12"/>
      <c r="X51" s="12"/>
      <c r="Y51" s="12"/>
      <c r="Z51" s="6"/>
      <c r="AA51" s="771"/>
      <c r="AB51" s="771"/>
      <c r="AC51" s="771"/>
      <c r="AD51" s="771"/>
      <c r="AE51" s="771"/>
      <c r="AF51" s="771"/>
      <c r="AG51" s="12"/>
      <c r="AH51" s="12"/>
      <c r="AI51" s="12"/>
      <c r="AJ51" s="12"/>
      <c r="AL51" s="771"/>
      <c r="AM51" s="771"/>
      <c r="AN51" s="771"/>
      <c r="AO51" s="771"/>
      <c r="AP51" s="771"/>
      <c r="AQ51" s="771"/>
      <c r="AR51" s="12"/>
      <c r="AS51" s="12"/>
      <c r="AT51" s="12"/>
      <c r="AU51" s="12"/>
      <c r="AV51" s="12"/>
      <c r="AW51" s="12"/>
      <c r="AX51" s="12"/>
      <c r="AY51" s="12"/>
      <c r="AZ51" s="771"/>
      <c r="BA51" s="771"/>
      <c r="BB51" s="771"/>
      <c r="BC51" s="771"/>
      <c r="BD51" s="771"/>
      <c r="BE51" s="771"/>
      <c r="BF51" s="12"/>
      <c r="BG51" s="12"/>
      <c r="BH51" s="12"/>
      <c r="BI51" s="12"/>
      <c r="BJ51" s="12"/>
      <c r="BK51" s="12"/>
      <c r="BL51" s="771"/>
      <c r="BM51" s="771"/>
      <c r="BN51" s="771"/>
      <c r="BO51" s="771"/>
      <c r="BP51" s="771"/>
      <c r="BQ51" s="771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771"/>
      <c r="CF51" s="771"/>
      <c r="CG51" s="771"/>
      <c r="CH51" s="771"/>
      <c r="CI51" s="771"/>
      <c r="CJ51" s="771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771"/>
      <c r="CX51" s="771"/>
      <c r="CY51" s="771"/>
      <c r="CZ51" s="771"/>
      <c r="DA51" s="771"/>
      <c r="DB51" s="771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771"/>
      <c r="DR51" s="771"/>
      <c r="DS51" s="771"/>
      <c r="DT51" s="771"/>
      <c r="DU51" s="771"/>
      <c r="DV51" s="771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771"/>
      <c r="EL51" s="771"/>
      <c r="EM51" s="771"/>
      <c r="EN51" s="771"/>
      <c r="EO51" s="771"/>
      <c r="EP51" s="771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771"/>
      <c r="FQ51" s="771"/>
      <c r="FR51" s="771"/>
      <c r="FS51" s="771"/>
      <c r="FT51" s="771"/>
      <c r="FU51" s="771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771"/>
      <c r="GN51" s="771"/>
      <c r="GO51" s="771"/>
      <c r="GP51" s="771"/>
      <c r="GQ51" s="771"/>
      <c r="GR51" s="771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771"/>
      <c r="HI51" s="771"/>
      <c r="HJ51" s="771"/>
      <c r="HK51" s="771"/>
      <c r="HL51" s="771"/>
      <c r="HM51" s="771"/>
      <c r="HN51" s="12"/>
      <c r="HO51" s="12"/>
      <c r="HP51" s="12"/>
      <c r="HQ51" s="12"/>
      <c r="HS51" s="771"/>
      <c r="HT51" s="771"/>
      <c r="HU51" s="771"/>
      <c r="HV51" s="771"/>
      <c r="HW51" s="771"/>
      <c r="HX51" s="771"/>
      <c r="HY51" s="12"/>
      <c r="HZ51" s="12"/>
      <c r="IA51" s="12"/>
      <c r="IB51" s="12"/>
    </row>
    <row r="52" spans="1:236" ht="14.45" customHeight="1" x14ac:dyDescent="0.25">
      <c r="A52" s="47"/>
      <c r="B52" s="12"/>
      <c r="C52" s="772" t="s">
        <v>176</v>
      </c>
      <c r="D52" s="772"/>
      <c r="E52" s="772"/>
      <c r="F52" s="772"/>
      <c r="G52" s="772"/>
      <c r="H52" s="102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768"/>
      <c r="S52" s="768"/>
      <c r="T52" s="768"/>
      <c r="U52" s="12"/>
      <c r="V52" s="12"/>
      <c r="W52" s="12"/>
      <c r="X52" s="12"/>
      <c r="Y52" s="12"/>
      <c r="Z52" s="6"/>
      <c r="AA52" s="771"/>
      <c r="AB52" s="771"/>
      <c r="AC52" s="771"/>
      <c r="AD52" s="771"/>
      <c r="AE52" s="771"/>
      <c r="AF52" s="771"/>
      <c r="AG52" s="12"/>
      <c r="AH52" s="12"/>
      <c r="AI52" s="12"/>
      <c r="AJ52" s="12"/>
      <c r="AL52" s="771"/>
      <c r="AM52" s="771"/>
      <c r="AN52" s="771"/>
      <c r="AO52" s="771"/>
      <c r="AP52" s="771"/>
      <c r="AQ52" s="771"/>
      <c r="AR52" s="12"/>
      <c r="AS52" s="12"/>
      <c r="AT52" s="12"/>
      <c r="AU52" s="12"/>
      <c r="AV52" s="12"/>
      <c r="AW52" s="12"/>
      <c r="AX52" s="12"/>
      <c r="AY52" s="12"/>
      <c r="AZ52" s="771"/>
      <c r="BA52" s="771"/>
      <c r="BB52" s="771"/>
      <c r="BC52" s="771"/>
      <c r="BD52" s="771"/>
      <c r="BE52" s="771"/>
      <c r="BF52" s="12"/>
      <c r="BG52" s="12"/>
      <c r="BH52" s="12"/>
      <c r="BI52" s="12"/>
      <c r="BJ52" s="12"/>
      <c r="BK52" s="12"/>
      <c r="BL52" s="771"/>
      <c r="BM52" s="771"/>
      <c r="BN52" s="771"/>
      <c r="BO52" s="771"/>
      <c r="BP52" s="771"/>
      <c r="BQ52" s="771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771"/>
      <c r="CF52" s="771"/>
      <c r="CG52" s="771"/>
      <c r="CH52" s="771"/>
      <c r="CI52" s="771"/>
      <c r="CJ52" s="771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771"/>
      <c r="CX52" s="771"/>
      <c r="CY52" s="771"/>
      <c r="CZ52" s="771"/>
      <c r="DA52" s="771"/>
      <c r="DB52" s="771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771"/>
      <c r="DR52" s="771"/>
      <c r="DS52" s="771"/>
      <c r="DT52" s="771"/>
      <c r="DU52" s="771"/>
      <c r="DV52" s="771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771"/>
      <c r="EL52" s="771"/>
      <c r="EM52" s="771"/>
      <c r="EN52" s="771"/>
      <c r="EO52" s="771"/>
      <c r="EP52" s="771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771"/>
      <c r="FQ52" s="771"/>
      <c r="FR52" s="771"/>
      <c r="FS52" s="771"/>
      <c r="FT52" s="771"/>
      <c r="FU52" s="771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771"/>
      <c r="GN52" s="771"/>
      <c r="GO52" s="771"/>
      <c r="GP52" s="771"/>
      <c r="GQ52" s="771"/>
      <c r="GR52" s="771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771"/>
      <c r="HI52" s="771"/>
      <c r="HJ52" s="771"/>
      <c r="HK52" s="771"/>
      <c r="HL52" s="771"/>
      <c r="HM52" s="771"/>
      <c r="HN52" s="12"/>
      <c r="HO52" s="12"/>
      <c r="HP52" s="12"/>
      <c r="HQ52" s="12"/>
      <c r="HS52" s="771"/>
      <c r="HT52" s="771"/>
      <c r="HU52" s="771"/>
      <c r="HV52" s="771"/>
      <c r="HW52" s="771"/>
      <c r="HX52" s="771"/>
      <c r="HY52" s="12"/>
      <c r="HZ52" s="12"/>
      <c r="IA52" s="12"/>
      <c r="IB52" s="12"/>
    </row>
    <row r="53" spans="1:236" ht="14.45" customHeight="1" x14ac:dyDescent="0.25">
      <c r="A53" s="47"/>
      <c r="B53" s="12"/>
      <c r="C53" s="772" t="s">
        <v>174</v>
      </c>
      <c r="D53" s="772"/>
      <c r="E53" s="772"/>
      <c r="F53" s="772"/>
      <c r="G53" s="772"/>
      <c r="H53" s="102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768"/>
      <c r="S53" s="768"/>
      <c r="T53" s="768"/>
      <c r="U53" s="12"/>
      <c r="V53" s="12"/>
      <c r="W53" s="12"/>
      <c r="X53" s="12"/>
      <c r="Y53" s="12"/>
      <c r="Z53" s="6"/>
      <c r="AA53" s="771"/>
      <c r="AB53" s="771"/>
      <c r="AC53" s="771"/>
      <c r="AD53" s="771"/>
      <c r="AE53" s="771"/>
      <c r="AF53" s="771"/>
      <c r="AG53" s="12"/>
      <c r="AH53" s="12"/>
      <c r="AI53" s="12"/>
      <c r="AJ53" s="12"/>
      <c r="AL53" s="771"/>
      <c r="AM53" s="771"/>
      <c r="AN53" s="771"/>
      <c r="AO53" s="771"/>
      <c r="AP53" s="771"/>
      <c r="AQ53" s="771"/>
      <c r="AR53" s="12"/>
      <c r="AS53" s="12"/>
      <c r="AT53" s="12"/>
      <c r="AU53" s="12"/>
      <c r="AV53" s="12"/>
      <c r="AW53" s="12"/>
      <c r="AX53" s="12"/>
      <c r="AY53" s="12"/>
      <c r="AZ53" s="771"/>
      <c r="BA53" s="771"/>
      <c r="BB53" s="771"/>
      <c r="BC53" s="771"/>
      <c r="BD53" s="771"/>
      <c r="BE53" s="771"/>
      <c r="BF53" s="12"/>
      <c r="BG53" s="12"/>
      <c r="BH53" s="12"/>
      <c r="BI53" s="12"/>
      <c r="BJ53" s="12"/>
      <c r="BK53" s="12"/>
      <c r="BL53" s="771"/>
      <c r="BM53" s="771"/>
      <c r="BN53" s="771"/>
      <c r="BO53" s="771"/>
      <c r="BP53" s="771"/>
      <c r="BQ53" s="771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771"/>
      <c r="CF53" s="771"/>
      <c r="CG53" s="771"/>
      <c r="CH53" s="771"/>
      <c r="CI53" s="771"/>
      <c r="CJ53" s="771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771"/>
      <c r="CX53" s="771"/>
      <c r="CY53" s="771"/>
      <c r="CZ53" s="771"/>
      <c r="DA53" s="771"/>
      <c r="DB53" s="771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771"/>
      <c r="DR53" s="771"/>
      <c r="DS53" s="771"/>
      <c r="DT53" s="771"/>
      <c r="DU53" s="771"/>
      <c r="DV53" s="771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771"/>
      <c r="EL53" s="771"/>
      <c r="EM53" s="771"/>
      <c r="EN53" s="771"/>
      <c r="EO53" s="771"/>
      <c r="EP53" s="771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771"/>
      <c r="FQ53" s="771"/>
      <c r="FR53" s="771"/>
      <c r="FS53" s="771"/>
      <c r="FT53" s="771"/>
      <c r="FU53" s="771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771"/>
      <c r="GN53" s="771"/>
      <c r="GO53" s="771"/>
      <c r="GP53" s="771"/>
      <c r="GQ53" s="771"/>
      <c r="GR53" s="771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771"/>
      <c r="HI53" s="771"/>
      <c r="HJ53" s="771"/>
      <c r="HK53" s="771"/>
      <c r="HL53" s="771"/>
      <c r="HM53" s="771"/>
      <c r="HN53" s="12"/>
      <c r="HO53" s="12"/>
      <c r="HP53" s="12"/>
      <c r="HQ53" s="12"/>
      <c r="HS53" s="771"/>
      <c r="HT53" s="771"/>
      <c r="HU53" s="771"/>
      <c r="HV53" s="771"/>
      <c r="HW53" s="771"/>
      <c r="HX53" s="771"/>
      <c r="HY53" s="12"/>
      <c r="HZ53" s="12"/>
      <c r="IA53" s="12"/>
      <c r="IB53" s="12"/>
    </row>
    <row r="54" spans="1:236" ht="14.45" customHeight="1" x14ac:dyDescent="0.25">
      <c r="A54" s="47"/>
      <c r="B54" s="12"/>
      <c r="C54" s="772" t="s">
        <v>175</v>
      </c>
      <c r="D54" s="772"/>
      <c r="E54" s="772"/>
      <c r="F54" s="772"/>
      <c r="G54" s="772"/>
      <c r="H54" s="102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768"/>
      <c r="S54" s="768"/>
      <c r="T54" s="768"/>
      <c r="U54" s="12"/>
      <c r="V54" s="12"/>
      <c r="W54" s="12"/>
      <c r="X54" s="12"/>
      <c r="Y54" s="12"/>
      <c r="Z54" s="6"/>
      <c r="AA54" s="771"/>
      <c r="AB54" s="771"/>
      <c r="AC54" s="771"/>
      <c r="AD54" s="771"/>
      <c r="AE54" s="771"/>
      <c r="AF54" s="771"/>
      <c r="AG54" s="12"/>
      <c r="AH54" s="12"/>
      <c r="AI54" s="12"/>
      <c r="AJ54" s="12"/>
      <c r="AL54" s="771"/>
      <c r="AM54" s="771"/>
      <c r="AN54" s="771"/>
      <c r="AO54" s="771"/>
      <c r="AP54" s="771"/>
      <c r="AQ54" s="771"/>
      <c r="AR54" s="12"/>
      <c r="AS54" s="12"/>
      <c r="AT54" s="12"/>
      <c r="AU54" s="12"/>
      <c r="AV54" s="12"/>
      <c r="AW54" s="12"/>
      <c r="AX54" s="12"/>
      <c r="AY54" s="12"/>
      <c r="AZ54" s="771"/>
      <c r="BA54" s="771"/>
      <c r="BB54" s="771"/>
      <c r="BC54" s="771"/>
      <c r="BD54" s="771"/>
      <c r="BE54" s="771"/>
      <c r="BF54" s="12"/>
      <c r="BG54" s="12"/>
      <c r="BH54" s="12"/>
      <c r="BI54" s="12"/>
      <c r="BJ54" s="12"/>
      <c r="BK54" s="12"/>
      <c r="BL54" s="771"/>
      <c r="BM54" s="771"/>
      <c r="BN54" s="771"/>
      <c r="BO54" s="771"/>
      <c r="BP54" s="771"/>
      <c r="BQ54" s="771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771"/>
      <c r="CF54" s="771"/>
      <c r="CG54" s="771"/>
      <c r="CH54" s="771"/>
      <c r="CI54" s="771"/>
      <c r="CJ54" s="771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771"/>
      <c r="CX54" s="771"/>
      <c r="CY54" s="771"/>
      <c r="CZ54" s="771"/>
      <c r="DA54" s="771"/>
      <c r="DB54" s="771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771"/>
      <c r="DR54" s="771"/>
      <c r="DS54" s="771"/>
      <c r="DT54" s="771"/>
      <c r="DU54" s="771"/>
      <c r="DV54" s="771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771"/>
      <c r="EL54" s="771"/>
      <c r="EM54" s="771"/>
      <c r="EN54" s="771"/>
      <c r="EO54" s="771"/>
      <c r="EP54" s="771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771"/>
      <c r="FQ54" s="771"/>
      <c r="FR54" s="771"/>
      <c r="FS54" s="771"/>
      <c r="FT54" s="771"/>
      <c r="FU54" s="771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771"/>
      <c r="GN54" s="771"/>
      <c r="GO54" s="771"/>
      <c r="GP54" s="771"/>
      <c r="GQ54" s="771"/>
      <c r="GR54" s="771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771"/>
      <c r="HI54" s="771"/>
      <c r="HJ54" s="771"/>
      <c r="HK54" s="771"/>
      <c r="HL54" s="771"/>
      <c r="HM54" s="771"/>
      <c r="HN54" s="12"/>
      <c r="HO54" s="12"/>
      <c r="HP54" s="12"/>
      <c r="HQ54" s="12"/>
      <c r="HS54" s="771"/>
      <c r="HT54" s="771"/>
      <c r="HU54" s="771"/>
      <c r="HV54" s="771"/>
      <c r="HW54" s="771"/>
      <c r="HX54" s="771"/>
      <c r="HY54" s="12"/>
      <c r="HZ54" s="12"/>
      <c r="IA54" s="12"/>
      <c r="IB54" s="12"/>
    </row>
    <row r="55" spans="1:236" ht="14.45" customHeight="1" x14ac:dyDescent="0.25">
      <c r="A55" s="47"/>
      <c r="B55" s="12"/>
      <c r="C55" s="772" t="s">
        <v>137</v>
      </c>
      <c r="D55" s="772"/>
      <c r="E55" s="772"/>
      <c r="F55" s="772"/>
      <c r="G55" s="772"/>
      <c r="H55" s="102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768"/>
      <c r="S55" s="768"/>
      <c r="T55" s="768"/>
      <c r="U55" s="12"/>
      <c r="V55" s="12"/>
      <c r="W55" s="12"/>
      <c r="X55" s="12"/>
      <c r="Y55" s="12"/>
      <c r="Z55" s="6"/>
      <c r="AA55" s="771"/>
      <c r="AB55" s="771"/>
      <c r="AC55" s="771"/>
      <c r="AD55" s="771"/>
      <c r="AE55" s="771"/>
      <c r="AF55" s="771"/>
      <c r="AG55" s="12"/>
      <c r="AH55" s="12"/>
      <c r="AI55" s="12"/>
      <c r="AJ55" s="12"/>
      <c r="AL55" s="771"/>
      <c r="AM55" s="771"/>
      <c r="AN55" s="771"/>
      <c r="AO55" s="771"/>
      <c r="AP55" s="771"/>
      <c r="AQ55" s="771"/>
      <c r="AR55" s="12"/>
      <c r="AS55" s="12"/>
      <c r="AT55" s="12"/>
      <c r="AU55" s="12"/>
      <c r="AV55" s="12"/>
      <c r="AW55" s="12"/>
      <c r="AX55" s="12"/>
      <c r="AY55" s="12"/>
      <c r="AZ55" s="771"/>
      <c r="BA55" s="771"/>
      <c r="BB55" s="771"/>
      <c r="BC55" s="771"/>
      <c r="BD55" s="771"/>
      <c r="BE55" s="771"/>
      <c r="BF55" s="12"/>
      <c r="BG55" s="12"/>
      <c r="BH55" s="12"/>
      <c r="BI55" s="12"/>
      <c r="BJ55" s="12"/>
      <c r="BK55" s="12"/>
      <c r="BL55" s="771"/>
      <c r="BM55" s="771"/>
      <c r="BN55" s="771"/>
      <c r="BO55" s="771"/>
      <c r="BP55" s="771"/>
      <c r="BQ55" s="771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771"/>
      <c r="CF55" s="771"/>
      <c r="CG55" s="771"/>
      <c r="CH55" s="771"/>
      <c r="CI55" s="771"/>
      <c r="CJ55" s="771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771"/>
      <c r="CX55" s="771"/>
      <c r="CY55" s="771"/>
      <c r="CZ55" s="771"/>
      <c r="DA55" s="771"/>
      <c r="DB55" s="771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771"/>
      <c r="DR55" s="771"/>
      <c r="DS55" s="771"/>
      <c r="DT55" s="771"/>
      <c r="DU55" s="771"/>
      <c r="DV55" s="771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771"/>
      <c r="EL55" s="771"/>
      <c r="EM55" s="771"/>
      <c r="EN55" s="771"/>
      <c r="EO55" s="771"/>
      <c r="EP55" s="771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771"/>
      <c r="FQ55" s="771"/>
      <c r="FR55" s="771"/>
      <c r="FS55" s="771"/>
      <c r="FT55" s="771"/>
      <c r="FU55" s="771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771"/>
      <c r="GN55" s="771"/>
      <c r="GO55" s="771"/>
      <c r="GP55" s="771"/>
      <c r="GQ55" s="771"/>
      <c r="GR55" s="771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771"/>
      <c r="HI55" s="771"/>
      <c r="HJ55" s="771"/>
      <c r="HK55" s="771"/>
      <c r="HL55" s="771"/>
      <c r="HM55" s="771"/>
      <c r="HN55" s="12"/>
      <c r="HO55" s="12"/>
      <c r="HP55" s="12"/>
      <c r="HQ55" s="12"/>
      <c r="HS55" s="771"/>
      <c r="HT55" s="771"/>
      <c r="HU55" s="771"/>
      <c r="HV55" s="771"/>
      <c r="HW55" s="771"/>
      <c r="HX55" s="771"/>
      <c r="HY55" s="12"/>
      <c r="HZ55" s="12"/>
      <c r="IA55" s="12"/>
      <c r="IB55" s="12"/>
    </row>
    <row r="56" spans="1:236" ht="14.45" customHeight="1" x14ac:dyDescent="0.25">
      <c r="A56" s="47"/>
      <c r="B56" s="12"/>
      <c r="C56" s="772" t="s">
        <v>138</v>
      </c>
      <c r="D56" s="772"/>
      <c r="E56" s="772"/>
      <c r="F56" s="772"/>
      <c r="G56" s="772"/>
      <c r="H56" s="102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768"/>
      <c r="S56" s="768"/>
      <c r="T56" s="768"/>
      <c r="U56" s="12"/>
      <c r="V56" s="12"/>
      <c r="W56" s="12"/>
      <c r="X56" s="12"/>
      <c r="Y56" s="12"/>
      <c r="Z56" s="6"/>
      <c r="AA56" s="771"/>
      <c r="AB56" s="771"/>
      <c r="AC56" s="771"/>
      <c r="AD56" s="771"/>
      <c r="AE56" s="771"/>
      <c r="AF56" s="771"/>
      <c r="AG56" s="12"/>
      <c r="AH56" s="12"/>
      <c r="AI56" s="12"/>
      <c r="AJ56" s="12"/>
      <c r="AL56" s="771"/>
      <c r="AM56" s="771"/>
      <c r="AN56" s="771"/>
      <c r="AO56" s="771"/>
      <c r="AP56" s="771"/>
      <c r="AQ56" s="771"/>
      <c r="AR56" s="12"/>
      <c r="AS56" s="12"/>
      <c r="AT56" s="12"/>
      <c r="AU56" s="12"/>
      <c r="AV56" s="12"/>
      <c r="AW56" s="12"/>
      <c r="AX56" s="12"/>
      <c r="AY56" s="12"/>
      <c r="AZ56" s="771"/>
      <c r="BA56" s="771"/>
      <c r="BB56" s="771"/>
      <c r="BC56" s="771"/>
      <c r="BD56" s="771"/>
      <c r="BE56" s="771"/>
      <c r="BF56" s="12"/>
      <c r="BG56" s="12"/>
      <c r="BH56" s="12"/>
      <c r="BI56" s="12"/>
      <c r="BJ56" s="12"/>
      <c r="BK56" s="12"/>
      <c r="BL56" s="771"/>
      <c r="BM56" s="771"/>
      <c r="BN56" s="771"/>
      <c r="BO56" s="771"/>
      <c r="BP56" s="771"/>
      <c r="BQ56" s="771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771"/>
      <c r="CF56" s="771"/>
      <c r="CG56" s="771"/>
      <c r="CH56" s="771"/>
      <c r="CI56" s="771"/>
      <c r="CJ56" s="771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771"/>
      <c r="CX56" s="771"/>
      <c r="CY56" s="771"/>
      <c r="CZ56" s="771"/>
      <c r="DA56" s="771"/>
      <c r="DB56" s="771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771"/>
      <c r="DR56" s="771"/>
      <c r="DS56" s="771"/>
      <c r="DT56" s="771"/>
      <c r="DU56" s="771"/>
      <c r="DV56" s="771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771"/>
      <c r="EL56" s="771"/>
      <c r="EM56" s="771"/>
      <c r="EN56" s="771"/>
      <c r="EO56" s="771"/>
      <c r="EP56" s="771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771"/>
      <c r="FQ56" s="771"/>
      <c r="FR56" s="771"/>
      <c r="FS56" s="771"/>
      <c r="FT56" s="771"/>
      <c r="FU56" s="771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771"/>
      <c r="GN56" s="771"/>
      <c r="GO56" s="771"/>
      <c r="GP56" s="771"/>
      <c r="GQ56" s="771"/>
      <c r="GR56" s="771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771"/>
      <c r="HI56" s="771"/>
      <c r="HJ56" s="771"/>
      <c r="HK56" s="771"/>
      <c r="HL56" s="771"/>
      <c r="HM56" s="771"/>
      <c r="HN56" s="12"/>
      <c r="HO56" s="12"/>
      <c r="HP56" s="12"/>
      <c r="HQ56" s="12"/>
      <c r="HS56" s="771"/>
      <c r="HT56" s="771"/>
      <c r="HU56" s="771"/>
      <c r="HV56" s="771"/>
      <c r="HW56" s="771"/>
      <c r="HX56" s="771"/>
      <c r="HY56" s="12"/>
      <c r="HZ56" s="12"/>
      <c r="IA56" s="12"/>
      <c r="IB56" s="12"/>
    </row>
    <row r="57" spans="1:236" ht="14.45" customHeight="1" x14ac:dyDescent="0.25">
      <c r="A57" s="47"/>
      <c r="B57" s="12"/>
      <c r="C57" s="772" t="s">
        <v>165</v>
      </c>
      <c r="D57" s="772"/>
      <c r="E57" s="772"/>
      <c r="F57" s="772"/>
      <c r="G57" s="772"/>
      <c r="H57" s="102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768"/>
      <c r="S57" s="768"/>
      <c r="T57" s="768"/>
      <c r="U57" s="12"/>
      <c r="V57" s="12"/>
      <c r="W57" s="12"/>
      <c r="X57" s="12"/>
      <c r="Y57" s="12"/>
      <c r="Z57" s="6"/>
      <c r="AA57" s="771"/>
      <c r="AB57" s="771"/>
      <c r="AC57" s="771"/>
      <c r="AD57" s="771"/>
      <c r="AE57" s="771"/>
      <c r="AF57" s="771"/>
      <c r="AG57" s="12"/>
      <c r="AH57" s="12"/>
      <c r="AI57" s="12"/>
      <c r="AJ57" s="12"/>
      <c r="AL57" s="771"/>
      <c r="AM57" s="771"/>
      <c r="AN57" s="771"/>
      <c r="AO57" s="771"/>
      <c r="AP57" s="771"/>
      <c r="AQ57" s="771"/>
      <c r="AR57" s="12"/>
      <c r="AS57" s="12"/>
      <c r="AT57" s="12"/>
      <c r="AU57" s="12"/>
      <c r="AV57" s="12"/>
      <c r="AW57" s="12"/>
      <c r="AX57" s="12"/>
      <c r="AY57" s="12"/>
      <c r="AZ57" s="771"/>
      <c r="BA57" s="771"/>
      <c r="BB57" s="771"/>
      <c r="BC57" s="771"/>
      <c r="BD57" s="771"/>
      <c r="BE57" s="771"/>
      <c r="BF57" s="12"/>
      <c r="BG57" s="12"/>
      <c r="BH57" s="12"/>
      <c r="BI57" s="12"/>
      <c r="BJ57" s="12"/>
      <c r="BK57" s="12"/>
      <c r="BL57" s="771"/>
      <c r="BM57" s="771"/>
      <c r="BN57" s="771"/>
      <c r="BO57" s="771"/>
      <c r="BP57" s="771"/>
      <c r="BQ57" s="771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771"/>
      <c r="CF57" s="771"/>
      <c r="CG57" s="771"/>
      <c r="CH57" s="771"/>
      <c r="CI57" s="771"/>
      <c r="CJ57" s="771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771"/>
      <c r="CX57" s="771"/>
      <c r="CY57" s="771"/>
      <c r="CZ57" s="771"/>
      <c r="DA57" s="771"/>
      <c r="DB57" s="771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771"/>
      <c r="DR57" s="771"/>
      <c r="DS57" s="771"/>
      <c r="DT57" s="771"/>
      <c r="DU57" s="771"/>
      <c r="DV57" s="771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771"/>
      <c r="EL57" s="771"/>
      <c r="EM57" s="771"/>
      <c r="EN57" s="771"/>
      <c r="EO57" s="771"/>
      <c r="EP57" s="771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771"/>
      <c r="FQ57" s="771"/>
      <c r="FR57" s="771"/>
      <c r="FS57" s="771"/>
      <c r="FT57" s="771"/>
      <c r="FU57" s="771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771"/>
      <c r="GN57" s="771"/>
      <c r="GO57" s="771"/>
      <c r="GP57" s="771"/>
      <c r="GQ57" s="771"/>
      <c r="GR57" s="771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771"/>
      <c r="HI57" s="771"/>
      <c r="HJ57" s="771"/>
      <c r="HK57" s="771"/>
      <c r="HL57" s="771"/>
      <c r="HM57" s="771"/>
      <c r="HN57" s="12"/>
      <c r="HO57" s="12"/>
      <c r="HP57" s="12"/>
      <c r="HQ57" s="12"/>
      <c r="HS57" s="771"/>
      <c r="HT57" s="771"/>
      <c r="HU57" s="771"/>
      <c r="HV57" s="771"/>
      <c r="HW57" s="771"/>
      <c r="HX57" s="771"/>
      <c r="HY57" s="12"/>
      <c r="HZ57" s="12"/>
      <c r="IA57" s="12"/>
      <c r="IB57" s="12"/>
    </row>
    <row r="58" spans="1:236" ht="14.45" customHeight="1" x14ac:dyDescent="0.25">
      <c r="A58" s="47"/>
      <c r="B58" s="12"/>
      <c r="C58" s="772" t="s">
        <v>125</v>
      </c>
      <c r="D58" s="772"/>
      <c r="E58" s="772"/>
      <c r="F58" s="772"/>
      <c r="G58" s="772"/>
      <c r="H58" s="102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768"/>
      <c r="S58" s="768"/>
      <c r="T58" s="768"/>
      <c r="U58" s="12"/>
      <c r="V58" s="12"/>
      <c r="W58" s="12"/>
      <c r="X58" s="12"/>
      <c r="Y58" s="12"/>
      <c r="Z58" s="6"/>
      <c r="AA58" s="771"/>
      <c r="AB58" s="771"/>
      <c r="AC58" s="771"/>
      <c r="AD58" s="771"/>
      <c r="AE58" s="771"/>
      <c r="AF58" s="771"/>
      <c r="AG58" s="12"/>
      <c r="AH58" s="12"/>
      <c r="AI58" s="12"/>
      <c r="AJ58" s="12"/>
      <c r="AL58" s="771"/>
      <c r="AM58" s="771"/>
      <c r="AN58" s="771"/>
      <c r="AO58" s="771"/>
      <c r="AP58" s="771"/>
      <c r="AQ58" s="771"/>
      <c r="AR58" s="12"/>
      <c r="AS58" s="12"/>
      <c r="AT58" s="12"/>
      <c r="AU58" s="12"/>
      <c r="AV58" s="12"/>
      <c r="AW58" s="12"/>
      <c r="AX58" s="12"/>
      <c r="AY58" s="12"/>
      <c r="AZ58" s="771"/>
      <c r="BA58" s="771"/>
      <c r="BB58" s="771"/>
      <c r="BC58" s="771"/>
      <c r="BD58" s="771"/>
      <c r="BE58" s="771"/>
      <c r="BF58" s="12"/>
      <c r="BG58" s="12"/>
      <c r="BH58" s="12"/>
      <c r="BI58" s="12"/>
      <c r="BJ58" s="12"/>
      <c r="BK58" s="12"/>
      <c r="BL58" s="771"/>
      <c r="BM58" s="771"/>
      <c r="BN58" s="771"/>
      <c r="BO58" s="771"/>
      <c r="BP58" s="771"/>
      <c r="BQ58" s="771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771"/>
      <c r="CF58" s="771"/>
      <c r="CG58" s="771"/>
      <c r="CH58" s="771"/>
      <c r="CI58" s="771"/>
      <c r="CJ58" s="771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771"/>
      <c r="CX58" s="771"/>
      <c r="CY58" s="771"/>
      <c r="CZ58" s="771"/>
      <c r="DA58" s="771"/>
      <c r="DB58" s="771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771"/>
      <c r="DR58" s="771"/>
      <c r="DS58" s="771"/>
      <c r="DT58" s="771"/>
      <c r="DU58" s="771"/>
      <c r="DV58" s="771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771"/>
      <c r="EL58" s="771"/>
      <c r="EM58" s="771"/>
      <c r="EN58" s="771"/>
      <c r="EO58" s="771"/>
      <c r="EP58" s="771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771"/>
      <c r="FQ58" s="771"/>
      <c r="FR58" s="771"/>
      <c r="FS58" s="771"/>
      <c r="FT58" s="771"/>
      <c r="FU58" s="771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771"/>
      <c r="GN58" s="771"/>
      <c r="GO58" s="771"/>
      <c r="GP58" s="771"/>
      <c r="GQ58" s="771"/>
      <c r="GR58" s="771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771"/>
      <c r="HI58" s="771"/>
      <c r="HJ58" s="771"/>
      <c r="HK58" s="771"/>
      <c r="HL58" s="771"/>
      <c r="HM58" s="771"/>
      <c r="HN58" s="12"/>
      <c r="HO58" s="12"/>
      <c r="HP58" s="12"/>
      <c r="HQ58" s="12"/>
      <c r="HS58" s="771"/>
      <c r="HT58" s="771"/>
      <c r="HU58" s="771"/>
      <c r="HV58" s="771"/>
      <c r="HW58" s="771"/>
      <c r="HX58" s="771"/>
      <c r="HY58" s="12"/>
      <c r="HZ58" s="12"/>
      <c r="IA58" s="12"/>
      <c r="IB58" s="12"/>
    </row>
    <row r="59" spans="1:236" ht="14.45" customHeight="1" x14ac:dyDescent="0.25">
      <c r="A59" s="47"/>
      <c r="B59" s="12"/>
      <c r="C59" s="772" t="s">
        <v>126</v>
      </c>
      <c r="D59" s="772"/>
      <c r="E59" s="772"/>
      <c r="F59" s="772"/>
      <c r="G59" s="772"/>
      <c r="H59" s="102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768"/>
      <c r="S59" s="768"/>
      <c r="T59" s="768"/>
      <c r="U59" s="12"/>
      <c r="V59" s="12"/>
      <c r="W59" s="12"/>
      <c r="X59" s="12"/>
      <c r="Y59" s="12"/>
      <c r="Z59" s="6"/>
      <c r="AA59" s="771"/>
      <c r="AB59" s="771"/>
      <c r="AC59" s="771"/>
      <c r="AD59" s="771"/>
      <c r="AE59" s="771"/>
      <c r="AF59" s="771"/>
      <c r="AG59" s="12"/>
      <c r="AH59" s="12"/>
      <c r="AI59" s="12"/>
      <c r="AJ59" s="12"/>
      <c r="AL59" s="771"/>
      <c r="AM59" s="771"/>
      <c r="AN59" s="771"/>
      <c r="AO59" s="771"/>
      <c r="AP59" s="771"/>
      <c r="AQ59" s="771"/>
      <c r="AR59" s="12"/>
      <c r="AS59" s="12"/>
      <c r="AT59" s="12"/>
      <c r="AU59" s="12"/>
      <c r="AV59" s="12"/>
      <c r="AW59" s="12"/>
      <c r="AX59" s="12"/>
      <c r="AY59" s="12"/>
      <c r="AZ59" s="771"/>
      <c r="BA59" s="771"/>
      <c r="BB59" s="771"/>
      <c r="BC59" s="771"/>
      <c r="BD59" s="771"/>
      <c r="BE59" s="771"/>
      <c r="BF59" s="12"/>
      <c r="BG59" s="12"/>
      <c r="BH59" s="12"/>
      <c r="BI59" s="12"/>
      <c r="BJ59" s="12"/>
      <c r="BK59" s="12"/>
      <c r="BL59" s="771"/>
      <c r="BM59" s="771"/>
      <c r="BN59" s="771"/>
      <c r="BO59" s="771"/>
      <c r="BP59" s="771"/>
      <c r="BQ59" s="771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771"/>
      <c r="CF59" s="771"/>
      <c r="CG59" s="771"/>
      <c r="CH59" s="771"/>
      <c r="CI59" s="771"/>
      <c r="CJ59" s="771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771"/>
      <c r="CX59" s="771"/>
      <c r="CY59" s="771"/>
      <c r="CZ59" s="771"/>
      <c r="DA59" s="771"/>
      <c r="DB59" s="771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771"/>
      <c r="DR59" s="771"/>
      <c r="DS59" s="771"/>
      <c r="DT59" s="771"/>
      <c r="DU59" s="771"/>
      <c r="DV59" s="771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771"/>
      <c r="EL59" s="771"/>
      <c r="EM59" s="771"/>
      <c r="EN59" s="771"/>
      <c r="EO59" s="771"/>
      <c r="EP59" s="771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771"/>
      <c r="FQ59" s="771"/>
      <c r="FR59" s="771"/>
      <c r="FS59" s="771"/>
      <c r="FT59" s="771"/>
      <c r="FU59" s="771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771"/>
      <c r="GN59" s="771"/>
      <c r="GO59" s="771"/>
      <c r="GP59" s="771"/>
      <c r="GQ59" s="771"/>
      <c r="GR59" s="771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771"/>
      <c r="HI59" s="771"/>
      <c r="HJ59" s="771"/>
      <c r="HK59" s="771"/>
      <c r="HL59" s="771"/>
      <c r="HM59" s="771"/>
      <c r="HN59" s="12"/>
      <c r="HO59" s="12"/>
      <c r="HP59" s="12"/>
      <c r="HQ59" s="12"/>
      <c r="HS59" s="771"/>
      <c r="HT59" s="771"/>
      <c r="HU59" s="771"/>
      <c r="HV59" s="771"/>
      <c r="HW59" s="771"/>
      <c r="HX59" s="771"/>
      <c r="HY59" s="12"/>
      <c r="HZ59" s="12"/>
      <c r="IA59" s="12"/>
      <c r="IB59" s="12"/>
    </row>
    <row r="60" spans="1:236" ht="14.45" customHeight="1" x14ac:dyDescent="0.25">
      <c r="A60" s="47"/>
      <c r="B60" s="12"/>
      <c r="C60" s="772" t="s">
        <v>160</v>
      </c>
      <c r="D60" s="772"/>
      <c r="E60" s="772"/>
      <c r="F60" s="772"/>
      <c r="G60" s="772"/>
      <c r="H60" s="102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768"/>
      <c r="S60" s="768"/>
      <c r="T60" s="768"/>
      <c r="U60" s="12"/>
      <c r="V60" s="12"/>
      <c r="W60" s="12"/>
      <c r="X60" s="12"/>
      <c r="Y60" s="12"/>
      <c r="Z60" s="6"/>
      <c r="AA60" s="771"/>
      <c r="AB60" s="771"/>
      <c r="AC60" s="771"/>
      <c r="AD60" s="771"/>
      <c r="AE60" s="771"/>
      <c r="AF60" s="771"/>
      <c r="AG60" s="12"/>
      <c r="AH60" s="12"/>
      <c r="AI60" s="12"/>
      <c r="AJ60" s="12"/>
      <c r="AL60" s="771"/>
      <c r="AM60" s="771"/>
      <c r="AN60" s="771"/>
      <c r="AO60" s="771"/>
      <c r="AP60" s="771"/>
      <c r="AQ60" s="771"/>
      <c r="AR60" s="12"/>
      <c r="AS60" s="12"/>
      <c r="AT60" s="12"/>
      <c r="AU60" s="12"/>
      <c r="AV60" s="12"/>
      <c r="AW60" s="12"/>
      <c r="AX60" s="12"/>
      <c r="AY60" s="12"/>
      <c r="AZ60" s="771"/>
      <c r="BA60" s="771"/>
      <c r="BB60" s="771"/>
      <c r="BC60" s="771"/>
      <c r="BD60" s="771"/>
      <c r="BE60" s="771"/>
      <c r="BF60" s="12"/>
      <c r="BG60" s="12"/>
      <c r="BH60" s="12"/>
      <c r="BI60" s="12"/>
      <c r="BJ60" s="12"/>
      <c r="BK60" s="12"/>
      <c r="BL60" s="771"/>
      <c r="BM60" s="771"/>
      <c r="BN60" s="771"/>
      <c r="BO60" s="771"/>
      <c r="BP60" s="771"/>
      <c r="BQ60" s="771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771"/>
      <c r="CF60" s="771"/>
      <c r="CG60" s="771"/>
      <c r="CH60" s="771"/>
      <c r="CI60" s="771"/>
      <c r="CJ60" s="771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771"/>
      <c r="CX60" s="771"/>
      <c r="CY60" s="771"/>
      <c r="CZ60" s="771"/>
      <c r="DA60" s="771"/>
      <c r="DB60" s="771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771"/>
      <c r="DR60" s="771"/>
      <c r="DS60" s="771"/>
      <c r="DT60" s="771"/>
      <c r="DU60" s="771"/>
      <c r="DV60" s="771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771"/>
      <c r="EL60" s="771"/>
      <c r="EM60" s="771"/>
      <c r="EN60" s="771"/>
      <c r="EO60" s="771"/>
      <c r="EP60" s="771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771"/>
      <c r="FQ60" s="771"/>
      <c r="FR60" s="771"/>
      <c r="FS60" s="771"/>
      <c r="FT60" s="771"/>
      <c r="FU60" s="771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771"/>
      <c r="GN60" s="771"/>
      <c r="GO60" s="771"/>
      <c r="GP60" s="771"/>
      <c r="GQ60" s="771"/>
      <c r="GR60" s="771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771"/>
      <c r="HI60" s="771"/>
      <c r="HJ60" s="771"/>
      <c r="HK60" s="771"/>
      <c r="HL60" s="771"/>
      <c r="HM60" s="771"/>
      <c r="HN60" s="12"/>
      <c r="HO60" s="12"/>
      <c r="HP60" s="12"/>
      <c r="HQ60" s="12"/>
      <c r="HS60" s="771"/>
      <c r="HT60" s="771"/>
      <c r="HU60" s="771"/>
      <c r="HV60" s="771"/>
      <c r="HW60" s="771"/>
      <c r="HX60" s="771"/>
      <c r="HY60" s="12"/>
      <c r="HZ60" s="12"/>
      <c r="IA60" s="12"/>
      <c r="IB60" s="12"/>
    </row>
    <row r="61" spans="1:236" ht="14.45" customHeight="1" x14ac:dyDescent="0.25">
      <c r="A61" s="47"/>
      <c r="B61" s="12"/>
      <c r="C61" s="772" t="s">
        <v>161</v>
      </c>
      <c r="D61" s="772"/>
      <c r="E61" s="772"/>
      <c r="F61" s="772"/>
      <c r="G61" s="772"/>
      <c r="H61" s="102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768"/>
      <c r="S61" s="768"/>
      <c r="T61" s="768"/>
      <c r="U61" s="12"/>
      <c r="V61" s="12"/>
      <c r="W61" s="12"/>
      <c r="X61" s="12"/>
      <c r="Y61" s="12"/>
      <c r="Z61" s="6"/>
      <c r="AA61" s="771"/>
      <c r="AB61" s="771"/>
      <c r="AC61" s="771"/>
      <c r="AD61" s="771"/>
      <c r="AE61" s="771"/>
      <c r="AF61" s="771"/>
      <c r="AG61" s="12"/>
      <c r="AH61" s="12"/>
      <c r="AI61" s="12"/>
      <c r="AJ61" s="12"/>
      <c r="AL61" s="771"/>
      <c r="AM61" s="771"/>
      <c r="AN61" s="771"/>
      <c r="AO61" s="771"/>
      <c r="AP61" s="771"/>
      <c r="AQ61" s="771"/>
      <c r="AR61" s="12"/>
      <c r="AS61" s="12"/>
      <c r="AT61" s="12"/>
      <c r="AU61" s="12"/>
      <c r="AV61" s="12"/>
      <c r="AW61" s="12"/>
      <c r="AX61" s="12"/>
      <c r="AY61" s="12"/>
      <c r="AZ61" s="771"/>
      <c r="BA61" s="771"/>
      <c r="BB61" s="771"/>
      <c r="BC61" s="771"/>
      <c r="BD61" s="771"/>
      <c r="BE61" s="771"/>
      <c r="BF61" s="12"/>
      <c r="BG61" s="12"/>
      <c r="BH61" s="12"/>
      <c r="BI61" s="12"/>
      <c r="BJ61" s="12"/>
      <c r="BK61" s="12"/>
      <c r="BL61" s="771"/>
      <c r="BM61" s="771"/>
      <c r="BN61" s="771"/>
      <c r="BO61" s="771"/>
      <c r="BP61" s="771"/>
      <c r="BQ61" s="771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771"/>
      <c r="CF61" s="771"/>
      <c r="CG61" s="771"/>
      <c r="CH61" s="771"/>
      <c r="CI61" s="771"/>
      <c r="CJ61" s="771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771"/>
      <c r="CX61" s="771"/>
      <c r="CY61" s="771"/>
      <c r="CZ61" s="771"/>
      <c r="DA61" s="771"/>
      <c r="DB61" s="771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771"/>
      <c r="DR61" s="771"/>
      <c r="DS61" s="771"/>
      <c r="DT61" s="771"/>
      <c r="DU61" s="771"/>
      <c r="DV61" s="771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771"/>
      <c r="EL61" s="771"/>
      <c r="EM61" s="771"/>
      <c r="EN61" s="771"/>
      <c r="EO61" s="771"/>
      <c r="EP61" s="771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771"/>
      <c r="FQ61" s="771"/>
      <c r="FR61" s="771"/>
      <c r="FS61" s="771"/>
      <c r="FT61" s="771"/>
      <c r="FU61" s="771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771"/>
      <c r="GN61" s="771"/>
      <c r="GO61" s="771"/>
      <c r="GP61" s="771"/>
      <c r="GQ61" s="771"/>
      <c r="GR61" s="771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771"/>
      <c r="HI61" s="771"/>
      <c r="HJ61" s="771"/>
      <c r="HK61" s="771"/>
      <c r="HL61" s="771"/>
      <c r="HM61" s="771"/>
      <c r="HN61" s="12"/>
      <c r="HO61" s="12"/>
      <c r="HP61" s="12"/>
      <c r="HQ61" s="12"/>
      <c r="HS61" s="771"/>
      <c r="HT61" s="771"/>
      <c r="HU61" s="771"/>
      <c r="HV61" s="771"/>
      <c r="HW61" s="771"/>
      <c r="HX61" s="771"/>
      <c r="HY61" s="12"/>
      <c r="HZ61" s="12"/>
      <c r="IA61" s="12"/>
      <c r="IB61" s="12"/>
    </row>
    <row r="62" spans="1:236" ht="14.45" customHeight="1" x14ac:dyDescent="0.25">
      <c r="A62" s="47"/>
      <c r="B62" s="12"/>
      <c r="C62" s="772" t="s">
        <v>162</v>
      </c>
      <c r="D62" s="772"/>
      <c r="E62" s="772"/>
      <c r="F62" s="772"/>
      <c r="G62" s="772"/>
      <c r="H62" s="102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768"/>
      <c r="S62" s="768"/>
      <c r="T62" s="768"/>
      <c r="U62" s="12"/>
      <c r="V62" s="12"/>
      <c r="W62" s="12"/>
      <c r="X62" s="12"/>
      <c r="Y62" s="12"/>
      <c r="Z62" s="6"/>
      <c r="AA62" s="771"/>
      <c r="AB62" s="771"/>
      <c r="AC62" s="771"/>
      <c r="AD62" s="771"/>
      <c r="AE62" s="771"/>
      <c r="AF62" s="771"/>
      <c r="AG62" s="12"/>
      <c r="AH62" s="12"/>
      <c r="AI62" s="12"/>
      <c r="AJ62" s="12"/>
      <c r="AL62" s="771"/>
      <c r="AM62" s="771"/>
      <c r="AN62" s="771"/>
      <c r="AO62" s="771"/>
      <c r="AP62" s="771"/>
      <c r="AQ62" s="771"/>
      <c r="AR62" s="12"/>
      <c r="AS62" s="12"/>
      <c r="AT62" s="12"/>
      <c r="AU62" s="12"/>
      <c r="AV62" s="12"/>
      <c r="AW62" s="12"/>
      <c r="AX62" s="12"/>
      <c r="AY62" s="12"/>
      <c r="AZ62" s="771"/>
      <c r="BA62" s="771"/>
      <c r="BB62" s="771"/>
      <c r="BC62" s="771"/>
      <c r="BD62" s="771"/>
      <c r="BE62" s="771"/>
      <c r="BF62" s="12"/>
      <c r="BG62" s="12"/>
      <c r="BH62" s="12"/>
      <c r="BI62" s="12"/>
      <c r="BJ62" s="12"/>
      <c r="BK62" s="12"/>
      <c r="BL62" s="771"/>
      <c r="BM62" s="771"/>
      <c r="BN62" s="771"/>
      <c r="BO62" s="771"/>
      <c r="BP62" s="771"/>
      <c r="BQ62" s="771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771"/>
      <c r="CF62" s="771"/>
      <c r="CG62" s="771"/>
      <c r="CH62" s="771"/>
      <c r="CI62" s="771"/>
      <c r="CJ62" s="771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771"/>
      <c r="CX62" s="771"/>
      <c r="CY62" s="771"/>
      <c r="CZ62" s="771"/>
      <c r="DA62" s="771"/>
      <c r="DB62" s="771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771"/>
      <c r="DR62" s="771"/>
      <c r="DS62" s="771"/>
      <c r="DT62" s="771"/>
      <c r="DU62" s="771"/>
      <c r="DV62" s="771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771"/>
      <c r="EL62" s="771"/>
      <c r="EM62" s="771"/>
      <c r="EN62" s="771"/>
      <c r="EO62" s="771"/>
      <c r="EP62" s="771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771"/>
      <c r="FQ62" s="771"/>
      <c r="FR62" s="771"/>
      <c r="FS62" s="771"/>
      <c r="FT62" s="771"/>
      <c r="FU62" s="771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771"/>
      <c r="GN62" s="771"/>
      <c r="GO62" s="771"/>
      <c r="GP62" s="771"/>
      <c r="GQ62" s="771"/>
      <c r="GR62" s="771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771"/>
      <c r="HI62" s="771"/>
      <c r="HJ62" s="771"/>
      <c r="HK62" s="771"/>
      <c r="HL62" s="771"/>
      <c r="HM62" s="771"/>
      <c r="HN62" s="12"/>
      <c r="HO62" s="12"/>
      <c r="HP62" s="12"/>
      <c r="HQ62" s="12"/>
      <c r="HS62" s="771"/>
      <c r="HT62" s="771"/>
      <c r="HU62" s="771"/>
      <c r="HV62" s="771"/>
      <c r="HW62" s="771"/>
      <c r="HX62" s="771"/>
      <c r="HY62" s="12"/>
      <c r="HZ62" s="12"/>
      <c r="IA62" s="12"/>
      <c r="IB62" s="12"/>
    </row>
    <row r="63" spans="1:236" ht="14.45" customHeight="1" x14ac:dyDescent="0.25">
      <c r="A63" s="47"/>
      <c r="B63" s="12"/>
      <c r="C63" s="772" t="s">
        <v>157</v>
      </c>
      <c r="D63" s="772"/>
      <c r="E63" s="772"/>
      <c r="F63" s="772"/>
      <c r="G63" s="772"/>
      <c r="H63" s="102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768"/>
      <c r="S63" s="768"/>
      <c r="T63" s="768"/>
      <c r="U63" s="12"/>
      <c r="V63" s="12"/>
      <c r="W63" s="12"/>
      <c r="X63" s="12"/>
      <c r="Y63" s="12"/>
      <c r="Z63" s="6"/>
      <c r="AA63" s="771"/>
      <c r="AB63" s="771"/>
      <c r="AC63" s="771"/>
      <c r="AD63" s="771"/>
      <c r="AE63" s="771"/>
      <c r="AF63" s="771"/>
      <c r="AG63" s="12"/>
      <c r="AH63" s="12"/>
      <c r="AI63" s="12"/>
      <c r="AJ63" s="12"/>
      <c r="AL63" s="771"/>
      <c r="AM63" s="771"/>
      <c r="AN63" s="771"/>
      <c r="AO63" s="771"/>
      <c r="AP63" s="771"/>
      <c r="AQ63" s="771"/>
      <c r="AR63" s="12"/>
      <c r="AS63" s="12"/>
      <c r="AT63" s="12"/>
      <c r="AU63" s="12"/>
      <c r="AV63" s="12"/>
      <c r="AW63" s="12"/>
      <c r="AX63" s="12"/>
      <c r="AY63" s="12"/>
      <c r="AZ63" s="771"/>
      <c r="BA63" s="771"/>
      <c r="BB63" s="771"/>
      <c r="BC63" s="771"/>
      <c r="BD63" s="771"/>
      <c r="BE63" s="771"/>
      <c r="BF63" s="12"/>
      <c r="BG63" s="12"/>
      <c r="BH63" s="12"/>
      <c r="BI63" s="12"/>
      <c r="BJ63" s="12"/>
      <c r="BK63" s="12"/>
      <c r="BL63" s="771"/>
      <c r="BM63" s="771"/>
      <c r="BN63" s="771"/>
      <c r="BO63" s="771"/>
      <c r="BP63" s="771"/>
      <c r="BQ63" s="771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771"/>
      <c r="CF63" s="771"/>
      <c r="CG63" s="771"/>
      <c r="CH63" s="771"/>
      <c r="CI63" s="771"/>
      <c r="CJ63" s="771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771"/>
      <c r="CX63" s="771"/>
      <c r="CY63" s="771"/>
      <c r="CZ63" s="771"/>
      <c r="DA63" s="771"/>
      <c r="DB63" s="771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771"/>
      <c r="DR63" s="771"/>
      <c r="DS63" s="771"/>
      <c r="DT63" s="771"/>
      <c r="DU63" s="771"/>
      <c r="DV63" s="771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771"/>
      <c r="EL63" s="771"/>
      <c r="EM63" s="771"/>
      <c r="EN63" s="771"/>
      <c r="EO63" s="771"/>
      <c r="EP63" s="771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771"/>
      <c r="FQ63" s="771"/>
      <c r="FR63" s="771"/>
      <c r="FS63" s="771"/>
      <c r="FT63" s="771"/>
      <c r="FU63" s="771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771"/>
      <c r="GN63" s="771"/>
      <c r="GO63" s="771"/>
      <c r="GP63" s="771"/>
      <c r="GQ63" s="771"/>
      <c r="GR63" s="771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771"/>
      <c r="HI63" s="771"/>
      <c r="HJ63" s="771"/>
      <c r="HK63" s="771"/>
      <c r="HL63" s="771"/>
      <c r="HM63" s="771"/>
      <c r="HN63" s="12"/>
      <c r="HO63" s="12"/>
      <c r="HP63" s="12"/>
      <c r="HQ63" s="12"/>
      <c r="HS63" s="771"/>
      <c r="HT63" s="771"/>
      <c r="HU63" s="771"/>
      <c r="HV63" s="771"/>
      <c r="HW63" s="771"/>
      <c r="HX63" s="771"/>
      <c r="HY63" s="12"/>
      <c r="HZ63" s="12"/>
      <c r="IA63" s="12"/>
      <c r="IB63" s="12"/>
    </row>
    <row r="64" spans="1:236" ht="14.45" customHeight="1" x14ac:dyDescent="0.25">
      <c r="A64" s="47"/>
      <c r="B64" s="12"/>
      <c r="C64" s="772" t="s">
        <v>159</v>
      </c>
      <c r="D64" s="772"/>
      <c r="E64" s="772"/>
      <c r="F64" s="772"/>
      <c r="G64" s="772"/>
      <c r="H64" s="102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768"/>
      <c r="S64" s="768"/>
      <c r="T64" s="768"/>
      <c r="U64" s="12"/>
      <c r="V64" s="12"/>
      <c r="W64" s="12"/>
      <c r="X64" s="12"/>
      <c r="Y64" s="12"/>
      <c r="Z64" s="6"/>
      <c r="AA64" s="771"/>
      <c r="AB64" s="771"/>
      <c r="AC64" s="771"/>
      <c r="AD64" s="771"/>
      <c r="AE64" s="771"/>
      <c r="AF64" s="771"/>
      <c r="AG64" s="12"/>
      <c r="AH64" s="12"/>
      <c r="AI64" s="12"/>
      <c r="AJ64" s="12"/>
      <c r="AL64" s="771"/>
      <c r="AM64" s="771"/>
      <c r="AN64" s="771"/>
      <c r="AO64" s="771"/>
      <c r="AP64" s="771"/>
      <c r="AQ64" s="771"/>
      <c r="AR64" s="12"/>
      <c r="AS64" s="12"/>
      <c r="AT64" s="12"/>
      <c r="AU64" s="12"/>
      <c r="AV64" s="12"/>
      <c r="AW64" s="12"/>
      <c r="AX64" s="12"/>
      <c r="AY64" s="12"/>
      <c r="AZ64" s="771"/>
      <c r="BA64" s="771"/>
      <c r="BB64" s="771"/>
      <c r="BC64" s="771"/>
      <c r="BD64" s="771"/>
      <c r="BE64" s="771"/>
      <c r="BF64" s="12"/>
      <c r="BG64" s="12"/>
      <c r="BH64" s="12"/>
      <c r="BI64" s="12"/>
      <c r="BJ64" s="12"/>
      <c r="BK64" s="12"/>
      <c r="BL64" s="771"/>
      <c r="BM64" s="771"/>
      <c r="BN64" s="771"/>
      <c r="BO64" s="771"/>
      <c r="BP64" s="771"/>
      <c r="BQ64" s="771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771"/>
      <c r="CF64" s="771"/>
      <c r="CG64" s="771"/>
      <c r="CH64" s="771"/>
      <c r="CI64" s="771"/>
      <c r="CJ64" s="771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771"/>
      <c r="CX64" s="771"/>
      <c r="CY64" s="771"/>
      <c r="CZ64" s="771"/>
      <c r="DA64" s="771"/>
      <c r="DB64" s="771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771"/>
      <c r="DR64" s="771"/>
      <c r="DS64" s="771"/>
      <c r="DT64" s="771"/>
      <c r="DU64" s="771"/>
      <c r="DV64" s="771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771"/>
      <c r="EL64" s="771"/>
      <c r="EM64" s="771"/>
      <c r="EN64" s="771"/>
      <c r="EO64" s="771"/>
      <c r="EP64" s="771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771"/>
      <c r="FQ64" s="771"/>
      <c r="FR64" s="771"/>
      <c r="FS64" s="771"/>
      <c r="FT64" s="771"/>
      <c r="FU64" s="771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771"/>
      <c r="GN64" s="771"/>
      <c r="GO64" s="771"/>
      <c r="GP64" s="771"/>
      <c r="GQ64" s="771"/>
      <c r="GR64" s="771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771"/>
      <c r="HI64" s="771"/>
      <c r="HJ64" s="771"/>
      <c r="HK64" s="771"/>
      <c r="HL64" s="771"/>
      <c r="HM64" s="771"/>
      <c r="HN64" s="12"/>
      <c r="HO64" s="12"/>
      <c r="HP64" s="12"/>
      <c r="HQ64" s="12"/>
      <c r="HS64" s="771"/>
      <c r="HT64" s="771"/>
      <c r="HU64" s="771"/>
      <c r="HV64" s="771"/>
      <c r="HW64" s="771"/>
      <c r="HX64" s="771"/>
      <c r="HY64" s="12"/>
      <c r="HZ64" s="12"/>
      <c r="IA64" s="12"/>
      <c r="IB64" s="12"/>
    </row>
    <row r="65" spans="1:236" ht="14.45" customHeight="1" x14ac:dyDescent="0.25">
      <c r="A65" s="47"/>
      <c r="B65" s="12"/>
      <c r="C65" s="772" t="s">
        <v>156</v>
      </c>
      <c r="D65" s="772"/>
      <c r="E65" s="772"/>
      <c r="F65" s="772"/>
      <c r="G65" s="772"/>
      <c r="H65" s="102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768"/>
      <c r="S65" s="768"/>
      <c r="T65" s="768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771"/>
      <c r="EL65" s="771"/>
      <c r="EM65" s="771"/>
      <c r="EN65" s="771"/>
      <c r="EO65" s="771"/>
      <c r="EP65" s="771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771"/>
      <c r="FQ65" s="771"/>
      <c r="FR65" s="771"/>
      <c r="FS65" s="771"/>
      <c r="FT65" s="771"/>
      <c r="FU65" s="771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771"/>
      <c r="GN65" s="771"/>
      <c r="GO65" s="771"/>
      <c r="GP65" s="771"/>
      <c r="GQ65" s="771"/>
      <c r="GR65" s="771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771"/>
      <c r="HI65" s="771"/>
      <c r="HJ65" s="771"/>
      <c r="HK65" s="771"/>
      <c r="HL65" s="771"/>
      <c r="HM65" s="771"/>
      <c r="HN65" s="12"/>
      <c r="HO65" s="12"/>
      <c r="HP65" s="12"/>
      <c r="HQ65" s="12"/>
      <c r="HS65" s="771"/>
      <c r="HT65" s="771"/>
      <c r="HU65" s="771"/>
      <c r="HV65" s="771"/>
      <c r="HW65" s="771"/>
      <c r="HX65" s="771"/>
      <c r="HY65" s="12"/>
      <c r="HZ65" s="12"/>
      <c r="IA65" s="12"/>
      <c r="IB65" s="12"/>
    </row>
    <row r="66" spans="1:236" ht="14.45" customHeight="1" x14ac:dyDescent="0.25">
      <c r="A66" s="47"/>
      <c r="B66" s="12"/>
      <c r="C66" s="772" t="s">
        <v>158</v>
      </c>
      <c r="D66" s="772"/>
      <c r="E66" s="772"/>
      <c r="F66" s="772"/>
      <c r="G66" s="772"/>
      <c r="H66" s="102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768"/>
      <c r="S66" s="768"/>
      <c r="T66" s="768"/>
      <c r="U66" s="12"/>
      <c r="V66" s="12"/>
      <c r="W66" s="12"/>
      <c r="X66" s="12"/>
      <c r="Y66" s="12"/>
      <c r="Z66" s="6"/>
      <c r="AA66" s="771"/>
      <c r="AB66" s="771"/>
      <c r="AC66" s="771"/>
      <c r="AD66" s="771"/>
      <c r="AE66" s="771"/>
      <c r="AF66" s="771"/>
      <c r="AG66" s="12"/>
      <c r="AH66" s="12"/>
      <c r="AI66" s="12"/>
      <c r="AJ66" s="12"/>
      <c r="AL66" s="771"/>
      <c r="AM66" s="771"/>
      <c r="AN66" s="771"/>
      <c r="AO66" s="771"/>
      <c r="AP66" s="771"/>
      <c r="AQ66" s="771"/>
      <c r="AR66" s="12"/>
      <c r="AS66" s="12"/>
      <c r="AT66" s="12"/>
      <c r="AU66" s="12"/>
      <c r="AV66" s="12"/>
      <c r="AW66" s="12"/>
      <c r="AX66" s="12"/>
      <c r="AY66" s="12"/>
      <c r="AZ66" s="771"/>
      <c r="BA66" s="771"/>
      <c r="BB66" s="771"/>
      <c r="BC66" s="771"/>
      <c r="BD66" s="771"/>
      <c r="BE66" s="771"/>
      <c r="BF66" s="12"/>
      <c r="BG66" s="12"/>
      <c r="BH66" s="12"/>
      <c r="BI66" s="12"/>
      <c r="BJ66" s="12"/>
      <c r="BK66" s="12"/>
      <c r="BL66" s="771"/>
      <c r="BM66" s="771"/>
      <c r="BN66" s="771"/>
      <c r="BO66" s="771"/>
      <c r="BP66" s="771"/>
      <c r="BQ66" s="771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771"/>
      <c r="CF66" s="771"/>
      <c r="CG66" s="771"/>
      <c r="CH66" s="771"/>
      <c r="CI66" s="771"/>
      <c r="CJ66" s="771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771"/>
      <c r="CX66" s="771"/>
      <c r="CY66" s="771"/>
      <c r="CZ66" s="771"/>
      <c r="DA66" s="771"/>
      <c r="DB66" s="771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771"/>
      <c r="DR66" s="771"/>
      <c r="DS66" s="771"/>
      <c r="DT66" s="771"/>
      <c r="DU66" s="771"/>
      <c r="DV66" s="771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771"/>
      <c r="EL66" s="771"/>
      <c r="EM66" s="771"/>
      <c r="EN66" s="771"/>
      <c r="EO66" s="771"/>
      <c r="EP66" s="771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771"/>
      <c r="FQ66" s="771"/>
      <c r="FR66" s="771"/>
      <c r="FS66" s="771"/>
      <c r="FT66" s="771"/>
      <c r="FU66" s="771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771"/>
      <c r="GN66" s="771"/>
      <c r="GO66" s="771"/>
      <c r="GP66" s="771"/>
      <c r="GQ66" s="771"/>
      <c r="GR66" s="771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771"/>
      <c r="HI66" s="771"/>
      <c r="HJ66" s="771"/>
      <c r="HK66" s="771"/>
      <c r="HL66" s="771"/>
      <c r="HM66" s="771"/>
      <c r="HN66" s="12"/>
      <c r="HO66" s="12"/>
      <c r="HP66" s="12"/>
      <c r="HQ66" s="12"/>
      <c r="HS66" s="771"/>
      <c r="HT66" s="771"/>
      <c r="HU66" s="771"/>
      <c r="HV66" s="771"/>
      <c r="HW66" s="771"/>
      <c r="HX66" s="771"/>
      <c r="HY66" s="12"/>
      <c r="HZ66" s="12"/>
      <c r="IA66" s="12"/>
      <c r="IB66" s="12"/>
    </row>
    <row r="67" spans="1:236" ht="14.45" customHeight="1" x14ac:dyDescent="0.25">
      <c r="A67" s="47"/>
      <c r="B67" s="12"/>
      <c r="C67" s="772" t="s">
        <v>163</v>
      </c>
      <c r="D67" s="772"/>
      <c r="E67" s="772"/>
      <c r="F67" s="772"/>
      <c r="G67" s="772"/>
      <c r="H67" s="102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768"/>
      <c r="S67" s="768"/>
      <c r="T67" s="768"/>
      <c r="U67" s="12"/>
      <c r="V67" s="12"/>
      <c r="W67" s="12"/>
      <c r="X67" s="12"/>
      <c r="Y67" s="12"/>
      <c r="Z67" s="6"/>
      <c r="AA67" s="771"/>
      <c r="AB67" s="771"/>
      <c r="AC67" s="771"/>
      <c r="AD67" s="771"/>
      <c r="AE67" s="771"/>
      <c r="AF67" s="771"/>
      <c r="AG67" s="12"/>
      <c r="AH67" s="12"/>
      <c r="AI67" s="12"/>
      <c r="AJ67" s="12"/>
      <c r="AL67" s="771"/>
      <c r="AM67" s="771"/>
      <c r="AN67" s="771"/>
      <c r="AO67" s="771"/>
      <c r="AP67" s="771"/>
      <c r="AQ67" s="771"/>
      <c r="AR67" s="12"/>
      <c r="AS67" s="12"/>
      <c r="AT67" s="12"/>
      <c r="AU67" s="12"/>
      <c r="AV67" s="12"/>
      <c r="AW67" s="12"/>
      <c r="AX67" s="12"/>
      <c r="AY67" s="12"/>
      <c r="AZ67" s="771"/>
      <c r="BA67" s="771"/>
      <c r="BB67" s="771"/>
      <c r="BC67" s="771"/>
      <c r="BD67" s="771"/>
      <c r="BE67" s="771"/>
      <c r="BF67" s="12"/>
      <c r="BG67" s="12"/>
      <c r="BH67" s="12"/>
      <c r="BI67" s="12"/>
      <c r="BJ67" s="12"/>
      <c r="BK67" s="12"/>
      <c r="BL67" s="771"/>
      <c r="BM67" s="771"/>
      <c r="BN67" s="771"/>
      <c r="BO67" s="771"/>
      <c r="BP67" s="771"/>
      <c r="BQ67" s="771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771"/>
      <c r="CF67" s="771"/>
      <c r="CG67" s="771"/>
      <c r="CH67" s="771"/>
      <c r="CI67" s="771"/>
      <c r="CJ67" s="771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771"/>
      <c r="CX67" s="771"/>
      <c r="CY67" s="771"/>
      <c r="CZ67" s="771"/>
      <c r="DA67" s="771"/>
      <c r="DB67" s="771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771"/>
      <c r="DR67" s="771"/>
      <c r="DS67" s="771"/>
      <c r="DT67" s="771"/>
      <c r="DU67" s="771"/>
      <c r="DV67" s="771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771"/>
      <c r="EL67" s="771"/>
      <c r="EM67" s="771"/>
      <c r="EN67" s="771"/>
      <c r="EO67" s="771"/>
      <c r="EP67" s="771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771"/>
      <c r="FQ67" s="771"/>
      <c r="FR67" s="771"/>
      <c r="FS67" s="771"/>
      <c r="FT67" s="771"/>
      <c r="FU67" s="771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771"/>
      <c r="GN67" s="771"/>
      <c r="GO67" s="771"/>
      <c r="GP67" s="771"/>
      <c r="GQ67" s="771"/>
      <c r="GR67" s="771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771"/>
      <c r="HI67" s="771"/>
      <c r="HJ67" s="771"/>
      <c r="HK67" s="771"/>
      <c r="HL67" s="771"/>
      <c r="HM67" s="771"/>
      <c r="HN67" s="12"/>
      <c r="HO67" s="12"/>
      <c r="HP67" s="12"/>
      <c r="HQ67" s="12"/>
      <c r="HS67" s="771"/>
      <c r="HT67" s="771"/>
      <c r="HU67" s="771"/>
      <c r="HV67" s="771"/>
      <c r="HW67" s="771"/>
      <c r="HX67" s="771"/>
      <c r="HY67" s="12"/>
      <c r="HZ67" s="12"/>
      <c r="IA67" s="12"/>
      <c r="IB67" s="12"/>
    </row>
    <row r="68" spans="1:236" ht="14.45" customHeight="1" x14ac:dyDescent="0.25">
      <c r="A68" s="47"/>
      <c r="B68" s="12"/>
      <c r="C68" s="772" t="s">
        <v>164</v>
      </c>
      <c r="D68" s="772"/>
      <c r="E68" s="772"/>
      <c r="F68" s="772"/>
      <c r="G68" s="772"/>
      <c r="H68" s="102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768"/>
      <c r="S68" s="768"/>
      <c r="T68" s="768"/>
      <c r="U68" s="12"/>
      <c r="V68" s="12"/>
      <c r="W68" s="12"/>
      <c r="X68" s="12"/>
      <c r="Y68" s="12"/>
      <c r="Z68" s="6"/>
      <c r="AA68" s="771"/>
      <c r="AB68" s="771"/>
      <c r="AC68" s="771"/>
      <c r="AD68" s="771"/>
      <c r="AE68" s="771"/>
      <c r="AF68" s="771"/>
      <c r="AG68" s="12"/>
      <c r="AH68" s="12"/>
      <c r="AI68" s="12"/>
      <c r="AJ68" s="12"/>
      <c r="AL68" s="771"/>
      <c r="AM68" s="771"/>
      <c r="AN68" s="771"/>
      <c r="AO68" s="771"/>
      <c r="AP68" s="771"/>
      <c r="AQ68" s="771"/>
      <c r="AR68" s="12"/>
      <c r="AS68" s="12"/>
      <c r="AT68" s="12"/>
      <c r="AU68" s="12"/>
      <c r="AV68" s="12"/>
      <c r="AW68" s="12"/>
      <c r="AX68" s="12"/>
      <c r="AY68" s="12"/>
      <c r="AZ68" s="771"/>
      <c r="BA68" s="771"/>
      <c r="BB68" s="771"/>
      <c r="BC68" s="771"/>
      <c r="BD68" s="771"/>
      <c r="BE68" s="771"/>
      <c r="BF68" s="12"/>
      <c r="BG68" s="12"/>
      <c r="BH68" s="12"/>
      <c r="BI68" s="12"/>
      <c r="BJ68" s="12"/>
      <c r="BK68" s="12"/>
      <c r="BL68" s="771"/>
      <c r="BM68" s="771"/>
      <c r="BN68" s="771"/>
      <c r="BO68" s="771"/>
      <c r="BP68" s="771"/>
      <c r="BQ68" s="771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771"/>
      <c r="CF68" s="771"/>
      <c r="CG68" s="771"/>
      <c r="CH68" s="771"/>
      <c r="CI68" s="771"/>
      <c r="CJ68" s="771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771"/>
      <c r="CX68" s="771"/>
      <c r="CY68" s="771"/>
      <c r="CZ68" s="771"/>
      <c r="DA68" s="771"/>
      <c r="DB68" s="771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771"/>
      <c r="DR68" s="771"/>
      <c r="DS68" s="771"/>
      <c r="DT68" s="771"/>
      <c r="DU68" s="771"/>
      <c r="DV68" s="771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771"/>
      <c r="EL68" s="771"/>
      <c r="EM68" s="771"/>
      <c r="EN68" s="771"/>
      <c r="EO68" s="771"/>
      <c r="EP68" s="771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771"/>
      <c r="FQ68" s="771"/>
      <c r="FR68" s="771"/>
      <c r="FS68" s="771"/>
      <c r="FT68" s="771"/>
      <c r="FU68" s="771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771"/>
      <c r="GN68" s="771"/>
      <c r="GO68" s="771"/>
      <c r="GP68" s="771"/>
      <c r="GQ68" s="771"/>
      <c r="GR68" s="771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771"/>
      <c r="HI68" s="771"/>
      <c r="HJ68" s="771"/>
      <c r="HK68" s="771"/>
      <c r="HL68" s="771"/>
      <c r="HM68" s="771"/>
      <c r="HN68" s="12"/>
      <c r="HO68" s="12"/>
      <c r="HP68" s="12"/>
      <c r="HQ68" s="12"/>
      <c r="HS68" s="771"/>
      <c r="HT68" s="771"/>
      <c r="HU68" s="771"/>
      <c r="HV68" s="771"/>
      <c r="HW68" s="771"/>
      <c r="HX68" s="771"/>
      <c r="HY68" s="12"/>
      <c r="HZ68" s="12"/>
      <c r="IA68" s="12"/>
      <c r="IB68" s="12"/>
    </row>
    <row r="69" spans="1:236" ht="14.45" customHeight="1" x14ac:dyDescent="0.25">
      <c r="A69" s="47"/>
      <c r="B69" s="12"/>
      <c r="C69" s="772" t="s">
        <v>118</v>
      </c>
      <c r="D69" s="772"/>
      <c r="E69" s="772"/>
      <c r="F69" s="772"/>
      <c r="G69" s="772"/>
      <c r="H69" s="102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768"/>
      <c r="S69" s="768"/>
      <c r="T69" s="768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771"/>
      <c r="EL69" s="771"/>
      <c r="EM69" s="771"/>
      <c r="EN69" s="771"/>
      <c r="EO69" s="771"/>
      <c r="EP69" s="771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771"/>
      <c r="FQ69" s="771"/>
      <c r="FR69" s="771"/>
      <c r="FS69" s="771"/>
      <c r="FT69" s="771"/>
      <c r="FU69" s="771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771"/>
      <c r="GN69" s="771"/>
      <c r="GO69" s="771"/>
      <c r="GP69" s="771"/>
      <c r="GQ69" s="771"/>
      <c r="GR69" s="771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771"/>
      <c r="HI69" s="771"/>
      <c r="HJ69" s="771"/>
      <c r="HK69" s="771"/>
      <c r="HL69" s="771"/>
      <c r="HM69" s="771"/>
      <c r="HN69" s="12"/>
      <c r="HO69" s="12"/>
      <c r="HP69" s="12"/>
      <c r="HQ69" s="12"/>
      <c r="HS69" s="771"/>
      <c r="HT69" s="771"/>
      <c r="HU69" s="771"/>
      <c r="HV69" s="771"/>
      <c r="HW69" s="771"/>
      <c r="HX69" s="771"/>
      <c r="HY69" s="12"/>
      <c r="HZ69" s="12"/>
      <c r="IA69" s="12"/>
      <c r="IB69" s="12"/>
    </row>
    <row r="70" spans="1:236" ht="14.45" customHeight="1" x14ac:dyDescent="0.25">
      <c r="A70" s="47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768"/>
      <c r="S70" s="768"/>
      <c r="T70" s="768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776"/>
      <c r="BM70" s="776"/>
      <c r="BN70" s="776"/>
      <c r="BO70" s="776"/>
      <c r="BP70" s="776"/>
      <c r="BQ70" s="776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776"/>
      <c r="CF70" s="776"/>
      <c r="CG70" s="776"/>
      <c r="CH70" s="776"/>
      <c r="CI70" s="776"/>
      <c r="CJ70" s="776"/>
      <c r="CK70" s="12"/>
      <c r="CL70" s="5"/>
      <c r="CM70" s="5"/>
      <c r="CN70" s="5"/>
      <c r="CO70" s="5"/>
      <c r="CP70" s="5"/>
      <c r="CQ70" s="5"/>
      <c r="CR70" s="5"/>
      <c r="CS70" s="130"/>
      <c r="CT70" s="12"/>
      <c r="CU70" s="17"/>
      <c r="CV70" s="130"/>
      <c r="CW70" s="12"/>
      <c r="CX70" s="12"/>
      <c r="CY70" s="12"/>
      <c r="CZ70" s="12"/>
      <c r="DA70" s="12"/>
      <c r="DB70" s="12"/>
      <c r="DC70" s="12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2"/>
      <c r="DO70" s="17"/>
      <c r="EH70" s="12"/>
      <c r="EI70" s="17"/>
      <c r="FM70" s="12"/>
      <c r="FN70" s="17"/>
      <c r="GJ70" s="12"/>
      <c r="GK70" s="17"/>
      <c r="GT70" s="103"/>
      <c r="GU70" s="103"/>
      <c r="GV70" s="103"/>
      <c r="GW70" s="103"/>
      <c r="GX70" s="103"/>
      <c r="GY70" s="103"/>
      <c r="GZ70" s="103"/>
      <c r="HA70" s="103"/>
      <c r="HB70" s="103"/>
      <c r="HC70" s="103"/>
      <c r="HD70" s="103"/>
      <c r="HE70" s="12"/>
      <c r="HF70" s="17"/>
      <c r="HO70" s="103"/>
      <c r="HP70" s="12"/>
      <c r="HQ70" s="17"/>
      <c r="HZ70" s="103"/>
      <c r="IA70" s="12"/>
      <c r="IB70" s="17"/>
    </row>
    <row r="71" spans="1:236" ht="14.45" hidden="1" customHeight="1" x14ac:dyDescent="0.25">
      <c r="A71" s="47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150"/>
      <c r="N71" s="12"/>
      <c r="R71" s="108"/>
      <c r="S71" s="108"/>
      <c r="T71" s="108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143"/>
      <c r="BM71" s="143"/>
      <c r="BN71" s="143"/>
      <c r="BO71" s="143"/>
      <c r="BP71" s="143"/>
      <c r="BQ71" s="143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143"/>
      <c r="CF71" s="143"/>
      <c r="CG71" s="143"/>
      <c r="CH71" s="143"/>
      <c r="CI71" s="143"/>
      <c r="CJ71" s="143"/>
      <c r="CK71" s="12"/>
      <c r="CL71" s="5"/>
      <c r="CM71" s="5"/>
      <c r="CN71" s="5"/>
      <c r="CO71" s="5"/>
      <c r="CP71" s="5"/>
      <c r="CQ71" s="5"/>
      <c r="CR71" s="5"/>
      <c r="CS71" s="130"/>
      <c r="CT71" s="12"/>
      <c r="CU71" s="17"/>
      <c r="CV71" s="130"/>
      <c r="CW71" s="12"/>
      <c r="CX71" s="12"/>
      <c r="CY71" s="12"/>
      <c r="CZ71" s="12"/>
      <c r="DA71" s="12"/>
      <c r="DB71" s="12"/>
      <c r="DC71" s="12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2"/>
      <c r="DO71" s="17"/>
      <c r="EH71" s="12"/>
      <c r="EI71" s="17"/>
      <c r="FM71" s="12"/>
      <c r="FN71" s="17"/>
      <c r="GJ71" s="12"/>
      <c r="GK71" s="17"/>
      <c r="GT71" s="103"/>
      <c r="GU71" s="103"/>
      <c r="GV71" s="103"/>
      <c r="GW71" s="103"/>
      <c r="GX71" s="103"/>
      <c r="GY71" s="103"/>
      <c r="GZ71" s="103"/>
      <c r="HA71" s="103"/>
      <c r="HB71" s="103"/>
      <c r="HC71" s="103"/>
      <c r="HD71" s="103"/>
      <c r="HE71" s="12"/>
      <c r="HF71" s="17"/>
      <c r="HO71" s="103"/>
      <c r="HP71" s="12"/>
      <c r="HQ71" s="17"/>
      <c r="HZ71" s="103"/>
      <c r="IA71" s="12"/>
      <c r="IB71" s="17"/>
    </row>
    <row r="72" spans="1:236" ht="14.45" hidden="1" customHeight="1" x14ac:dyDescent="0.25">
      <c r="A72" s="47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150"/>
      <c r="N72" s="12"/>
      <c r="R72" s="108"/>
      <c r="S72" s="108"/>
      <c r="T72" s="108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143"/>
      <c r="BM72" s="143"/>
      <c r="BN72" s="143"/>
      <c r="BO72" s="143"/>
      <c r="BP72" s="143"/>
      <c r="BQ72" s="143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143"/>
      <c r="CF72" s="143"/>
      <c r="CG72" s="143"/>
      <c r="CH72" s="143"/>
      <c r="CI72" s="143"/>
      <c r="CJ72" s="143"/>
      <c r="CK72" s="12"/>
      <c r="CL72" s="5"/>
      <c r="CM72" s="5"/>
      <c r="CN72" s="5"/>
      <c r="CO72" s="5"/>
      <c r="CP72" s="5"/>
      <c r="CQ72" s="5"/>
      <c r="CR72" s="5"/>
      <c r="CS72" s="130"/>
      <c r="CT72" s="12"/>
      <c r="CU72" s="17"/>
      <c r="CV72" s="130"/>
      <c r="CW72" s="12"/>
      <c r="CX72" s="12"/>
      <c r="CY72" s="12"/>
      <c r="CZ72" s="12"/>
      <c r="DA72" s="12"/>
      <c r="DB72" s="12"/>
      <c r="DC72" s="12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2"/>
      <c r="DO72" s="17"/>
      <c r="EH72" s="12"/>
      <c r="EI72" s="17"/>
      <c r="FM72" s="12"/>
      <c r="FN72" s="17"/>
      <c r="GJ72" s="12"/>
      <c r="GK72" s="17"/>
      <c r="GT72" s="103"/>
      <c r="GU72" s="103"/>
      <c r="GV72" s="103"/>
      <c r="GW72" s="103"/>
      <c r="GX72" s="103"/>
      <c r="GY72" s="103"/>
      <c r="GZ72" s="103"/>
      <c r="HA72" s="103"/>
      <c r="HB72" s="103"/>
      <c r="HC72" s="103"/>
      <c r="HD72" s="103"/>
      <c r="HE72" s="12"/>
      <c r="HF72" s="17"/>
      <c r="HO72" s="103"/>
      <c r="HP72" s="12"/>
      <c r="HQ72" s="17"/>
      <c r="HZ72" s="103"/>
      <c r="IA72" s="12"/>
      <c r="IB72" s="17"/>
    </row>
    <row r="73" spans="1:236" ht="14.45" hidden="1" customHeight="1" x14ac:dyDescent="0.25">
      <c r="A73" s="47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150"/>
      <c r="N73" s="12"/>
      <c r="R73" s="108"/>
      <c r="S73" s="108"/>
      <c r="T73" s="108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143"/>
      <c r="BM73" s="143"/>
      <c r="BN73" s="143"/>
      <c r="BO73" s="143"/>
      <c r="BP73" s="143"/>
      <c r="BQ73" s="143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143"/>
      <c r="CF73" s="143"/>
      <c r="CG73" s="143"/>
      <c r="CH73" s="143"/>
      <c r="CI73" s="143"/>
      <c r="CJ73" s="143"/>
      <c r="CK73" s="12"/>
      <c r="CL73" s="5"/>
      <c r="CM73" s="5"/>
      <c r="CN73" s="5"/>
      <c r="CO73" s="5"/>
      <c r="CP73" s="5"/>
      <c r="CQ73" s="5"/>
      <c r="CR73" s="5"/>
      <c r="CS73" s="130"/>
      <c r="CT73" s="12"/>
      <c r="CU73" s="17"/>
      <c r="CV73" s="130"/>
      <c r="CW73" s="12"/>
      <c r="CX73" s="12"/>
      <c r="CY73" s="12"/>
      <c r="CZ73" s="12"/>
      <c r="DA73" s="12"/>
      <c r="DB73" s="12"/>
      <c r="DC73" s="12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2"/>
      <c r="DO73" s="17"/>
      <c r="EH73" s="12"/>
      <c r="EI73" s="17"/>
      <c r="FM73" s="12"/>
      <c r="FN73" s="17"/>
      <c r="GJ73" s="12"/>
      <c r="GK73" s="17"/>
      <c r="GT73" s="103"/>
      <c r="GU73" s="103"/>
      <c r="GV73" s="103"/>
      <c r="GW73" s="103"/>
      <c r="GX73" s="103"/>
      <c r="GY73" s="103"/>
      <c r="GZ73" s="103"/>
      <c r="HA73" s="103"/>
      <c r="HB73" s="103"/>
      <c r="HC73" s="103"/>
      <c r="HD73" s="103"/>
      <c r="HE73" s="12"/>
      <c r="HF73" s="17"/>
      <c r="HO73" s="103"/>
      <c r="HP73" s="12"/>
      <c r="HQ73" s="17"/>
      <c r="HZ73" s="103"/>
      <c r="IA73" s="12"/>
      <c r="IB73" s="17"/>
    </row>
    <row r="74" spans="1:236" ht="14.45" hidden="1" customHeight="1" x14ac:dyDescent="0.25">
      <c r="A74" s="47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150"/>
      <c r="N74" s="12"/>
      <c r="R74" s="108"/>
      <c r="S74" s="108"/>
      <c r="T74" s="108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143"/>
      <c r="BM74" s="143"/>
      <c r="BN74" s="143"/>
      <c r="BO74" s="143"/>
      <c r="BP74" s="143"/>
      <c r="BQ74" s="143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143"/>
      <c r="CF74" s="143"/>
      <c r="CG74" s="143"/>
      <c r="CH74" s="143"/>
      <c r="CI74" s="143"/>
      <c r="CJ74" s="143"/>
      <c r="CK74" s="12"/>
      <c r="CL74" s="5"/>
      <c r="CM74" s="5"/>
      <c r="CN74" s="5"/>
      <c r="CO74" s="5"/>
      <c r="CP74" s="5"/>
      <c r="CQ74" s="5"/>
      <c r="CR74" s="5"/>
      <c r="CS74" s="130"/>
      <c r="CT74" s="12"/>
      <c r="CU74" s="17"/>
      <c r="CV74" s="130"/>
      <c r="CW74" s="12"/>
      <c r="CX74" s="12"/>
      <c r="CY74" s="12"/>
      <c r="CZ74" s="12"/>
      <c r="DA74" s="12"/>
      <c r="DB74" s="12"/>
      <c r="DC74" s="12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2"/>
      <c r="DO74" s="17"/>
      <c r="EH74" s="12"/>
      <c r="EI74" s="17"/>
      <c r="FM74" s="12"/>
      <c r="FN74" s="17"/>
      <c r="GJ74" s="12"/>
      <c r="GK74" s="17"/>
      <c r="GT74" s="103"/>
      <c r="GU74" s="103"/>
      <c r="GV74" s="103"/>
      <c r="GW74" s="103"/>
      <c r="GX74" s="103"/>
      <c r="GY74" s="103"/>
      <c r="GZ74" s="103"/>
      <c r="HA74" s="103"/>
      <c r="HB74" s="103"/>
      <c r="HC74" s="103"/>
      <c r="HD74" s="103"/>
      <c r="HE74" s="12"/>
      <c r="HF74" s="17"/>
      <c r="HO74" s="103"/>
      <c r="HP74" s="12"/>
      <c r="HQ74" s="17"/>
      <c r="HZ74" s="103"/>
      <c r="IA74" s="12"/>
      <c r="IB74" s="17"/>
    </row>
    <row r="75" spans="1:236" ht="14.45" hidden="1" customHeight="1" x14ac:dyDescent="0.25">
      <c r="A75" s="47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150"/>
      <c r="N75" s="12"/>
      <c r="R75" s="108"/>
      <c r="S75" s="108"/>
      <c r="T75" s="108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143"/>
      <c r="BM75" s="143"/>
      <c r="BN75" s="143"/>
      <c r="BO75" s="143"/>
      <c r="BP75" s="143"/>
      <c r="BQ75" s="143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143"/>
      <c r="CF75" s="143"/>
      <c r="CG75" s="143"/>
      <c r="CH75" s="143"/>
      <c r="CI75" s="143"/>
      <c r="CJ75" s="143"/>
      <c r="CK75" s="12"/>
      <c r="CL75" s="5"/>
      <c r="CM75" s="5"/>
      <c r="CN75" s="5"/>
      <c r="CO75" s="5"/>
      <c r="CP75" s="5"/>
      <c r="CQ75" s="5"/>
      <c r="CR75" s="5"/>
      <c r="CS75" s="130"/>
      <c r="CT75" s="12"/>
      <c r="CU75" s="17"/>
      <c r="CV75" s="130"/>
      <c r="CW75" s="12"/>
      <c r="CX75" s="12"/>
      <c r="CY75" s="12"/>
      <c r="CZ75" s="12"/>
      <c r="DA75" s="12"/>
      <c r="DB75" s="12"/>
      <c r="DC75" s="12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2"/>
      <c r="DO75" s="17"/>
      <c r="EH75" s="12"/>
      <c r="EI75" s="17"/>
      <c r="FM75" s="12"/>
      <c r="FN75" s="17"/>
      <c r="GJ75" s="12"/>
      <c r="GK75" s="17"/>
      <c r="GT75" s="103"/>
      <c r="GU75" s="103"/>
      <c r="GV75" s="103"/>
      <c r="GW75" s="103"/>
      <c r="GX75" s="103"/>
      <c r="GY75" s="103"/>
      <c r="GZ75" s="103"/>
      <c r="HA75" s="103"/>
      <c r="HB75" s="103"/>
      <c r="HC75" s="103"/>
      <c r="HD75" s="103"/>
      <c r="HE75" s="12"/>
      <c r="HF75" s="17"/>
      <c r="HO75" s="103"/>
      <c r="HP75" s="12"/>
      <c r="HQ75" s="17"/>
      <c r="HZ75" s="103"/>
      <c r="IA75" s="12"/>
      <c r="IB75" s="17"/>
    </row>
    <row r="76" spans="1:236" ht="14.45" hidden="1" customHeight="1" x14ac:dyDescent="0.25">
      <c r="A76" s="47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150"/>
      <c r="N76" s="12"/>
      <c r="R76" s="108"/>
      <c r="S76" s="108"/>
      <c r="T76" s="108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143"/>
      <c r="BM76" s="143"/>
      <c r="BN76" s="143"/>
      <c r="BO76" s="143"/>
      <c r="BP76" s="143"/>
      <c r="BQ76" s="143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143"/>
      <c r="CF76" s="143"/>
      <c r="CG76" s="143"/>
      <c r="CH76" s="143"/>
      <c r="CI76" s="143"/>
      <c r="CJ76" s="143"/>
      <c r="CK76" s="12"/>
      <c r="CL76" s="5"/>
      <c r="CM76" s="5"/>
      <c r="CN76" s="5"/>
      <c r="CO76" s="5"/>
      <c r="CP76" s="5"/>
      <c r="CQ76" s="5"/>
      <c r="CR76" s="5"/>
      <c r="CS76" s="130"/>
      <c r="CT76" s="12"/>
      <c r="CU76" s="17"/>
      <c r="CV76" s="130"/>
      <c r="CW76" s="12"/>
      <c r="CX76" s="12"/>
      <c r="CY76" s="12"/>
      <c r="CZ76" s="12"/>
      <c r="DA76" s="12"/>
      <c r="DB76" s="12"/>
      <c r="DC76" s="12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2"/>
      <c r="DO76" s="17"/>
      <c r="EH76" s="12"/>
      <c r="EI76" s="17"/>
      <c r="FM76" s="12"/>
      <c r="FN76" s="17"/>
      <c r="GJ76" s="12"/>
      <c r="GK76" s="17"/>
      <c r="GT76" s="103"/>
      <c r="GU76" s="103"/>
      <c r="GV76" s="103"/>
      <c r="GW76" s="103"/>
      <c r="GX76" s="103"/>
      <c r="GY76" s="103"/>
      <c r="GZ76" s="103"/>
      <c r="HA76" s="103"/>
      <c r="HB76" s="103"/>
      <c r="HC76" s="103"/>
      <c r="HD76" s="103"/>
      <c r="HE76" s="12"/>
      <c r="HF76" s="17"/>
      <c r="HO76" s="103"/>
      <c r="HP76" s="12"/>
      <c r="HQ76" s="17"/>
      <c r="HZ76" s="103"/>
      <c r="IA76" s="12"/>
      <c r="IB76" s="17"/>
    </row>
    <row r="77" spans="1:236" ht="14.45" hidden="1" customHeight="1" x14ac:dyDescent="0.25">
      <c r="A77" s="47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150"/>
      <c r="N77" s="12"/>
      <c r="R77" s="108"/>
      <c r="S77" s="108"/>
      <c r="T77" s="108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143"/>
      <c r="BM77" s="143"/>
      <c r="BN77" s="143"/>
      <c r="BO77" s="143"/>
      <c r="BP77" s="143"/>
      <c r="BQ77" s="143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143"/>
      <c r="CF77" s="143"/>
      <c r="CG77" s="143"/>
      <c r="CH77" s="143"/>
      <c r="CI77" s="143"/>
      <c r="CJ77" s="143"/>
      <c r="CK77" s="12"/>
      <c r="CL77" s="5"/>
      <c r="CM77" s="5"/>
      <c r="CN77" s="5"/>
      <c r="CO77" s="5"/>
      <c r="CP77" s="5"/>
      <c r="CQ77" s="5"/>
      <c r="CR77" s="5"/>
      <c r="CS77" s="130"/>
      <c r="CT77" s="12"/>
      <c r="CU77" s="17"/>
      <c r="CV77" s="130"/>
      <c r="CW77" s="12"/>
      <c r="CX77" s="12"/>
      <c r="CY77" s="12"/>
      <c r="CZ77" s="12"/>
      <c r="DA77" s="12"/>
      <c r="DB77" s="12"/>
      <c r="DC77" s="12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2"/>
      <c r="DO77" s="17"/>
      <c r="EH77" s="12"/>
      <c r="EI77" s="17"/>
      <c r="FM77" s="12"/>
      <c r="FN77" s="17"/>
      <c r="GJ77" s="12"/>
      <c r="GK77" s="17"/>
      <c r="GT77" s="103"/>
      <c r="GU77" s="103"/>
      <c r="GV77" s="103"/>
      <c r="GW77" s="103"/>
      <c r="GX77" s="103"/>
      <c r="GY77" s="103"/>
      <c r="GZ77" s="103"/>
      <c r="HA77" s="103"/>
      <c r="HB77" s="103"/>
      <c r="HC77" s="103"/>
      <c r="HD77" s="103"/>
      <c r="HE77" s="12"/>
      <c r="HF77" s="17"/>
      <c r="HO77" s="103"/>
      <c r="HP77" s="12"/>
      <c r="HQ77" s="17"/>
      <c r="HZ77" s="103"/>
      <c r="IA77" s="12"/>
      <c r="IB77" s="17"/>
    </row>
    <row r="78" spans="1:236" ht="14.45" hidden="1" customHeight="1" x14ac:dyDescent="0.25">
      <c r="A78" s="47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150"/>
      <c r="N78" s="12"/>
      <c r="R78" s="108"/>
      <c r="S78" s="108"/>
      <c r="T78" s="108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143"/>
      <c r="BM78" s="143"/>
      <c r="BN78" s="143"/>
      <c r="BO78" s="143"/>
      <c r="BP78" s="143"/>
      <c r="BQ78" s="143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143"/>
      <c r="CF78" s="143"/>
      <c r="CG78" s="143"/>
      <c r="CH78" s="143"/>
      <c r="CI78" s="143"/>
      <c r="CJ78" s="143"/>
      <c r="CK78" s="12"/>
      <c r="CL78" s="5"/>
      <c r="CM78" s="5"/>
      <c r="CN78" s="5"/>
      <c r="CO78" s="5"/>
      <c r="CP78" s="5"/>
      <c r="CQ78" s="5"/>
      <c r="CR78" s="5"/>
      <c r="CS78" s="130"/>
      <c r="CT78" s="12"/>
      <c r="CU78" s="17"/>
      <c r="CV78" s="130"/>
      <c r="CW78" s="12"/>
      <c r="CX78" s="12"/>
      <c r="CY78" s="12"/>
      <c r="CZ78" s="12"/>
      <c r="DA78" s="12"/>
      <c r="DB78" s="12"/>
      <c r="DC78" s="12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2"/>
      <c r="DO78" s="17"/>
      <c r="EH78" s="12"/>
      <c r="EI78" s="17"/>
      <c r="FM78" s="12"/>
      <c r="FN78" s="17"/>
      <c r="GJ78" s="12"/>
      <c r="GK78" s="17"/>
      <c r="GT78" s="103"/>
      <c r="GU78" s="103"/>
      <c r="GV78" s="103"/>
      <c r="GW78" s="103"/>
      <c r="GX78" s="103"/>
      <c r="GY78" s="103"/>
      <c r="GZ78" s="103"/>
      <c r="HA78" s="103"/>
      <c r="HB78" s="103"/>
      <c r="HC78" s="103"/>
      <c r="HD78" s="103"/>
      <c r="HE78" s="12"/>
      <c r="HF78" s="17"/>
      <c r="HO78" s="103"/>
      <c r="HP78" s="12"/>
      <c r="HQ78" s="17"/>
      <c r="HZ78" s="103"/>
      <c r="IA78" s="12"/>
      <c r="IB78" s="17"/>
    </row>
    <row r="79" spans="1:236" ht="14.45" hidden="1" customHeight="1" x14ac:dyDescent="0.25">
      <c r="A79" s="47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150"/>
      <c r="N79" s="12"/>
      <c r="R79" s="108"/>
      <c r="S79" s="108"/>
      <c r="T79" s="108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143"/>
      <c r="BM79" s="143"/>
      <c r="BN79" s="143"/>
      <c r="BO79" s="143"/>
      <c r="BP79" s="143"/>
      <c r="BQ79" s="143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143"/>
      <c r="CF79" s="143"/>
      <c r="CG79" s="143"/>
      <c r="CH79" s="143"/>
      <c r="CI79" s="143"/>
      <c r="CJ79" s="143"/>
      <c r="CK79" s="12"/>
      <c r="CL79" s="5"/>
      <c r="CM79" s="5"/>
      <c r="CN79" s="5"/>
      <c r="CO79" s="5"/>
      <c r="CP79" s="5"/>
      <c r="CQ79" s="5"/>
      <c r="CR79" s="5"/>
      <c r="CS79" s="130"/>
      <c r="CT79" s="12"/>
      <c r="CU79" s="17"/>
      <c r="CV79" s="130"/>
      <c r="CW79" s="12"/>
      <c r="CX79" s="12"/>
      <c r="CY79" s="12"/>
      <c r="CZ79" s="12"/>
      <c r="DA79" s="12"/>
      <c r="DB79" s="12"/>
      <c r="DC79" s="12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2"/>
      <c r="DO79" s="17"/>
      <c r="EH79" s="12"/>
      <c r="EI79" s="17"/>
      <c r="FM79" s="12"/>
      <c r="FN79" s="17"/>
      <c r="GJ79" s="12"/>
      <c r="GK79" s="17"/>
      <c r="GT79" s="103"/>
      <c r="GU79" s="103"/>
      <c r="GV79" s="103"/>
      <c r="GW79" s="103"/>
      <c r="GX79" s="103"/>
      <c r="GY79" s="103"/>
      <c r="GZ79" s="103"/>
      <c r="HA79" s="103"/>
      <c r="HB79" s="103"/>
      <c r="HC79" s="103"/>
      <c r="HD79" s="103"/>
      <c r="HE79" s="12"/>
      <c r="HF79" s="17"/>
      <c r="HO79" s="103"/>
      <c r="HP79" s="12"/>
      <c r="HQ79" s="17"/>
      <c r="HZ79" s="103"/>
      <c r="IA79" s="12"/>
      <c r="IB79" s="17"/>
    </row>
    <row r="80" spans="1:236" ht="14.45" hidden="1" customHeight="1" x14ac:dyDescent="0.25">
      <c r="A80" s="47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150"/>
      <c r="N80" s="12"/>
      <c r="R80" s="108"/>
      <c r="S80" s="108"/>
      <c r="T80" s="108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143"/>
      <c r="BM80" s="143"/>
      <c r="BN80" s="143"/>
      <c r="BO80" s="143"/>
      <c r="BP80" s="143"/>
      <c r="BQ80" s="143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143"/>
      <c r="CF80" s="143"/>
      <c r="CG80" s="143"/>
      <c r="CH80" s="143"/>
      <c r="CI80" s="143"/>
      <c r="CJ80" s="143"/>
      <c r="CK80" s="12"/>
      <c r="CL80" s="5"/>
      <c r="CM80" s="5"/>
      <c r="CN80" s="5"/>
      <c r="CO80" s="5"/>
      <c r="CP80" s="5"/>
      <c r="CQ80" s="5"/>
      <c r="CR80" s="5"/>
      <c r="CS80" s="130"/>
      <c r="CT80" s="12"/>
      <c r="CU80" s="17"/>
      <c r="CV80" s="130"/>
      <c r="CW80" s="12"/>
      <c r="CX80" s="12"/>
      <c r="CY80" s="12"/>
      <c r="CZ80" s="12"/>
      <c r="DA80" s="12"/>
      <c r="DB80" s="12"/>
      <c r="DC80" s="12"/>
      <c r="DD80" s="130"/>
      <c r="DE80" s="130"/>
      <c r="DF80" s="130"/>
      <c r="DG80" s="130"/>
      <c r="DH80" s="130"/>
      <c r="DI80" s="130"/>
      <c r="DJ80" s="130"/>
      <c r="DK80" s="130"/>
      <c r="DL80" s="130"/>
      <c r="DM80" s="130"/>
      <c r="DN80" s="12"/>
      <c r="DO80" s="17"/>
      <c r="EH80" s="12"/>
      <c r="EI80" s="17"/>
      <c r="FM80" s="12"/>
      <c r="FN80" s="17"/>
      <c r="GJ80" s="12"/>
      <c r="GK80" s="17"/>
      <c r="GT80" s="103"/>
      <c r="GU80" s="103"/>
      <c r="GV80" s="103"/>
      <c r="GW80" s="103"/>
      <c r="GX80" s="103"/>
      <c r="GY80" s="103"/>
      <c r="GZ80" s="103"/>
      <c r="HA80" s="103"/>
      <c r="HB80" s="103"/>
      <c r="HC80" s="103"/>
      <c r="HD80" s="103"/>
      <c r="HE80" s="12"/>
      <c r="HF80" s="17"/>
      <c r="HO80" s="103"/>
      <c r="HP80" s="12"/>
      <c r="HQ80" s="17"/>
      <c r="HZ80" s="103"/>
      <c r="IA80" s="12"/>
      <c r="IB80" s="17"/>
    </row>
    <row r="81" spans="1:236" ht="14.45" hidden="1" customHeight="1" x14ac:dyDescent="0.25">
      <c r="A81" s="47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150"/>
      <c r="N81" s="12"/>
      <c r="R81" s="108"/>
      <c r="S81" s="108"/>
      <c r="T81" s="108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143"/>
      <c r="BM81" s="143"/>
      <c r="BN81" s="143"/>
      <c r="BO81" s="143"/>
      <c r="BP81" s="143"/>
      <c r="BQ81" s="143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143"/>
      <c r="CF81" s="143"/>
      <c r="CG81" s="143"/>
      <c r="CH81" s="143"/>
      <c r="CI81" s="143"/>
      <c r="CJ81" s="143"/>
      <c r="CK81" s="12"/>
      <c r="CL81" s="5"/>
      <c r="CM81" s="5"/>
      <c r="CN81" s="5"/>
      <c r="CO81" s="5"/>
      <c r="CP81" s="5"/>
      <c r="CQ81" s="5"/>
      <c r="CR81" s="5"/>
      <c r="CS81" s="130"/>
      <c r="CT81" s="12"/>
      <c r="CU81" s="17"/>
      <c r="CV81" s="130"/>
      <c r="CW81" s="12"/>
      <c r="CX81" s="12"/>
      <c r="CY81" s="12"/>
      <c r="CZ81" s="12"/>
      <c r="DA81" s="12"/>
      <c r="DB81" s="12"/>
      <c r="DC81" s="12"/>
      <c r="DD81" s="130"/>
      <c r="DE81" s="130"/>
      <c r="DF81" s="130"/>
      <c r="DG81" s="130"/>
      <c r="DH81" s="130"/>
      <c r="DI81" s="130"/>
      <c r="DJ81" s="130"/>
      <c r="DK81" s="130"/>
      <c r="DL81" s="130"/>
      <c r="DM81" s="130"/>
      <c r="DN81" s="12"/>
      <c r="DO81" s="17"/>
      <c r="EH81" s="12"/>
      <c r="EI81" s="17"/>
      <c r="FM81" s="12"/>
      <c r="FN81" s="17"/>
      <c r="GJ81" s="12"/>
      <c r="GK81" s="17"/>
      <c r="GT81" s="103"/>
      <c r="GU81" s="103"/>
      <c r="GV81" s="103"/>
      <c r="GW81" s="103"/>
      <c r="GX81" s="103"/>
      <c r="GY81" s="103"/>
      <c r="GZ81" s="103"/>
      <c r="HA81" s="103"/>
      <c r="HB81" s="103"/>
      <c r="HC81" s="103"/>
      <c r="HD81" s="103"/>
      <c r="HE81" s="12"/>
      <c r="HF81" s="17"/>
      <c r="HO81" s="103"/>
      <c r="HP81" s="12"/>
      <c r="HQ81" s="17"/>
      <c r="HZ81" s="103"/>
      <c r="IA81" s="12"/>
      <c r="IB81" s="17"/>
    </row>
    <row r="82" spans="1:236" ht="14.45" hidden="1" customHeight="1" x14ac:dyDescent="0.25">
      <c r="A82" s="47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150"/>
      <c r="N82" s="12"/>
      <c r="R82" s="108"/>
      <c r="S82" s="108"/>
      <c r="T82" s="108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143"/>
      <c r="BM82" s="143"/>
      <c r="BN82" s="143"/>
      <c r="BO82" s="143"/>
      <c r="BP82" s="143"/>
      <c r="BQ82" s="143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143"/>
      <c r="CF82" s="143"/>
      <c r="CG82" s="143"/>
      <c r="CH82" s="143"/>
      <c r="CI82" s="143"/>
      <c r="CJ82" s="143"/>
      <c r="CK82" s="12"/>
      <c r="CL82" s="5"/>
      <c r="CM82" s="5"/>
      <c r="CN82" s="5"/>
      <c r="CO82" s="5"/>
      <c r="CP82" s="5"/>
      <c r="CQ82" s="5"/>
      <c r="CR82" s="5"/>
      <c r="CS82" s="130"/>
      <c r="CT82" s="12"/>
      <c r="CU82" s="17"/>
      <c r="CV82" s="130"/>
      <c r="CW82" s="12"/>
      <c r="CX82" s="12"/>
      <c r="CY82" s="12"/>
      <c r="CZ82" s="12"/>
      <c r="DA82" s="12"/>
      <c r="DB82" s="12"/>
      <c r="DC82" s="12"/>
      <c r="DD82" s="130"/>
      <c r="DE82" s="130"/>
      <c r="DF82" s="130"/>
      <c r="DG82" s="130"/>
      <c r="DH82" s="130"/>
      <c r="DI82" s="130"/>
      <c r="DJ82" s="130"/>
      <c r="DK82" s="130"/>
      <c r="DL82" s="130"/>
      <c r="DM82" s="130"/>
      <c r="DN82" s="12"/>
      <c r="DO82" s="17"/>
      <c r="EH82" s="12"/>
      <c r="EI82" s="17"/>
      <c r="FM82" s="12"/>
      <c r="FN82" s="17"/>
      <c r="GJ82" s="12"/>
      <c r="GK82" s="17"/>
      <c r="GT82" s="103"/>
      <c r="GU82" s="103"/>
      <c r="GV82" s="103"/>
      <c r="GW82" s="103"/>
      <c r="GX82" s="103"/>
      <c r="GY82" s="103"/>
      <c r="GZ82" s="103"/>
      <c r="HA82" s="103"/>
      <c r="HB82" s="103"/>
      <c r="HC82" s="103"/>
      <c r="HD82" s="103"/>
      <c r="HE82" s="12"/>
      <c r="HF82" s="17"/>
      <c r="HO82" s="103"/>
      <c r="HP82" s="12"/>
      <c r="HQ82" s="17"/>
      <c r="HZ82" s="103"/>
      <c r="IA82" s="12"/>
      <c r="IB82" s="17"/>
    </row>
    <row r="83" spans="1:236" ht="14.45" hidden="1" customHeight="1" x14ac:dyDescent="0.25">
      <c r="A83" s="47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150"/>
      <c r="N83" s="12"/>
      <c r="R83" s="108"/>
      <c r="S83" s="108"/>
      <c r="T83" s="108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143"/>
      <c r="BM83" s="143"/>
      <c r="BN83" s="143"/>
      <c r="BO83" s="143"/>
      <c r="BP83" s="143"/>
      <c r="BQ83" s="143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143"/>
      <c r="CF83" s="143"/>
      <c r="CG83" s="143"/>
      <c r="CH83" s="143"/>
      <c r="CI83" s="143"/>
      <c r="CJ83" s="143"/>
      <c r="CK83" s="12"/>
      <c r="CL83" s="5"/>
      <c r="CM83" s="5"/>
      <c r="CN83" s="5"/>
      <c r="CO83" s="5"/>
      <c r="CP83" s="5"/>
      <c r="CQ83" s="5"/>
      <c r="CR83" s="5"/>
      <c r="CS83" s="130"/>
      <c r="CT83" s="12"/>
      <c r="CU83" s="17"/>
      <c r="CV83" s="130"/>
      <c r="CW83" s="12"/>
      <c r="CX83" s="12"/>
      <c r="CY83" s="12"/>
      <c r="CZ83" s="12"/>
      <c r="DA83" s="12"/>
      <c r="DB83" s="12"/>
      <c r="DC83" s="12"/>
      <c r="DD83" s="130"/>
      <c r="DE83" s="130"/>
      <c r="DF83" s="130"/>
      <c r="DG83" s="130"/>
      <c r="DH83" s="130"/>
      <c r="DI83" s="130"/>
      <c r="DJ83" s="130"/>
      <c r="DK83" s="130"/>
      <c r="DL83" s="130"/>
      <c r="DM83" s="130"/>
      <c r="DN83" s="12"/>
      <c r="DO83" s="17"/>
      <c r="EH83" s="12"/>
      <c r="EI83" s="17"/>
      <c r="FM83" s="12"/>
      <c r="FN83" s="17"/>
      <c r="GJ83" s="12"/>
      <c r="GK83" s="17"/>
      <c r="GT83" s="103"/>
      <c r="GU83" s="103"/>
      <c r="GV83" s="103"/>
      <c r="GW83" s="103"/>
      <c r="GX83" s="103"/>
      <c r="GY83" s="103"/>
      <c r="GZ83" s="103"/>
      <c r="HA83" s="103"/>
      <c r="HB83" s="103"/>
      <c r="HC83" s="103"/>
      <c r="HD83" s="103"/>
      <c r="HE83" s="12"/>
      <c r="HF83" s="17"/>
      <c r="HO83" s="103"/>
      <c r="HP83" s="12"/>
      <c r="HQ83" s="17"/>
      <c r="HZ83" s="103"/>
      <c r="IA83" s="12"/>
      <c r="IB83" s="17"/>
    </row>
    <row r="84" spans="1:236" ht="14.45" hidden="1" customHeight="1" x14ac:dyDescent="0.25">
      <c r="A84" s="47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150"/>
      <c r="N84" s="12"/>
      <c r="R84" s="108"/>
      <c r="S84" s="108"/>
      <c r="T84" s="108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143"/>
      <c r="BM84" s="143"/>
      <c r="BN84" s="143"/>
      <c r="BO84" s="143"/>
      <c r="BP84" s="143"/>
      <c r="BQ84" s="143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143"/>
      <c r="CF84" s="143"/>
      <c r="CG84" s="143"/>
      <c r="CH84" s="143"/>
      <c r="CI84" s="143"/>
      <c r="CJ84" s="143"/>
      <c r="CK84" s="12"/>
      <c r="CL84" s="5"/>
      <c r="CM84" s="5"/>
      <c r="CN84" s="5"/>
      <c r="CO84" s="5"/>
      <c r="CP84" s="5"/>
      <c r="CQ84" s="5"/>
      <c r="CR84" s="5"/>
      <c r="CS84" s="130"/>
      <c r="CT84" s="12"/>
      <c r="CU84" s="17"/>
      <c r="CV84" s="130"/>
      <c r="CW84" s="12"/>
      <c r="CX84" s="12"/>
      <c r="CY84" s="12"/>
      <c r="CZ84" s="12"/>
      <c r="DA84" s="12"/>
      <c r="DB84" s="12"/>
      <c r="DC84" s="12"/>
      <c r="DD84" s="130"/>
      <c r="DE84" s="130"/>
      <c r="DF84" s="130"/>
      <c r="DG84" s="130"/>
      <c r="DH84" s="130"/>
      <c r="DI84" s="130"/>
      <c r="DJ84" s="130"/>
      <c r="DK84" s="130"/>
      <c r="DL84" s="130"/>
      <c r="DM84" s="130"/>
      <c r="DN84" s="12"/>
      <c r="DO84" s="17"/>
      <c r="EH84" s="12"/>
      <c r="EI84" s="17"/>
      <c r="FM84" s="12"/>
      <c r="FN84" s="17"/>
      <c r="GJ84" s="12"/>
      <c r="GK84" s="17"/>
      <c r="GT84" s="103"/>
      <c r="GU84" s="103"/>
      <c r="GV84" s="103"/>
      <c r="GW84" s="103"/>
      <c r="GX84" s="103"/>
      <c r="GY84" s="103"/>
      <c r="GZ84" s="103"/>
      <c r="HA84" s="103"/>
      <c r="HB84" s="103"/>
      <c r="HC84" s="103"/>
      <c r="HD84" s="103"/>
      <c r="HE84" s="12"/>
      <c r="HF84" s="17"/>
      <c r="HO84" s="103"/>
      <c r="HP84" s="12"/>
      <c r="HQ84" s="17"/>
      <c r="HZ84" s="103"/>
      <c r="IA84" s="12"/>
      <c r="IB84" s="17"/>
    </row>
    <row r="85" spans="1:236" ht="14.45" hidden="1" customHeight="1" x14ac:dyDescent="0.25">
      <c r="A85" s="47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150"/>
      <c r="N85" s="12"/>
      <c r="R85" s="108"/>
      <c r="S85" s="108"/>
      <c r="T85" s="108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143"/>
      <c r="BM85" s="143"/>
      <c r="BN85" s="143"/>
      <c r="BO85" s="143"/>
      <c r="BP85" s="143"/>
      <c r="BQ85" s="143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143"/>
      <c r="CF85" s="143"/>
      <c r="CG85" s="143"/>
      <c r="CH85" s="143"/>
      <c r="CI85" s="143"/>
      <c r="CJ85" s="143"/>
      <c r="CK85" s="12"/>
      <c r="CL85" s="5"/>
      <c r="CM85" s="5"/>
      <c r="CN85" s="5"/>
      <c r="CO85" s="5"/>
      <c r="CP85" s="5"/>
      <c r="CQ85" s="5"/>
      <c r="CR85" s="5"/>
      <c r="CS85" s="130"/>
      <c r="CT85" s="12"/>
      <c r="CU85" s="17"/>
      <c r="CV85" s="130"/>
      <c r="CW85" s="12"/>
      <c r="CX85" s="12"/>
      <c r="CY85" s="12"/>
      <c r="CZ85" s="12"/>
      <c r="DA85" s="12"/>
      <c r="DB85" s="12"/>
      <c r="DC85" s="12"/>
      <c r="DD85" s="130"/>
      <c r="DE85" s="130"/>
      <c r="DF85" s="130"/>
      <c r="DG85" s="130"/>
      <c r="DH85" s="130"/>
      <c r="DI85" s="130"/>
      <c r="DJ85" s="130"/>
      <c r="DK85" s="130"/>
      <c r="DL85" s="130"/>
      <c r="DM85" s="130"/>
      <c r="DN85" s="12"/>
      <c r="DO85" s="17"/>
      <c r="EH85" s="12"/>
      <c r="EI85" s="17"/>
      <c r="FM85" s="12"/>
      <c r="FN85" s="17"/>
      <c r="GJ85" s="12"/>
      <c r="GK85" s="17"/>
      <c r="GT85" s="103"/>
      <c r="GU85" s="103"/>
      <c r="GV85" s="103"/>
      <c r="GW85" s="103"/>
      <c r="GX85" s="103"/>
      <c r="GY85" s="103"/>
      <c r="GZ85" s="103"/>
      <c r="HA85" s="103"/>
      <c r="HB85" s="103"/>
      <c r="HC85" s="103"/>
      <c r="HD85" s="103"/>
      <c r="HE85" s="12"/>
      <c r="HF85" s="17"/>
      <c r="HO85" s="103"/>
      <c r="HP85" s="12"/>
      <c r="HQ85" s="17"/>
      <c r="HZ85" s="103"/>
      <c r="IA85" s="12"/>
      <c r="IB85" s="17"/>
    </row>
    <row r="86" spans="1:236" ht="14.45" hidden="1" customHeight="1" x14ac:dyDescent="0.25">
      <c r="A86" s="47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150"/>
      <c r="N86" s="12"/>
      <c r="R86" s="108"/>
      <c r="S86" s="108"/>
      <c r="T86" s="108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143"/>
      <c r="BM86" s="143"/>
      <c r="BN86" s="143"/>
      <c r="BO86" s="143"/>
      <c r="BP86" s="143"/>
      <c r="BQ86" s="143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143"/>
      <c r="CF86" s="143"/>
      <c r="CG86" s="143"/>
      <c r="CH86" s="143"/>
      <c r="CI86" s="143"/>
      <c r="CJ86" s="143"/>
      <c r="CK86" s="12"/>
      <c r="CL86" s="5"/>
      <c r="CM86" s="5"/>
      <c r="CN86" s="5"/>
      <c r="CO86" s="5"/>
      <c r="CP86" s="5"/>
      <c r="CQ86" s="5"/>
      <c r="CR86" s="5"/>
      <c r="CS86" s="130"/>
      <c r="CT86" s="12"/>
      <c r="CU86" s="17"/>
      <c r="CV86" s="130"/>
      <c r="CW86" s="12"/>
      <c r="CX86" s="12"/>
      <c r="CY86" s="12"/>
      <c r="CZ86" s="12"/>
      <c r="DA86" s="12"/>
      <c r="DB86" s="12"/>
      <c r="DC86" s="12"/>
      <c r="DD86" s="130"/>
      <c r="DE86" s="130"/>
      <c r="DF86" s="130"/>
      <c r="DG86" s="130"/>
      <c r="DH86" s="130"/>
      <c r="DI86" s="130"/>
      <c r="DJ86" s="130"/>
      <c r="DK86" s="130"/>
      <c r="DL86" s="130"/>
      <c r="DM86" s="130"/>
      <c r="DN86" s="12"/>
      <c r="DO86" s="17"/>
      <c r="EH86" s="12"/>
      <c r="EI86" s="17"/>
      <c r="FM86" s="12"/>
      <c r="FN86" s="17"/>
      <c r="GJ86" s="12"/>
      <c r="GK86" s="17"/>
      <c r="GT86" s="103"/>
      <c r="GU86" s="103"/>
      <c r="GV86" s="103"/>
      <c r="GW86" s="103"/>
      <c r="GX86" s="103"/>
      <c r="GY86" s="103"/>
      <c r="GZ86" s="103"/>
      <c r="HA86" s="103"/>
      <c r="HB86" s="103"/>
      <c r="HC86" s="103"/>
      <c r="HD86" s="103"/>
      <c r="HE86" s="12"/>
      <c r="HF86" s="17"/>
      <c r="HO86" s="103"/>
      <c r="HP86" s="12"/>
      <c r="HQ86" s="17"/>
      <c r="HZ86" s="103"/>
      <c r="IA86" s="12"/>
      <c r="IB86" s="17"/>
    </row>
    <row r="87" spans="1:236" ht="14.45" hidden="1" customHeight="1" x14ac:dyDescent="0.25">
      <c r="A87" s="47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150"/>
      <c r="N87" s="12"/>
      <c r="R87" s="108"/>
      <c r="S87" s="108"/>
      <c r="T87" s="108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143"/>
      <c r="BM87" s="143"/>
      <c r="BN87" s="143"/>
      <c r="BO87" s="143"/>
      <c r="BP87" s="143"/>
      <c r="BQ87" s="143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143"/>
      <c r="CF87" s="143"/>
      <c r="CG87" s="143"/>
      <c r="CH87" s="143"/>
      <c r="CI87" s="143"/>
      <c r="CJ87" s="143"/>
      <c r="CK87" s="12"/>
      <c r="CL87" s="5"/>
      <c r="CM87" s="5"/>
      <c r="CN87" s="5"/>
      <c r="CO87" s="5"/>
      <c r="CP87" s="5"/>
      <c r="CQ87" s="5"/>
      <c r="CR87" s="5"/>
      <c r="CS87" s="130"/>
      <c r="CT87" s="12"/>
      <c r="CU87" s="17"/>
      <c r="CV87" s="130"/>
      <c r="CW87" s="12"/>
      <c r="CX87" s="12"/>
      <c r="CY87" s="12"/>
      <c r="CZ87" s="12"/>
      <c r="DA87" s="12"/>
      <c r="DB87" s="12"/>
      <c r="DC87" s="12"/>
      <c r="DD87" s="130"/>
      <c r="DE87" s="130"/>
      <c r="DF87" s="130"/>
      <c r="DG87" s="130"/>
      <c r="DH87" s="130"/>
      <c r="DI87" s="130"/>
      <c r="DJ87" s="130"/>
      <c r="DK87" s="130"/>
      <c r="DL87" s="130"/>
      <c r="DM87" s="130"/>
      <c r="DN87" s="12"/>
      <c r="DO87" s="17"/>
      <c r="EH87" s="12"/>
      <c r="EI87" s="17"/>
      <c r="FM87" s="12"/>
      <c r="FN87" s="17"/>
      <c r="GJ87" s="12"/>
      <c r="GK87" s="17"/>
      <c r="GT87" s="103"/>
      <c r="GU87" s="103"/>
      <c r="GV87" s="103"/>
      <c r="GW87" s="103"/>
      <c r="GX87" s="103"/>
      <c r="GY87" s="103"/>
      <c r="GZ87" s="103"/>
      <c r="HA87" s="103"/>
      <c r="HB87" s="103"/>
      <c r="HC87" s="103"/>
      <c r="HD87" s="103"/>
      <c r="HE87" s="12"/>
      <c r="HF87" s="17"/>
      <c r="HO87" s="103"/>
      <c r="HP87" s="12"/>
      <c r="HQ87" s="17"/>
      <c r="HZ87" s="103"/>
      <c r="IA87" s="12"/>
      <c r="IB87" s="17"/>
    </row>
    <row r="88" spans="1:236" ht="14.45" hidden="1" customHeight="1" x14ac:dyDescent="0.25">
      <c r="A88" s="47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150"/>
      <c r="N88" s="12"/>
      <c r="R88" s="108"/>
      <c r="S88" s="108"/>
      <c r="T88" s="108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143"/>
      <c r="BM88" s="143"/>
      <c r="BN88" s="143"/>
      <c r="BO88" s="143"/>
      <c r="BP88" s="143"/>
      <c r="BQ88" s="143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143"/>
      <c r="CF88" s="143"/>
      <c r="CG88" s="143"/>
      <c r="CH88" s="143"/>
      <c r="CI88" s="143"/>
      <c r="CJ88" s="143"/>
      <c r="CK88" s="12"/>
      <c r="CL88" s="5"/>
      <c r="CM88" s="5"/>
      <c r="CN88" s="5"/>
      <c r="CO88" s="5"/>
      <c r="CP88" s="5"/>
      <c r="CQ88" s="5"/>
      <c r="CR88" s="5"/>
      <c r="CS88" s="130"/>
      <c r="CT88" s="12"/>
      <c r="CU88" s="17"/>
      <c r="CV88" s="130"/>
      <c r="CW88" s="12"/>
      <c r="CX88" s="12"/>
      <c r="CY88" s="12"/>
      <c r="CZ88" s="12"/>
      <c r="DA88" s="12"/>
      <c r="DB88" s="12"/>
      <c r="DC88" s="12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2"/>
      <c r="DO88" s="17"/>
      <c r="EH88" s="12"/>
      <c r="EI88" s="17"/>
      <c r="FM88" s="12"/>
      <c r="FN88" s="17"/>
      <c r="GJ88" s="12"/>
      <c r="GK88" s="17"/>
      <c r="GT88" s="103"/>
      <c r="GU88" s="103"/>
      <c r="GV88" s="103"/>
      <c r="GW88" s="103"/>
      <c r="GX88" s="103"/>
      <c r="GY88" s="103"/>
      <c r="GZ88" s="103"/>
      <c r="HA88" s="103"/>
      <c r="HB88" s="103"/>
      <c r="HC88" s="103"/>
      <c r="HD88" s="103"/>
      <c r="HE88" s="12"/>
      <c r="HF88" s="17"/>
      <c r="HO88" s="103"/>
      <c r="HP88" s="12"/>
      <c r="HQ88" s="17"/>
      <c r="HZ88" s="103"/>
      <c r="IA88" s="12"/>
      <c r="IB88" s="17"/>
    </row>
    <row r="89" spans="1:236" ht="14.45" hidden="1" customHeight="1" x14ac:dyDescent="0.25">
      <c r="A89" s="47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150"/>
      <c r="N89" s="12"/>
      <c r="R89" s="108"/>
      <c r="S89" s="108"/>
      <c r="T89" s="108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143"/>
      <c r="BM89" s="143"/>
      <c r="BN89" s="143"/>
      <c r="BO89" s="143"/>
      <c r="BP89" s="143"/>
      <c r="BQ89" s="143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143"/>
      <c r="CF89" s="143"/>
      <c r="CG89" s="143"/>
      <c r="CH89" s="143"/>
      <c r="CI89" s="143"/>
      <c r="CJ89" s="143"/>
      <c r="CK89" s="12"/>
      <c r="CL89" s="5"/>
      <c r="CM89" s="5"/>
      <c r="CN89" s="5"/>
      <c r="CO89" s="5"/>
      <c r="CP89" s="5"/>
      <c r="CQ89" s="5"/>
      <c r="CR89" s="5"/>
      <c r="CS89" s="130"/>
      <c r="CT89" s="12"/>
      <c r="CU89" s="17"/>
      <c r="CV89" s="130"/>
      <c r="CW89" s="12"/>
      <c r="CX89" s="12"/>
      <c r="CY89" s="12"/>
      <c r="CZ89" s="12"/>
      <c r="DA89" s="12"/>
      <c r="DB89" s="12"/>
      <c r="DC89" s="12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2"/>
      <c r="DO89" s="17"/>
      <c r="EH89" s="12"/>
      <c r="EI89" s="17"/>
      <c r="FM89" s="12"/>
      <c r="FN89" s="17"/>
      <c r="GJ89" s="12"/>
      <c r="GK89" s="17"/>
      <c r="GT89" s="103"/>
      <c r="GU89" s="103"/>
      <c r="GV89" s="103"/>
      <c r="GW89" s="103"/>
      <c r="GX89" s="103"/>
      <c r="GY89" s="103"/>
      <c r="GZ89" s="103"/>
      <c r="HA89" s="103"/>
      <c r="HB89" s="103"/>
      <c r="HC89" s="103"/>
      <c r="HD89" s="103"/>
      <c r="HE89" s="12"/>
      <c r="HF89" s="17"/>
      <c r="HO89" s="103"/>
      <c r="HP89" s="12"/>
      <c r="HQ89" s="17"/>
      <c r="HZ89" s="103"/>
      <c r="IA89" s="12"/>
      <c r="IB89" s="17"/>
    </row>
    <row r="90" spans="1:236" ht="14.45" hidden="1" customHeight="1" x14ac:dyDescent="0.25">
      <c r="A90" s="47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150"/>
      <c r="N90" s="12"/>
      <c r="R90" s="108"/>
      <c r="S90" s="108"/>
      <c r="T90" s="108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143"/>
      <c r="BM90" s="143"/>
      <c r="BN90" s="143"/>
      <c r="BO90" s="143"/>
      <c r="BP90" s="143"/>
      <c r="BQ90" s="143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143"/>
      <c r="CF90" s="143"/>
      <c r="CG90" s="143"/>
      <c r="CH90" s="143"/>
      <c r="CI90" s="143"/>
      <c r="CJ90" s="143"/>
      <c r="CK90" s="12"/>
      <c r="CL90" s="5"/>
      <c r="CM90" s="5"/>
      <c r="CN90" s="5"/>
      <c r="CO90" s="5"/>
      <c r="CP90" s="5"/>
      <c r="CQ90" s="5"/>
      <c r="CR90" s="5"/>
      <c r="CS90" s="130"/>
      <c r="CT90" s="12"/>
      <c r="CU90" s="17"/>
      <c r="CV90" s="130"/>
      <c r="CW90" s="12"/>
      <c r="CX90" s="12"/>
      <c r="CY90" s="12"/>
      <c r="CZ90" s="12"/>
      <c r="DA90" s="12"/>
      <c r="DB90" s="12"/>
      <c r="DC90" s="12"/>
      <c r="DD90" s="130"/>
      <c r="DE90" s="130"/>
      <c r="DF90" s="130"/>
      <c r="DG90" s="130"/>
      <c r="DH90" s="130"/>
      <c r="DI90" s="130"/>
      <c r="DJ90" s="130"/>
      <c r="DK90" s="130"/>
      <c r="DL90" s="130"/>
      <c r="DM90" s="130"/>
      <c r="DN90" s="12"/>
      <c r="DO90" s="17"/>
      <c r="EH90" s="12"/>
      <c r="EI90" s="17"/>
      <c r="FM90" s="12"/>
      <c r="FN90" s="17"/>
      <c r="GJ90" s="12"/>
      <c r="GK90" s="17"/>
      <c r="GT90" s="103"/>
      <c r="GU90" s="103"/>
      <c r="GV90" s="103"/>
      <c r="GW90" s="103"/>
      <c r="GX90" s="103"/>
      <c r="GY90" s="103"/>
      <c r="GZ90" s="103"/>
      <c r="HA90" s="103"/>
      <c r="HB90" s="103"/>
      <c r="HC90" s="103"/>
      <c r="HD90" s="103"/>
      <c r="HE90" s="12"/>
      <c r="HF90" s="17"/>
      <c r="HO90" s="103"/>
      <c r="HP90" s="12"/>
      <c r="HQ90" s="17"/>
      <c r="HZ90" s="103"/>
      <c r="IA90" s="12"/>
      <c r="IB90" s="17"/>
    </row>
    <row r="91" spans="1:236" ht="14.45" hidden="1" customHeight="1" x14ac:dyDescent="0.25">
      <c r="A91" s="47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150"/>
      <c r="N91" s="12"/>
      <c r="R91" s="108"/>
      <c r="S91" s="108"/>
      <c r="T91" s="108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143"/>
      <c r="BM91" s="143"/>
      <c r="BN91" s="143"/>
      <c r="BO91" s="143"/>
      <c r="BP91" s="143"/>
      <c r="BQ91" s="143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143"/>
      <c r="CF91" s="143"/>
      <c r="CG91" s="143"/>
      <c r="CH91" s="143"/>
      <c r="CI91" s="143"/>
      <c r="CJ91" s="143"/>
      <c r="CK91" s="12"/>
      <c r="CL91" s="5"/>
      <c r="CM91" s="5"/>
      <c r="CN91" s="5"/>
      <c r="CO91" s="5"/>
      <c r="CP91" s="5"/>
      <c r="CQ91" s="5"/>
      <c r="CR91" s="5"/>
      <c r="CS91" s="130"/>
      <c r="CT91" s="12"/>
      <c r="CU91" s="17"/>
      <c r="CV91" s="130"/>
      <c r="CW91" s="12"/>
      <c r="CX91" s="12"/>
      <c r="CY91" s="12"/>
      <c r="CZ91" s="12"/>
      <c r="DA91" s="12"/>
      <c r="DB91" s="12"/>
      <c r="DC91" s="12"/>
      <c r="DD91" s="130"/>
      <c r="DE91" s="130"/>
      <c r="DF91" s="130"/>
      <c r="DG91" s="130"/>
      <c r="DH91" s="130"/>
      <c r="DI91" s="130"/>
      <c r="DJ91" s="130"/>
      <c r="DK91" s="130"/>
      <c r="DL91" s="130"/>
      <c r="DM91" s="130"/>
      <c r="DN91" s="12"/>
      <c r="DO91" s="17"/>
      <c r="EH91" s="12"/>
      <c r="EI91" s="17"/>
      <c r="FM91" s="12"/>
      <c r="FN91" s="17"/>
      <c r="GJ91" s="12"/>
      <c r="GK91" s="17"/>
      <c r="GT91" s="103"/>
      <c r="GU91" s="103"/>
      <c r="GV91" s="103"/>
      <c r="GW91" s="103"/>
      <c r="GX91" s="103"/>
      <c r="GY91" s="103"/>
      <c r="GZ91" s="103"/>
      <c r="HA91" s="103"/>
      <c r="HB91" s="103"/>
      <c r="HC91" s="103"/>
      <c r="HD91" s="103"/>
      <c r="HE91" s="12"/>
      <c r="HF91" s="17"/>
      <c r="HO91" s="103"/>
      <c r="HP91" s="12"/>
      <c r="HQ91" s="17"/>
      <c r="HZ91" s="103"/>
      <c r="IA91" s="12"/>
      <c r="IB91" s="17"/>
    </row>
    <row r="92" spans="1:236" ht="14.45" hidden="1" customHeight="1" x14ac:dyDescent="0.25">
      <c r="A92" s="47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150"/>
      <c r="N92" s="12"/>
      <c r="R92" s="108"/>
      <c r="S92" s="108"/>
      <c r="T92" s="108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143"/>
      <c r="BM92" s="143"/>
      <c r="BN92" s="143"/>
      <c r="BO92" s="143"/>
      <c r="BP92" s="143"/>
      <c r="BQ92" s="143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143"/>
      <c r="CF92" s="143"/>
      <c r="CG92" s="143"/>
      <c r="CH92" s="143"/>
      <c r="CI92" s="143"/>
      <c r="CJ92" s="143"/>
      <c r="CK92" s="12"/>
      <c r="CL92" s="5"/>
      <c r="CM92" s="5"/>
      <c r="CN92" s="5"/>
      <c r="CO92" s="5"/>
      <c r="CP92" s="5"/>
      <c r="CQ92" s="5"/>
      <c r="CR92" s="5"/>
      <c r="CS92" s="130"/>
      <c r="CT92" s="12"/>
      <c r="CU92" s="17"/>
      <c r="CV92" s="130"/>
      <c r="CW92" s="12"/>
      <c r="CX92" s="12"/>
      <c r="CY92" s="12"/>
      <c r="CZ92" s="12"/>
      <c r="DA92" s="12"/>
      <c r="DB92" s="12"/>
      <c r="DC92" s="12"/>
      <c r="DD92" s="130"/>
      <c r="DE92" s="130"/>
      <c r="DF92" s="130"/>
      <c r="DG92" s="130"/>
      <c r="DH92" s="130"/>
      <c r="DI92" s="130"/>
      <c r="DJ92" s="130"/>
      <c r="DK92" s="130"/>
      <c r="DL92" s="130"/>
      <c r="DM92" s="130"/>
      <c r="DN92" s="12"/>
      <c r="DO92" s="17"/>
      <c r="EH92" s="12"/>
      <c r="EI92" s="17"/>
      <c r="FM92" s="12"/>
      <c r="FN92" s="17"/>
      <c r="GJ92" s="12"/>
      <c r="GK92" s="17"/>
      <c r="GT92" s="103"/>
      <c r="GU92" s="103"/>
      <c r="GV92" s="103"/>
      <c r="GW92" s="103"/>
      <c r="GX92" s="103"/>
      <c r="GY92" s="103"/>
      <c r="GZ92" s="103"/>
      <c r="HA92" s="103"/>
      <c r="HB92" s="103"/>
      <c r="HC92" s="103"/>
      <c r="HD92" s="103"/>
      <c r="HE92" s="12"/>
      <c r="HF92" s="17"/>
      <c r="HO92" s="103"/>
      <c r="HP92" s="12"/>
      <c r="HQ92" s="17"/>
      <c r="HZ92" s="103"/>
      <c r="IA92" s="12"/>
      <c r="IB92" s="17"/>
    </row>
    <row r="93" spans="1:236" ht="14.45" hidden="1" customHeight="1" x14ac:dyDescent="0.25">
      <c r="A93" s="47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150"/>
      <c r="N93" s="12"/>
      <c r="R93" s="108"/>
      <c r="S93" s="108"/>
      <c r="T93" s="108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143"/>
      <c r="BM93" s="143"/>
      <c r="BN93" s="143"/>
      <c r="BO93" s="143"/>
      <c r="BP93" s="143"/>
      <c r="BQ93" s="143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143"/>
      <c r="CF93" s="143"/>
      <c r="CG93" s="143"/>
      <c r="CH93" s="143"/>
      <c r="CI93" s="143"/>
      <c r="CJ93" s="143"/>
      <c r="CK93" s="12"/>
      <c r="CL93" s="5"/>
      <c r="CM93" s="5"/>
      <c r="CN93" s="5"/>
      <c r="CO93" s="5"/>
      <c r="CP93" s="5"/>
      <c r="CQ93" s="5"/>
      <c r="CR93" s="5"/>
      <c r="CS93" s="130"/>
      <c r="CT93" s="12"/>
      <c r="CU93" s="17"/>
      <c r="CV93" s="130"/>
      <c r="CW93" s="12"/>
      <c r="CX93" s="12"/>
      <c r="CY93" s="12"/>
      <c r="CZ93" s="12"/>
      <c r="DA93" s="12"/>
      <c r="DB93" s="12"/>
      <c r="DC93" s="12"/>
      <c r="DD93" s="130"/>
      <c r="DE93" s="130"/>
      <c r="DF93" s="130"/>
      <c r="DG93" s="130"/>
      <c r="DH93" s="130"/>
      <c r="DI93" s="130"/>
      <c r="DJ93" s="130"/>
      <c r="DK93" s="130"/>
      <c r="DL93" s="130"/>
      <c r="DM93" s="130"/>
      <c r="DN93" s="12"/>
      <c r="DO93" s="17"/>
      <c r="EH93" s="12"/>
      <c r="EI93" s="17"/>
      <c r="FM93" s="12"/>
      <c r="FN93" s="17"/>
      <c r="GJ93" s="12"/>
      <c r="GK93" s="17"/>
      <c r="GT93" s="103"/>
      <c r="GU93" s="103"/>
      <c r="GV93" s="103"/>
      <c r="GW93" s="103"/>
      <c r="GX93" s="103"/>
      <c r="GY93" s="103"/>
      <c r="GZ93" s="103"/>
      <c r="HA93" s="103"/>
      <c r="HB93" s="103"/>
      <c r="HC93" s="103"/>
      <c r="HD93" s="103"/>
      <c r="HE93" s="12"/>
      <c r="HF93" s="17"/>
      <c r="HO93" s="103"/>
      <c r="HP93" s="12"/>
      <c r="HQ93" s="17"/>
      <c r="HZ93" s="103"/>
      <c r="IA93" s="12"/>
      <c r="IB93" s="17"/>
    </row>
    <row r="94" spans="1:236" ht="14.45" hidden="1" customHeight="1" x14ac:dyDescent="0.25">
      <c r="A94" s="47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150"/>
      <c r="N94" s="12"/>
      <c r="R94" s="108"/>
      <c r="S94" s="108"/>
      <c r="T94" s="108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143"/>
      <c r="BM94" s="143"/>
      <c r="BN94" s="143"/>
      <c r="BO94" s="143"/>
      <c r="BP94" s="143"/>
      <c r="BQ94" s="143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143"/>
      <c r="CF94" s="143"/>
      <c r="CG94" s="143"/>
      <c r="CH94" s="143"/>
      <c r="CI94" s="143"/>
      <c r="CJ94" s="143"/>
      <c r="CK94" s="12"/>
      <c r="CL94" s="5"/>
      <c r="CM94" s="5"/>
      <c r="CN94" s="5"/>
      <c r="CO94" s="5"/>
      <c r="CP94" s="5"/>
      <c r="CQ94" s="5"/>
      <c r="CR94" s="5"/>
      <c r="CS94" s="130"/>
      <c r="CT94" s="12"/>
      <c r="CU94" s="17"/>
      <c r="CV94" s="130"/>
      <c r="CW94" s="12"/>
      <c r="CX94" s="12"/>
      <c r="CY94" s="12"/>
      <c r="CZ94" s="12"/>
      <c r="DA94" s="12"/>
      <c r="DB94" s="12"/>
      <c r="DC94" s="12"/>
      <c r="DD94" s="130"/>
      <c r="DE94" s="130"/>
      <c r="DF94" s="130"/>
      <c r="DG94" s="130"/>
      <c r="DH94" s="130"/>
      <c r="DI94" s="130"/>
      <c r="DJ94" s="130"/>
      <c r="DK94" s="130"/>
      <c r="DL94" s="130"/>
      <c r="DM94" s="130"/>
      <c r="DN94" s="12"/>
      <c r="DO94" s="17"/>
      <c r="EH94" s="12"/>
      <c r="EI94" s="17"/>
      <c r="FM94" s="12"/>
      <c r="FN94" s="17"/>
      <c r="GJ94" s="12"/>
      <c r="GK94" s="17"/>
      <c r="GT94" s="103"/>
      <c r="GU94" s="103"/>
      <c r="GV94" s="103"/>
      <c r="GW94" s="103"/>
      <c r="GX94" s="103"/>
      <c r="GY94" s="103"/>
      <c r="GZ94" s="103"/>
      <c r="HA94" s="103"/>
      <c r="HB94" s="103"/>
      <c r="HC94" s="103"/>
      <c r="HD94" s="103"/>
      <c r="HE94" s="12"/>
      <c r="HF94" s="17"/>
      <c r="HO94" s="103"/>
      <c r="HP94" s="12"/>
      <c r="HQ94" s="17"/>
      <c r="HZ94" s="103"/>
      <c r="IA94" s="12"/>
      <c r="IB94" s="17"/>
    </row>
    <row r="95" spans="1:236" ht="14.45" hidden="1" customHeight="1" x14ac:dyDescent="0.25">
      <c r="A95" s="47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150"/>
      <c r="N95" s="12"/>
      <c r="R95" s="108"/>
      <c r="S95" s="108"/>
      <c r="T95" s="108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143"/>
      <c r="BM95" s="143"/>
      <c r="BN95" s="143"/>
      <c r="BO95" s="143"/>
      <c r="BP95" s="143"/>
      <c r="BQ95" s="143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143"/>
      <c r="CF95" s="143"/>
      <c r="CG95" s="143"/>
      <c r="CH95" s="143"/>
      <c r="CI95" s="143"/>
      <c r="CJ95" s="143"/>
      <c r="CK95" s="12"/>
      <c r="CL95" s="5"/>
      <c r="CM95" s="5"/>
      <c r="CN95" s="5"/>
      <c r="CO95" s="5"/>
      <c r="CP95" s="5"/>
      <c r="CQ95" s="5"/>
      <c r="CR95" s="5"/>
      <c r="CS95" s="130"/>
      <c r="CT95" s="12"/>
      <c r="CU95" s="17"/>
      <c r="CV95" s="130"/>
      <c r="CW95" s="12"/>
      <c r="CX95" s="12"/>
      <c r="CY95" s="12"/>
      <c r="CZ95" s="12"/>
      <c r="DA95" s="12"/>
      <c r="DB95" s="12"/>
      <c r="DC95" s="12"/>
      <c r="DD95" s="130"/>
      <c r="DE95" s="130"/>
      <c r="DF95" s="130"/>
      <c r="DG95" s="130"/>
      <c r="DH95" s="130"/>
      <c r="DI95" s="130"/>
      <c r="DJ95" s="130"/>
      <c r="DK95" s="130"/>
      <c r="DL95" s="130"/>
      <c r="DM95" s="130"/>
      <c r="DN95" s="12"/>
      <c r="DO95" s="17"/>
      <c r="EH95" s="12"/>
      <c r="EI95" s="17"/>
      <c r="FM95" s="12"/>
      <c r="FN95" s="17"/>
      <c r="GJ95" s="12"/>
      <c r="GK95" s="17"/>
      <c r="GT95" s="103"/>
      <c r="GU95" s="103"/>
      <c r="GV95" s="103"/>
      <c r="GW95" s="103"/>
      <c r="GX95" s="103"/>
      <c r="GY95" s="103"/>
      <c r="GZ95" s="103"/>
      <c r="HA95" s="103"/>
      <c r="HB95" s="103"/>
      <c r="HC95" s="103"/>
      <c r="HD95" s="103"/>
      <c r="HE95" s="12"/>
      <c r="HF95" s="17"/>
      <c r="HO95" s="103"/>
      <c r="HP95" s="12"/>
      <c r="HQ95" s="17"/>
      <c r="HZ95" s="103"/>
      <c r="IA95" s="12"/>
      <c r="IB95" s="17"/>
    </row>
    <row r="96" spans="1:236" ht="14.45" hidden="1" customHeight="1" x14ac:dyDescent="0.25">
      <c r="A96" s="47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150"/>
      <c r="N96" s="12"/>
      <c r="R96" s="108"/>
      <c r="S96" s="108"/>
      <c r="T96" s="108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143"/>
      <c r="BM96" s="143"/>
      <c r="BN96" s="143"/>
      <c r="BO96" s="143"/>
      <c r="BP96" s="143"/>
      <c r="BQ96" s="143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143"/>
      <c r="CF96" s="143"/>
      <c r="CG96" s="143"/>
      <c r="CH96" s="143"/>
      <c r="CI96" s="143"/>
      <c r="CJ96" s="143"/>
      <c r="CK96" s="12"/>
      <c r="CL96" s="5"/>
      <c r="CM96" s="5"/>
      <c r="CN96" s="5"/>
      <c r="CO96" s="5"/>
      <c r="CP96" s="5"/>
      <c r="CQ96" s="5"/>
      <c r="CR96" s="5"/>
      <c r="CS96" s="130"/>
      <c r="CT96" s="12"/>
      <c r="CU96" s="17"/>
      <c r="CV96" s="130"/>
      <c r="CW96" s="12"/>
      <c r="CX96" s="12"/>
      <c r="CY96" s="12"/>
      <c r="CZ96" s="12"/>
      <c r="DA96" s="12"/>
      <c r="DB96" s="12"/>
      <c r="DC96" s="12"/>
      <c r="DD96" s="130"/>
      <c r="DE96" s="130"/>
      <c r="DF96" s="130"/>
      <c r="DG96" s="130"/>
      <c r="DH96" s="130"/>
      <c r="DI96" s="130"/>
      <c r="DJ96" s="130"/>
      <c r="DK96" s="130"/>
      <c r="DL96" s="130"/>
      <c r="DM96" s="130"/>
      <c r="DN96" s="12"/>
      <c r="DO96" s="17"/>
      <c r="EH96" s="12"/>
      <c r="EI96" s="17"/>
      <c r="FM96" s="12"/>
      <c r="FN96" s="17"/>
      <c r="GJ96" s="12"/>
      <c r="GK96" s="17"/>
      <c r="GT96" s="103"/>
      <c r="GU96" s="103"/>
      <c r="GV96" s="103"/>
      <c r="GW96" s="103"/>
      <c r="GX96" s="103"/>
      <c r="GY96" s="103"/>
      <c r="GZ96" s="103"/>
      <c r="HA96" s="103"/>
      <c r="HB96" s="103"/>
      <c r="HC96" s="103"/>
      <c r="HD96" s="103"/>
      <c r="HE96" s="12"/>
      <c r="HF96" s="17"/>
      <c r="HO96" s="103"/>
      <c r="HP96" s="12"/>
      <c r="HQ96" s="17"/>
      <c r="HZ96" s="103"/>
      <c r="IA96" s="12"/>
      <c r="IB96" s="17"/>
    </row>
    <row r="97" spans="1:236" ht="14.45" hidden="1" customHeight="1" x14ac:dyDescent="0.25">
      <c r="A97" s="47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150"/>
      <c r="N97" s="12"/>
      <c r="R97" s="108"/>
      <c r="S97" s="108"/>
      <c r="T97" s="108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143"/>
      <c r="BM97" s="143"/>
      <c r="BN97" s="143"/>
      <c r="BO97" s="143"/>
      <c r="BP97" s="143"/>
      <c r="BQ97" s="143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143"/>
      <c r="CF97" s="143"/>
      <c r="CG97" s="143"/>
      <c r="CH97" s="143"/>
      <c r="CI97" s="143"/>
      <c r="CJ97" s="143"/>
      <c r="CK97" s="12"/>
      <c r="CL97" s="5"/>
      <c r="CM97" s="5"/>
      <c r="CN97" s="5"/>
      <c r="CO97" s="5"/>
      <c r="CP97" s="5"/>
      <c r="CQ97" s="5"/>
      <c r="CR97" s="5"/>
      <c r="CS97" s="130"/>
      <c r="CT97" s="12"/>
      <c r="CU97" s="17"/>
      <c r="CV97" s="130"/>
      <c r="CW97" s="12"/>
      <c r="CX97" s="12"/>
      <c r="CY97" s="12"/>
      <c r="CZ97" s="12"/>
      <c r="DA97" s="12"/>
      <c r="DB97" s="12"/>
      <c r="DC97" s="12"/>
      <c r="DD97" s="130"/>
      <c r="DE97" s="130"/>
      <c r="DF97" s="130"/>
      <c r="DG97" s="130"/>
      <c r="DH97" s="130"/>
      <c r="DI97" s="130"/>
      <c r="DJ97" s="130"/>
      <c r="DK97" s="130"/>
      <c r="DL97" s="130"/>
      <c r="DM97" s="130"/>
      <c r="DN97" s="12"/>
      <c r="DO97" s="17"/>
      <c r="EH97" s="12"/>
      <c r="EI97" s="17"/>
      <c r="FM97" s="12"/>
      <c r="FN97" s="17"/>
      <c r="GJ97" s="12"/>
      <c r="GK97" s="17"/>
      <c r="GT97" s="103"/>
      <c r="GU97" s="103"/>
      <c r="GV97" s="103"/>
      <c r="GW97" s="103"/>
      <c r="GX97" s="103"/>
      <c r="GY97" s="103"/>
      <c r="GZ97" s="103"/>
      <c r="HA97" s="103"/>
      <c r="HB97" s="103"/>
      <c r="HC97" s="103"/>
      <c r="HD97" s="103"/>
      <c r="HE97" s="12"/>
      <c r="HF97" s="17"/>
      <c r="HO97" s="103"/>
      <c r="HP97" s="12"/>
      <c r="HQ97" s="17"/>
      <c r="HZ97" s="103"/>
      <c r="IA97" s="12"/>
      <c r="IB97" s="17"/>
    </row>
    <row r="98" spans="1:236" ht="14.45" hidden="1" customHeight="1" x14ac:dyDescent="0.25">
      <c r="A98" s="47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150"/>
      <c r="N98" s="12"/>
      <c r="R98" s="108"/>
      <c r="S98" s="108"/>
      <c r="T98" s="108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143"/>
      <c r="BM98" s="143"/>
      <c r="BN98" s="143"/>
      <c r="BO98" s="143"/>
      <c r="BP98" s="143"/>
      <c r="BQ98" s="143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143"/>
      <c r="CF98" s="143"/>
      <c r="CG98" s="143"/>
      <c r="CH98" s="143"/>
      <c r="CI98" s="143"/>
      <c r="CJ98" s="143"/>
      <c r="CK98" s="12"/>
      <c r="CL98" s="5"/>
      <c r="CM98" s="5"/>
      <c r="CN98" s="5"/>
      <c r="CO98" s="5"/>
      <c r="CP98" s="5"/>
      <c r="CQ98" s="5"/>
      <c r="CR98" s="5"/>
      <c r="CS98" s="130"/>
      <c r="CT98" s="12"/>
      <c r="CU98" s="17"/>
      <c r="CV98" s="130"/>
      <c r="CW98" s="12"/>
      <c r="CX98" s="12"/>
      <c r="CY98" s="12"/>
      <c r="CZ98" s="12"/>
      <c r="DA98" s="12"/>
      <c r="DB98" s="12"/>
      <c r="DC98" s="12"/>
      <c r="DD98" s="130"/>
      <c r="DE98" s="130"/>
      <c r="DF98" s="130"/>
      <c r="DG98" s="130"/>
      <c r="DH98" s="130"/>
      <c r="DI98" s="130"/>
      <c r="DJ98" s="130"/>
      <c r="DK98" s="130"/>
      <c r="DL98" s="130"/>
      <c r="DM98" s="130"/>
      <c r="DN98" s="12"/>
      <c r="DO98" s="17"/>
      <c r="EH98" s="12"/>
      <c r="EI98" s="17"/>
      <c r="FM98" s="12"/>
      <c r="FN98" s="17"/>
      <c r="GJ98" s="12"/>
      <c r="GK98" s="17"/>
      <c r="GT98" s="103"/>
      <c r="GU98" s="103"/>
      <c r="GV98" s="103"/>
      <c r="GW98" s="103"/>
      <c r="GX98" s="103"/>
      <c r="GY98" s="103"/>
      <c r="GZ98" s="103"/>
      <c r="HA98" s="103"/>
      <c r="HB98" s="103"/>
      <c r="HC98" s="103"/>
      <c r="HD98" s="103"/>
      <c r="HE98" s="12"/>
      <c r="HF98" s="17"/>
      <c r="HO98" s="103"/>
      <c r="HP98" s="12"/>
      <c r="HQ98" s="17"/>
      <c r="HZ98" s="103"/>
      <c r="IA98" s="12"/>
      <c r="IB98" s="17"/>
    </row>
    <row r="99" spans="1:236" ht="14.45" hidden="1" customHeight="1" x14ac:dyDescent="0.25">
      <c r="A99" s="47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150"/>
      <c r="N99" s="12"/>
      <c r="R99" s="108"/>
      <c r="S99" s="108"/>
      <c r="T99" s="108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143"/>
      <c r="BM99" s="143"/>
      <c r="BN99" s="143"/>
      <c r="BO99" s="143"/>
      <c r="BP99" s="143"/>
      <c r="BQ99" s="143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143"/>
      <c r="CF99" s="143"/>
      <c r="CG99" s="143"/>
      <c r="CH99" s="143"/>
      <c r="CI99" s="143"/>
      <c r="CJ99" s="143"/>
      <c r="CK99" s="12"/>
      <c r="CL99" s="5"/>
      <c r="CM99" s="5"/>
      <c r="CN99" s="5"/>
      <c r="CO99" s="5"/>
      <c r="CP99" s="5"/>
      <c r="CQ99" s="5"/>
      <c r="CR99" s="5"/>
      <c r="CS99" s="130"/>
      <c r="CT99" s="12"/>
      <c r="CU99" s="17"/>
      <c r="CV99" s="130"/>
      <c r="CW99" s="12"/>
      <c r="CX99" s="12"/>
      <c r="CY99" s="12"/>
      <c r="CZ99" s="12"/>
      <c r="DA99" s="12"/>
      <c r="DB99" s="12"/>
      <c r="DC99" s="12"/>
      <c r="DD99" s="130"/>
      <c r="DE99" s="130"/>
      <c r="DF99" s="130"/>
      <c r="DG99" s="130"/>
      <c r="DH99" s="130"/>
      <c r="DI99" s="130"/>
      <c r="DJ99" s="130"/>
      <c r="DK99" s="130"/>
      <c r="DL99" s="130"/>
      <c r="DM99" s="130"/>
      <c r="DN99" s="12"/>
      <c r="DO99" s="17"/>
      <c r="EH99" s="12"/>
      <c r="EI99" s="17"/>
      <c r="FM99" s="12"/>
      <c r="FN99" s="17"/>
      <c r="GJ99" s="12"/>
      <c r="GK99" s="17"/>
      <c r="GT99" s="103"/>
      <c r="GU99" s="103"/>
      <c r="GV99" s="103"/>
      <c r="GW99" s="103"/>
      <c r="GX99" s="103"/>
      <c r="GY99" s="103"/>
      <c r="GZ99" s="103"/>
      <c r="HA99" s="103"/>
      <c r="HB99" s="103"/>
      <c r="HC99" s="103"/>
      <c r="HD99" s="103"/>
      <c r="HE99" s="12"/>
      <c r="HF99" s="17"/>
      <c r="HO99" s="103"/>
      <c r="HP99" s="12"/>
      <c r="HQ99" s="17"/>
      <c r="HZ99" s="103"/>
      <c r="IA99" s="12"/>
      <c r="IB99" s="17"/>
    </row>
    <row r="100" spans="1:236" ht="14.45" hidden="1" customHeight="1" x14ac:dyDescent="0.25">
      <c r="A100" s="47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150"/>
      <c r="N100" s="12"/>
      <c r="R100" s="108"/>
      <c r="S100" s="108"/>
      <c r="T100" s="108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143"/>
      <c r="BM100" s="143"/>
      <c r="BN100" s="143"/>
      <c r="BO100" s="143"/>
      <c r="BP100" s="143"/>
      <c r="BQ100" s="143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143"/>
      <c r="CF100" s="143"/>
      <c r="CG100" s="143"/>
      <c r="CH100" s="143"/>
      <c r="CI100" s="143"/>
      <c r="CJ100" s="143"/>
      <c r="CK100" s="12"/>
      <c r="CL100" s="5"/>
      <c r="CM100" s="5"/>
      <c r="CN100" s="5"/>
      <c r="CO100" s="5"/>
      <c r="CP100" s="5"/>
      <c r="CQ100" s="5"/>
      <c r="CR100" s="5"/>
      <c r="CS100" s="130"/>
      <c r="CT100" s="12"/>
      <c r="CU100" s="17"/>
      <c r="CV100" s="130"/>
      <c r="CW100" s="12"/>
      <c r="CX100" s="12"/>
      <c r="CY100" s="12"/>
      <c r="CZ100" s="12"/>
      <c r="DA100" s="12"/>
      <c r="DB100" s="12"/>
      <c r="DC100" s="12"/>
      <c r="DD100" s="130"/>
      <c r="DE100" s="130"/>
      <c r="DF100" s="130"/>
      <c r="DG100" s="130"/>
      <c r="DH100" s="130"/>
      <c r="DI100" s="130"/>
      <c r="DJ100" s="130"/>
      <c r="DK100" s="130"/>
      <c r="DL100" s="130"/>
      <c r="DM100" s="130"/>
      <c r="DN100" s="12"/>
      <c r="DO100" s="17"/>
      <c r="EH100" s="12"/>
      <c r="EI100" s="17"/>
      <c r="FM100" s="12"/>
      <c r="FN100" s="17"/>
      <c r="GJ100" s="12"/>
      <c r="GK100" s="17"/>
      <c r="GT100" s="103"/>
      <c r="GU100" s="103"/>
      <c r="GV100" s="103"/>
      <c r="GW100" s="103"/>
      <c r="GX100" s="103"/>
      <c r="GY100" s="103"/>
      <c r="GZ100" s="103"/>
      <c r="HA100" s="103"/>
      <c r="HB100" s="103"/>
      <c r="HC100" s="103"/>
      <c r="HD100" s="103"/>
      <c r="HE100" s="12"/>
      <c r="HF100" s="17"/>
      <c r="HO100" s="103"/>
      <c r="HP100" s="12"/>
      <c r="HQ100" s="17"/>
      <c r="HZ100" s="103"/>
      <c r="IA100" s="12"/>
      <c r="IB100" s="17"/>
    </row>
    <row r="101" spans="1:236" ht="14.45" hidden="1" customHeight="1" x14ac:dyDescent="0.25">
      <c r="A101" s="47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150"/>
      <c r="N101" s="12"/>
      <c r="R101" s="108"/>
      <c r="S101" s="108"/>
      <c r="T101" s="108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143"/>
      <c r="BM101" s="143"/>
      <c r="BN101" s="143"/>
      <c r="BO101" s="143"/>
      <c r="BP101" s="143"/>
      <c r="BQ101" s="143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143"/>
      <c r="CF101" s="143"/>
      <c r="CG101" s="143"/>
      <c r="CH101" s="143"/>
      <c r="CI101" s="143"/>
      <c r="CJ101" s="143"/>
      <c r="CK101" s="12"/>
      <c r="CL101" s="5"/>
      <c r="CM101" s="5"/>
      <c r="CN101" s="5"/>
      <c r="CO101" s="5"/>
      <c r="CP101" s="5"/>
      <c r="CQ101" s="5"/>
      <c r="CR101" s="5"/>
      <c r="CS101" s="130"/>
      <c r="CT101" s="12"/>
      <c r="CU101" s="17"/>
      <c r="CV101" s="130"/>
      <c r="CW101" s="12"/>
      <c r="CX101" s="12"/>
      <c r="CY101" s="12"/>
      <c r="CZ101" s="12"/>
      <c r="DA101" s="12"/>
      <c r="DB101" s="12"/>
      <c r="DC101" s="12"/>
      <c r="DD101" s="130"/>
      <c r="DE101" s="130"/>
      <c r="DF101" s="130"/>
      <c r="DG101" s="130"/>
      <c r="DH101" s="130"/>
      <c r="DI101" s="130"/>
      <c r="DJ101" s="130"/>
      <c r="DK101" s="130"/>
      <c r="DL101" s="130"/>
      <c r="DM101" s="130"/>
      <c r="DN101" s="12"/>
      <c r="DO101" s="17"/>
      <c r="EH101" s="12"/>
      <c r="EI101" s="17"/>
      <c r="FM101" s="12"/>
      <c r="FN101" s="17"/>
      <c r="GJ101" s="12"/>
      <c r="GK101" s="17"/>
      <c r="GT101" s="103"/>
      <c r="GU101" s="103"/>
      <c r="GV101" s="103"/>
      <c r="GW101" s="103"/>
      <c r="GX101" s="103"/>
      <c r="GY101" s="103"/>
      <c r="GZ101" s="103"/>
      <c r="HA101" s="103"/>
      <c r="HB101" s="103"/>
      <c r="HC101" s="103"/>
      <c r="HD101" s="103"/>
      <c r="HE101" s="12"/>
      <c r="HF101" s="17"/>
      <c r="HO101" s="103"/>
      <c r="HP101" s="12"/>
      <c r="HQ101" s="17"/>
      <c r="HZ101" s="103"/>
      <c r="IA101" s="12"/>
      <c r="IB101" s="17"/>
    </row>
    <row r="102" spans="1:236" ht="14.45" hidden="1" customHeight="1" x14ac:dyDescent="0.25">
      <c r="A102" s="47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150"/>
      <c r="N102" s="12"/>
      <c r="R102" s="108"/>
      <c r="S102" s="108"/>
      <c r="T102" s="108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143"/>
      <c r="BM102" s="143"/>
      <c r="BN102" s="143"/>
      <c r="BO102" s="143"/>
      <c r="BP102" s="143"/>
      <c r="BQ102" s="143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143"/>
      <c r="CF102" s="143"/>
      <c r="CG102" s="143"/>
      <c r="CH102" s="143"/>
      <c r="CI102" s="143"/>
      <c r="CJ102" s="143"/>
      <c r="CK102" s="12"/>
      <c r="CL102" s="5"/>
      <c r="CM102" s="5"/>
      <c r="CN102" s="5"/>
      <c r="CO102" s="5"/>
      <c r="CP102" s="5"/>
      <c r="CQ102" s="5"/>
      <c r="CR102" s="5"/>
      <c r="CS102" s="130"/>
      <c r="CT102" s="12"/>
      <c r="CU102" s="17"/>
      <c r="CV102" s="130"/>
      <c r="CW102" s="12"/>
      <c r="CX102" s="12"/>
      <c r="CY102" s="12"/>
      <c r="CZ102" s="12"/>
      <c r="DA102" s="12"/>
      <c r="DB102" s="12"/>
      <c r="DC102" s="12"/>
      <c r="DD102" s="130"/>
      <c r="DE102" s="130"/>
      <c r="DF102" s="130"/>
      <c r="DG102" s="130"/>
      <c r="DH102" s="130"/>
      <c r="DI102" s="130"/>
      <c r="DJ102" s="130"/>
      <c r="DK102" s="130"/>
      <c r="DL102" s="130"/>
      <c r="DM102" s="130"/>
      <c r="DN102" s="12"/>
      <c r="DO102" s="17"/>
      <c r="EH102" s="12"/>
      <c r="EI102" s="17"/>
      <c r="FM102" s="12"/>
      <c r="FN102" s="17"/>
      <c r="GJ102" s="12"/>
      <c r="GK102" s="17"/>
      <c r="GT102" s="103"/>
      <c r="GU102" s="103"/>
      <c r="GV102" s="103"/>
      <c r="GW102" s="103"/>
      <c r="GX102" s="103"/>
      <c r="GY102" s="103"/>
      <c r="GZ102" s="103"/>
      <c r="HA102" s="103"/>
      <c r="HB102" s="103"/>
      <c r="HC102" s="103"/>
      <c r="HD102" s="103"/>
      <c r="HE102" s="12"/>
      <c r="HF102" s="17"/>
      <c r="HO102" s="103"/>
      <c r="HP102" s="12"/>
      <c r="HQ102" s="17"/>
      <c r="HZ102" s="103"/>
      <c r="IA102" s="12"/>
      <c r="IB102" s="17"/>
    </row>
    <row r="103" spans="1:236" ht="14.45" hidden="1" customHeight="1" x14ac:dyDescent="0.25">
      <c r="A103" s="47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150"/>
      <c r="N103" s="12"/>
      <c r="R103" s="108"/>
      <c r="S103" s="108"/>
      <c r="T103" s="108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143"/>
      <c r="BM103" s="143"/>
      <c r="BN103" s="143"/>
      <c r="BO103" s="143"/>
      <c r="BP103" s="143"/>
      <c r="BQ103" s="143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143"/>
      <c r="CF103" s="143"/>
      <c r="CG103" s="143"/>
      <c r="CH103" s="143"/>
      <c r="CI103" s="143"/>
      <c r="CJ103" s="143"/>
      <c r="CK103" s="12"/>
      <c r="CL103" s="5"/>
      <c r="CM103" s="5"/>
      <c r="CN103" s="5"/>
      <c r="CO103" s="5"/>
      <c r="CP103" s="5"/>
      <c r="CQ103" s="5"/>
      <c r="CR103" s="5"/>
      <c r="CS103" s="130"/>
      <c r="CT103" s="12"/>
      <c r="CU103" s="17"/>
      <c r="CV103" s="130"/>
      <c r="CW103" s="12"/>
      <c r="CX103" s="12"/>
      <c r="CY103" s="12"/>
      <c r="CZ103" s="12"/>
      <c r="DA103" s="12"/>
      <c r="DB103" s="12"/>
      <c r="DC103" s="12"/>
      <c r="DD103" s="130"/>
      <c r="DE103" s="130"/>
      <c r="DF103" s="130"/>
      <c r="DG103" s="130"/>
      <c r="DH103" s="130"/>
      <c r="DI103" s="130"/>
      <c r="DJ103" s="130"/>
      <c r="DK103" s="130"/>
      <c r="DL103" s="130"/>
      <c r="DM103" s="130"/>
      <c r="DN103" s="12"/>
      <c r="DO103" s="17"/>
      <c r="EH103" s="12"/>
      <c r="EI103" s="17"/>
      <c r="FM103" s="12"/>
      <c r="FN103" s="17"/>
      <c r="GJ103" s="12"/>
      <c r="GK103" s="17"/>
      <c r="GT103" s="103"/>
      <c r="GU103" s="103"/>
      <c r="GV103" s="103"/>
      <c r="GW103" s="103"/>
      <c r="GX103" s="103"/>
      <c r="GY103" s="103"/>
      <c r="GZ103" s="103"/>
      <c r="HA103" s="103"/>
      <c r="HB103" s="103"/>
      <c r="HC103" s="103"/>
      <c r="HD103" s="103"/>
      <c r="HE103" s="12"/>
      <c r="HF103" s="17"/>
      <c r="HO103" s="103"/>
      <c r="HP103" s="12"/>
      <c r="HQ103" s="17"/>
      <c r="HZ103" s="103"/>
      <c r="IA103" s="12"/>
      <c r="IB103" s="17"/>
    </row>
    <row r="104" spans="1:236" ht="14.45" hidden="1" customHeight="1" x14ac:dyDescent="0.25">
      <c r="A104" s="47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150"/>
      <c r="N104" s="12"/>
      <c r="R104" s="108"/>
      <c r="S104" s="108"/>
      <c r="T104" s="108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143"/>
      <c r="BM104" s="143"/>
      <c r="BN104" s="143"/>
      <c r="BO104" s="143"/>
      <c r="BP104" s="143"/>
      <c r="BQ104" s="143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143"/>
      <c r="CF104" s="143"/>
      <c r="CG104" s="143"/>
      <c r="CH104" s="143"/>
      <c r="CI104" s="143"/>
      <c r="CJ104" s="143"/>
      <c r="CK104" s="12"/>
      <c r="CL104" s="5"/>
      <c r="CM104" s="5"/>
      <c r="CN104" s="5"/>
      <c r="CO104" s="5"/>
      <c r="CP104" s="5"/>
      <c r="CQ104" s="5"/>
      <c r="CR104" s="5"/>
      <c r="CS104" s="130"/>
      <c r="CT104" s="12"/>
      <c r="CU104" s="17"/>
      <c r="CV104" s="130"/>
      <c r="CW104" s="12"/>
      <c r="CX104" s="12"/>
      <c r="CY104" s="12"/>
      <c r="CZ104" s="12"/>
      <c r="DA104" s="12"/>
      <c r="DB104" s="12"/>
      <c r="DC104" s="12"/>
      <c r="DD104" s="130"/>
      <c r="DE104" s="130"/>
      <c r="DF104" s="130"/>
      <c r="DG104" s="130"/>
      <c r="DH104" s="130"/>
      <c r="DI104" s="130"/>
      <c r="DJ104" s="130"/>
      <c r="DK104" s="130"/>
      <c r="DL104" s="130"/>
      <c r="DM104" s="130"/>
      <c r="DN104" s="12"/>
      <c r="DO104" s="17"/>
      <c r="EH104" s="12"/>
      <c r="EI104" s="17"/>
      <c r="FM104" s="12"/>
      <c r="FN104" s="17"/>
      <c r="GJ104" s="12"/>
      <c r="GK104" s="17"/>
      <c r="GT104" s="103"/>
      <c r="GU104" s="103"/>
      <c r="GV104" s="103"/>
      <c r="GW104" s="103"/>
      <c r="GX104" s="103"/>
      <c r="GY104" s="103"/>
      <c r="GZ104" s="103"/>
      <c r="HA104" s="103"/>
      <c r="HB104" s="103"/>
      <c r="HC104" s="103"/>
      <c r="HD104" s="103"/>
      <c r="HE104" s="12"/>
      <c r="HF104" s="17"/>
      <c r="HO104" s="103"/>
      <c r="HP104" s="12"/>
      <c r="HQ104" s="17"/>
      <c r="HZ104" s="103"/>
      <c r="IA104" s="12"/>
      <c r="IB104" s="17"/>
    </row>
    <row r="105" spans="1:236" ht="14.45" hidden="1" customHeight="1" x14ac:dyDescent="0.25">
      <c r="A105" s="47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150"/>
      <c r="N105" s="12"/>
      <c r="R105" s="108"/>
      <c r="S105" s="108"/>
      <c r="T105" s="108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143"/>
      <c r="BM105" s="143"/>
      <c r="BN105" s="143"/>
      <c r="BO105" s="143"/>
      <c r="BP105" s="143"/>
      <c r="BQ105" s="143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143"/>
      <c r="CF105" s="143"/>
      <c r="CG105" s="143"/>
      <c r="CH105" s="143"/>
      <c r="CI105" s="143"/>
      <c r="CJ105" s="143"/>
      <c r="CK105" s="12"/>
      <c r="CL105" s="5"/>
      <c r="CM105" s="5"/>
      <c r="CN105" s="5"/>
      <c r="CO105" s="5"/>
      <c r="CP105" s="5"/>
      <c r="CQ105" s="5"/>
      <c r="CR105" s="5"/>
      <c r="CS105" s="130"/>
      <c r="CT105" s="12"/>
      <c r="CU105" s="17"/>
      <c r="CV105" s="130"/>
      <c r="CW105" s="12"/>
      <c r="CX105" s="12"/>
      <c r="CY105" s="12"/>
      <c r="CZ105" s="12"/>
      <c r="DA105" s="12"/>
      <c r="DB105" s="12"/>
      <c r="DC105" s="12"/>
      <c r="DD105" s="130"/>
      <c r="DE105" s="130"/>
      <c r="DF105" s="130"/>
      <c r="DG105" s="130"/>
      <c r="DH105" s="130"/>
      <c r="DI105" s="130"/>
      <c r="DJ105" s="130"/>
      <c r="DK105" s="130"/>
      <c r="DL105" s="130"/>
      <c r="DM105" s="130"/>
      <c r="DN105" s="12"/>
      <c r="DO105" s="17"/>
      <c r="EH105" s="12"/>
      <c r="EI105" s="17"/>
      <c r="FM105" s="12"/>
      <c r="FN105" s="17"/>
      <c r="GJ105" s="12"/>
      <c r="GK105" s="17"/>
      <c r="GT105" s="103"/>
      <c r="GU105" s="103"/>
      <c r="GV105" s="103"/>
      <c r="GW105" s="103"/>
      <c r="GX105" s="103"/>
      <c r="GY105" s="103"/>
      <c r="GZ105" s="103"/>
      <c r="HA105" s="103"/>
      <c r="HB105" s="103"/>
      <c r="HC105" s="103"/>
      <c r="HD105" s="103"/>
      <c r="HE105" s="12"/>
      <c r="HF105" s="17"/>
      <c r="HO105" s="103"/>
      <c r="HP105" s="12"/>
      <c r="HQ105" s="17"/>
      <c r="HZ105" s="103"/>
      <c r="IA105" s="12"/>
      <c r="IB105" s="17"/>
    </row>
    <row r="106" spans="1:236" ht="14.45" hidden="1" customHeight="1" x14ac:dyDescent="0.25">
      <c r="A106" s="47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150"/>
      <c r="N106" s="12"/>
      <c r="R106" s="108"/>
      <c r="S106" s="108"/>
      <c r="T106" s="108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143"/>
      <c r="BM106" s="143"/>
      <c r="BN106" s="143"/>
      <c r="BO106" s="143"/>
      <c r="BP106" s="143"/>
      <c r="BQ106" s="143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143"/>
      <c r="CF106" s="143"/>
      <c r="CG106" s="143"/>
      <c r="CH106" s="143"/>
      <c r="CI106" s="143"/>
      <c r="CJ106" s="143"/>
      <c r="CK106" s="12"/>
      <c r="CL106" s="5"/>
      <c r="CM106" s="5"/>
      <c r="CN106" s="5"/>
      <c r="CO106" s="5"/>
      <c r="CP106" s="5"/>
      <c r="CQ106" s="5"/>
      <c r="CR106" s="5"/>
      <c r="CS106" s="130"/>
      <c r="CT106" s="12"/>
      <c r="CU106" s="17"/>
      <c r="CV106" s="130"/>
      <c r="CW106" s="12"/>
      <c r="CX106" s="12"/>
      <c r="CY106" s="12"/>
      <c r="CZ106" s="12"/>
      <c r="DA106" s="12"/>
      <c r="DB106" s="12"/>
      <c r="DC106" s="12"/>
      <c r="DD106" s="130"/>
      <c r="DE106" s="130"/>
      <c r="DF106" s="130"/>
      <c r="DG106" s="130"/>
      <c r="DH106" s="130"/>
      <c r="DI106" s="130"/>
      <c r="DJ106" s="130"/>
      <c r="DK106" s="130"/>
      <c r="DL106" s="130"/>
      <c r="DM106" s="130"/>
      <c r="DN106" s="12"/>
      <c r="DO106" s="17"/>
      <c r="EH106" s="12"/>
      <c r="EI106" s="17"/>
      <c r="FM106" s="12"/>
      <c r="FN106" s="17"/>
      <c r="GJ106" s="12"/>
      <c r="GK106" s="17"/>
      <c r="GT106" s="103"/>
      <c r="GU106" s="103"/>
      <c r="GV106" s="103"/>
      <c r="GW106" s="103"/>
      <c r="GX106" s="103"/>
      <c r="GY106" s="103"/>
      <c r="GZ106" s="103"/>
      <c r="HA106" s="103"/>
      <c r="HB106" s="103"/>
      <c r="HC106" s="103"/>
      <c r="HD106" s="103"/>
      <c r="HE106" s="12"/>
      <c r="HF106" s="17"/>
      <c r="HO106" s="103"/>
      <c r="HP106" s="12"/>
      <c r="HQ106" s="17"/>
      <c r="HZ106" s="103"/>
      <c r="IA106" s="12"/>
      <c r="IB106" s="17"/>
    </row>
    <row r="107" spans="1:236" ht="14.45" hidden="1" customHeight="1" x14ac:dyDescent="0.25">
      <c r="A107" s="47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150"/>
      <c r="N107" s="12"/>
      <c r="R107" s="108"/>
      <c r="S107" s="108"/>
      <c r="T107" s="108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143"/>
      <c r="BM107" s="143"/>
      <c r="BN107" s="143"/>
      <c r="BO107" s="143"/>
      <c r="BP107" s="143"/>
      <c r="BQ107" s="143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143"/>
      <c r="CF107" s="143"/>
      <c r="CG107" s="143"/>
      <c r="CH107" s="143"/>
      <c r="CI107" s="143"/>
      <c r="CJ107" s="143"/>
      <c r="CK107" s="12"/>
      <c r="CL107" s="5"/>
      <c r="CM107" s="5"/>
      <c r="CN107" s="5"/>
      <c r="CO107" s="5"/>
      <c r="CP107" s="5"/>
      <c r="CQ107" s="5"/>
      <c r="CR107" s="5"/>
      <c r="CS107" s="130"/>
      <c r="CT107" s="12"/>
      <c r="CU107" s="17"/>
      <c r="CV107" s="130"/>
      <c r="CW107" s="12"/>
      <c r="CX107" s="12"/>
      <c r="CY107" s="12"/>
      <c r="CZ107" s="12"/>
      <c r="DA107" s="12"/>
      <c r="DB107" s="12"/>
      <c r="DC107" s="12"/>
      <c r="DD107" s="130"/>
      <c r="DE107" s="130"/>
      <c r="DF107" s="130"/>
      <c r="DG107" s="130"/>
      <c r="DH107" s="130"/>
      <c r="DI107" s="130"/>
      <c r="DJ107" s="130"/>
      <c r="DK107" s="130"/>
      <c r="DL107" s="130"/>
      <c r="DM107" s="130"/>
      <c r="DN107" s="12"/>
      <c r="DO107" s="17"/>
      <c r="EH107" s="12"/>
      <c r="EI107" s="17"/>
      <c r="FM107" s="12"/>
      <c r="FN107" s="17"/>
      <c r="GJ107" s="12"/>
      <c r="GK107" s="17"/>
      <c r="GT107" s="103"/>
      <c r="GU107" s="103"/>
      <c r="GV107" s="103"/>
      <c r="GW107" s="103"/>
      <c r="GX107" s="103"/>
      <c r="GY107" s="103"/>
      <c r="GZ107" s="103"/>
      <c r="HA107" s="103"/>
      <c r="HB107" s="103"/>
      <c r="HC107" s="103"/>
      <c r="HD107" s="103"/>
      <c r="HE107" s="12"/>
      <c r="HF107" s="17"/>
      <c r="HO107" s="103"/>
      <c r="HP107" s="12"/>
      <c r="HQ107" s="17"/>
      <c r="HZ107" s="103"/>
      <c r="IA107" s="12"/>
      <c r="IB107" s="17"/>
    </row>
    <row r="108" spans="1:236" ht="14.45" hidden="1" customHeight="1" x14ac:dyDescent="0.25">
      <c r="A108" s="47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150"/>
      <c r="N108" s="12"/>
      <c r="R108" s="108"/>
      <c r="S108" s="108"/>
      <c r="T108" s="108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143"/>
      <c r="BM108" s="143"/>
      <c r="BN108" s="143"/>
      <c r="BO108" s="143"/>
      <c r="BP108" s="143"/>
      <c r="BQ108" s="143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143"/>
      <c r="CF108" s="143"/>
      <c r="CG108" s="143"/>
      <c r="CH108" s="143"/>
      <c r="CI108" s="143"/>
      <c r="CJ108" s="143"/>
      <c r="CK108" s="12"/>
      <c r="CL108" s="5"/>
      <c r="CM108" s="5"/>
      <c r="CN108" s="5"/>
      <c r="CO108" s="5"/>
      <c r="CP108" s="5"/>
      <c r="CQ108" s="5"/>
      <c r="CR108" s="5"/>
      <c r="CS108" s="130"/>
      <c r="CT108" s="12"/>
      <c r="CU108" s="17"/>
      <c r="CV108" s="130"/>
      <c r="CW108" s="12"/>
      <c r="CX108" s="12"/>
      <c r="CY108" s="12"/>
      <c r="CZ108" s="12"/>
      <c r="DA108" s="12"/>
      <c r="DB108" s="12"/>
      <c r="DC108" s="12"/>
      <c r="DD108" s="130"/>
      <c r="DE108" s="130"/>
      <c r="DF108" s="130"/>
      <c r="DG108" s="130"/>
      <c r="DH108" s="130"/>
      <c r="DI108" s="130"/>
      <c r="DJ108" s="130"/>
      <c r="DK108" s="130"/>
      <c r="DL108" s="130"/>
      <c r="DM108" s="130"/>
      <c r="DN108" s="12"/>
      <c r="DO108" s="17"/>
      <c r="EH108" s="12"/>
      <c r="EI108" s="17"/>
      <c r="FM108" s="12"/>
      <c r="FN108" s="17"/>
      <c r="GJ108" s="12"/>
      <c r="GK108" s="17"/>
      <c r="GT108" s="103"/>
      <c r="GU108" s="103"/>
      <c r="GV108" s="103"/>
      <c r="GW108" s="103"/>
      <c r="GX108" s="103"/>
      <c r="GY108" s="103"/>
      <c r="GZ108" s="103"/>
      <c r="HA108" s="103"/>
      <c r="HB108" s="103"/>
      <c r="HC108" s="103"/>
      <c r="HD108" s="103"/>
      <c r="HE108" s="12"/>
      <c r="HF108" s="17"/>
      <c r="HO108" s="103"/>
      <c r="HP108" s="12"/>
      <c r="HQ108" s="17"/>
      <c r="HZ108" s="103"/>
      <c r="IA108" s="12"/>
      <c r="IB108" s="17"/>
    </row>
    <row r="109" spans="1:236" ht="14.45" hidden="1" customHeight="1" x14ac:dyDescent="0.25">
      <c r="A109" s="47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150"/>
      <c r="N109" s="12"/>
      <c r="R109" s="108"/>
      <c r="S109" s="108"/>
      <c r="T109" s="108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143"/>
      <c r="BM109" s="143"/>
      <c r="BN109" s="143"/>
      <c r="BO109" s="143"/>
      <c r="BP109" s="143"/>
      <c r="BQ109" s="143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143"/>
      <c r="CF109" s="143"/>
      <c r="CG109" s="143"/>
      <c r="CH109" s="143"/>
      <c r="CI109" s="143"/>
      <c r="CJ109" s="143"/>
      <c r="CK109" s="12"/>
      <c r="CL109" s="5"/>
      <c r="CM109" s="5"/>
      <c r="CN109" s="5"/>
      <c r="CO109" s="5"/>
      <c r="CP109" s="5"/>
      <c r="CQ109" s="5"/>
      <c r="CR109" s="5"/>
      <c r="CS109" s="130"/>
      <c r="CT109" s="12"/>
      <c r="CU109" s="17"/>
      <c r="CV109" s="130"/>
      <c r="CW109" s="12"/>
      <c r="CX109" s="12"/>
      <c r="CY109" s="12"/>
      <c r="CZ109" s="12"/>
      <c r="DA109" s="12"/>
      <c r="DB109" s="12"/>
      <c r="DC109" s="12"/>
      <c r="DD109" s="130"/>
      <c r="DE109" s="130"/>
      <c r="DF109" s="130"/>
      <c r="DG109" s="130"/>
      <c r="DH109" s="130"/>
      <c r="DI109" s="130"/>
      <c r="DJ109" s="130"/>
      <c r="DK109" s="130"/>
      <c r="DL109" s="130"/>
      <c r="DM109" s="130"/>
      <c r="DN109" s="12"/>
      <c r="DO109" s="17"/>
      <c r="EH109" s="12"/>
      <c r="EI109" s="17"/>
      <c r="FM109" s="12"/>
      <c r="FN109" s="17"/>
      <c r="GJ109" s="12"/>
      <c r="GK109" s="17"/>
      <c r="GT109" s="103"/>
      <c r="GU109" s="103"/>
      <c r="GV109" s="103"/>
      <c r="GW109" s="103"/>
      <c r="GX109" s="103"/>
      <c r="GY109" s="103"/>
      <c r="GZ109" s="103"/>
      <c r="HA109" s="103"/>
      <c r="HB109" s="103"/>
      <c r="HC109" s="103"/>
      <c r="HD109" s="103"/>
      <c r="HE109" s="12"/>
      <c r="HF109" s="17"/>
      <c r="HO109" s="103"/>
      <c r="HP109" s="12"/>
      <c r="HQ109" s="17"/>
      <c r="HZ109" s="103"/>
      <c r="IA109" s="12"/>
      <c r="IB109" s="17"/>
    </row>
    <row r="110" spans="1:236" ht="14.45" hidden="1" customHeight="1" x14ac:dyDescent="0.25">
      <c r="A110" s="47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150"/>
      <c r="N110" s="12"/>
      <c r="R110" s="108"/>
      <c r="S110" s="108"/>
      <c r="T110" s="108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143"/>
      <c r="BM110" s="143"/>
      <c r="BN110" s="143"/>
      <c r="BO110" s="143"/>
      <c r="BP110" s="143"/>
      <c r="BQ110" s="143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143"/>
      <c r="CF110" s="143"/>
      <c r="CG110" s="143"/>
      <c r="CH110" s="143"/>
      <c r="CI110" s="143"/>
      <c r="CJ110" s="143"/>
      <c r="CK110" s="12"/>
      <c r="CL110" s="5"/>
      <c r="CM110" s="5"/>
      <c r="CN110" s="5"/>
      <c r="CO110" s="5"/>
      <c r="CP110" s="5"/>
      <c r="CQ110" s="5"/>
      <c r="CR110" s="5"/>
      <c r="CS110" s="130"/>
      <c r="CT110" s="12"/>
      <c r="CU110" s="17"/>
      <c r="CV110" s="130"/>
      <c r="CW110" s="12"/>
      <c r="CX110" s="12"/>
      <c r="CY110" s="12"/>
      <c r="CZ110" s="12"/>
      <c r="DA110" s="12"/>
      <c r="DB110" s="12"/>
      <c r="DC110" s="12"/>
      <c r="DD110" s="130"/>
      <c r="DE110" s="130"/>
      <c r="DF110" s="130"/>
      <c r="DG110" s="130"/>
      <c r="DH110" s="130"/>
      <c r="DI110" s="130"/>
      <c r="DJ110" s="130"/>
      <c r="DK110" s="130"/>
      <c r="DL110" s="130"/>
      <c r="DM110" s="130"/>
      <c r="DN110" s="12"/>
      <c r="DO110" s="17"/>
      <c r="EH110" s="12"/>
      <c r="EI110" s="17"/>
      <c r="FM110" s="12"/>
      <c r="FN110" s="17"/>
      <c r="GJ110" s="12"/>
      <c r="GK110" s="17"/>
      <c r="GT110" s="103"/>
      <c r="GU110" s="103"/>
      <c r="GV110" s="103"/>
      <c r="GW110" s="103"/>
      <c r="GX110" s="103"/>
      <c r="GY110" s="103"/>
      <c r="GZ110" s="103"/>
      <c r="HA110" s="103"/>
      <c r="HB110" s="103"/>
      <c r="HC110" s="103"/>
      <c r="HD110" s="103"/>
      <c r="HE110" s="12"/>
      <c r="HF110" s="17"/>
      <c r="HO110" s="103"/>
      <c r="HP110" s="12"/>
      <c r="HQ110" s="17"/>
      <c r="HZ110" s="103"/>
      <c r="IA110" s="12"/>
      <c r="IB110" s="17"/>
    </row>
    <row r="111" spans="1:236" ht="14.45" hidden="1" customHeight="1" x14ac:dyDescent="0.25">
      <c r="A111" s="47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150"/>
      <c r="N111" s="12"/>
      <c r="R111" s="108"/>
      <c r="S111" s="108"/>
      <c r="T111" s="108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143"/>
      <c r="BM111" s="143"/>
      <c r="BN111" s="143"/>
      <c r="BO111" s="143"/>
      <c r="BP111" s="143"/>
      <c r="BQ111" s="143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143"/>
      <c r="CF111" s="143"/>
      <c r="CG111" s="143"/>
      <c r="CH111" s="143"/>
      <c r="CI111" s="143"/>
      <c r="CJ111" s="143"/>
      <c r="CK111" s="12"/>
      <c r="CL111" s="5"/>
      <c r="CM111" s="5"/>
      <c r="CN111" s="5"/>
      <c r="CO111" s="5"/>
      <c r="CP111" s="5"/>
      <c r="CQ111" s="5"/>
      <c r="CR111" s="5"/>
      <c r="CS111" s="130"/>
      <c r="CT111" s="12"/>
      <c r="CU111" s="17"/>
      <c r="CV111" s="130"/>
      <c r="CW111" s="12"/>
      <c r="CX111" s="12"/>
      <c r="CY111" s="12"/>
      <c r="CZ111" s="12"/>
      <c r="DA111" s="12"/>
      <c r="DB111" s="12"/>
      <c r="DC111" s="12"/>
      <c r="DD111" s="130"/>
      <c r="DE111" s="130"/>
      <c r="DF111" s="130"/>
      <c r="DG111" s="130"/>
      <c r="DH111" s="130"/>
      <c r="DI111" s="130"/>
      <c r="DJ111" s="130"/>
      <c r="DK111" s="130"/>
      <c r="DL111" s="130"/>
      <c r="DM111" s="130"/>
      <c r="DN111" s="12"/>
      <c r="DO111" s="17"/>
      <c r="EH111" s="12"/>
      <c r="EI111" s="17"/>
      <c r="FM111" s="12"/>
      <c r="FN111" s="17"/>
      <c r="GJ111" s="12"/>
      <c r="GK111" s="17"/>
      <c r="GT111" s="103"/>
      <c r="GU111" s="103"/>
      <c r="GV111" s="103"/>
      <c r="GW111" s="103"/>
      <c r="GX111" s="103"/>
      <c r="GY111" s="103"/>
      <c r="GZ111" s="103"/>
      <c r="HA111" s="103"/>
      <c r="HB111" s="103"/>
      <c r="HC111" s="103"/>
      <c r="HD111" s="103"/>
      <c r="HE111" s="12"/>
      <c r="HF111" s="17"/>
      <c r="HO111" s="103"/>
      <c r="HP111" s="12"/>
      <c r="HQ111" s="17"/>
      <c r="HZ111" s="103"/>
      <c r="IA111" s="12"/>
      <c r="IB111" s="17"/>
    </row>
    <row r="112" spans="1:236" ht="14.45" hidden="1" customHeight="1" x14ac:dyDescent="0.25">
      <c r="A112" s="47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150"/>
      <c r="N112" s="12"/>
      <c r="R112" s="108"/>
      <c r="S112" s="108"/>
      <c r="T112" s="108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143"/>
      <c r="BM112" s="143"/>
      <c r="BN112" s="143"/>
      <c r="BO112" s="143"/>
      <c r="BP112" s="143"/>
      <c r="BQ112" s="143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143"/>
      <c r="CF112" s="143"/>
      <c r="CG112" s="143"/>
      <c r="CH112" s="143"/>
      <c r="CI112" s="143"/>
      <c r="CJ112" s="143"/>
      <c r="CK112" s="12"/>
      <c r="CL112" s="5"/>
      <c r="CM112" s="5"/>
      <c r="CN112" s="5"/>
      <c r="CO112" s="5"/>
      <c r="CP112" s="5"/>
      <c r="CQ112" s="5"/>
      <c r="CR112" s="5"/>
      <c r="CS112" s="130"/>
      <c r="CT112" s="12"/>
      <c r="CU112" s="17"/>
      <c r="CV112" s="130"/>
      <c r="CW112" s="12"/>
      <c r="CX112" s="12"/>
      <c r="CY112" s="12"/>
      <c r="CZ112" s="12"/>
      <c r="DA112" s="12"/>
      <c r="DB112" s="12"/>
      <c r="DC112" s="12"/>
      <c r="DD112" s="130"/>
      <c r="DE112" s="130"/>
      <c r="DF112" s="130"/>
      <c r="DG112" s="130"/>
      <c r="DH112" s="130"/>
      <c r="DI112" s="130"/>
      <c r="DJ112" s="130"/>
      <c r="DK112" s="130"/>
      <c r="DL112" s="130"/>
      <c r="DM112" s="130"/>
      <c r="DN112" s="12"/>
      <c r="DO112" s="17"/>
      <c r="EH112" s="12"/>
      <c r="EI112" s="17"/>
      <c r="FM112" s="12"/>
      <c r="FN112" s="17"/>
      <c r="GJ112" s="12"/>
      <c r="GK112" s="17"/>
      <c r="GT112" s="103"/>
      <c r="GU112" s="103"/>
      <c r="GV112" s="103"/>
      <c r="GW112" s="103"/>
      <c r="GX112" s="103"/>
      <c r="GY112" s="103"/>
      <c r="GZ112" s="103"/>
      <c r="HA112" s="103"/>
      <c r="HB112" s="103"/>
      <c r="HC112" s="103"/>
      <c r="HD112" s="103"/>
      <c r="HE112" s="12"/>
      <c r="HF112" s="17"/>
      <c r="HO112" s="103"/>
      <c r="HP112" s="12"/>
      <c r="HQ112" s="17"/>
      <c r="HZ112" s="103"/>
      <c r="IA112" s="12"/>
      <c r="IB112" s="17"/>
    </row>
    <row r="113" spans="1:236" ht="14.45" hidden="1" customHeight="1" x14ac:dyDescent="0.25">
      <c r="A113" s="47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150"/>
      <c r="N113" s="12"/>
      <c r="R113" s="108"/>
      <c r="S113" s="108"/>
      <c r="T113" s="108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143"/>
      <c r="BM113" s="143"/>
      <c r="BN113" s="143"/>
      <c r="BO113" s="143"/>
      <c r="BP113" s="143"/>
      <c r="BQ113" s="143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143"/>
      <c r="CF113" s="143"/>
      <c r="CG113" s="143"/>
      <c r="CH113" s="143"/>
      <c r="CI113" s="143"/>
      <c r="CJ113" s="143"/>
      <c r="CK113" s="12"/>
      <c r="CL113" s="5"/>
      <c r="CM113" s="5"/>
      <c r="CN113" s="5"/>
      <c r="CO113" s="5"/>
      <c r="CP113" s="5"/>
      <c r="CQ113" s="5"/>
      <c r="CR113" s="5"/>
      <c r="CS113" s="130"/>
      <c r="CT113" s="12"/>
      <c r="CU113" s="17"/>
      <c r="CV113" s="130"/>
      <c r="CW113" s="12"/>
      <c r="CX113" s="12"/>
      <c r="CY113" s="12"/>
      <c r="CZ113" s="12"/>
      <c r="DA113" s="12"/>
      <c r="DB113" s="12"/>
      <c r="DC113" s="12"/>
      <c r="DD113" s="130"/>
      <c r="DE113" s="130"/>
      <c r="DF113" s="130"/>
      <c r="DG113" s="130"/>
      <c r="DH113" s="130"/>
      <c r="DI113" s="130"/>
      <c r="DJ113" s="130"/>
      <c r="DK113" s="130"/>
      <c r="DL113" s="130"/>
      <c r="DM113" s="130"/>
      <c r="DN113" s="12"/>
      <c r="DO113" s="17"/>
      <c r="EH113" s="12"/>
      <c r="EI113" s="17"/>
      <c r="FM113" s="12"/>
      <c r="FN113" s="17"/>
      <c r="GJ113" s="12"/>
      <c r="GK113" s="17"/>
      <c r="GT113" s="103"/>
      <c r="GU113" s="103"/>
      <c r="GV113" s="103"/>
      <c r="GW113" s="103"/>
      <c r="GX113" s="103"/>
      <c r="GY113" s="103"/>
      <c r="GZ113" s="103"/>
      <c r="HA113" s="103"/>
      <c r="HB113" s="103"/>
      <c r="HC113" s="103"/>
      <c r="HD113" s="103"/>
      <c r="HE113" s="12"/>
      <c r="HF113" s="17"/>
      <c r="HO113" s="103"/>
      <c r="HP113" s="12"/>
      <c r="HQ113" s="17"/>
      <c r="HZ113" s="103"/>
      <c r="IA113" s="12"/>
      <c r="IB113" s="17"/>
    </row>
    <row r="114" spans="1:236" ht="14.45" hidden="1" customHeight="1" x14ac:dyDescent="0.25">
      <c r="A114" s="47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150"/>
      <c r="N114" s="12"/>
      <c r="R114" s="108"/>
      <c r="S114" s="108"/>
      <c r="T114" s="108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143"/>
      <c r="BM114" s="143"/>
      <c r="BN114" s="143"/>
      <c r="BO114" s="143"/>
      <c r="BP114" s="143"/>
      <c r="BQ114" s="143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143"/>
      <c r="CF114" s="143"/>
      <c r="CG114" s="143"/>
      <c r="CH114" s="143"/>
      <c r="CI114" s="143"/>
      <c r="CJ114" s="143"/>
      <c r="CK114" s="12"/>
      <c r="CL114" s="5"/>
      <c r="CM114" s="5"/>
      <c r="CN114" s="5"/>
      <c r="CO114" s="5"/>
      <c r="CP114" s="5"/>
      <c r="CQ114" s="5"/>
      <c r="CR114" s="5"/>
      <c r="CS114" s="130"/>
      <c r="CT114" s="12"/>
      <c r="CU114" s="17"/>
      <c r="CV114" s="130"/>
      <c r="CW114" s="12"/>
      <c r="CX114" s="12"/>
      <c r="CY114" s="12"/>
      <c r="CZ114" s="12"/>
      <c r="DA114" s="12"/>
      <c r="DB114" s="12"/>
      <c r="DC114" s="12"/>
      <c r="DD114" s="130"/>
      <c r="DE114" s="130"/>
      <c r="DF114" s="130"/>
      <c r="DG114" s="130"/>
      <c r="DH114" s="130"/>
      <c r="DI114" s="130"/>
      <c r="DJ114" s="130"/>
      <c r="DK114" s="130"/>
      <c r="DL114" s="130"/>
      <c r="DM114" s="130"/>
      <c r="DN114" s="12"/>
      <c r="DO114" s="17"/>
      <c r="EH114" s="12"/>
      <c r="EI114" s="17"/>
      <c r="FM114" s="12"/>
      <c r="FN114" s="17"/>
      <c r="GJ114" s="12"/>
      <c r="GK114" s="17"/>
      <c r="GT114" s="103"/>
      <c r="GU114" s="103"/>
      <c r="GV114" s="103"/>
      <c r="GW114" s="103"/>
      <c r="GX114" s="103"/>
      <c r="GY114" s="103"/>
      <c r="GZ114" s="103"/>
      <c r="HA114" s="103"/>
      <c r="HB114" s="103"/>
      <c r="HC114" s="103"/>
      <c r="HD114" s="103"/>
      <c r="HE114" s="12"/>
      <c r="HF114" s="17"/>
      <c r="HO114" s="103"/>
      <c r="HP114" s="12"/>
      <c r="HQ114" s="17"/>
      <c r="HZ114" s="103"/>
      <c r="IA114" s="12"/>
      <c r="IB114" s="17"/>
    </row>
    <row r="115" spans="1:236" ht="14.45" hidden="1" customHeight="1" x14ac:dyDescent="0.25">
      <c r="A115" s="47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150"/>
      <c r="N115" s="12"/>
      <c r="R115" s="108"/>
      <c r="S115" s="108"/>
      <c r="T115" s="108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143"/>
      <c r="BM115" s="143"/>
      <c r="BN115" s="143"/>
      <c r="BO115" s="143"/>
      <c r="BP115" s="143"/>
      <c r="BQ115" s="143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143"/>
      <c r="CF115" s="143"/>
      <c r="CG115" s="143"/>
      <c r="CH115" s="143"/>
      <c r="CI115" s="143"/>
      <c r="CJ115" s="143"/>
      <c r="CK115" s="12"/>
      <c r="CL115" s="5"/>
      <c r="CM115" s="5"/>
      <c r="CN115" s="5"/>
      <c r="CO115" s="5"/>
      <c r="CP115" s="5"/>
      <c r="CQ115" s="5"/>
      <c r="CR115" s="5"/>
      <c r="CS115" s="130"/>
      <c r="CT115" s="12"/>
      <c r="CU115" s="17"/>
      <c r="CV115" s="130"/>
      <c r="CW115" s="12"/>
      <c r="CX115" s="12"/>
      <c r="CY115" s="12"/>
      <c r="CZ115" s="12"/>
      <c r="DA115" s="12"/>
      <c r="DB115" s="12"/>
      <c r="DC115" s="12"/>
      <c r="DD115" s="130"/>
      <c r="DE115" s="130"/>
      <c r="DF115" s="130"/>
      <c r="DG115" s="130"/>
      <c r="DH115" s="130"/>
      <c r="DI115" s="130"/>
      <c r="DJ115" s="130"/>
      <c r="DK115" s="130"/>
      <c r="DL115" s="130"/>
      <c r="DM115" s="130"/>
      <c r="DN115" s="12"/>
      <c r="DO115" s="17"/>
      <c r="EH115" s="12"/>
      <c r="EI115" s="17"/>
      <c r="FM115" s="12"/>
      <c r="FN115" s="17"/>
      <c r="GJ115" s="12"/>
      <c r="GK115" s="17"/>
      <c r="GT115" s="103"/>
      <c r="GU115" s="103"/>
      <c r="GV115" s="103"/>
      <c r="GW115" s="103"/>
      <c r="GX115" s="103"/>
      <c r="GY115" s="103"/>
      <c r="GZ115" s="103"/>
      <c r="HA115" s="103"/>
      <c r="HB115" s="103"/>
      <c r="HC115" s="103"/>
      <c r="HD115" s="103"/>
      <c r="HE115" s="12"/>
      <c r="HF115" s="17"/>
      <c r="HO115" s="103"/>
      <c r="HP115" s="12"/>
      <c r="HQ115" s="17"/>
      <c r="HZ115" s="103"/>
      <c r="IA115" s="12"/>
      <c r="IB115" s="17"/>
    </row>
    <row r="116" spans="1:236" ht="14.45" hidden="1" customHeight="1" x14ac:dyDescent="0.25">
      <c r="A116" s="47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150"/>
      <c r="N116" s="12"/>
      <c r="R116" s="108"/>
      <c r="S116" s="108"/>
      <c r="T116" s="108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143"/>
      <c r="BM116" s="143"/>
      <c r="BN116" s="143"/>
      <c r="BO116" s="143"/>
      <c r="BP116" s="143"/>
      <c r="BQ116" s="143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143"/>
      <c r="CF116" s="143"/>
      <c r="CG116" s="143"/>
      <c r="CH116" s="143"/>
      <c r="CI116" s="143"/>
      <c r="CJ116" s="143"/>
      <c r="CK116" s="12"/>
      <c r="CL116" s="5"/>
      <c r="CM116" s="5"/>
      <c r="CN116" s="5"/>
      <c r="CO116" s="5"/>
      <c r="CP116" s="5"/>
      <c r="CQ116" s="5"/>
      <c r="CR116" s="5"/>
      <c r="CS116" s="130"/>
      <c r="CT116" s="12"/>
      <c r="CU116" s="17"/>
      <c r="CV116" s="130"/>
      <c r="CW116" s="12"/>
      <c r="CX116" s="12"/>
      <c r="CY116" s="12"/>
      <c r="CZ116" s="12"/>
      <c r="DA116" s="12"/>
      <c r="DB116" s="12"/>
      <c r="DC116" s="12"/>
      <c r="DD116" s="130"/>
      <c r="DE116" s="130"/>
      <c r="DF116" s="130"/>
      <c r="DG116" s="130"/>
      <c r="DH116" s="130"/>
      <c r="DI116" s="130"/>
      <c r="DJ116" s="130"/>
      <c r="DK116" s="130"/>
      <c r="DL116" s="130"/>
      <c r="DM116" s="130"/>
      <c r="DN116" s="12"/>
      <c r="DO116" s="17"/>
      <c r="EH116" s="12"/>
      <c r="EI116" s="17"/>
      <c r="FM116" s="12"/>
      <c r="FN116" s="17"/>
      <c r="GJ116" s="12"/>
      <c r="GK116" s="17"/>
      <c r="GT116" s="103"/>
      <c r="GU116" s="103"/>
      <c r="GV116" s="103"/>
      <c r="GW116" s="103"/>
      <c r="GX116" s="103"/>
      <c r="GY116" s="103"/>
      <c r="GZ116" s="103"/>
      <c r="HA116" s="103"/>
      <c r="HB116" s="103"/>
      <c r="HC116" s="103"/>
      <c r="HD116" s="103"/>
      <c r="HE116" s="12"/>
      <c r="HF116" s="17"/>
      <c r="HO116" s="103"/>
      <c r="HP116" s="12"/>
      <c r="HQ116" s="17"/>
      <c r="HZ116" s="103"/>
      <c r="IA116" s="12"/>
      <c r="IB116" s="17"/>
    </row>
    <row r="117" spans="1:236" ht="14.45" hidden="1" customHeight="1" x14ac:dyDescent="0.25">
      <c r="A117" s="47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150"/>
      <c r="N117" s="12"/>
      <c r="R117" s="108"/>
      <c r="S117" s="108"/>
      <c r="T117" s="108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143"/>
      <c r="BM117" s="143"/>
      <c r="BN117" s="143"/>
      <c r="BO117" s="143"/>
      <c r="BP117" s="143"/>
      <c r="BQ117" s="143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143"/>
      <c r="CF117" s="143"/>
      <c r="CG117" s="143"/>
      <c r="CH117" s="143"/>
      <c r="CI117" s="143"/>
      <c r="CJ117" s="143"/>
      <c r="CK117" s="12"/>
      <c r="CL117" s="5"/>
      <c r="CM117" s="5"/>
      <c r="CN117" s="5"/>
      <c r="CO117" s="5"/>
      <c r="CP117" s="5"/>
      <c r="CQ117" s="5"/>
      <c r="CR117" s="5"/>
      <c r="CS117" s="130"/>
      <c r="CT117" s="12"/>
      <c r="CU117" s="17"/>
      <c r="CV117" s="130"/>
      <c r="CW117" s="12"/>
      <c r="CX117" s="12"/>
      <c r="CY117" s="12"/>
      <c r="CZ117" s="12"/>
      <c r="DA117" s="12"/>
      <c r="DB117" s="12"/>
      <c r="DC117" s="12"/>
      <c r="DD117" s="130"/>
      <c r="DE117" s="130"/>
      <c r="DF117" s="130"/>
      <c r="DG117" s="130"/>
      <c r="DH117" s="130"/>
      <c r="DI117" s="130"/>
      <c r="DJ117" s="130"/>
      <c r="DK117" s="130"/>
      <c r="DL117" s="130"/>
      <c r="DM117" s="130"/>
      <c r="DN117" s="12"/>
      <c r="DO117" s="17"/>
      <c r="EH117" s="12"/>
      <c r="EI117" s="17"/>
      <c r="FM117" s="12"/>
      <c r="FN117" s="17"/>
      <c r="GJ117" s="12"/>
      <c r="GK117" s="17"/>
      <c r="GT117" s="103"/>
      <c r="GU117" s="103"/>
      <c r="GV117" s="103"/>
      <c r="GW117" s="103"/>
      <c r="GX117" s="103"/>
      <c r="GY117" s="103"/>
      <c r="GZ117" s="103"/>
      <c r="HA117" s="103"/>
      <c r="HB117" s="103"/>
      <c r="HC117" s="103"/>
      <c r="HD117" s="103"/>
      <c r="HE117" s="12"/>
      <c r="HF117" s="17"/>
      <c r="HO117" s="103"/>
      <c r="HP117" s="12"/>
      <c r="HQ117" s="17"/>
      <c r="HZ117" s="103"/>
      <c r="IA117" s="12"/>
      <c r="IB117" s="17"/>
    </row>
    <row r="118" spans="1:236" ht="14.45" hidden="1" customHeight="1" x14ac:dyDescent="0.25">
      <c r="A118" s="47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150"/>
      <c r="N118" s="12"/>
      <c r="R118" s="108"/>
      <c r="S118" s="108"/>
      <c r="T118" s="108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143"/>
      <c r="BM118" s="143"/>
      <c r="BN118" s="143"/>
      <c r="BO118" s="143"/>
      <c r="BP118" s="143"/>
      <c r="BQ118" s="143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143"/>
      <c r="CF118" s="143"/>
      <c r="CG118" s="143"/>
      <c r="CH118" s="143"/>
      <c r="CI118" s="143"/>
      <c r="CJ118" s="143"/>
      <c r="CK118" s="12"/>
      <c r="CL118" s="5"/>
      <c r="CM118" s="5"/>
      <c r="CN118" s="5"/>
      <c r="CO118" s="5"/>
      <c r="CP118" s="5"/>
      <c r="CQ118" s="5"/>
      <c r="CR118" s="5"/>
      <c r="CS118" s="130"/>
      <c r="CT118" s="12"/>
      <c r="CU118" s="17"/>
      <c r="CV118" s="130"/>
      <c r="CW118" s="12"/>
      <c r="CX118" s="12"/>
      <c r="CY118" s="12"/>
      <c r="CZ118" s="12"/>
      <c r="DA118" s="12"/>
      <c r="DB118" s="12"/>
      <c r="DC118" s="12"/>
      <c r="DD118" s="130"/>
      <c r="DE118" s="130"/>
      <c r="DF118" s="130"/>
      <c r="DG118" s="130"/>
      <c r="DH118" s="130"/>
      <c r="DI118" s="130"/>
      <c r="DJ118" s="130"/>
      <c r="DK118" s="130"/>
      <c r="DL118" s="130"/>
      <c r="DM118" s="130"/>
      <c r="DN118" s="12"/>
      <c r="DO118" s="17"/>
      <c r="EH118" s="12"/>
      <c r="EI118" s="17"/>
      <c r="FM118" s="12"/>
      <c r="FN118" s="17"/>
      <c r="GJ118" s="12"/>
      <c r="GK118" s="17"/>
      <c r="GT118" s="103"/>
      <c r="GU118" s="103"/>
      <c r="GV118" s="103"/>
      <c r="GW118" s="103"/>
      <c r="GX118" s="103"/>
      <c r="GY118" s="103"/>
      <c r="GZ118" s="103"/>
      <c r="HA118" s="103"/>
      <c r="HB118" s="103"/>
      <c r="HC118" s="103"/>
      <c r="HD118" s="103"/>
      <c r="HE118" s="12"/>
      <c r="HF118" s="17"/>
      <c r="HO118" s="103"/>
      <c r="HP118" s="12"/>
      <c r="HQ118" s="17"/>
      <c r="HZ118" s="103"/>
      <c r="IA118" s="12"/>
      <c r="IB118" s="17"/>
    </row>
    <row r="119" spans="1:236" ht="14.45" hidden="1" customHeight="1" x14ac:dyDescent="0.25">
      <c r="A119" s="47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150"/>
      <c r="N119" s="12"/>
      <c r="R119" s="108"/>
      <c r="S119" s="108"/>
      <c r="T119" s="108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143"/>
      <c r="BM119" s="143"/>
      <c r="BN119" s="143"/>
      <c r="BO119" s="143"/>
      <c r="BP119" s="143"/>
      <c r="BQ119" s="143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143"/>
      <c r="CF119" s="143"/>
      <c r="CG119" s="143"/>
      <c r="CH119" s="143"/>
      <c r="CI119" s="143"/>
      <c r="CJ119" s="143"/>
      <c r="CK119" s="12"/>
      <c r="CL119" s="5"/>
      <c r="CM119" s="5"/>
      <c r="CN119" s="5"/>
      <c r="CO119" s="5"/>
      <c r="CP119" s="5"/>
      <c r="CQ119" s="5"/>
      <c r="CR119" s="5"/>
      <c r="CS119" s="130"/>
      <c r="CT119" s="12"/>
      <c r="CU119" s="17"/>
      <c r="CV119" s="130"/>
      <c r="CW119" s="12"/>
      <c r="CX119" s="12"/>
      <c r="CY119" s="12"/>
      <c r="CZ119" s="12"/>
      <c r="DA119" s="12"/>
      <c r="DB119" s="12"/>
      <c r="DC119" s="12"/>
      <c r="DD119" s="130"/>
      <c r="DE119" s="130"/>
      <c r="DF119" s="130"/>
      <c r="DG119" s="130"/>
      <c r="DH119" s="130"/>
      <c r="DI119" s="130"/>
      <c r="DJ119" s="130"/>
      <c r="DK119" s="130"/>
      <c r="DL119" s="130"/>
      <c r="DM119" s="130"/>
      <c r="DN119" s="12"/>
      <c r="DO119" s="17"/>
      <c r="EH119" s="12"/>
      <c r="EI119" s="17"/>
      <c r="FM119" s="12"/>
      <c r="FN119" s="17"/>
      <c r="GJ119" s="12"/>
      <c r="GK119" s="17"/>
      <c r="GT119" s="103"/>
      <c r="GU119" s="103"/>
      <c r="GV119" s="103"/>
      <c r="GW119" s="103"/>
      <c r="GX119" s="103"/>
      <c r="GY119" s="103"/>
      <c r="GZ119" s="103"/>
      <c r="HA119" s="103"/>
      <c r="HB119" s="103"/>
      <c r="HC119" s="103"/>
      <c r="HD119" s="103"/>
      <c r="HE119" s="12"/>
      <c r="HF119" s="17"/>
      <c r="HO119" s="103"/>
      <c r="HP119" s="12"/>
      <c r="HQ119" s="17"/>
      <c r="HZ119" s="103"/>
      <c r="IA119" s="12"/>
      <c r="IB119" s="17"/>
    </row>
    <row r="120" spans="1:236" ht="14.45" hidden="1" customHeight="1" x14ac:dyDescent="0.25">
      <c r="A120" s="47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150"/>
      <c r="N120" s="12"/>
      <c r="R120" s="108"/>
      <c r="S120" s="108"/>
      <c r="T120" s="108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143"/>
      <c r="BM120" s="143"/>
      <c r="BN120" s="143"/>
      <c r="BO120" s="143"/>
      <c r="BP120" s="143"/>
      <c r="BQ120" s="143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143"/>
      <c r="CF120" s="143"/>
      <c r="CG120" s="143"/>
      <c r="CH120" s="143"/>
      <c r="CI120" s="143"/>
      <c r="CJ120" s="143"/>
      <c r="CK120" s="12"/>
      <c r="CL120" s="5"/>
      <c r="CM120" s="5"/>
      <c r="CN120" s="5"/>
      <c r="CO120" s="5"/>
      <c r="CP120" s="5"/>
      <c r="CQ120" s="5"/>
      <c r="CR120" s="5"/>
      <c r="CS120" s="130"/>
      <c r="CT120" s="12"/>
      <c r="CU120" s="17"/>
      <c r="CV120" s="130"/>
      <c r="CW120" s="12"/>
      <c r="CX120" s="12"/>
      <c r="CY120" s="12"/>
      <c r="CZ120" s="12"/>
      <c r="DA120" s="12"/>
      <c r="DB120" s="12"/>
      <c r="DC120" s="12"/>
      <c r="DD120" s="130"/>
      <c r="DE120" s="130"/>
      <c r="DF120" s="130"/>
      <c r="DG120" s="130"/>
      <c r="DH120" s="130"/>
      <c r="DI120" s="130"/>
      <c r="DJ120" s="130"/>
      <c r="DK120" s="130"/>
      <c r="DL120" s="130"/>
      <c r="DM120" s="130"/>
      <c r="DN120" s="12"/>
      <c r="DO120" s="17"/>
      <c r="EH120" s="12"/>
      <c r="EI120" s="17"/>
      <c r="FM120" s="12"/>
      <c r="FN120" s="17"/>
      <c r="GJ120" s="12"/>
      <c r="GK120" s="17"/>
      <c r="GT120" s="103"/>
      <c r="GU120" s="103"/>
      <c r="GV120" s="103"/>
      <c r="GW120" s="103"/>
      <c r="GX120" s="103"/>
      <c r="GY120" s="103"/>
      <c r="GZ120" s="103"/>
      <c r="HA120" s="103"/>
      <c r="HB120" s="103"/>
      <c r="HC120" s="103"/>
      <c r="HD120" s="103"/>
      <c r="HE120" s="12"/>
      <c r="HF120" s="17"/>
      <c r="HO120" s="103"/>
      <c r="HP120" s="12"/>
      <c r="HQ120" s="17"/>
      <c r="HZ120" s="103"/>
      <c r="IA120" s="12"/>
      <c r="IB120" s="17"/>
    </row>
    <row r="121" spans="1:236" ht="14.45" hidden="1" customHeight="1" x14ac:dyDescent="0.25">
      <c r="A121" s="47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150"/>
      <c r="N121" s="12"/>
      <c r="R121" s="108"/>
      <c r="S121" s="108"/>
      <c r="T121" s="108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143"/>
      <c r="BM121" s="143"/>
      <c r="BN121" s="143"/>
      <c r="BO121" s="143"/>
      <c r="BP121" s="143"/>
      <c r="BQ121" s="143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143"/>
      <c r="CF121" s="143"/>
      <c r="CG121" s="143"/>
      <c r="CH121" s="143"/>
      <c r="CI121" s="143"/>
      <c r="CJ121" s="143"/>
      <c r="CK121" s="12"/>
      <c r="CL121" s="5"/>
      <c r="CM121" s="5"/>
      <c r="CN121" s="5"/>
      <c r="CO121" s="5"/>
      <c r="CP121" s="5"/>
      <c r="CQ121" s="5"/>
      <c r="CR121" s="5"/>
      <c r="CS121" s="130"/>
      <c r="CT121" s="12"/>
      <c r="CU121" s="17"/>
      <c r="CV121" s="130"/>
      <c r="CW121" s="12"/>
      <c r="CX121" s="12"/>
      <c r="CY121" s="12"/>
      <c r="CZ121" s="12"/>
      <c r="DA121" s="12"/>
      <c r="DB121" s="12"/>
      <c r="DC121" s="12"/>
      <c r="DD121" s="130"/>
      <c r="DE121" s="130"/>
      <c r="DF121" s="130"/>
      <c r="DG121" s="130"/>
      <c r="DH121" s="130"/>
      <c r="DI121" s="130"/>
      <c r="DJ121" s="130"/>
      <c r="DK121" s="130"/>
      <c r="DL121" s="130"/>
      <c r="DM121" s="130"/>
      <c r="DN121" s="12"/>
      <c r="DO121" s="17"/>
      <c r="EH121" s="12"/>
      <c r="EI121" s="17"/>
      <c r="FM121" s="12"/>
      <c r="FN121" s="17"/>
      <c r="GJ121" s="12"/>
      <c r="GK121" s="17"/>
      <c r="GT121" s="103"/>
      <c r="GU121" s="103"/>
      <c r="GV121" s="103"/>
      <c r="GW121" s="103"/>
      <c r="GX121" s="103"/>
      <c r="GY121" s="103"/>
      <c r="GZ121" s="103"/>
      <c r="HA121" s="103"/>
      <c r="HB121" s="103"/>
      <c r="HC121" s="103"/>
      <c r="HD121" s="103"/>
      <c r="HE121" s="12"/>
      <c r="HF121" s="17"/>
      <c r="HO121" s="103"/>
      <c r="HP121" s="12"/>
      <c r="HQ121" s="17"/>
      <c r="HZ121" s="103"/>
      <c r="IA121" s="12"/>
      <c r="IB121" s="17"/>
    </row>
    <row r="122" spans="1:236" ht="14.45" hidden="1" customHeight="1" x14ac:dyDescent="0.25">
      <c r="A122" s="47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150"/>
      <c r="N122" s="12"/>
      <c r="R122" s="108"/>
      <c r="S122" s="108"/>
      <c r="T122" s="108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143"/>
      <c r="BM122" s="143"/>
      <c r="BN122" s="143"/>
      <c r="BO122" s="143"/>
      <c r="BP122" s="143"/>
      <c r="BQ122" s="143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143"/>
      <c r="CF122" s="143"/>
      <c r="CG122" s="143"/>
      <c r="CH122" s="143"/>
      <c r="CI122" s="143"/>
      <c r="CJ122" s="143"/>
      <c r="CK122" s="12"/>
      <c r="CL122" s="5"/>
      <c r="CM122" s="5"/>
      <c r="CN122" s="5"/>
      <c r="CO122" s="5"/>
      <c r="CP122" s="5"/>
      <c r="CQ122" s="5"/>
      <c r="CR122" s="5"/>
      <c r="CS122" s="130"/>
      <c r="CT122" s="12"/>
      <c r="CU122" s="17"/>
      <c r="CV122" s="130"/>
      <c r="CW122" s="12"/>
      <c r="CX122" s="12"/>
      <c r="CY122" s="12"/>
      <c r="CZ122" s="12"/>
      <c r="DA122" s="12"/>
      <c r="DB122" s="12"/>
      <c r="DC122" s="12"/>
      <c r="DD122" s="130"/>
      <c r="DE122" s="130"/>
      <c r="DF122" s="130"/>
      <c r="DG122" s="130"/>
      <c r="DH122" s="130"/>
      <c r="DI122" s="130"/>
      <c r="DJ122" s="130"/>
      <c r="DK122" s="130"/>
      <c r="DL122" s="130"/>
      <c r="DM122" s="130"/>
      <c r="DN122" s="12"/>
      <c r="DO122" s="17"/>
      <c r="EH122" s="12"/>
      <c r="EI122" s="17"/>
      <c r="FM122" s="12"/>
      <c r="FN122" s="17"/>
      <c r="GJ122" s="12"/>
      <c r="GK122" s="17"/>
      <c r="GT122" s="103"/>
      <c r="GU122" s="103"/>
      <c r="GV122" s="103"/>
      <c r="GW122" s="103"/>
      <c r="GX122" s="103"/>
      <c r="GY122" s="103"/>
      <c r="GZ122" s="103"/>
      <c r="HA122" s="103"/>
      <c r="HB122" s="103"/>
      <c r="HC122" s="103"/>
      <c r="HD122" s="103"/>
      <c r="HE122" s="12"/>
      <c r="HF122" s="17"/>
      <c r="HO122" s="103"/>
      <c r="HP122" s="12"/>
      <c r="HQ122" s="17"/>
      <c r="HZ122" s="103"/>
      <c r="IA122" s="12"/>
      <c r="IB122" s="17"/>
    </row>
    <row r="123" spans="1:236" ht="14.45" hidden="1" customHeight="1" x14ac:dyDescent="0.25">
      <c r="A123" s="47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150"/>
      <c r="N123" s="12"/>
      <c r="R123" s="108"/>
      <c r="S123" s="108"/>
      <c r="T123" s="108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143"/>
      <c r="BM123" s="143"/>
      <c r="BN123" s="143"/>
      <c r="BO123" s="143"/>
      <c r="BP123" s="143"/>
      <c r="BQ123" s="143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143"/>
      <c r="CF123" s="143"/>
      <c r="CG123" s="143"/>
      <c r="CH123" s="143"/>
      <c r="CI123" s="143"/>
      <c r="CJ123" s="143"/>
      <c r="CK123" s="12"/>
      <c r="CL123" s="5"/>
      <c r="CM123" s="5"/>
      <c r="CN123" s="5"/>
      <c r="CO123" s="5"/>
      <c r="CP123" s="5"/>
      <c r="CQ123" s="5"/>
      <c r="CR123" s="5"/>
      <c r="CS123" s="130"/>
      <c r="CT123" s="12"/>
      <c r="CU123" s="17"/>
      <c r="CV123" s="130"/>
      <c r="CW123" s="12"/>
      <c r="CX123" s="12"/>
      <c r="CY123" s="12"/>
      <c r="CZ123" s="12"/>
      <c r="DA123" s="12"/>
      <c r="DB123" s="12"/>
      <c r="DC123" s="12"/>
      <c r="DD123" s="130"/>
      <c r="DE123" s="130"/>
      <c r="DF123" s="130"/>
      <c r="DG123" s="130"/>
      <c r="DH123" s="130"/>
      <c r="DI123" s="130"/>
      <c r="DJ123" s="130"/>
      <c r="DK123" s="130"/>
      <c r="DL123" s="130"/>
      <c r="DM123" s="130"/>
      <c r="DN123" s="12"/>
      <c r="DO123" s="17"/>
      <c r="EH123" s="12"/>
      <c r="EI123" s="17"/>
      <c r="FM123" s="12"/>
      <c r="FN123" s="17"/>
      <c r="GJ123" s="12"/>
      <c r="GK123" s="17"/>
      <c r="GT123" s="103"/>
      <c r="GU123" s="103"/>
      <c r="GV123" s="103"/>
      <c r="GW123" s="103"/>
      <c r="GX123" s="103"/>
      <c r="GY123" s="103"/>
      <c r="GZ123" s="103"/>
      <c r="HA123" s="103"/>
      <c r="HB123" s="103"/>
      <c r="HC123" s="103"/>
      <c r="HD123" s="103"/>
      <c r="HE123" s="12"/>
      <c r="HF123" s="17"/>
      <c r="HO123" s="103"/>
      <c r="HP123" s="12"/>
      <c r="HQ123" s="17"/>
      <c r="HZ123" s="103"/>
      <c r="IA123" s="12"/>
      <c r="IB123" s="17"/>
    </row>
    <row r="124" spans="1:236" ht="14.45" hidden="1" customHeight="1" x14ac:dyDescent="0.25">
      <c r="A124" s="47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150"/>
      <c r="N124" s="12"/>
      <c r="R124" s="108"/>
      <c r="S124" s="108"/>
      <c r="T124" s="108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143"/>
      <c r="BM124" s="143"/>
      <c r="BN124" s="143"/>
      <c r="BO124" s="143"/>
      <c r="BP124" s="143"/>
      <c r="BQ124" s="143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143"/>
      <c r="CF124" s="143"/>
      <c r="CG124" s="143"/>
      <c r="CH124" s="143"/>
      <c r="CI124" s="143"/>
      <c r="CJ124" s="143"/>
      <c r="CK124" s="12"/>
      <c r="CL124" s="5"/>
      <c r="CM124" s="5"/>
      <c r="CN124" s="5"/>
      <c r="CO124" s="5"/>
      <c r="CP124" s="5"/>
      <c r="CQ124" s="5"/>
      <c r="CR124" s="5"/>
      <c r="CS124" s="130"/>
      <c r="CT124" s="12"/>
      <c r="CU124" s="17"/>
      <c r="CV124" s="130"/>
      <c r="CW124" s="12"/>
      <c r="CX124" s="12"/>
      <c r="CY124" s="12"/>
      <c r="CZ124" s="12"/>
      <c r="DA124" s="12"/>
      <c r="DB124" s="12"/>
      <c r="DC124" s="12"/>
      <c r="DD124" s="130"/>
      <c r="DE124" s="130"/>
      <c r="DF124" s="130"/>
      <c r="DG124" s="130"/>
      <c r="DH124" s="130"/>
      <c r="DI124" s="130"/>
      <c r="DJ124" s="130"/>
      <c r="DK124" s="130"/>
      <c r="DL124" s="130"/>
      <c r="DM124" s="130"/>
      <c r="DN124" s="12"/>
      <c r="DO124" s="17"/>
      <c r="EH124" s="12"/>
      <c r="EI124" s="17"/>
      <c r="FM124" s="12"/>
      <c r="FN124" s="17"/>
      <c r="GJ124" s="12"/>
      <c r="GK124" s="17"/>
      <c r="GT124" s="103"/>
      <c r="GU124" s="103"/>
      <c r="GV124" s="103"/>
      <c r="GW124" s="103"/>
      <c r="GX124" s="103"/>
      <c r="GY124" s="103"/>
      <c r="GZ124" s="103"/>
      <c r="HA124" s="103"/>
      <c r="HB124" s="103"/>
      <c r="HC124" s="103"/>
      <c r="HD124" s="103"/>
      <c r="HE124" s="12"/>
      <c r="HF124" s="17"/>
      <c r="HO124" s="103"/>
      <c r="HP124" s="12"/>
      <c r="HQ124" s="17"/>
      <c r="HZ124" s="103"/>
      <c r="IA124" s="12"/>
      <c r="IB124" s="17"/>
    </row>
    <row r="125" spans="1:236" ht="14.45" hidden="1" customHeight="1" x14ac:dyDescent="0.25">
      <c r="A125" s="47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150"/>
      <c r="N125" s="12"/>
      <c r="R125" s="108"/>
      <c r="S125" s="108"/>
      <c r="T125" s="108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143"/>
      <c r="BM125" s="143"/>
      <c r="BN125" s="143"/>
      <c r="BO125" s="143"/>
      <c r="BP125" s="143"/>
      <c r="BQ125" s="143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143"/>
      <c r="CF125" s="143"/>
      <c r="CG125" s="143"/>
      <c r="CH125" s="143"/>
      <c r="CI125" s="143"/>
      <c r="CJ125" s="143"/>
      <c r="CK125" s="12"/>
      <c r="CL125" s="5"/>
      <c r="CM125" s="5"/>
      <c r="CN125" s="5"/>
      <c r="CO125" s="5"/>
      <c r="CP125" s="5"/>
      <c r="CQ125" s="5"/>
      <c r="CR125" s="5"/>
      <c r="CS125" s="130"/>
      <c r="CT125" s="12"/>
      <c r="CU125" s="17"/>
      <c r="CV125" s="130"/>
      <c r="CW125" s="12"/>
      <c r="CX125" s="12"/>
      <c r="CY125" s="12"/>
      <c r="CZ125" s="12"/>
      <c r="DA125" s="12"/>
      <c r="DB125" s="12"/>
      <c r="DC125" s="12"/>
      <c r="DD125" s="130"/>
      <c r="DE125" s="130"/>
      <c r="DF125" s="130"/>
      <c r="DG125" s="130"/>
      <c r="DH125" s="130"/>
      <c r="DI125" s="130"/>
      <c r="DJ125" s="130"/>
      <c r="DK125" s="130"/>
      <c r="DL125" s="130"/>
      <c r="DM125" s="130"/>
      <c r="DN125" s="12"/>
      <c r="DO125" s="17"/>
      <c r="EH125" s="12"/>
      <c r="EI125" s="17"/>
      <c r="FM125" s="12"/>
      <c r="FN125" s="17"/>
      <c r="GJ125" s="12"/>
      <c r="GK125" s="17"/>
      <c r="GT125" s="103"/>
      <c r="GU125" s="103"/>
      <c r="GV125" s="103"/>
      <c r="GW125" s="103"/>
      <c r="GX125" s="103"/>
      <c r="GY125" s="103"/>
      <c r="GZ125" s="103"/>
      <c r="HA125" s="103"/>
      <c r="HB125" s="103"/>
      <c r="HC125" s="103"/>
      <c r="HD125" s="103"/>
      <c r="HE125" s="12"/>
      <c r="HF125" s="17"/>
      <c r="HO125" s="103"/>
      <c r="HP125" s="12"/>
      <c r="HQ125" s="17"/>
      <c r="HZ125" s="103"/>
      <c r="IA125" s="12"/>
      <c r="IB125" s="17"/>
    </row>
    <row r="126" spans="1:236" ht="14.45" hidden="1" customHeight="1" x14ac:dyDescent="0.25">
      <c r="A126" s="47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150"/>
      <c r="N126" s="12"/>
      <c r="R126" s="108"/>
      <c r="S126" s="108"/>
      <c r="T126" s="108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143"/>
      <c r="BM126" s="143"/>
      <c r="BN126" s="143"/>
      <c r="BO126" s="143"/>
      <c r="BP126" s="143"/>
      <c r="BQ126" s="143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143"/>
      <c r="CF126" s="143"/>
      <c r="CG126" s="143"/>
      <c r="CH126" s="143"/>
      <c r="CI126" s="143"/>
      <c r="CJ126" s="143"/>
      <c r="CK126" s="12"/>
      <c r="CL126" s="5"/>
      <c r="CM126" s="5"/>
      <c r="CN126" s="5"/>
      <c r="CO126" s="5"/>
      <c r="CP126" s="5"/>
      <c r="CQ126" s="5"/>
      <c r="CR126" s="5"/>
      <c r="CS126" s="130"/>
      <c r="CT126" s="12"/>
      <c r="CU126" s="17"/>
      <c r="CV126" s="130"/>
      <c r="CW126" s="12"/>
      <c r="CX126" s="12"/>
      <c r="CY126" s="12"/>
      <c r="CZ126" s="12"/>
      <c r="DA126" s="12"/>
      <c r="DB126" s="12"/>
      <c r="DC126" s="12"/>
      <c r="DD126" s="130"/>
      <c r="DE126" s="130"/>
      <c r="DF126" s="130"/>
      <c r="DG126" s="130"/>
      <c r="DH126" s="130"/>
      <c r="DI126" s="130"/>
      <c r="DJ126" s="130"/>
      <c r="DK126" s="130"/>
      <c r="DL126" s="130"/>
      <c r="DM126" s="130"/>
      <c r="DN126" s="12"/>
      <c r="DO126" s="17"/>
      <c r="EH126" s="12"/>
      <c r="EI126" s="17"/>
      <c r="FM126" s="12"/>
      <c r="FN126" s="17"/>
      <c r="GJ126" s="12"/>
      <c r="GK126" s="17"/>
      <c r="GT126" s="103"/>
      <c r="GU126" s="103"/>
      <c r="GV126" s="103"/>
      <c r="GW126" s="103"/>
      <c r="GX126" s="103"/>
      <c r="GY126" s="103"/>
      <c r="GZ126" s="103"/>
      <c r="HA126" s="103"/>
      <c r="HB126" s="103"/>
      <c r="HC126" s="103"/>
      <c r="HD126" s="103"/>
      <c r="HE126" s="12"/>
      <c r="HF126" s="17"/>
      <c r="HO126" s="103"/>
      <c r="HP126" s="12"/>
      <c r="HQ126" s="17"/>
      <c r="HZ126" s="103"/>
      <c r="IA126" s="12"/>
      <c r="IB126" s="17"/>
    </row>
    <row r="127" spans="1:236" ht="14.45" hidden="1" customHeight="1" x14ac:dyDescent="0.25">
      <c r="A127" s="47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150"/>
      <c r="N127" s="12"/>
      <c r="R127" s="108"/>
      <c r="S127" s="108"/>
      <c r="T127" s="108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143"/>
      <c r="BM127" s="143"/>
      <c r="BN127" s="143"/>
      <c r="BO127" s="143"/>
      <c r="BP127" s="143"/>
      <c r="BQ127" s="143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143"/>
      <c r="CF127" s="143"/>
      <c r="CG127" s="143"/>
      <c r="CH127" s="143"/>
      <c r="CI127" s="143"/>
      <c r="CJ127" s="143"/>
      <c r="CK127" s="12"/>
      <c r="CL127" s="5"/>
      <c r="CM127" s="5"/>
      <c r="CN127" s="5"/>
      <c r="CO127" s="5"/>
      <c r="CP127" s="5"/>
      <c r="CQ127" s="5"/>
      <c r="CR127" s="5"/>
      <c r="CS127" s="130"/>
      <c r="CT127" s="12"/>
      <c r="CU127" s="17"/>
      <c r="CV127" s="130"/>
      <c r="CW127" s="12"/>
      <c r="CX127" s="12"/>
      <c r="CY127" s="12"/>
      <c r="CZ127" s="12"/>
      <c r="DA127" s="12"/>
      <c r="DB127" s="12"/>
      <c r="DC127" s="12"/>
      <c r="DD127" s="130"/>
      <c r="DE127" s="130"/>
      <c r="DF127" s="130"/>
      <c r="DG127" s="130"/>
      <c r="DH127" s="130"/>
      <c r="DI127" s="130"/>
      <c r="DJ127" s="130"/>
      <c r="DK127" s="130"/>
      <c r="DL127" s="130"/>
      <c r="DM127" s="130"/>
      <c r="DN127" s="12"/>
      <c r="DO127" s="17"/>
      <c r="EH127" s="12"/>
      <c r="EI127" s="17"/>
      <c r="FM127" s="12"/>
      <c r="FN127" s="17"/>
      <c r="GJ127" s="12"/>
      <c r="GK127" s="17"/>
      <c r="GT127" s="103"/>
      <c r="GU127" s="103"/>
      <c r="GV127" s="103"/>
      <c r="GW127" s="103"/>
      <c r="GX127" s="103"/>
      <c r="GY127" s="103"/>
      <c r="GZ127" s="103"/>
      <c r="HA127" s="103"/>
      <c r="HB127" s="103"/>
      <c r="HC127" s="103"/>
      <c r="HD127" s="103"/>
      <c r="HE127" s="12"/>
      <c r="HF127" s="17"/>
      <c r="HO127" s="103"/>
      <c r="HP127" s="12"/>
      <c r="HQ127" s="17"/>
      <c r="HZ127" s="103"/>
      <c r="IA127" s="12"/>
      <c r="IB127" s="17"/>
    </row>
    <row r="128" spans="1:236" ht="14.45" hidden="1" customHeight="1" x14ac:dyDescent="0.25">
      <c r="A128" s="47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150"/>
      <c r="N128" s="12"/>
      <c r="R128" s="108"/>
      <c r="S128" s="108"/>
      <c r="T128" s="108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143"/>
      <c r="BM128" s="143"/>
      <c r="BN128" s="143"/>
      <c r="BO128" s="143"/>
      <c r="BP128" s="143"/>
      <c r="BQ128" s="143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143"/>
      <c r="CF128" s="143"/>
      <c r="CG128" s="143"/>
      <c r="CH128" s="143"/>
      <c r="CI128" s="143"/>
      <c r="CJ128" s="143"/>
      <c r="CK128" s="12"/>
      <c r="CL128" s="5"/>
      <c r="CM128" s="5"/>
      <c r="CN128" s="5"/>
      <c r="CO128" s="5"/>
      <c r="CP128" s="5"/>
      <c r="CQ128" s="5"/>
      <c r="CR128" s="5"/>
      <c r="CS128" s="130"/>
      <c r="CT128" s="12"/>
      <c r="CU128" s="17"/>
      <c r="CV128" s="130"/>
      <c r="CW128" s="12"/>
      <c r="CX128" s="12"/>
      <c r="CY128" s="12"/>
      <c r="CZ128" s="12"/>
      <c r="DA128" s="12"/>
      <c r="DB128" s="12"/>
      <c r="DC128" s="12"/>
      <c r="DD128" s="130"/>
      <c r="DE128" s="130"/>
      <c r="DF128" s="130"/>
      <c r="DG128" s="130"/>
      <c r="DH128" s="130"/>
      <c r="DI128" s="130"/>
      <c r="DJ128" s="130"/>
      <c r="DK128" s="130"/>
      <c r="DL128" s="130"/>
      <c r="DM128" s="130"/>
      <c r="DN128" s="12"/>
      <c r="DO128" s="17"/>
      <c r="EH128" s="12"/>
      <c r="EI128" s="17"/>
      <c r="FM128" s="12"/>
      <c r="FN128" s="17"/>
      <c r="GJ128" s="12"/>
      <c r="GK128" s="17"/>
      <c r="GT128" s="103"/>
      <c r="GU128" s="103"/>
      <c r="GV128" s="103"/>
      <c r="GW128" s="103"/>
      <c r="GX128" s="103"/>
      <c r="GY128" s="103"/>
      <c r="GZ128" s="103"/>
      <c r="HA128" s="103"/>
      <c r="HB128" s="103"/>
      <c r="HC128" s="103"/>
      <c r="HD128" s="103"/>
      <c r="HE128" s="12"/>
      <c r="HF128" s="17"/>
      <c r="HO128" s="103"/>
      <c r="HP128" s="12"/>
      <c r="HQ128" s="17"/>
      <c r="HZ128" s="103"/>
      <c r="IA128" s="12"/>
      <c r="IB128" s="17"/>
    </row>
    <row r="129" spans="1:236" ht="14.45" hidden="1" customHeight="1" x14ac:dyDescent="0.25">
      <c r="A129" s="47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150"/>
      <c r="N129" s="12"/>
      <c r="R129" s="108"/>
      <c r="S129" s="108"/>
      <c r="T129" s="108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143"/>
      <c r="BM129" s="143"/>
      <c r="BN129" s="143"/>
      <c r="BO129" s="143"/>
      <c r="BP129" s="143"/>
      <c r="BQ129" s="143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143"/>
      <c r="CF129" s="143"/>
      <c r="CG129" s="143"/>
      <c r="CH129" s="143"/>
      <c r="CI129" s="143"/>
      <c r="CJ129" s="143"/>
      <c r="CK129" s="12"/>
      <c r="CL129" s="5"/>
      <c r="CM129" s="5"/>
      <c r="CN129" s="5"/>
      <c r="CO129" s="5"/>
      <c r="CP129" s="5"/>
      <c r="CQ129" s="5"/>
      <c r="CR129" s="5"/>
      <c r="CS129" s="130"/>
      <c r="CT129" s="12"/>
      <c r="CU129" s="17"/>
      <c r="CV129" s="130"/>
      <c r="CW129" s="12"/>
      <c r="CX129" s="12"/>
      <c r="CY129" s="12"/>
      <c r="CZ129" s="12"/>
      <c r="DA129" s="12"/>
      <c r="DB129" s="12"/>
      <c r="DC129" s="12"/>
      <c r="DD129" s="130"/>
      <c r="DE129" s="130"/>
      <c r="DF129" s="130"/>
      <c r="DG129" s="130"/>
      <c r="DH129" s="130"/>
      <c r="DI129" s="130"/>
      <c r="DJ129" s="130"/>
      <c r="DK129" s="130"/>
      <c r="DL129" s="130"/>
      <c r="DM129" s="130"/>
      <c r="DN129" s="12"/>
      <c r="DO129" s="17"/>
      <c r="EH129" s="12"/>
      <c r="EI129" s="17"/>
      <c r="FM129" s="12"/>
      <c r="FN129" s="17"/>
      <c r="GJ129" s="12"/>
      <c r="GK129" s="17"/>
      <c r="GT129" s="103"/>
      <c r="GU129" s="103"/>
      <c r="GV129" s="103"/>
      <c r="GW129" s="103"/>
      <c r="GX129" s="103"/>
      <c r="GY129" s="103"/>
      <c r="GZ129" s="103"/>
      <c r="HA129" s="103"/>
      <c r="HB129" s="103"/>
      <c r="HC129" s="103"/>
      <c r="HD129" s="103"/>
      <c r="HE129" s="12"/>
      <c r="HF129" s="17"/>
      <c r="HO129" s="103"/>
      <c r="HP129" s="12"/>
      <c r="HQ129" s="17"/>
      <c r="HZ129" s="103"/>
      <c r="IA129" s="12"/>
      <c r="IB129" s="17"/>
    </row>
    <row r="130" spans="1:236" ht="14.45" hidden="1" customHeight="1" x14ac:dyDescent="0.25">
      <c r="A130" s="47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150"/>
      <c r="N130" s="12"/>
      <c r="R130" s="108"/>
      <c r="S130" s="108"/>
      <c r="T130" s="108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143"/>
      <c r="BM130" s="143"/>
      <c r="BN130" s="143"/>
      <c r="BO130" s="143"/>
      <c r="BP130" s="143"/>
      <c r="BQ130" s="143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143"/>
      <c r="CF130" s="143"/>
      <c r="CG130" s="143"/>
      <c r="CH130" s="143"/>
      <c r="CI130" s="143"/>
      <c r="CJ130" s="143"/>
      <c r="CK130" s="12"/>
      <c r="CL130" s="5"/>
      <c r="CM130" s="5"/>
      <c r="CN130" s="5"/>
      <c r="CO130" s="5"/>
      <c r="CP130" s="5"/>
      <c r="CQ130" s="5"/>
      <c r="CR130" s="5"/>
      <c r="CS130" s="130"/>
      <c r="CT130" s="12"/>
      <c r="CU130" s="17"/>
      <c r="CV130" s="130"/>
      <c r="CW130" s="12"/>
      <c r="CX130" s="12"/>
      <c r="CY130" s="12"/>
      <c r="CZ130" s="12"/>
      <c r="DA130" s="12"/>
      <c r="DB130" s="12"/>
      <c r="DC130" s="12"/>
      <c r="DD130" s="130"/>
      <c r="DE130" s="130"/>
      <c r="DF130" s="130"/>
      <c r="DG130" s="130"/>
      <c r="DH130" s="130"/>
      <c r="DI130" s="130"/>
      <c r="DJ130" s="130"/>
      <c r="DK130" s="130"/>
      <c r="DL130" s="130"/>
      <c r="DM130" s="130"/>
      <c r="DN130" s="12"/>
      <c r="DO130" s="17"/>
      <c r="EH130" s="12"/>
      <c r="EI130" s="17"/>
      <c r="FM130" s="12"/>
      <c r="FN130" s="17"/>
      <c r="GJ130" s="12"/>
      <c r="GK130" s="17"/>
      <c r="GT130" s="103"/>
      <c r="GU130" s="103"/>
      <c r="GV130" s="103"/>
      <c r="GW130" s="103"/>
      <c r="GX130" s="103"/>
      <c r="GY130" s="103"/>
      <c r="GZ130" s="103"/>
      <c r="HA130" s="103"/>
      <c r="HB130" s="103"/>
      <c r="HC130" s="103"/>
      <c r="HD130" s="103"/>
      <c r="HE130" s="12"/>
      <c r="HF130" s="17"/>
      <c r="HO130" s="103"/>
      <c r="HP130" s="12"/>
      <c r="HQ130" s="17"/>
      <c r="HZ130" s="103"/>
      <c r="IA130" s="12"/>
      <c r="IB130" s="17"/>
    </row>
    <row r="131" spans="1:236" ht="14.45" hidden="1" customHeight="1" x14ac:dyDescent="0.25">
      <c r="A131" s="47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150"/>
      <c r="N131" s="12"/>
      <c r="R131" s="108"/>
      <c r="S131" s="108"/>
      <c r="T131" s="108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143"/>
      <c r="BM131" s="143"/>
      <c r="BN131" s="143"/>
      <c r="BO131" s="143"/>
      <c r="BP131" s="143"/>
      <c r="BQ131" s="143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143"/>
      <c r="CF131" s="143"/>
      <c r="CG131" s="143"/>
      <c r="CH131" s="143"/>
      <c r="CI131" s="143"/>
      <c r="CJ131" s="143"/>
      <c r="CK131" s="12"/>
      <c r="CL131" s="5"/>
      <c r="CM131" s="5"/>
      <c r="CN131" s="5"/>
      <c r="CO131" s="5"/>
      <c r="CP131" s="5"/>
      <c r="CQ131" s="5"/>
      <c r="CR131" s="5"/>
      <c r="CS131" s="130"/>
      <c r="CT131" s="12"/>
      <c r="CU131" s="17"/>
      <c r="CV131" s="130"/>
      <c r="CW131" s="12"/>
      <c r="CX131" s="12"/>
      <c r="CY131" s="12"/>
      <c r="CZ131" s="12"/>
      <c r="DA131" s="12"/>
      <c r="DB131" s="12"/>
      <c r="DC131" s="12"/>
      <c r="DD131" s="130"/>
      <c r="DE131" s="130"/>
      <c r="DF131" s="130"/>
      <c r="DG131" s="130"/>
      <c r="DH131" s="130"/>
      <c r="DI131" s="130"/>
      <c r="DJ131" s="130"/>
      <c r="DK131" s="130"/>
      <c r="DL131" s="130"/>
      <c r="DM131" s="130"/>
      <c r="DN131" s="12"/>
      <c r="DO131" s="17"/>
      <c r="EH131" s="12"/>
      <c r="EI131" s="17"/>
      <c r="FM131" s="12"/>
      <c r="FN131" s="17"/>
      <c r="GJ131" s="12"/>
      <c r="GK131" s="17"/>
      <c r="GT131" s="103"/>
      <c r="GU131" s="103"/>
      <c r="GV131" s="103"/>
      <c r="GW131" s="103"/>
      <c r="GX131" s="103"/>
      <c r="GY131" s="103"/>
      <c r="GZ131" s="103"/>
      <c r="HA131" s="103"/>
      <c r="HB131" s="103"/>
      <c r="HC131" s="103"/>
      <c r="HD131" s="103"/>
      <c r="HE131" s="12"/>
      <c r="HF131" s="17"/>
      <c r="HO131" s="103"/>
      <c r="HP131" s="12"/>
      <c r="HQ131" s="17"/>
      <c r="HZ131" s="103"/>
      <c r="IA131" s="12"/>
      <c r="IB131" s="17"/>
    </row>
    <row r="132" spans="1:236" ht="14.45" hidden="1" customHeight="1" x14ac:dyDescent="0.25">
      <c r="A132" s="47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150"/>
      <c r="N132" s="12"/>
      <c r="R132" s="108"/>
      <c r="S132" s="108"/>
      <c r="T132" s="108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143"/>
      <c r="BM132" s="143"/>
      <c r="BN132" s="143"/>
      <c r="BO132" s="143"/>
      <c r="BP132" s="143"/>
      <c r="BQ132" s="143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143"/>
      <c r="CF132" s="143"/>
      <c r="CG132" s="143"/>
      <c r="CH132" s="143"/>
      <c r="CI132" s="143"/>
      <c r="CJ132" s="143"/>
      <c r="CK132" s="12"/>
      <c r="CL132" s="5"/>
      <c r="CM132" s="5"/>
      <c r="CN132" s="5"/>
      <c r="CO132" s="5"/>
      <c r="CP132" s="5"/>
      <c r="CQ132" s="5"/>
      <c r="CR132" s="5"/>
      <c r="CS132" s="130"/>
      <c r="CT132" s="12"/>
      <c r="CU132" s="17"/>
      <c r="CV132" s="130"/>
      <c r="CW132" s="12"/>
      <c r="CX132" s="12"/>
      <c r="CY132" s="12"/>
      <c r="CZ132" s="12"/>
      <c r="DA132" s="12"/>
      <c r="DB132" s="12"/>
      <c r="DC132" s="12"/>
      <c r="DD132" s="130"/>
      <c r="DE132" s="130"/>
      <c r="DF132" s="130"/>
      <c r="DG132" s="130"/>
      <c r="DH132" s="130"/>
      <c r="DI132" s="130"/>
      <c r="DJ132" s="130"/>
      <c r="DK132" s="130"/>
      <c r="DL132" s="130"/>
      <c r="DM132" s="130"/>
      <c r="DN132" s="12"/>
      <c r="DO132" s="17"/>
      <c r="EH132" s="12"/>
      <c r="EI132" s="17"/>
      <c r="FM132" s="12"/>
      <c r="FN132" s="17"/>
      <c r="GJ132" s="12"/>
      <c r="GK132" s="17"/>
      <c r="GT132" s="103"/>
      <c r="GU132" s="103"/>
      <c r="GV132" s="103"/>
      <c r="GW132" s="103"/>
      <c r="GX132" s="103"/>
      <c r="GY132" s="103"/>
      <c r="GZ132" s="103"/>
      <c r="HA132" s="103"/>
      <c r="HB132" s="103"/>
      <c r="HC132" s="103"/>
      <c r="HD132" s="103"/>
      <c r="HE132" s="12"/>
      <c r="HF132" s="17"/>
      <c r="HO132" s="103"/>
      <c r="HP132" s="12"/>
      <c r="HQ132" s="17"/>
      <c r="HZ132" s="103"/>
      <c r="IA132" s="12"/>
      <c r="IB132" s="17"/>
    </row>
    <row r="133" spans="1:236" ht="14.45" customHeight="1" x14ac:dyDescent="0.25">
      <c r="A133" s="47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150"/>
      <c r="N133" s="12"/>
      <c r="R133" s="108"/>
      <c r="S133" s="108"/>
      <c r="T133" s="108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143"/>
      <c r="BM133" s="143"/>
      <c r="BN133" s="143"/>
      <c r="BO133" s="143"/>
      <c r="BP133" s="143"/>
      <c r="BQ133" s="143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143"/>
      <c r="CF133" s="143"/>
      <c r="CG133" s="143"/>
      <c r="CH133" s="143"/>
      <c r="CI133" s="143"/>
      <c r="CJ133" s="143"/>
      <c r="CK133" s="12"/>
      <c r="CL133" s="5"/>
      <c r="CM133" s="5"/>
      <c r="CN133" s="5"/>
      <c r="CO133" s="5"/>
      <c r="CP133" s="5"/>
      <c r="CQ133" s="5"/>
      <c r="CR133" s="5"/>
      <c r="CS133" s="130"/>
      <c r="CT133" s="12"/>
      <c r="CU133" s="17"/>
      <c r="CV133" s="130"/>
      <c r="CW133" s="12"/>
      <c r="CX133" s="12"/>
      <c r="CY133" s="12"/>
      <c r="CZ133" s="12"/>
      <c r="DA133" s="12"/>
      <c r="DB133" s="12"/>
      <c r="DC133" s="12"/>
      <c r="DD133" s="130"/>
      <c r="DE133" s="130"/>
      <c r="DF133" s="130"/>
      <c r="DG133" s="130"/>
      <c r="DH133" s="130"/>
      <c r="DI133" s="130"/>
      <c r="DJ133" s="130"/>
      <c r="DK133" s="130"/>
      <c r="DL133" s="130"/>
      <c r="DM133" s="130"/>
      <c r="DN133" s="12"/>
      <c r="DO133" s="17"/>
      <c r="EH133" s="12"/>
      <c r="EI133" s="17"/>
      <c r="FM133" s="12"/>
      <c r="FN133" s="17"/>
      <c r="GJ133" s="12"/>
      <c r="GK133" s="17"/>
      <c r="GT133" s="103"/>
      <c r="GU133" s="103"/>
      <c r="GV133" s="103"/>
      <c r="GW133" s="103"/>
      <c r="GX133" s="103"/>
      <c r="GY133" s="103"/>
      <c r="GZ133" s="103"/>
      <c r="HA133" s="103"/>
      <c r="HB133" s="103"/>
      <c r="HC133" s="103"/>
      <c r="HD133" s="103"/>
      <c r="HE133" s="12"/>
      <c r="HF133" s="17"/>
      <c r="HO133" s="103"/>
      <c r="HP133" s="12"/>
      <c r="HQ133" s="17"/>
      <c r="HZ133" s="103"/>
      <c r="IA133" s="12"/>
      <c r="IB133" s="17"/>
    </row>
    <row r="134" spans="1:236" ht="14.45" customHeight="1" x14ac:dyDescent="0.25">
      <c r="A134" s="47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768"/>
      <c r="S134" s="768"/>
      <c r="T134" s="768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777" t="s">
        <v>68</v>
      </c>
      <c r="CF134" s="777"/>
      <c r="CG134" s="777"/>
      <c r="CH134" s="777"/>
      <c r="CI134" s="777"/>
      <c r="CJ134" s="777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184</v>
      </c>
    </row>
    <row r="135" spans="1:236" ht="14.45" customHeight="1" x14ac:dyDescent="0.25">
      <c r="A135" s="716" t="s">
        <v>84</v>
      </c>
      <c r="B135" s="716"/>
      <c r="C135" s="716"/>
      <c r="D135" s="716"/>
      <c r="E135" s="716"/>
      <c r="F135" s="716"/>
      <c r="G135" s="716"/>
      <c r="H135" s="716"/>
      <c r="I135" s="716"/>
      <c r="J135" s="716"/>
      <c r="K135" s="716"/>
      <c r="L135" s="716"/>
      <c r="M135" s="716"/>
      <c r="N135" s="716"/>
      <c r="O135" s="716"/>
      <c r="P135" s="716"/>
      <c r="Q135" s="716"/>
      <c r="R135" s="716"/>
      <c r="S135" s="716"/>
      <c r="T135" s="716"/>
      <c r="U135" s="716"/>
      <c r="V135" s="716"/>
      <c r="W135" s="716"/>
      <c r="X135" s="716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773" t="s">
        <v>185</v>
      </c>
      <c r="FQ135" s="773"/>
      <c r="FR135" s="773"/>
      <c r="FS135" s="773"/>
      <c r="FT135" s="773"/>
      <c r="FU135" s="773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716"/>
      <c r="B136" s="716"/>
      <c r="C136" s="716"/>
      <c r="D136" s="716"/>
      <c r="E136" s="716"/>
      <c r="F136" s="716"/>
      <c r="G136" s="716"/>
      <c r="H136" s="716"/>
      <c r="I136" s="716"/>
      <c r="J136" s="716"/>
      <c r="K136" s="716"/>
      <c r="L136" s="716"/>
      <c r="M136" s="716"/>
      <c r="N136" s="716"/>
      <c r="O136" s="716"/>
      <c r="P136" s="716"/>
      <c r="Q136" s="716"/>
      <c r="R136" s="716"/>
      <c r="S136" s="716"/>
      <c r="T136" s="716"/>
      <c r="U136" s="716"/>
      <c r="V136" s="716"/>
      <c r="W136" s="716"/>
      <c r="X136" s="716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773" t="s">
        <v>186</v>
      </c>
      <c r="FQ136" s="773"/>
      <c r="FR136" s="773"/>
      <c r="FS136" s="773"/>
      <c r="FT136" s="773"/>
      <c r="FU136" s="773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716"/>
      <c r="B137" s="716"/>
      <c r="C137" s="716"/>
      <c r="D137" s="716"/>
      <c r="E137" s="716"/>
      <c r="F137" s="716"/>
      <c r="G137" s="716"/>
      <c r="H137" s="716"/>
      <c r="I137" s="716"/>
      <c r="J137" s="716"/>
      <c r="K137" s="716"/>
      <c r="L137" s="716"/>
      <c r="M137" s="716"/>
      <c r="N137" s="716"/>
      <c r="O137" s="716"/>
      <c r="P137" s="716"/>
      <c r="Q137" s="716"/>
      <c r="R137" s="716"/>
      <c r="S137" s="716"/>
      <c r="T137" s="716"/>
      <c r="U137" s="716"/>
      <c r="V137" s="716"/>
      <c r="W137" s="716"/>
      <c r="X137" s="71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773" t="s">
        <v>187</v>
      </c>
      <c r="FQ137" s="773"/>
      <c r="FR137" s="773"/>
      <c r="FS137" s="773"/>
      <c r="FT137" s="773"/>
      <c r="FU137" s="773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48"/>
      <c r="B138" s="49"/>
      <c r="C138" s="784"/>
      <c r="D138" s="784"/>
      <c r="E138" s="784"/>
      <c r="F138" s="784"/>
      <c r="G138" s="784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773" t="s">
        <v>187</v>
      </c>
      <c r="FQ138" s="773"/>
      <c r="FR138" s="773"/>
      <c r="FS138" s="773"/>
      <c r="FT138" s="773"/>
      <c r="FU138" s="773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44"/>
      <c r="B139" s="9"/>
      <c r="C139" s="697" t="str">
        <f t="shared" ref="C139:C170" si="3">C7</f>
        <v>DESCRIPCION</v>
      </c>
      <c r="D139" s="697"/>
      <c r="E139" s="697"/>
      <c r="F139" s="697"/>
      <c r="G139" s="697"/>
      <c r="H139" s="710" t="s">
        <v>212</v>
      </c>
      <c r="I139" s="710"/>
      <c r="J139" s="710"/>
      <c r="K139" s="710"/>
      <c r="L139" s="713" t="s">
        <v>213</v>
      </c>
      <c r="M139" s="645"/>
      <c r="N139" s="645"/>
      <c r="O139" s="646"/>
      <c r="P139" s="713" t="s">
        <v>214</v>
      </c>
      <c r="Q139" s="645"/>
      <c r="R139" s="645"/>
      <c r="S139" s="646"/>
      <c r="T139" s="713" t="s">
        <v>215</v>
      </c>
      <c r="U139" s="645"/>
      <c r="V139" s="645"/>
      <c r="W139" s="646"/>
      <c r="X139" s="774" t="s">
        <v>72</v>
      </c>
      <c r="Y139" s="775"/>
      <c r="Z139" s="775"/>
      <c r="AA139" s="775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44"/>
      <c r="B140" s="9"/>
      <c r="C140" s="654" t="str">
        <f t="shared" si="3"/>
        <v>BUSH HG 1 1/2" X 1"</v>
      </c>
      <c r="D140" s="654"/>
      <c r="E140" s="654"/>
      <c r="F140" s="654"/>
      <c r="G140" s="654"/>
      <c r="H140" s="702">
        <f t="shared" ref="H140:H171" si="4">L8</f>
        <v>0</v>
      </c>
      <c r="I140" s="702"/>
      <c r="J140" s="704">
        <f t="shared" ref="J140:J171" si="5">M8</f>
        <v>0</v>
      </c>
      <c r="K140" s="704"/>
      <c r="L140" s="702">
        <f t="shared" ref="L140:L171" si="6">BI8+CB8+CT8+DN8</f>
        <v>0</v>
      </c>
      <c r="M140" s="702"/>
      <c r="N140" s="636">
        <f t="shared" ref="N140:N171" si="7">BJ8+CC8+CU8+DO8</f>
        <v>0</v>
      </c>
      <c r="O140" s="637"/>
      <c r="P140" s="702">
        <f t="shared" ref="P140:P171" si="8">EH8+FM8</f>
        <v>0</v>
      </c>
      <c r="Q140" s="702"/>
      <c r="R140" s="636">
        <f t="shared" ref="R140:R171" si="9">EI8+FN8</f>
        <v>0</v>
      </c>
      <c r="S140" s="637"/>
      <c r="T140" s="702">
        <f t="shared" ref="T140:T171" si="10">GJ8+HE8+HP8+IA8</f>
        <v>0</v>
      </c>
      <c r="U140" s="702"/>
      <c r="V140" s="704">
        <f t="shared" ref="V140:V171" si="11">GK8+HF8+HQ8+IB8</f>
        <v>0</v>
      </c>
      <c r="W140" s="704"/>
      <c r="X140" s="778">
        <f>H140+L140+P140+T140</f>
        <v>0</v>
      </c>
      <c r="Y140" s="693"/>
      <c r="Z140" s="695">
        <f>J140+N140+R140+V140</f>
        <v>0</v>
      </c>
      <c r="AA140" s="695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44"/>
      <c r="B141" s="9"/>
      <c r="C141" s="654" t="str">
        <f t="shared" si="3"/>
        <v>BUSH HG 1" X 1/2"</v>
      </c>
      <c r="D141" s="654"/>
      <c r="E141" s="654"/>
      <c r="F141" s="654"/>
      <c r="G141" s="654"/>
      <c r="H141" s="702">
        <f t="shared" si="4"/>
        <v>0</v>
      </c>
      <c r="I141" s="702"/>
      <c r="J141" s="704">
        <f t="shared" si="5"/>
        <v>0</v>
      </c>
      <c r="K141" s="704"/>
      <c r="L141" s="702">
        <f t="shared" si="6"/>
        <v>0</v>
      </c>
      <c r="M141" s="702"/>
      <c r="N141" s="636">
        <f t="shared" si="7"/>
        <v>0</v>
      </c>
      <c r="O141" s="637"/>
      <c r="P141" s="702">
        <f t="shared" si="8"/>
        <v>0</v>
      </c>
      <c r="Q141" s="702"/>
      <c r="R141" s="636">
        <f t="shared" si="9"/>
        <v>0</v>
      </c>
      <c r="S141" s="637"/>
      <c r="T141" s="702">
        <f t="shared" si="10"/>
        <v>0</v>
      </c>
      <c r="U141" s="702"/>
      <c r="V141" s="704">
        <f t="shared" si="11"/>
        <v>0</v>
      </c>
      <c r="W141" s="704"/>
      <c r="X141" s="778">
        <f t="shared" ref="X141:X201" si="12">H141+L141+P141+T141</f>
        <v>0</v>
      </c>
      <c r="Y141" s="693"/>
      <c r="Z141" s="695">
        <f t="shared" ref="Z141:Z201" si="13">J141+N141+R141+V141</f>
        <v>0</v>
      </c>
      <c r="AA141" s="695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44"/>
      <c r="B142" s="9"/>
      <c r="C142" s="654" t="str">
        <f t="shared" si="3"/>
        <v>ANILLO HG 3</v>
      </c>
      <c r="D142" s="654"/>
      <c r="E142" s="654"/>
      <c r="F142" s="654"/>
      <c r="G142" s="654"/>
      <c r="H142" s="702">
        <f t="shared" si="4"/>
        <v>0</v>
      </c>
      <c r="I142" s="702"/>
      <c r="J142" s="704">
        <f t="shared" si="5"/>
        <v>0</v>
      </c>
      <c r="K142" s="704"/>
      <c r="L142" s="702">
        <f t="shared" si="6"/>
        <v>0</v>
      </c>
      <c r="M142" s="702"/>
      <c r="N142" s="636">
        <f t="shared" si="7"/>
        <v>0</v>
      </c>
      <c r="O142" s="637"/>
      <c r="P142" s="702">
        <f t="shared" si="8"/>
        <v>0</v>
      </c>
      <c r="Q142" s="702"/>
      <c r="R142" s="636">
        <f t="shared" si="9"/>
        <v>0</v>
      </c>
      <c r="S142" s="637"/>
      <c r="T142" s="702">
        <f t="shared" si="10"/>
        <v>0</v>
      </c>
      <c r="U142" s="702"/>
      <c r="V142" s="704">
        <f t="shared" si="11"/>
        <v>0</v>
      </c>
      <c r="W142" s="704"/>
      <c r="X142" s="778">
        <f t="shared" si="12"/>
        <v>0</v>
      </c>
      <c r="Y142" s="693"/>
      <c r="Z142" s="695">
        <f t="shared" si="13"/>
        <v>0</v>
      </c>
      <c r="AA142" s="695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44"/>
      <c r="B143" s="9"/>
      <c r="C143" s="654" t="str">
        <f t="shared" si="3"/>
        <v>ANILLO HG 4</v>
      </c>
      <c r="D143" s="654"/>
      <c r="E143" s="654"/>
      <c r="F143" s="654"/>
      <c r="G143" s="654"/>
      <c r="H143" s="702">
        <f t="shared" si="4"/>
        <v>0</v>
      </c>
      <c r="I143" s="702"/>
      <c r="J143" s="704">
        <f t="shared" si="5"/>
        <v>0</v>
      </c>
      <c r="K143" s="704"/>
      <c r="L143" s="702">
        <f t="shared" si="6"/>
        <v>0</v>
      </c>
      <c r="M143" s="702"/>
      <c r="N143" s="636">
        <f t="shared" si="7"/>
        <v>0</v>
      </c>
      <c r="O143" s="637"/>
      <c r="P143" s="702">
        <f t="shared" si="8"/>
        <v>0</v>
      </c>
      <c r="Q143" s="702"/>
      <c r="R143" s="636">
        <f t="shared" si="9"/>
        <v>0</v>
      </c>
      <c r="S143" s="637"/>
      <c r="T143" s="702">
        <f t="shared" si="10"/>
        <v>0</v>
      </c>
      <c r="U143" s="702"/>
      <c r="V143" s="704">
        <f t="shared" si="11"/>
        <v>0</v>
      </c>
      <c r="W143" s="704"/>
      <c r="X143" s="778">
        <f t="shared" si="12"/>
        <v>0</v>
      </c>
      <c r="Y143" s="693"/>
      <c r="Z143" s="695">
        <f t="shared" si="13"/>
        <v>0</v>
      </c>
      <c r="AA143" s="695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44"/>
      <c r="B144" s="9"/>
      <c r="C144" s="654" t="str">
        <f t="shared" si="3"/>
        <v>TAPON HG 1</v>
      </c>
      <c r="D144" s="654"/>
      <c r="E144" s="654"/>
      <c r="F144" s="654"/>
      <c r="G144" s="654"/>
      <c r="H144" s="702">
        <f t="shared" si="4"/>
        <v>0</v>
      </c>
      <c r="I144" s="702"/>
      <c r="J144" s="704">
        <f t="shared" si="5"/>
        <v>0</v>
      </c>
      <c r="K144" s="704"/>
      <c r="L144" s="702">
        <f t="shared" si="6"/>
        <v>0</v>
      </c>
      <c r="M144" s="702"/>
      <c r="N144" s="636">
        <f t="shared" si="7"/>
        <v>0</v>
      </c>
      <c r="O144" s="637"/>
      <c r="P144" s="702">
        <f t="shared" si="8"/>
        <v>0</v>
      </c>
      <c r="Q144" s="702"/>
      <c r="R144" s="636">
        <f t="shared" si="9"/>
        <v>0</v>
      </c>
      <c r="S144" s="637"/>
      <c r="T144" s="702">
        <f t="shared" si="10"/>
        <v>0</v>
      </c>
      <c r="U144" s="702"/>
      <c r="V144" s="704">
        <f t="shared" si="11"/>
        <v>0</v>
      </c>
      <c r="W144" s="704"/>
      <c r="X144" s="778">
        <f t="shared" si="12"/>
        <v>0</v>
      </c>
      <c r="Y144" s="693"/>
      <c r="Z144" s="695">
        <f t="shared" si="13"/>
        <v>0</v>
      </c>
      <c r="AA144" s="695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44"/>
      <c r="B145" s="9"/>
      <c r="C145" s="654" t="str">
        <f t="shared" si="3"/>
        <v>TEE HG 1 1/2</v>
      </c>
      <c r="D145" s="654"/>
      <c r="E145" s="654"/>
      <c r="F145" s="654"/>
      <c r="G145" s="654"/>
      <c r="H145" s="702">
        <f t="shared" si="4"/>
        <v>0</v>
      </c>
      <c r="I145" s="702"/>
      <c r="J145" s="704">
        <f t="shared" si="5"/>
        <v>0</v>
      </c>
      <c r="K145" s="704"/>
      <c r="L145" s="702">
        <f t="shared" si="6"/>
        <v>0</v>
      </c>
      <c r="M145" s="702"/>
      <c r="N145" s="636">
        <f t="shared" si="7"/>
        <v>0</v>
      </c>
      <c r="O145" s="637"/>
      <c r="P145" s="702">
        <f t="shared" si="8"/>
        <v>0</v>
      </c>
      <c r="Q145" s="702"/>
      <c r="R145" s="636">
        <f t="shared" si="9"/>
        <v>0</v>
      </c>
      <c r="S145" s="637"/>
      <c r="T145" s="702">
        <f t="shared" si="10"/>
        <v>0</v>
      </c>
      <c r="U145" s="702"/>
      <c r="V145" s="704">
        <f t="shared" si="11"/>
        <v>0</v>
      </c>
      <c r="W145" s="704"/>
      <c r="X145" s="778">
        <f t="shared" si="12"/>
        <v>0</v>
      </c>
      <c r="Y145" s="693"/>
      <c r="Z145" s="695">
        <f t="shared" si="13"/>
        <v>0</v>
      </c>
      <c r="AA145" s="695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44"/>
      <c r="B146" s="9"/>
      <c r="C146" s="654" t="str">
        <f t="shared" si="3"/>
        <v>CHECK PVC 1/2</v>
      </c>
      <c r="D146" s="654"/>
      <c r="E146" s="654"/>
      <c r="F146" s="654"/>
      <c r="G146" s="654"/>
      <c r="H146" s="702">
        <f t="shared" si="4"/>
        <v>0</v>
      </c>
      <c r="I146" s="702"/>
      <c r="J146" s="704">
        <f t="shared" si="5"/>
        <v>0</v>
      </c>
      <c r="K146" s="704"/>
      <c r="L146" s="702">
        <f t="shared" si="6"/>
        <v>0</v>
      </c>
      <c r="M146" s="702"/>
      <c r="N146" s="636">
        <f t="shared" si="7"/>
        <v>0</v>
      </c>
      <c r="O146" s="637"/>
      <c r="P146" s="702">
        <f t="shared" si="8"/>
        <v>0</v>
      </c>
      <c r="Q146" s="702"/>
      <c r="R146" s="636">
        <f t="shared" si="9"/>
        <v>0</v>
      </c>
      <c r="S146" s="637"/>
      <c r="T146" s="702">
        <f t="shared" si="10"/>
        <v>0</v>
      </c>
      <c r="U146" s="702"/>
      <c r="V146" s="704">
        <f t="shared" si="11"/>
        <v>0</v>
      </c>
      <c r="W146" s="704"/>
      <c r="X146" s="778">
        <f t="shared" si="12"/>
        <v>0</v>
      </c>
      <c r="Y146" s="693"/>
      <c r="Z146" s="695">
        <f t="shared" si="13"/>
        <v>0</v>
      </c>
      <c r="AA146" s="695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44"/>
      <c r="B147" s="9"/>
      <c r="C147" s="654" t="str">
        <f t="shared" si="3"/>
        <v>CHECK PVC 3/4</v>
      </c>
      <c r="D147" s="654"/>
      <c r="E147" s="654"/>
      <c r="F147" s="654"/>
      <c r="G147" s="654"/>
      <c r="H147" s="702">
        <f t="shared" si="4"/>
        <v>0</v>
      </c>
      <c r="I147" s="702"/>
      <c r="J147" s="704">
        <f t="shared" si="5"/>
        <v>0</v>
      </c>
      <c r="K147" s="704"/>
      <c r="L147" s="702">
        <f t="shared" si="6"/>
        <v>0</v>
      </c>
      <c r="M147" s="702"/>
      <c r="N147" s="636">
        <f t="shared" si="7"/>
        <v>0</v>
      </c>
      <c r="O147" s="637"/>
      <c r="P147" s="702">
        <f t="shared" si="8"/>
        <v>0</v>
      </c>
      <c r="Q147" s="702"/>
      <c r="R147" s="636">
        <f t="shared" si="9"/>
        <v>0</v>
      </c>
      <c r="S147" s="637"/>
      <c r="T147" s="702">
        <f t="shared" si="10"/>
        <v>0</v>
      </c>
      <c r="U147" s="702"/>
      <c r="V147" s="704">
        <f t="shared" si="11"/>
        <v>0</v>
      </c>
      <c r="W147" s="704"/>
      <c r="X147" s="778">
        <f t="shared" si="12"/>
        <v>0</v>
      </c>
      <c r="Y147" s="693"/>
      <c r="Z147" s="695">
        <f t="shared" si="13"/>
        <v>0</v>
      </c>
      <c r="AA147" s="695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44"/>
      <c r="B148" s="9"/>
      <c r="C148" s="654" t="str">
        <f t="shared" si="3"/>
        <v>CHECK PVC 1</v>
      </c>
      <c r="D148" s="654"/>
      <c r="E148" s="654"/>
      <c r="F148" s="654"/>
      <c r="G148" s="654"/>
      <c r="H148" s="702">
        <f t="shared" si="4"/>
        <v>0</v>
      </c>
      <c r="I148" s="702"/>
      <c r="J148" s="704">
        <f t="shared" si="5"/>
        <v>0</v>
      </c>
      <c r="K148" s="704"/>
      <c r="L148" s="702">
        <f t="shared" si="6"/>
        <v>0</v>
      </c>
      <c r="M148" s="702"/>
      <c r="N148" s="636">
        <f t="shared" si="7"/>
        <v>0</v>
      </c>
      <c r="O148" s="637"/>
      <c r="P148" s="702">
        <f t="shared" si="8"/>
        <v>0</v>
      </c>
      <c r="Q148" s="702"/>
      <c r="R148" s="636">
        <f t="shared" si="9"/>
        <v>0</v>
      </c>
      <c r="S148" s="637"/>
      <c r="T148" s="702">
        <f t="shared" si="10"/>
        <v>0</v>
      </c>
      <c r="U148" s="702"/>
      <c r="V148" s="704">
        <f t="shared" si="11"/>
        <v>0</v>
      </c>
      <c r="W148" s="704"/>
      <c r="X148" s="778">
        <f t="shared" si="12"/>
        <v>0</v>
      </c>
      <c r="Y148" s="693"/>
      <c r="Z148" s="695">
        <f t="shared" si="13"/>
        <v>0</v>
      </c>
      <c r="AA148" s="695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44"/>
      <c r="B149" s="9"/>
      <c r="C149" s="654" t="str">
        <f t="shared" si="3"/>
        <v>CHECK PVC 1 1/2</v>
      </c>
      <c r="D149" s="654"/>
      <c r="E149" s="654"/>
      <c r="F149" s="654"/>
      <c r="G149" s="654"/>
      <c r="H149" s="702">
        <f t="shared" si="4"/>
        <v>0</v>
      </c>
      <c r="I149" s="702"/>
      <c r="J149" s="704">
        <f t="shared" si="5"/>
        <v>0</v>
      </c>
      <c r="K149" s="704"/>
      <c r="L149" s="702">
        <f t="shared" si="6"/>
        <v>0</v>
      </c>
      <c r="M149" s="702"/>
      <c r="N149" s="636">
        <f t="shared" si="7"/>
        <v>0</v>
      </c>
      <c r="O149" s="637"/>
      <c r="P149" s="702">
        <f t="shared" si="8"/>
        <v>0</v>
      </c>
      <c r="Q149" s="702"/>
      <c r="R149" s="636">
        <f t="shared" si="9"/>
        <v>0</v>
      </c>
      <c r="S149" s="637"/>
      <c r="T149" s="702">
        <f t="shared" si="10"/>
        <v>0</v>
      </c>
      <c r="U149" s="702"/>
      <c r="V149" s="704">
        <f t="shared" si="11"/>
        <v>0</v>
      </c>
      <c r="W149" s="704"/>
      <c r="X149" s="778">
        <f t="shared" si="12"/>
        <v>0</v>
      </c>
      <c r="Y149" s="693"/>
      <c r="Z149" s="695">
        <f t="shared" si="13"/>
        <v>0</v>
      </c>
      <c r="AA149" s="695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44"/>
      <c r="B150" s="9"/>
      <c r="C150" s="654" t="str">
        <f t="shared" si="3"/>
        <v>ANILLO A/F C/R 3/4 PVC</v>
      </c>
      <c r="D150" s="654"/>
      <c r="E150" s="654"/>
      <c r="F150" s="654"/>
      <c r="G150" s="654"/>
      <c r="H150" s="702">
        <f t="shared" si="4"/>
        <v>0</v>
      </c>
      <c r="I150" s="702"/>
      <c r="J150" s="704">
        <f t="shared" si="5"/>
        <v>0</v>
      </c>
      <c r="K150" s="704"/>
      <c r="L150" s="702">
        <f t="shared" si="6"/>
        <v>0</v>
      </c>
      <c r="M150" s="702"/>
      <c r="N150" s="636">
        <f t="shared" si="7"/>
        <v>0</v>
      </c>
      <c r="O150" s="637"/>
      <c r="P150" s="702">
        <f t="shared" si="8"/>
        <v>0</v>
      </c>
      <c r="Q150" s="702"/>
      <c r="R150" s="636">
        <f t="shared" si="9"/>
        <v>0</v>
      </c>
      <c r="S150" s="637"/>
      <c r="T150" s="702">
        <f t="shared" si="10"/>
        <v>0</v>
      </c>
      <c r="U150" s="702"/>
      <c r="V150" s="704">
        <f t="shared" si="11"/>
        <v>0</v>
      </c>
      <c r="W150" s="704"/>
      <c r="X150" s="778">
        <f t="shared" si="12"/>
        <v>0</v>
      </c>
      <c r="Y150" s="693"/>
      <c r="Z150" s="695">
        <f t="shared" si="13"/>
        <v>0</v>
      </c>
      <c r="AA150" s="695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44"/>
      <c r="B151" s="9"/>
      <c r="C151" s="654" t="str">
        <f t="shared" si="3"/>
        <v>ANILLO A/F C/R 1/2 PVC</v>
      </c>
      <c r="D151" s="654"/>
      <c r="E151" s="654"/>
      <c r="F151" s="654"/>
      <c r="G151" s="654"/>
      <c r="H151" s="702">
        <f t="shared" si="4"/>
        <v>0</v>
      </c>
      <c r="I151" s="702"/>
      <c r="J151" s="704">
        <f t="shared" si="5"/>
        <v>0</v>
      </c>
      <c r="K151" s="704"/>
      <c r="L151" s="702">
        <f t="shared" si="6"/>
        <v>0</v>
      </c>
      <c r="M151" s="702"/>
      <c r="N151" s="636">
        <f t="shared" si="7"/>
        <v>0</v>
      </c>
      <c r="O151" s="637"/>
      <c r="P151" s="702">
        <f t="shared" si="8"/>
        <v>0</v>
      </c>
      <c r="Q151" s="702"/>
      <c r="R151" s="636">
        <f t="shared" si="9"/>
        <v>0</v>
      </c>
      <c r="S151" s="637"/>
      <c r="T151" s="702">
        <f t="shared" si="10"/>
        <v>0</v>
      </c>
      <c r="U151" s="702"/>
      <c r="V151" s="704">
        <f t="shared" si="11"/>
        <v>0</v>
      </c>
      <c r="W151" s="704"/>
      <c r="X151" s="778">
        <f t="shared" si="12"/>
        <v>0</v>
      </c>
      <c r="Y151" s="693"/>
      <c r="Z151" s="695">
        <f t="shared" si="13"/>
        <v>0</v>
      </c>
      <c r="AA151" s="695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44"/>
      <c r="B152" s="9"/>
      <c r="C152" s="654" t="str">
        <f t="shared" si="3"/>
        <v>TEE A/F C/R 1/2 PVC</v>
      </c>
      <c r="D152" s="654"/>
      <c r="E152" s="654"/>
      <c r="F152" s="654"/>
      <c r="G152" s="654"/>
      <c r="H152" s="702">
        <f t="shared" si="4"/>
        <v>0</v>
      </c>
      <c r="I152" s="702"/>
      <c r="J152" s="704">
        <f t="shared" si="5"/>
        <v>0</v>
      </c>
      <c r="K152" s="704"/>
      <c r="L152" s="702">
        <f t="shared" si="6"/>
        <v>0</v>
      </c>
      <c r="M152" s="702"/>
      <c r="N152" s="636">
        <f t="shared" si="7"/>
        <v>0</v>
      </c>
      <c r="O152" s="637"/>
      <c r="P152" s="702">
        <f t="shared" si="8"/>
        <v>0</v>
      </c>
      <c r="Q152" s="702"/>
      <c r="R152" s="636">
        <f t="shared" si="9"/>
        <v>0</v>
      </c>
      <c r="S152" s="637"/>
      <c r="T152" s="702">
        <f t="shared" si="10"/>
        <v>0</v>
      </c>
      <c r="U152" s="702"/>
      <c r="V152" s="704">
        <f t="shared" si="11"/>
        <v>0</v>
      </c>
      <c r="W152" s="704"/>
      <c r="X152" s="778">
        <f t="shared" si="12"/>
        <v>0</v>
      </c>
      <c r="Y152" s="693"/>
      <c r="Z152" s="695">
        <f t="shared" si="13"/>
        <v>0</v>
      </c>
      <c r="AA152" s="695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44"/>
      <c r="B153" s="9"/>
      <c r="C153" s="654" t="str">
        <f t="shared" si="3"/>
        <v>TEE A/F C/R 3/4 PVC</v>
      </c>
      <c r="D153" s="654"/>
      <c r="E153" s="654"/>
      <c r="F153" s="654"/>
      <c r="G153" s="654"/>
      <c r="H153" s="702">
        <f t="shared" si="4"/>
        <v>0</v>
      </c>
      <c r="I153" s="702"/>
      <c r="J153" s="704">
        <f t="shared" si="5"/>
        <v>0</v>
      </c>
      <c r="K153" s="704"/>
      <c r="L153" s="702">
        <f t="shared" si="6"/>
        <v>0</v>
      </c>
      <c r="M153" s="702"/>
      <c r="N153" s="636">
        <f t="shared" si="7"/>
        <v>0</v>
      </c>
      <c r="O153" s="637"/>
      <c r="P153" s="702">
        <f t="shared" si="8"/>
        <v>0</v>
      </c>
      <c r="Q153" s="702"/>
      <c r="R153" s="636">
        <f t="shared" si="9"/>
        <v>0</v>
      </c>
      <c r="S153" s="637"/>
      <c r="T153" s="702">
        <f t="shared" si="10"/>
        <v>0</v>
      </c>
      <c r="U153" s="702"/>
      <c r="V153" s="704">
        <f t="shared" si="11"/>
        <v>0</v>
      </c>
      <c r="W153" s="704"/>
      <c r="X153" s="778">
        <f t="shared" si="12"/>
        <v>0</v>
      </c>
      <c r="Y153" s="693"/>
      <c r="Z153" s="695">
        <f t="shared" si="13"/>
        <v>0</v>
      </c>
      <c r="AA153" s="695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44"/>
      <c r="B154" s="9"/>
      <c r="C154" s="654" t="str">
        <f t="shared" si="3"/>
        <v>CODO A/F C/R 1/2 X 90 PVC</v>
      </c>
      <c r="D154" s="654"/>
      <c r="E154" s="654"/>
      <c r="F154" s="654"/>
      <c r="G154" s="654"/>
      <c r="H154" s="702">
        <f t="shared" si="4"/>
        <v>0</v>
      </c>
      <c r="I154" s="702"/>
      <c r="J154" s="704">
        <f t="shared" si="5"/>
        <v>0</v>
      </c>
      <c r="K154" s="704"/>
      <c r="L154" s="702">
        <f t="shared" si="6"/>
        <v>0</v>
      </c>
      <c r="M154" s="702"/>
      <c r="N154" s="636">
        <f t="shared" si="7"/>
        <v>0</v>
      </c>
      <c r="O154" s="637"/>
      <c r="P154" s="702">
        <f t="shared" si="8"/>
        <v>0</v>
      </c>
      <c r="Q154" s="702"/>
      <c r="R154" s="636">
        <f t="shared" si="9"/>
        <v>0</v>
      </c>
      <c r="S154" s="637"/>
      <c r="T154" s="702">
        <f t="shared" si="10"/>
        <v>0</v>
      </c>
      <c r="U154" s="702"/>
      <c r="V154" s="704">
        <f t="shared" si="11"/>
        <v>0</v>
      </c>
      <c r="W154" s="704"/>
      <c r="X154" s="778">
        <f t="shared" si="12"/>
        <v>0</v>
      </c>
      <c r="Y154" s="693"/>
      <c r="Z154" s="695">
        <f t="shared" si="13"/>
        <v>0</v>
      </c>
      <c r="AA154" s="695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44"/>
      <c r="B155" s="9"/>
      <c r="C155" s="654" t="str">
        <f t="shared" si="3"/>
        <v>TAPA A/F C/R 1/2 PVC</v>
      </c>
      <c r="D155" s="654"/>
      <c r="E155" s="654"/>
      <c r="F155" s="654"/>
      <c r="G155" s="654"/>
      <c r="H155" s="702">
        <f t="shared" si="4"/>
        <v>0</v>
      </c>
      <c r="I155" s="702"/>
      <c r="J155" s="704">
        <f t="shared" si="5"/>
        <v>0</v>
      </c>
      <c r="K155" s="704"/>
      <c r="L155" s="702">
        <f t="shared" si="6"/>
        <v>0</v>
      </c>
      <c r="M155" s="702"/>
      <c r="N155" s="636">
        <f t="shared" si="7"/>
        <v>0</v>
      </c>
      <c r="O155" s="637"/>
      <c r="P155" s="702">
        <f t="shared" si="8"/>
        <v>0</v>
      </c>
      <c r="Q155" s="702"/>
      <c r="R155" s="636">
        <f t="shared" si="9"/>
        <v>0</v>
      </c>
      <c r="S155" s="637"/>
      <c r="T155" s="702">
        <f t="shared" si="10"/>
        <v>0</v>
      </c>
      <c r="U155" s="702"/>
      <c r="V155" s="704">
        <f t="shared" si="11"/>
        <v>0</v>
      </c>
      <c r="W155" s="704"/>
      <c r="X155" s="778">
        <f t="shared" si="12"/>
        <v>0</v>
      </c>
      <c r="Y155" s="693"/>
      <c r="Z155" s="695">
        <f t="shared" si="13"/>
        <v>0</v>
      </c>
      <c r="AA155" s="695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44"/>
      <c r="B156" s="9"/>
      <c r="C156" s="654" t="str">
        <f t="shared" si="3"/>
        <v>TAPA A/F C/R 3/4 PVC</v>
      </c>
      <c r="D156" s="654"/>
      <c r="E156" s="654"/>
      <c r="F156" s="654"/>
      <c r="G156" s="654"/>
      <c r="H156" s="702">
        <f t="shared" si="4"/>
        <v>0</v>
      </c>
      <c r="I156" s="702"/>
      <c r="J156" s="704">
        <f t="shared" si="5"/>
        <v>0</v>
      </c>
      <c r="K156" s="704"/>
      <c r="L156" s="702">
        <f t="shared" si="6"/>
        <v>0</v>
      </c>
      <c r="M156" s="702"/>
      <c r="N156" s="636">
        <f t="shared" si="7"/>
        <v>0</v>
      </c>
      <c r="O156" s="637"/>
      <c r="P156" s="702">
        <f t="shared" si="8"/>
        <v>0</v>
      </c>
      <c r="Q156" s="702"/>
      <c r="R156" s="636">
        <f t="shared" si="9"/>
        <v>0</v>
      </c>
      <c r="S156" s="637"/>
      <c r="T156" s="702">
        <f t="shared" si="10"/>
        <v>0</v>
      </c>
      <c r="U156" s="702"/>
      <c r="V156" s="704">
        <f t="shared" si="11"/>
        <v>0</v>
      </c>
      <c r="W156" s="704"/>
      <c r="X156" s="778">
        <f t="shared" si="12"/>
        <v>0</v>
      </c>
      <c r="Y156" s="693"/>
      <c r="Z156" s="695">
        <f t="shared" si="13"/>
        <v>0</v>
      </c>
      <c r="AA156" s="695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44"/>
      <c r="B157" s="9"/>
      <c r="C157" s="654" t="str">
        <f t="shared" si="3"/>
        <v>FLANCHE PVC 3/4 ECON</v>
      </c>
      <c r="D157" s="654"/>
      <c r="E157" s="654"/>
      <c r="F157" s="654"/>
      <c r="G157" s="654"/>
      <c r="H157" s="702">
        <f t="shared" si="4"/>
        <v>0</v>
      </c>
      <c r="I157" s="702"/>
      <c r="J157" s="704">
        <f t="shared" si="5"/>
        <v>0</v>
      </c>
      <c r="K157" s="704"/>
      <c r="L157" s="702">
        <f t="shared" si="6"/>
        <v>0</v>
      </c>
      <c r="M157" s="702"/>
      <c r="N157" s="636">
        <f t="shared" si="7"/>
        <v>0</v>
      </c>
      <c r="O157" s="637"/>
      <c r="P157" s="702">
        <f t="shared" si="8"/>
        <v>0</v>
      </c>
      <c r="Q157" s="702"/>
      <c r="R157" s="636">
        <f t="shared" si="9"/>
        <v>0</v>
      </c>
      <c r="S157" s="637"/>
      <c r="T157" s="702">
        <f t="shared" si="10"/>
        <v>0</v>
      </c>
      <c r="U157" s="702"/>
      <c r="V157" s="704">
        <f t="shared" si="11"/>
        <v>0</v>
      </c>
      <c r="W157" s="704"/>
      <c r="X157" s="778">
        <f t="shared" si="12"/>
        <v>0</v>
      </c>
      <c r="Y157" s="693"/>
      <c r="Z157" s="695">
        <f t="shared" si="13"/>
        <v>0</v>
      </c>
      <c r="AA157" s="695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44"/>
      <c r="B158" s="9"/>
      <c r="C158" s="654" t="str">
        <f t="shared" si="3"/>
        <v>UNION PAT A/F 1 1/2 P/P ECON</v>
      </c>
      <c r="D158" s="654"/>
      <c r="E158" s="654"/>
      <c r="F158" s="654"/>
      <c r="G158" s="654"/>
      <c r="H158" s="702">
        <f t="shared" si="4"/>
        <v>0</v>
      </c>
      <c r="I158" s="702"/>
      <c r="J158" s="704">
        <f t="shared" si="5"/>
        <v>0</v>
      </c>
      <c r="K158" s="704"/>
      <c r="L158" s="702">
        <f t="shared" si="6"/>
        <v>0</v>
      </c>
      <c r="M158" s="702"/>
      <c r="N158" s="636">
        <f t="shared" si="7"/>
        <v>0</v>
      </c>
      <c r="O158" s="637"/>
      <c r="P158" s="702">
        <f t="shared" si="8"/>
        <v>0</v>
      </c>
      <c r="Q158" s="702"/>
      <c r="R158" s="636">
        <f t="shared" si="9"/>
        <v>0</v>
      </c>
      <c r="S158" s="637"/>
      <c r="T158" s="702">
        <f t="shared" si="10"/>
        <v>0</v>
      </c>
      <c r="U158" s="702"/>
      <c r="V158" s="704">
        <f t="shared" si="11"/>
        <v>0</v>
      </c>
      <c r="W158" s="704"/>
      <c r="X158" s="778">
        <f t="shared" si="12"/>
        <v>0</v>
      </c>
      <c r="Y158" s="693"/>
      <c r="Z158" s="695">
        <f t="shared" si="13"/>
        <v>0</v>
      </c>
      <c r="AA158" s="695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44"/>
      <c r="B159" s="9"/>
      <c r="C159" s="654" t="str">
        <f t="shared" si="3"/>
        <v>UNION PAT A/F 1/2 P/P ECON</v>
      </c>
      <c r="D159" s="654"/>
      <c r="E159" s="654"/>
      <c r="F159" s="654"/>
      <c r="G159" s="654"/>
      <c r="H159" s="702">
        <f t="shared" si="4"/>
        <v>0</v>
      </c>
      <c r="I159" s="702"/>
      <c r="J159" s="704">
        <f t="shared" si="5"/>
        <v>0</v>
      </c>
      <c r="K159" s="704"/>
      <c r="L159" s="702">
        <f t="shared" si="6"/>
        <v>0</v>
      </c>
      <c r="M159" s="702"/>
      <c r="N159" s="636">
        <f t="shared" si="7"/>
        <v>0</v>
      </c>
      <c r="O159" s="637"/>
      <c r="P159" s="702">
        <f t="shared" si="8"/>
        <v>0</v>
      </c>
      <c r="Q159" s="702"/>
      <c r="R159" s="636">
        <f t="shared" si="9"/>
        <v>0</v>
      </c>
      <c r="S159" s="637"/>
      <c r="T159" s="702">
        <f t="shared" si="10"/>
        <v>0</v>
      </c>
      <c r="U159" s="702"/>
      <c r="V159" s="704">
        <f t="shared" si="11"/>
        <v>0</v>
      </c>
      <c r="W159" s="704"/>
      <c r="X159" s="778">
        <f t="shared" si="12"/>
        <v>0</v>
      </c>
      <c r="Y159" s="693"/>
      <c r="Z159" s="695">
        <f t="shared" si="13"/>
        <v>0</v>
      </c>
      <c r="AA159" s="695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44"/>
      <c r="B160" s="9"/>
      <c r="C160" s="654" t="str">
        <f t="shared" si="3"/>
        <v>TEE A/F 1 1/2 P/P</v>
      </c>
      <c r="D160" s="654"/>
      <c r="E160" s="654"/>
      <c r="F160" s="654"/>
      <c r="G160" s="654"/>
      <c r="H160" s="702">
        <f t="shared" si="4"/>
        <v>0</v>
      </c>
      <c r="I160" s="702"/>
      <c r="J160" s="704">
        <f t="shared" si="5"/>
        <v>0</v>
      </c>
      <c r="K160" s="704"/>
      <c r="L160" s="702">
        <f t="shared" si="6"/>
        <v>0</v>
      </c>
      <c r="M160" s="702"/>
      <c r="N160" s="636">
        <f t="shared" si="7"/>
        <v>0</v>
      </c>
      <c r="O160" s="637"/>
      <c r="P160" s="702">
        <f t="shared" si="8"/>
        <v>0</v>
      </c>
      <c r="Q160" s="702"/>
      <c r="R160" s="636">
        <f t="shared" si="9"/>
        <v>0</v>
      </c>
      <c r="S160" s="637"/>
      <c r="T160" s="702">
        <f t="shared" si="10"/>
        <v>0</v>
      </c>
      <c r="U160" s="702"/>
      <c r="V160" s="704">
        <f t="shared" si="11"/>
        <v>0</v>
      </c>
      <c r="W160" s="704"/>
      <c r="X160" s="778">
        <f t="shared" si="12"/>
        <v>0</v>
      </c>
      <c r="Y160" s="693"/>
      <c r="Z160" s="695">
        <f t="shared" si="13"/>
        <v>0</v>
      </c>
      <c r="AA160" s="695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44"/>
      <c r="B161" s="9"/>
      <c r="C161" s="654" t="str">
        <f t="shared" si="3"/>
        <v>TEE A/F 2 P/P</v>
      </c>
      <c r="D161" s="654"/>
      <c r="E161" s="654"/>
      <c r="F161" s="654"/>
      <c r="G161" s="654"/>
      <c r="H161" s="702">
        <f t="shared" si="4"/>
        <v>0</v>
      </c>
      <c r="I161" s="702"/>
      <c r="J161" s="704">
        <f t="shared" si="5"/>
        <v>0</v>
      </c>
      <c r="K161" s="704"/>
      <c r="L161" s="702">
        <f t="shared" si="6"/>
        <v>0</v>
      </c>
      <c r="M161" s="702"/>
      <c r="N161" s="636">
        <f t="shared" si="7"/>
        <v>0</v>
      </c>
      <c r="O161" s="637"/>
      <c r="P161" s="702">
        <f t="shared" si="8"/>
        <v>0</v>
      </c>
      <c r="Q161" s="702"/>
      <c r="R161" s="636">
        <f t="shared" si="9"/>
        <v>0</v>
      </c>
      <c r="S161" s="637"/>
      <c r="T161" s="702">
        <f t="shared" si="10"/>
        <v>0</v>
      </c>
      <c r="U161" s="702"/>
      <c r="V161" s="704">
        <f t="shared" si="11"/>
        <v>0</v>
      </c>
      <c r="W161" s="704"/>
      <c r="X161" s="778">
        <f t="shared" si="12"/>
        <v>0</v>
      </c>
      <c r="Y161" s="693"/>
      <c r="Z161" s="695">
        <f t="shared" si="13"/>
        <v>0</v>
      </c>
      <c r="AA161" s="695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44"/>
      <c r="B162" s="9"/>
      <c r="C162" s="654" t="str">
        <f t="shared" si="3"/>
        <v>BUJE A/F 3/4 X 1/2</v>
      </c>
      <c r="D162" s="654"/>
      <c r="E162" s="654"/>
      <c r="F162" s="654"/>
      <c r="G162" s="654"/>
      <c r="H162" s="702">
        <f t="shared" si="4"/>
        <v>0</v>
      </c>
      <c r="I162" s="702"/>
      <c r="J162" s="704">
        <f t="shared" si="5"/>
        <v>0</v>
      </c>
      <c r="K162" s="704"/>
      <c r="L162" s="702">
        <f t="shared" si="6"/>
        <v>0</v>
      </c>
      <c r="M162" s="702"/>
      <c r="N162" s="636">
        <f t="shared" si="7"/>
        <v>0</v>
      </c>
      <c r="O162" s="637"/>
      <c r="P162" s="702">
        <f t="shared" si="8"/>
        <v>0</v>
      </c>
      <c r="Q162" s="702"/>
      <c r="R162" s="636">
        <f t="shared" si="9"/>
        <v>0</v>
      </c>
      <c r="S162" s="637"/>
      <c r="T162" s="702">
        <f t="shared" si="10"/>
        <v>0</v>
      </c>
      <c r="U162" s="702"/>
      <c r="V162" s="704">
        <f t="shared" si="11"/>
        <v>0</v>
      </c>
      <c r="W162" s="704"/>
      <c r="X162" s="778">
        <f t="shared" si="12"/>
        <v>0</v>
      </c>
      <c r="Y162" s="693"/>
      <c r="Z162" s="695">
        <f t="shared" si="13"/>
        <v>0</v>
      </c>
      <c r="AA162" s="695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44"/>
      <c r="B163" s="9"/>
      <c r="C163" s="654" t="str">
        <f t="shared" si="3"/>
        <v>BUJE A/F 1 X 3/4</v>
      </c>
      <c r="D163" s="654"/>
      <c r="E163" s="654"/>
      <c r="F163" s="654"/>
      <c r="G163" s="654"/>
      <c r="H163" s="702">
        <f t="shared" si="4"/>
        <v>0</v>
      </c>
      <c r="I163" s="702"/>
      <c r="J163" s="704">
        <f t="shared" si="5"/>
        <v>0</v>
      </c>
      <c r="K163" s="704"/>
      <c r="L163" s="702">
        <f t="shared" si="6"/>
        <v>0</v>
      </c>
      <c r="M163" s="702"/>
      <c r="N163" s="636">
        <f t="shared" si="7"/>
        <v>0</v>
      </c>
      <c r="O163" s="637"/>
      <c r="P163" s="702">
        <f t="shared" si="8"/>
        <v>0</v>
      </c>
      <c r="Q163" s="702"/>
      <c r="R163" s="636">
        <f t="shared" si="9"/>
        <v>0</v>
      </c>
      <c r="S163" s="637"/>
      <c r="T163" s="702">
        <f t="shared" si="10"/>
        <v>0</v>
      </c>
      <c r="U163" s="702"/>
      <c r="V163" s="704">
        <f t="shared" si="11"/>
        <v>0</v>
      </c>
      <c r="W163" s="704"/>
      <c r="X163" s="778">
        <f t="shared" si="12"/>
        <v>0</v>
      </c>
      <c r="Y163" s="693"/>
      <c r="Z163" s="695">
        <f t="shared" si="13"/>
        <v>0</v>
      </c>
      <c r="AA163" s="695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44"/>
      <c r="B164" s="9"/>
      <c r="C164" s="654" t="str">
        <f t="shared" si="3"/>
        <v>ADAPT HEM A/F 1 1/2</v>
      </c>
      <c r="D164" s="654"/>
      <c r="E164" s="654"/>
      <c r="F164" s="654"/>
      <c r="G164" s="654"/>
      <c r="H164" s="702">
        <f t="shared" si="4"/>
        <v>0</v>
      </c>
      <c r="I164" s="702"/>
      <c r="J164" s="704">
        <f t="shared" si="5"/>
        <v>0</v>
      </c>
      <c r="K164" s="704"/>
      <c r="L164" s="702">
        <f t="shared" si="6"/>
        <v>0</v>
      </c>
      <c r="M164" s="702"/>
      <c r="N164" s="636">
        <f t="shared" si="7"/>
        <v>0</v>
      </c>
      <c r="O164" s="637"/>
      <c r="P164" s="702">
        <f t="shared" si="8"/>
        <v>0</v>
      </c>
      <c r="Q164" s="702"/>
      <c r="R164" s="636">
        <f t="shared" si="9"/>
        <v>0</v>
      </c>
      <c r="S164" s="637"/>
      <c r="T164" s="702">
        <f t="shared" si="10"/>
        <v>0</v>
      </c>
      <c r="U164" s="702"/>
      <c r="V164" s="704">
        <f t="shared" si="11"/>
        <v>0</v>
      </c>
      <c r="W164" s="704"/>
      <c r="X164" s="778">
        <f t="shared" si="12"/>
        <v>0</v>
      </c>
      <c r="Y164" s="693"/>
      <c r="Z164" s="695">
        <f t="shared" si="13"/>
        <v>0</v>
      </c>
      <c r="AA164" s="695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44"/>
      <c r="B165" s="9"/>
      <c r="C165" s="654" t="str">
        <f t="shared" si="3"/>
        <v>CHECK PVC A/N 4</v>
      </c>
      <c r="D165" s="654"/>
      <c r="E165" s="654"/>
      <c r="F165" s="654"/>
      <c r="G165" s="654"/>
      <c r="H165" s="702">
        <f t="shared" si="4"/>
        <v>0</v>
      </c>
      <c r="I165" s="702"/>
      <c r="J165" s="704">
        <f t="shared" si="5"/>
        <v>0</v>
      </c>
      <c r="K165" s="704"/>
      <c r="L165" s="702">
        <f t="shared" si="6"/>
        <v>0</v>
      </c>
      <c r="M165" s="702"/>
      <c r="N165" s="636">
        <f t="shared" si="7"/>
        <v>0</v>
      </c>
      <c r="O165" s="637"/>
      <c r="P165" s="702">
        <f t="shared" si="8"/>
        <v>0</v>
      </c>
      <c r="Q165" s="702"/>
      <c r="R165" s="636">
        <f t="shared" si="9"/>
        <v>0</v>
      </c>
      <c r="S165" s="637"/>
      <c r="T165" s="702">
        <f t="shared" si="10"/>
        <v>0</v>
      </c>
      <c r="U165" s="702"/>
      <c r="V165" s="704">
        <f t="shared" si="11"/>
        <v>0</v>
      </c>
      <c r="W165" s="704"/>
      <c r="X165" s="778">
        <f t="shared" si="12"/>
        <v>0</v>
      </c>
      <c r="Y165" s="693"/>
      <c r="Z165" s="695">
        <f t="shared" si="13"/>
        <v>0</v>
      </c>
      <c r="AA165" s="695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44"/>
      <c r="B166" s="9"/>
      <c r="C166" s="654" t="str">
        <f t="shared" si="3"/>
        <v>YEE 2 IMPLAVEN</v>
      </c>
      <c r="D166" s="654"/>
      <c r="E166" s="654"/>
      <c r="F166" s="654"/>
      <c r="G166" s="654"/>
      <c r="H166" s="702">
        <f t="shared" si="4"/>
        <v>0</v>
      </c>
      <c r="I166" s="702"/>
      <c r="J166" s="704">
        <f t="shared" si="5"/>
        <v>0</v>
      </c>
      <c r="K166" s="704"/>
      <c r="L166" s="702">
        <f t="shared" si="6"/>
        <v>0</v>
      </c>
      <c r="M166" s="702"/>
      <c r="N166" s="636">
        <f t="shared" si="7"/>
        <v>0</v>
      </c>
      <c r="O166" s="637"/>
      <c r="P166" s="702">
        <f t="shared" si="8"/>
        <v>0</v>
      </c>
      <c r="Q166" s="702"/>
      <c r="R166" s="636">
        <f t="shared" si="9"/>
        <v>0</v>
      </c>
      <c r="S166" s="637"/>
      <c r="T166" s="702">
        <f t="shared" si="10"/>
        <v>0</v>
      </c>
      <c r="U166" s="702"/>
      <c r="V166" s="704">
        <f t="shared" si="11"/>
        <v>0</v>
      </c>
      <c r="W166" s="704"/>
      <c r="X166" s="778">
        <f t="shared" si="12"/>
        <v>0</v>
      </c>
      <c r="Y166" s="693"/>
      <c r="Z166" s="695">
        <f t="shared" si="13"/>
        <v>0</v>
      </c>
      <c r="AA166" s="695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44"/>
      <c r="B167" s="9"/>
      <c r="C167" s="654" t="str">
        <f t="shared" si="3"/>
        <v>YEE 3</v>
      </c>
      <c r="D167" s="654"/>
      <c r="E167" s="654"/>
      <c r="F167" s="654"/>
      <c r="G167" s="654"/>
      <c r="H167" s="702">
        <f t="shared" si="4"/>
        <v>0</v>
      </c>
      <c r="I167" s="702"/>
      <c r="J167" s="704">
        <f t="shared" si="5"/>
        <v>0</v>
      </c>
      <c r="K167" s="704"/>
      <c r="L167" s="702">
        <f t="shared" si="6"/>
        <v>0</v>
      </c>
      <c r="M167" s="702"/>
      <c r="N167" s="636">
        <f t="shared" si="7"/>
        <v>0</v>
      </c>
      <c r="O167" s="637"/>
      <c r="P167" s="702">
        <f t="shared" si="8"/>
        <v>0</v>
      </c>
      <c r="Q167" s="702"/>
      <c r="R167" s="636">
        <f t="shared" si="9"/>
        <v>0</v>
      </c>
      <c r="S167" s="637"/>
      <c r="T167" s="702">
        <f t="shared" si="10"/>
        <v>0</v>
      </c>
      <c r="U167" s="702"/>
      <c r="V167" s="704">
        <f t="shared" si="11"/>
        <v>0</v>
      </c>
      <c r="W167" s="704"/>
      <c r="X167" s="778">
        <f t="shared" si="12"/>
        <v>0</v>
      </c>
      <c r="Y167" s="693"/>
      <c r="Z167" s="695">
        <f t="shared" si="13"/>
        <v>0</v>
      </c>
      <c r="AA167" s="695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44"/>
      <c r="B168" s="9"/>
      <c r="C168" s="654" t="str">
        <f t="shared" si="3"/>
        <v>YEE A/N 4X2</v>
      </c>
      <c r="D168" s="654"/>
      <c r="E168" s="654"/>
      <c r="F168" s="654"/>
      <c r="G168" s="654"/>
      <c r="H168" s="702">
        <f t="shared" si="4"/>
        <v>15</v>
      </c>
      <c r="I168" s="702"/>
      <c r="J168" s="704">
        <f t="shared" si="5"/>
        <v>68.25</v>
      </c>
      <c r="K168" s="704"/>
      <c r="L168" s="702">
        <f t="shared" si="6"/>
        <v>0</v>
      </c>
      <c r="M168" s="702"/>
      <c r="N168" s="636">
        <f t="shared" si="7"/>
        <v>0</v>
      </c>
      <c r="O168" s="637"/>
      <c r="P168" s="702">
        <f t="shared" si="8"/>
        <v>0</v>
      </c>
      <c r="Q168" s="702"/>
      <c r="R168" s="636">
        <f t="shared" si="9"/>
        <v>0</v>
      </c>
      <c r="S168" s="637"/>
      <c r="T168" s="702">
        <f t="shared" si="10"/>
        <v>0</v>
      </c>
      <c r="U168" s="702"/>
      <c r="V168" s="704">
        <f t="shared" si="11"/>
        <v>0</v>
      </c>
      <c r="W168" s="704"/>
      <c r="X168" s="778">
        <f t="shared" si="12"/>
        <v>15</v>
      </c>
      <c r="Y168" s="693"/>
      <c r="Z168" s="695">
        <f t="shared" si="13"/>
        <v>68.25</v>
      </c>
      <c r="AA168" s="695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44"/>
      <c r="B169" s="9"/>
      <c r="C169" s="654" t="str">
        <f t="shared" si="3"/>
        <v>YEE A/N 4</v>
      </c>
      <c r="D169" s="654"/>
      <c r="E169" s="654"/>
      <c r="F169" s="654"/>
      <c r="G169" s="654"/>
      <c r="H169" s="702">
        <f t="shared" si="4"/>
        <v>15</v>
      </c>
      <c r="I169" s="702"/>
      <c r="J169" s="704">
        <f t="shared" si="5"/>
        <v>88.949999999999989</v>
      </c>
      <c r="K169" s="704"/>
      <c r="L169" s="702">
        <f t="shared" si="6"/>
        <v>0</v>
      </c>
      <c r="M169" s="702"/>
      <c r="N169" s="636">
        <f t="shared" si="7"/>
        <v>0</v>
      </c>
      <c r="O169" s="637"/>
      <c r="P169" s="702">
        <f t="shared" si="8"/>
        <v>0</v>
      </c>
      <c r="Q169" s="702"/>
      <c r="R169" s="636">
        <f t="shared" si="9"/>
        <v>0</v>
      </c>
      <c r="S169" s="637"/>
      <c r="T169" s="702">
        <f t="shared" si="10"/>
        <v>0</v>
      </c>
      <c r="U169" s="702"/>
      <c r="V169" s="704">
        <f t="shared" si="11"/>
        <v>0</v>
      </c>
      <c r="W169" s="704"/>
      <c r="X169" s="778">
        <f t="shared" si="12"/>
        <v>15</v>
      </c>
      <c r="Y169" s="693"/>
      <c r="Z169" s="695">
        <f t="shared" si="13"/>
        <v>88.949999999999989</v>
      </c>
      <c r="AA169" s="695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44"/>
      <c r="B170" s="9"/>
      <c r="C170" s="654" t="str">
        <f t="shared" si="3"/>
        <v>TEE A/N 2</v>
      </c>
      <c r="D170" s="654"/>
      <c r="E170" s="654"/>
      <c r="F170" s="654"/>
      <c r="G170" s="654"/>
      <c r="H170" s="702">
        <f t="shared" si="4"/>
        <v>0</v>
      </c>
      <c r="I170" s="702"/>
      <c r="J170" s="704">
        <f t="shared" si="5"/>
        <v>0</v>
      </c>
      <c r="K170" s="704"/>
      <c r="L170" s="702">
        <f t="shared" si="6"/>
        <v>0</v>
      </c>
      <c r="M170" s="702"/>
      <c r="N170" s="636">
        <f t="shared" si="7"/>
        <v>0</v>
      </c>
      <c r="O170" s="637"/>
      <c r="P170" s="702">
        <f t="shared" si="8"/>
        <v>0</v>
      </c>
      <c r="Q170" s="702"/>
      <c r="R170" s="636">
        <f t="shared" si="9"/>
        <v>0</v>
      </c>
      <c r="S170" s="637"/>
      <c r="T170" s="702">
        <f t="shared" si="10"/>
        <v>0</v>
      </c>
      <c r="U170" s="702"/>
      <c r="V170" s="704">
        <f t="shared" si="11"/>
        <v>0</v>
      </c>
      <c r="W170" s="704"/>
      <c r="X170" s="778">
        <f t="shared" si="12"/>
        <v>0</v>
      </c>
      <c r="Y170" s="693"/>
      <c r="Z170" s="695">
        <f t="shared" si="13"/>
        <v>0</v>
      </c>
      <c r="AA170" s="695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44"/>
      <c r="B171" s="9"/>
      <c r="C171" s="654" t="str">
        <f t="shared" ref="C171:C201" si="14">C39</f>
        <v>TEE A/N 3</v>
      </c>
      <c r="D171" s="654"/>
      <c r="E171" s="654"/>
      <c r="F171" s="654"/>
      <c r="G171" s="654"/>
      <c r="H171" s="702">
        <f t="shared" si="4"/>
        <v>0</v>
      </c>
      <c r="I171" s="702"/>
      <c r="J171" s="704">
        <f t="shared" si="5"/>
        <v>0</v>
      </c>
      <c r="K171" s="704"/>
      <c r="L171" s="702">
        <f t="shared" si="6"/>
        <v>0</v>
      </c>
      <c r="M171" s="702"/>
      <c r="N171" s="636">
        <f t="shared" si="7"/>
        <v>0</v>
      </c>
      <c r="O171" s="637"/>
      <c r="P171" s="702">
        <f t="shared" si="8"/>
        <v>0</v>
      </c>
      <c r="Q171" s="702"/>
      <c r="R171" s="636">
        <f t="shared" si="9"/>
        <v>0</v>
      </c>
      <c r="S171" s="637"/>
      <c r="T171" s="702">
        <f t="shared" si="10"/>
        <v>0</v>
      </c>
      <c r="U171" s="702"/>
      <c r="V171" s="704">
        <f t="shared" si="11"/>
        <v>0</v>
      </c>
      <c r="W171" s="704"/>
      <c r="X171" s="778">
        <f t="shared" si="12"/>
        <v>0</v>
      </c>
      <c r="Y171" s="693"/>
      <c r="Z171" s="695">
        <f t="shared" si="13"/>
        <v>0</v>
      </c>
      <c r="AA171" s="695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44"/>
      <c r="B172" s="9"/>
      <c r="C172" s="654" t="str">
        <f t="shared" si="14"/>
        <v>TEE A/N 4</v>
      </c>
      <c r="D172" s="654"/>
      <c r="E172" s="654"/>
      <c r="F172" s="654"/>
      <c r="G172" s="654"/>
      <c r="H172" s="702">
        <f t="shared" ref="H172:H201" si="15">L40</f>
        <v>10</v>
      </c>
      <c r="I172" s="702"/>
      <c r="J172" s="704">
        <f t="shared" ref="J172:J201" si="16">M40</f>
        <v>55.4</v>
      </c>
      <c r="K172" s="704"/>
      <c r="L172" s="702">
        <f t="shared" ref="L172:L201" si="17">BI40+CB40+CT40+DN40</f>
        <v>0</v>
      </c>
      <c r="M172" s="702"/>
      <c r="N172" s="636">
        <f t="shared" ref="N172:N201" si="18">BJ40+CC40+CU40+DO40</f>
        <v>0</v>
      </c>
      <c r="O172" s="637"/>
      <c r="P172" s="702">
        <f t="shared" ref="P172:P201" si="19">EH40+FM40</f>
        <v>0</v>
      </c>
      <c r="Q172" s="702"/>
      <c r="R172" s="636">
        <f t="shared" ref="R172:R201" si="20">EI40+FN40</f>
        <v>0</v>
      </c>
      <c r="S172" s="637"/>
      <c r="T172" s="702">
        <f t="shared" ref="T172:T201" si="21">GJ40+HE40+HP40+IA40</f>
        <v>0</v>
      </c>
      <c r="U172" s="702"/>
      <c r="V172" s="704">
        <f t="shared" ref="V172:V201" si="22">GK40+HF40+HQ40+IB40</f>
        <v>0</v>
      </c>
      <c r="W172" s="704"/>
      <c r="X172" s="778">
        <f t="shared" si="12"/>
        <v>10</v>
      </c>
      <c r="Y172" s="693"/>
      <c r="Z172" s="695">
        <f t="shared" si="13"/>
        <v>55.4</v>
      </c>
      <c r="AA172" s="695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44"/>
      <c r="B173" s="9"/>
      <c r="C173" s="654" t="str">
        <f t="shared" si="14"/>
        <v>TEE A/N 4X2</v>
      </c>
      <c r="D173" s="654"/>
      <c r="E173" s="654"/>
      <c r="F173" s="654"/>
      <c r="G173" s="654"/>
      <c r="H173" s="702">
        <f t="shared" si="15"/>
        <v>10</v>
      </c>
      <c r="I173" s="702"/>
      <c r="J173" s="704">
        <f t="shared" si="16"/>
        <v>38.1</v>
      </c>
      <c r="K173" s="704"/>
      <c r="L173" s="702">
        <f t="shared" si="17"/>
        <v>0</v>
      </c>
      <c r="M173" s="702"/>
      <c r="N173" s="636">
        <f t="shared" si="18"/>
        <v>0</v>
      </c>
      <c r="O173" s="637"/>
      <c r="P173" s="702">
        <f t="shared" si="19"/>
        <v>0</v>
      </c>
      <c r="Q173" s="702"/>
      <c r="R173" s="636">
        <f t="shared" si="20"/>
        <v>0</v>
      </c>
      <c r="S173" s="637"/>
      <c r="T173" s="702">
        <f t="shared" si="21"/>
        <v>0</v>
      </c>
      <c r="U173" s="702"/>
      <c r="V173" s="704">
        <f t="shared" si="22"/>
        <v>0</v>
      </c>
      <c r="W173" s="704"/>
      <c r="X173" s="778">
        <f t="shared" si="12"/>
        <v>10</v>
      </c>
      <c r="Y173" s="693"/>
      <c r="Z173" s="695">
        <f t="shared" si="13"/>
        <v>38.1</v>
      </c>
      <c r="AA173" s="695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44"/>
      <c r="B174" s="9"/>
      <c r="C174" s="654" t="str">
        <f t="shared" si="14"/>
        <v>TEE 3X2 UNIPLAST</v>
      </c>
      <c r="D174" s="654"/>
      <c r="E174" s="654"/>
      <c r="F174" s="654"/>
      <c r="G174" s="654"/>
      <c r="H174" s="702">
        <f t="shared" si="15"/>
        <v>0</v>
      </c>
      <c r="I174" s="702"/>
      <c r="J174" s="704">
        <f t="shared" si="16"/>
        <v>0</v>
      </c>
      <c r="K174" s="704"/>
      <c r="L174" s="702">
        <f t="shared" si="17"/>
        <v>0</v>
      </c>
      <c r="M174" s="702"/>
      <c r="N174" s="636">
        <f t="shared" si="18"/>
        <v>0</v>
      </c>
      <c r="O174" s="637"/>
      <c r="P174" s="702">
        <f t="shared" si="19"/>
        <v>0</v>
      </c>
      <c r="Q174" s="702"/>
      <c r="R174" s="636">
        <f t="shared" si="20"/>
        <v>0</v>
      </c>
      <c r="S174" s="637"/>
      <c r="T174" s="702">
        <f t="shared" si="21"/>
        <v>0</v>
      </c>
      <c r="U174" s="702"/>
      <c r="V174" s="704">
        <f t="shared" si="22"/>
        <v>0</v>
      </c>
      <c r="W174" s="704"/>
      <c r="X174" s="778">
        <f t="shared" si="12"/>
        <v>0</v>
      </c>
      <c r="Y174" s="693"/>
      <c r="Z174" s="695">
        <f t="shared" si="13"/>
        <v>0</v>
      </c>
      <c r="AA174" s="695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44"/>
      <c r="B175" s="9"/>
      <c r="C175" s="654" t="str">
        <f t="shared" si="14"/>
        <v>TEE 4X3 PAVCO</v>
      </c>
      <c r="D175" s="654"/>
      <c r="E175" s="654"/>
      <c r="F175" s="654"/>
      <c r="G175" s="654"/>
      <c r="H175" s="702">
        <f t="shared" si="15"/>
        <v>0</v>
      </c>
      <c r="I175" s="702"/>
      <c r="J175" s="704">
        <f t="shared" si="16"/>
        <v>0</v>
      </c>
      <c r="K175" s="704"/>
      <c r="L175" s="702">
        <f t="shared" si="17"/>
        <v>0</v>
      </c>
      <c r="M175" s="702"/>
      <c r="N175" s="636">
        <f t="shared" si="18"/>
        <v>0</v>
      </c>
      <c r="O175" s="637"/>
      <c r="P175" s="702">
        <f t="shared" si="19"/>
        <v>0</v>
      </c>
      <c r="Q175" s="702"/>
      <c r="R175" s="636">
        <f t="shared" si="20"/>
        <v>0</v>
      </c>
      <c r="S175" s="637"/>
      <c r="T175" s="702">
        <f t="shared" si="21"/>
        <v>0</v>
      </c>
      <c r="U175" s="702"/>
      <c r="V175" s="704">
        <f t="shared" si="22"/>
        <v>0</v>
      </c>
      <c r="W175" s="704"/>
      <c r="X175" s="778">
        <f t="shared" si="12"/>
        <v>0</v>
      </c>
      <c r="Y175" s="693"/>
      <c r="Z175" s="695">
        <f t="shared" si="13"/>
        <v>0</v>
      </c>
      <c r="AA175" s="695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44"/>
      <c r="B176" s="9"/>
      <c r="C176" s="654" t="str">
        <f t="shared" si="14"/>
        <v>TAPA A/N 2 REGISTRO</v>
      </c>
      <c r="D176" s="654"/>
      <c r="E176" s="654"/>
      <c r="F176" s="654"/>
      <c r="G176" s="654"/>
      <c r="H176" s="702">
        <f t="shared" si="15"/>
        <v>0</v>
      </c>
      <c r="I176" s="702"/>
      <c r="J176" s="704">
        <f t="shared" si="16"/>
        <v>0</v>
      </c>
      <c r="K176" s="704"/>
      <c r="L176" s="702">
        <f t="shared" si="17"/>
        <v>0</v>
      </c>
      <c r="M176" s="702"/>
      <c r="N176" s="636">
        <f t="shared" si="18"/>
        <v>0</v>
      </c>
      <c r="O176" s="637"/>
      <c r="P176" s="702">
        <f t="shared" si="19"/>
        <v>0</v>
      </c>
      <c r="Q176" s="702"/>
      <c r="R176" s="636">
        <f t="shared" si="20"/>
        <v>0</v>
      </c>
      <c r="S176" s="637"/>
      <c r="T176" s="702">
        <f t="shared" si="21"/>
        <v>0</v>
      </c>
      <c r="U176" s="702"/>
      <c r="V176" s="704">
        <f t="shared" si="22"/>
        <v>0</v>
      </c>
      <c r="W176" s="704"/>
      <c r="X176" s="778">
        <f t="shared" si="12"/>
        <v>0</v>
      </c>
      <c r="Y176" s="693"/>
      <c r="Z176" s="695">
        <f t="shared" si="13"/>
        <v>0</v>
      </c>
      <c r="AA176" s="695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44"/>
      <c r="B177" s="9"/>
      <c r="C177" s="654" t="str">
        <f t="shared" si="14"/>
        <v>TAPA A/N 3 REGISTRO</v>
      </c>
      <c r="D177" s="654"/>
      <c r="E177" s="654"/>
      <c r="F177" s="654"/>
      <c r="G177" s="654"/>
      <c r="H177" s="702">
        <f t="shared" si="15"/>
        <v>0</v>
      </c>
      <c r="I177" s="702"/>
      <c r="J177" s="704">
        <f t="shared" si="16"/>
        <v>0</v>
      </c>
      <c r="K177" s="704"/>
      <c r="L177" s="702">
        <f t="shared" si="17"/>
        <v>0</v>
      </c>
      <c r="M177" s="702"/>
      <c r="N177" s="636">
        <f t="shared" si="18"/>
        <v>0</v>
      </c>
      <c r="O177" s="637"/>
      <c r="P177" s="702">
        <f t="shared" si="19"/>
        <v>0</v>
      </c>
      <c r="Q177" s="702"/>
      <c r="R177" s="636">
        <f t="shared" si="20"/>
        <v>0</v>
      </c>
      <c r="S177" s="637"/>
      <c r="T177" s="702">
        <f t="shared" si="21"/>
        <v>0</v>
      </c>
      <c r="U177" s="702"/>
      <c r="V177" s="704">
        <f t="shared" si="22"/>
        <v>0</v>
      </c>
      <c r="W177" s="704"/>
      <c r="X177" s="778">
        <f t="shared" si="12"/>
        <v>0</v>
      </c>
      <c r="Y177" s="693"/>
      <c r="Z177" s="695">
        <f t="shared" si="13"/>
        <v>0</v>
      </c>
      <c r="AA177" s="695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44"/>
      <c r="B178" s="9"/>
      <c r="C178" s="654" t="str">
        <f t="shared" si="14"/>
        <v>ANILLO A/N 2</v>
      </c>
      <c r="D178" s="654"/>
      <c r="E178" s="654"/>
      <c r="F178" s="654"/>
      <c r="G178" s="654"/>
      <c r="H178" s="702">
        <f t="shared" si="15"/>
        <v>0</v>
      </c>
      <c r="I178" s="702"/>
      <c r="J178" s="704">
        <f t="shared" si="16"/>
        <v>0</v>
      </c>
      <c r="K178" s="704"/>
      <c r="L178" s="702">
        <f t="shared" si="17"/>
        <v>0</v>
      </c>
      <c r="M178" s="702"/>
      <c r="N178" s="636">
        <f t="shared" si="18"/>
        <v>0</v>
      </c>
      <c r="O178" s="637"/>
      <c r="P178" s="702">
        <f t="shared" si="19"/>
        <v>0</v>
      </c>
      <c r="Q178" s="702"/>
      <c r="R178" s="636">
        <f t="shared" si="20"/>
        <v>0</v>
      </c>
      <c r="S178" s="637"/>
      <c r="T178" s="702">
        <f t="shared" si="21"/>
        <v>0</v>
      </c>
      <c r="U178" s="702"/>
      <c r="V178" s="704">
        <f t="shared" si="22"/>
        <v>0</v>
      </c>
      <c r="W178" s="704"/>
      <c r="X178" s="778">
        <f t="shared" si="12"/>
        <v>0</v>
      </c>
      <c r="Y178" s="693"/>
      <c r="Z178" s="695">
        <f t="shared" si="13"/>
        <v>0</v>
      </c>
      <c r="AA178" s="695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44"/>
      <c r="B179" s="9"/>
      <c r="C179" s="654" t="str">
        <f t="shared" si="14"/>
        <v>RED A/N 3X2</v>
      </c>
      <c r="D179" s="654"/>
      <c r="E179" s="654"/>
      <c r="F179" s="654"/>
      <c r="G179" s="654"/>
      <c r="H179" s="702">
        <f t="shared" si="15"/>
        <v>0</v>
      </c>
      <c r="I179" s="702"/>
      <c r="J179" s="704">
        <f t="shared" si="16"/>
        <v>0</v>
      </c>
      <c r="K179" s="704"/>
      <c r="L179" s="702">
        <f t="shared" si="17"/>
        <v>0</v>
      </c>
      <c r="M179" s="702"/>
      <c r="N179" s="636">
        <f t="shared" si="18"/>
        <v>0</v>
      </c>
      <c r="O179" s="637"/>
      <c r="P179" s="702">
        <f t="shared" si="19"/>
        <v>0</v>
      </c>
      <c r="Q179" s="702"/>
      <c r="R179" s="636">
        <f t="shared" si="20"/>
        <v>0</v>
      </c>
      <c r="S179" s="637"/>
      <c r="T179" s="702">
        <f t="shared" si="21"/>
        <v>0</v>
      </c>
      <c r="U179" s="702"/>
      <c r="V179" s="704">
        <f t="shared" si="22"/>
        <v>0</v>
      </c>
      <c r="W179" s="704"/>
      <c r="X179" s="778">
        <f t="shared" si="12"/>
        <v>0</v>
      </c>
      <c r="Y179" s="693"/>
      <c r="Z179" s="695">
        <f t="shared" si="13"/>
        <v>0</v>
      </c>
      <c r="AA179" s="695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44"/>
      <c r="B180" s="9"/>
      <c r="C180" s="654" t="str">
        <f t="shared" si="14"/>
        <v>CODO 3X45 TUBRICA</v>
      </c>
      <c r="D180" s="654"/>
      <c r="E180" s="654"/>
      <c r="F180" s="654"/>
      <c r="G180" s="654"/>
      <c r="H180" s="702">
        <f t="shared" si="15"/>
        <v>0</v>
      </c>
      <c r="I180" s="702"/>
      <c r="J180" s="704">
        <f t="shared" si="16"/>
        <v>0</v>
      </c>
      <c r="K180" s="704"/>
      <c r="L180" s="702">
        <f t="shared" si="17"/>
        <v>0</v>
      </c>
      <c r="M180" s="702"/>
      <c r="N180" s="636">
        <f t="shared" si="18"/>
        <v>0</v>
      </c>
      <c r="O180" s="637"/>
      <c r="P180" s="702">
        <f t="shared" si="19"/>
        <v>0</v>
      </c>
      <c r="Q180" s="702"/>
      <c r="R180" s="636">
        <f t="shared" si="20"/>
        <v>0</v>
      </c>
      <c r="S180" s="637"/>
      <c r="T180" s="702">
        <f t="shared" si="21"/>
        <v>0</v>
      </c>
      <c r="U180" s="702"/>
      <c r="V180" s="704">
        <f t="shared" si="22"/>
        <v>0</v>
      </c>
      <c r="W180" s="704"/>
      <c r="X180" s="778">
        <f t="shared" si="12"/>
        <v>0</v>
      </c>
      <c r="Y180" s="693"/>
      <c r="Z180" s="695">
        <f t="shared" si="13"/>
        <v>0</v>
      </c>
      <c r="AA180" s="695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44"/>
      <c r="B181" s="9"/>
      <c r="C181" s="654" t="str">
        <f t="shared" si="14"/>
        <v>CODO 4X45 BETAPLAST</v>
      </c>
      <c r="D181" s="654"/>
      <c r="E181" s="654"/>
      <c r="F181" s="654"/>
      <c r="G181" s="654"/>
      <c r="H181" s="702">
        <f t="shared" si="15"/>
        <v>0</v>
      </c>
      <c r="I181" s="702"/>
      <c r="J181" s="704">
        <f t="shared" si="16"/>
        <v>0</v>
      </c>
      <c r="K181" s="704"/>
      <c r="L181" s="702">
        <f t="shared" si="17"/>
        <v>0</v>
      </c>
      <c r="M181" s="702"/>
      <c r="N181" s="636">
        <f t="shared" si="18"/>
        <v>0</v>
      </c>
      <c r="O181" s="637"/>
      <c r="P181" s="702">
        <f t="shared" si="19"/>
        <v>0</v>
      </c>
      <c r="Q181" s="702"/>
      <c r="R181" s="636">
        <f t="shared" si="20"/>
        <v>0</v>
      </c>
      <c r="S181" s="637"/>
      <c r="T181" s="702">
        <f t="shared" si="21"/>
        <v>0</v>
      </c>
      <c r="U181" s="702"/>
      <c r="V181" s="704">
        <f t="shared" si="22"/>
        <v>0</v>
      </c>
      <c r="W181" s="704"/>
      <c r="X181" s="778">
        <f t="shared" si="12"/>
        <v>0</v>
      </c>
      <c r="Y181" s="693"/>
      <c r="Z181" s="695">
        <f t="shared" si="13"/>
        <v>0</v>
      </c>
      <c r="AA181" s="695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44"/>
      <c r="B182" s="9"/>
      <c r="C182" s="654" t="str">
        <f t="shared" si="14"/>
        <v>CODO 4X90</v>
      </c>
      <c r="D182" s="654"/>
      <c r="E182" s="654"/>
      <c r="F182" s="654"/>
      <c r="G182" s="654"/>
      <c r="H182" s="702">
        <f t="shared" si="15"/>
        <v>0</v>
      </c>
      <c r="I182" s="702"/>
      <c r="J182" s="704">
        <f t="shared" si="16"/>
        <v>0</v>
      </c>
      <c r="K182" s="704"/>
      <c r="L182" s="702">
        <f t="shared" si="17"/>
        <v>0</v>
      </c>
      <c r="M182" s="702"/>
      <c r="N182" s="636">
        <f t="shared" si="18"/>
        <v>0</v>
      </c>
      <c r="O182" s="637"/>
      <c r="P182" s="702">
        <f t="shared" si="19"/>
        <v>0</v>
      </c>
      <c r="Q182" s="702"/>
      <c r="R182" s="636">
        <f t="shared" si="20"/>
        <v>0</v>
      </c>
      <c r="S182" s="637"/>
      <c r="T182" s="702">
        <f t="shared" si="21"/>
        <v>0</v>
      </c>
      <c r="U182" s="702"/>
      <c r="V182" s="704">
        <f t="shared" si="22"/>
        <v>0</v>
      </c>
      <c r="W182" s="704"/>
      <c r="X182" s="778">
        <f t="shared" si="12"/>
        <v>0</v>
      </c>
      <c r="Y182" s="693"/>
      <c r="Z182" s="695">
        <f t="shared" si="13"/>
        <v>0</v>
      </c>
      <c r="AA182" s="695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44"/>
      <c r="B183" s="9"/>
      <c r="C183" s="654" t="str">
        <f t="shared" si="14"/>
        <v>SIFON COMPLETO 2"</v>
      </c>
      <c r="D183" s="654"/>
      <c r="E183" s="654"/>
      <c r="F183" s="654"/>
      <c r="G183" s="654"/>
      <c r="H183" s="702">
        <f t="shared" si="15"/>
        <v>0</v>
      </c>
      <c r="I183" s="702"/>
      <c r="J183" s="704">
        <f t="shared" si="16"/>
        <v>0</v>
      </c>
      <c r="K183" s="704"/>
      <c r="L183" s="702">
        <f t="shared" si="17"/>
        <v>0</v>
      </c>
      <c r="M183" s="702"/>
      <c r="N183" s="636">
        <f t="shared" si="18"/>
        <v>0</v>
      </c>
      <c r="O183" s="637"/>
      <c r="P183" s="702">
        <f t="shared" si="19"/>
        <v>0</v>
      </c>
      <c r="Q183" s="702"/>
      <c r="R183" s="636">
        <f t="shared" si="20"/>
        <v>0</v>
      </c>
      <c r="S183" s="637"/>
      <c r="T183" s="702">
        <f t="shared" si="21"/>
        <v>0</v>
      </c>
      <c r="U183" s="702"/>
      <c r="V183" s="704">
        <f t="shared" si="22"/>
        <v>0</v>
      </c>
      <c r="W183" s="704"/>
      <c r="X183" s="778">
        <f t="shared" si="12"/>
        <v>0</v>
      </c>
      <c r="Y183" s="693"/>
      <c r="Z183" s="695">
        <f t="shared" si="13"/>
        <v>0</v>
      </c>
      <c r="AA183" s="695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44"/>
      <c r="B184" s="9"/>
      <c r="C184" s="654" t="str">
        <f t="shared" si="14"/>
        <v>SIFON 4 COMPLETO BETAPLAST</v>
      </c>
      <c r="D184" s="654"/>
      <c r="E184" s="654"/>
      <c r="F184" s="654"/>
      <c r="G184" s="654"/>
      <c r="H184" s="702">
        <f t="shared" si="15"/>
        <v>0</v>
      </c>
      <c r="I184" s="702"/>
      <c r="J184" s="704">
        <f t="shared" si="16"/>
        <v>0</v>
      </c>
      <c r="K184" s="704"/>
      <c r="L184" s="702">
        <f t="shared" si="17"/>
        <v>0</v>
      </c>
      <c r="M184" s="702"/>
      <c r="N184" s="636">
        <f t="shared" si="18"/>
        <v>0</v>
      </c>
      <c r="O184" s="637"/>
      <c r="P184" s="702">
        <f t="shared" si="19"/>
        <v>0</v>
      </c>
      <c r="Q184" s="702"/>
      <c r="R184" s="636">
        <f t="shared" si="20"/>
        <v>0</v>
      </c>
      <c r="S184" s="637"/>
      <c r="T184" s="702">
        <f t="shared" si="21"/>
        <v>0</v>
      </c>
      <c r="U184" s="702"/>
      <c r="V184" s="704">
        <f t="shared" si="22"/>
        <v>0</v>
      </c>
      <c r="W184" s="704"/>
      <c r="X184" s="778">
        <f t="shared" si="12"/>
        <v>0</v>
      </c>
      <c r="Y184" s="693"/>
      <c r="Z184" s="695">
        <f t="shared" si="13"/>
        <v>0</v>
      </c>
      <c r="AA184" s="695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44"/>
      <c r="B185" s="9"/>
      <c r="C185" s="654" t="str">
        <f t="shared" si="14"/>
        <v>SIFON CORTO 3" DERIVADO</v>
      </c>
      <c r="D185" s="654"/>
      <c r="E185" s="654"/>
      <c r="F185" s="654"/>
      <c r="G185" s="654"/>
      <c r="H185" s="702">
        <f t="shared" si="15"/>
        <v>0</v>
      </c>
      <c r="I185" s="702"/>
      <c r="J185" s="704">
        <f t="shared" si="16"/>
        <v>0</v>
      </c>
      <c r="K185" s="704"/>
      <c r="L185" s="702">
        <f t="shared" si="17"/>
        <v>0</v>
      </c>
      <c r="M185" s="702"/>
      <c r="N185" s="636">
        <f t="shared" si="18"/>
        <v>0</v>
      </c>
      <c r="O185" s="637"/>
      <c r="P185" s="702">
        <f t="shared" si="19"/>
        <v>0</v>
      </c>
      <c r="Q185" s="702"/>
      <c r="R185" s="636">
        <f t="shared" si="20"/>
        <v>0</v>
      </c>
      <c r="S185" s="637"/>
      <c r="T185" s="702">
        <f t="shared" si="21"/>
        <v>0</v>
      </c>
      <c r="U185" s="702"/>
      <c r="V185" s="704">
        <f t="shared" si="22"/>
        <v>0</v>
      </c>
      <c r="W185" s="704"/>
      <c r="X185" s="778">
        <f t="shared" si="12"/>
        <v>0</v>
      </c>
      <c r="Y185" s="693"/>
      <c r="Z185" s="695">
        <f t="shared" si="13"/>
        <v>0</v>
      </c>
      <c r="AA185" s="695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44"/>
      <c r="B186" s="9"/>
      <c r="C186" s="654" t="str">
        <f t="shared" si="14"/>
        <v>SIFON 4 CORTO DERIVADOS</v>
      </c>
      <c r="D186" s="654"/>
      <c r="E186" s="654"/>
      <c r="F186" s="654"/>
      <c r="G186" s="654"/>
      <c r="H186" s="702">
        <f t="shared" si="15"/>
        <v>0</v>
      </c>
      <c r="I186" s="702"/>
      <c r="J186" s="704">
        <f t="shared" si="16"/>
        <v>0</v>
      </c>
      <c r="K186" s="704"/>
      <c r="L186" s="702">
        <f t="shared" si="17"/>
        <v>0</v>
      </c>
      <c r="M186" s="702"/>
      <c r="N186" s="636">
        <f t="shared" si="18"/>
        <v>0</v>
      </c>
      <c r="O186" s="637"/>
      <c r="P186" s="702">
        <f t="shared" si="19"/>
        <v>0</v>
      </c>
      <c r="Q186" s="702"/>
      <c r="R186" s="636">
        <f t="shared" si="20"/>
        <v>0</v>
      </c>
      <c r="S186" s="637"/>
      <c r="T186" s="702">
        <f t="shared" si="21"/>
        <v>0</v>
      </c>
      <c r="U186" s="702"/>
      <c r="V186" s="704">
        <f t="shared" si="22"/>
        <v>0</v>
      </c>
      <c r="W186" s="704"/>
      <c r="X186" s="778">
        <f t="shared" si="12"/>
        <v>0</v>
      </c>
      <c r="Y186" s="693"/>
      <c r="Z186" s="695">
        <f t="shared" si="13"/>
        <v>0</v>
      </c>
      <c r="AA186" s="695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44"/>
      <c r="B187" s="9"/>
      <c r="C187" s="654" t="str">
        <f t="shared" si="14"/>
        <v>MANG 1/2 X 5/8 PLAST ECON</v>
      </c>
      <c r="D187" s="654"/>
      <c r="E187" s="654"/>
      <c r="F187" s="654"/>
      <c r="G187" s="654"/>
      <c r="H187" s="702">
        <f t="shared" si="15"/>
        <v>0</v>
      </c>
      <c r="I187" s="702"/>
      <c r="J187" s="704">
        <f t="shared" si="16"/>
        <v>0</v>
      </c>
      <c r="K187" s="704"/>
      <c r="L187" s="702">
        <f t="shared" si="17"/>
        <v>0</v>
      </c>
      <c r="M187" s="702"/>
      <c r="N187" s="636">
        <f t="shared" si="18"/>
        <v>0</v>
      </c>
      <c r="O187" s="637"/>
      <c r="P187" s="702">
        <f t="shared" si="19"/>
        <v>0</v>
      </c>
      <c r="Q187" s="702"/>
      <c r="R187" s="636">
        <f t="shared" si="20"/>
        <v>0</v>
      </c>
      <c r="S187" s="637"/>
      <c r="T187" s="702">
        <f t="shared" si="21"/>
        <v>0</v>
      </c>
      <c r="U187" s="702"/>
      <c r="V187" s="704">
        <f t="shared" si="22"/>
        <v>0</v>
      </c>
      <c r="W187" s="704"/>
      <c r="X187" s="778">
        <f t="shared" si="12"/>
        <v>0</v>
      </c>
      <c r="Y187" s="693"/>
      <c r="Z187" s="695">
        <f t="shared" si="13"/>
        <v>0</v>
      </c>
      <c r="AA187" s="695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44"/>
      <c r="B188" s="9"/>
      <c r="C188" s="654" t="str">
        <f t="shared" si="14"/>
        <v>MANG 1/2 X 1/2 PLAST ECON</v>
      </c>
      <c r="D188" s="654"/>
      <c r="E188" s="654"/>
      <c r="F188" s="654"/>
      <c r="G188" s="654"/>
      <c r="H188" s="702">
        <f t="shared" si="15"/>
        <v>0</v>
      </c>
      <c r="I188" s="702"/>
      <c r="J188" s="704">
        <f t="shared" si="16"/>
        <v>0</v>
      </c>
      <c r="K188" s="704"/>
      <c r="L188" s="702">
        <f t="shared" si="17"/>
        <v>0</v>
      </c>
      <c r="M188" s="702"/>
      <c r="N188" s="636">
        <f t="shared" si="18"/>
        <v>0</v>
      </c>
      <c r="O188" s="637"/>
      <c r="P188" s="702">
        <f t="shared" si="19"/>
        <v>0</v>
      </c>
      <c r="Q188" s="702"/>
      <c r="R188" s="636">
        <f t="shared" si="20"/>
        <v>0</v>
      </c>
      <c r="S188" s="637"/>
      <c r="T188" s="702">
        <f t="shared" si="21"/>
        <v>0</v>
      </c>
      <c r="U188" s="702"/>
      <c r="V188" s="704">
        <f t="shared" si="22"/>
        <v>0</v>
      </c>
      <c r="W188" s="704"/>
      <c r="X188" s="778">
        <f t="shared" si="12"/>
        <v>0</v>
      </c>
      <c r="Y188" s="693"/>
      <c r="Z188" s="695">
        <f t="shared" si="13"/>
        <v>0</v>
      </c>
      <c r="AA188" s="695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44"/>
      <c r="B189" s="9"/>
      <c r="C189" s="654" t="str">
        <f t="shared" si="14"/>
        <v>TUBO COBRE 3/16</v>
      </c>
      <c r="D189" s="654"/>
      <c r="E189" s="654"/>
      <c r="F189" s="654"/>
      <c r="G189" s="654"/>
      <c r="H189" s="702">
        <f t="shared" si="15"/>
        <v>0</v>
      </c>
      <c r="I189" s="702"/>
      <c r="J189" s="704">
        <f t="shared" si="16"/>
        <v>0</v>
      </c>
      <c r="K189" s="704"/>
      <c r="L189" s="702">
        <f t="shared" si="17"/>
        <v>0</v>
      </c>
      <c r="M189" s="702"/>
      <c r="N189" s="636">
        <f t="shared" si="18"/>
        <v>0</v>
      </c>
      <c r="O189" s="637"/>
      <c r="P189" s="702">
        <f t="shared" si="19"/>
        <v>0</v>
      </c>
      <c r="Q189" s="702"/>
      <c r="R189" s="636">
        <f t="shared" si="20"/>
        <v>0</v>
      </c>
      <c r="S189" s="637"/>
      <c r="T189" s="702">
        <f t="shared" si="21"/>
        <v>0</v>
      </c>
      <c r="U189" s="702"/>
      <c r="V189" s="704">
        <f t="shared" si="22"/>
        <v>0</v>
      </c>
      <c r="W189" s="704"/>
      <c r="X189" s="778">
        <f t="shared" si="12"/>
        <v>0</v>
      </c>
      <c r="Y189" s="693"/>
      <c r="Z189" s="695">
        <f t="shared" si="13"/>
        <v>0</v>
      </c>
      <c r="AA189" s="695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44"/>
      <c r="B190" s="9"/>
      <c r="C190" s="654" t="str">
        <f t="shared" si="14"/>
        <v>DISCO C/M 4 1/2 WINONE</v>
      </c>
      <c r="D190" s="654"/>
      <c r="E190" s="654"/>
      <c r="F190" s="654"/>
      <c r="G190" s="654"/>
      <c r="H190" s="702">
        <f t="shared" si="15"/>
        <v>0</v>
      </c>
      <c r="I190" s="702"/>
      <c r="J190" s="704">
        <f t="shared" si="16"/>
        <v>0</v>
      </c>
      <c r="K190" s="704"/>
      <c r="L190" s="702">
        <f t="shared" si="17"/>
        <v>0</v>
      </c>
      <c r="M190" s="702"/>
      <c r="N190" s="636">
        <f t="shared" si="18"/>
        <v>0</v>
      </c>
      <c r="O190" s="637"/>
      <c r="P190" s="702">
        <f t="shared" si="19"/>
        <v>0</v>
      </c>
      <c r="Q190" s="702"/>
      <c r="R190" s="636">
        <f t="shared" si="20"/>
        <v>0</v>
      </c>
      <c r="S190" s="637"/>
      <c r="T190" s="702">
        <f t="shared" si="21"/>
        <v>0</v>
      </c>
      <c r="U190" s="702"/>
      <c r="V190" s="704">
        <f t="shared" si="22"/>
        <v>0</v>
      </c>
      <c r="W190" s="704"/>
      <c r="X190" s="778">
        <f t="shared" si="12"/>
        <v>0</v>
      </c>
      <c r="Y190" s="693"/>
      <c r="Z190" s="695">
        <f t="shared" si="13"/>
        <v>0</v>
      </c>
      <c r="AA190" s="695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44"/>
      <c r="B191" s="9"/>
      <c r="C191" s="654" t="str">
        <f t="shared" si="14"/>
        <v>DISCO R/M 4 1/2 WINONE</v>
      </c>
      <c r="D191" s="654"/>
      <c r="E191" s="654"/>
      <c r="F191" s="654"/>
      <c r="G191" s="654"/>
      <c r="H191" s="702">
        <f t="shared" si="15"/>
        <v>0</v>
      </c>
      <c r="I191" s="702"/>
      <c r="J191" s="704">
        <f t="shared" si="16"/>
        <v>0</v>
      </c>
      <c r="K191" s="704"/>
      <c r="L191" s="702">
        <f t="shared" si="17"/>
        <v>0</v>
      </c>
      <c r="M191" s="702"/>
      <c r="N191" s="636">
        <f t="shared" si="18"/>
        <v>0</v>
      </c>
      <c r="O191" s="637"/>
      <c r="P191" s="702">
        <f t="shared" si="19"/>
        <v>0</v>
      </c>
      <c r="Q191" s="702"/>
      <c r="R191" s="636">
        <f t="shared" si="20"/>
        <v>0</v>
      </c>
      <c r="S191" s="637"/>
      <c r="T191" s="702">
        <f t="shared" si="21"/>
        <v>0</v>
      </c>
      <c r="U191" s="702"/>
      <c r="V191" s="704">
        <f t="shared" si="22"/>
        <v>0</v>
      </c>
      <c r="W191" s="704"/>
      <c r="X191" s="778">
        <f t="shared" si="12"/>
        <v>0</v>
      </c>
      <c r="Y191" s="693"/>
      <c r="Z191" s="695">
        <f t="shared" si="13"/>
        <v>0</v>
      </c>
      <c r="AA191" s="695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44"/>
      <c r="B192" s="9"/>
      <c r="C192" s="654" t="str">
        <f t="shared" si="14"/>
        <v>LLAVERO GANCHO GRANDE</v>
      </c>
      <c r="D192" s="654"/>
      <c r="E192" s="654"/>
      <c r="F192" s="654"/>
      <c r="G192" s="654"/>
      <c r="H192" s="702">
        <f t="shared" si="15"/>
        <v>0</v>
      </c>
      <c r="I192" s="702"/>
      <c r="J192" s="704">
        <f t="shared" si="16"/>
        <v>0</v>
      </c>
      <c r="K192" s="704"/>
      <c r="L192" s="702">
        <f t="shared" si="17"/>
        <v>0</v>
      </c>
      <c r="M192" s="702"/>
      <c r="N192" s="636">
        <f t="shared" si="18"/>
        <v>0</v>
      </c>
      <c r="O192" s="637"/>
      <c r="P192" s="702">
        <f t="shared" si="19"/>
        <v>0</v>
      </c>
      <c r="Q192" s="702"/>
      <c r="R192" s="636">
        <f t="shared" si="20"/>
        <v>0</v>
      </c>
      <c r="S192" s="637"/>
      <c r="T192" s="702">
        <f t="shared" si="21"/>
        <v>0</v>
      </c>
      <c r="U192" s="702"/>
      <c r="V192" s="704">
        <f t="shared" si="22"/>
        <v>0</v>
      </c>
      <c r="W192" s="704"/>
      <c r="X192" s="778">
        <f t="shared" si="12"/>
        <v>0</v>
      </c>
      <c r="Y192" s="693"/>
      <c r="Z192" s="695">
        <f t="shared" si="13"/>
        <v>0</v>
      </c>
      <c r="AA192" s="695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44"/>
      <c r="B193" s="9"/>
      <c r="C193" s="654" t="str">
        <f t="shared" si="14"/>
        <v>LLAVERO GANCHO MEDIANO</v>
      </c>
      <c r="D193" s="654"/>
      <c r="E193" s="654"/>
      <c r="F193" s="654"/>
      <c r="G193" s="654"/>
      <c r="H193" s="702">
        <f t="shared" si="15"/>
        <v>0</v>
      </c>
      <c r="I193" s="702"/>
      <c r="J193" s="704">
        <f t="shared" si="16"/>
        <v>0</v>
      </c>
      <c r="K193" s="704"/>
      <c r="L193" s="702">
        <f t="shared" si="17"/>
        <v>0</v>
      </c>
      <c r="M193" s="702"/>
      <c r="N193" s="636">
        <f t="shared" si="18"/>
        <v>0</v>
      </c>
      <c r="O193" s="637"/>
      <c r="P193" s="702">
        <f t="shared" si="19"/>
        <v>0</v>
      </c>
      <c r="Q193" s="702"/>
      <c r="R193" s="636">
        <f t="shared" si="20"/>
        <v>0</v>
      </c>
      <c r="S193" s="637"/>
      <c r="T193" s="702">
        <f t="shared" si="21"/>
        <v>0</v>
      </c>
      <c r="U193" s="702"/>
      <c r="V193" s="704">
        <f t="shared" si="22"/>
        <v>0</v>
      </c>
      <c r="W193" s="704"/>
      <c r="X193" s="778">
        <f t="shared" si="12"/>
        <v>0</v>
      </c>
      <c r="Y193" s="693"/>
      <c r="Z193" s="695">
        <f t="shared" si="13"/>
        <v>0</v>
      </c>
      <c r="AA193" s="695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44"/>
      <c r="B194" s="9"/>
      <c r="C194" s="654" t="str">
        <f t="shared" si="14"/>
        <v>LLAVERO SECURITY</v>
      </c>
      <c r="D194" s="654"/>
      <c r="E194" s="654"/>
      <c r="F194" s="654"/>
      <c r="G194" s="654"/>
      <c r="H194" s="702">
        <f t="shared" si="15"/>
        <v>0</v>
      </c>
      <c r="I194" s="702"/>
      <c r="J194" s="704">
        <f t="shared" si="16"/>
        <v>0</v>
      </c>
      <c r="K194" s="704"/>
      <c r="L194" s="702">
        <f t="shared" si="17"/>
        <v>0</v>
      </c>
      <c r="M194" s="702"/>
      <c r="N194" s="636">
        <f t="shared" si="18"/>
        <v>0</v>
      </c>
      <c r="O194" s="637"/>
      <c r="P194" s="702">
        <f t="shared" si="19"/>
        <v>0</v>
      </c>
      <c r="Q194" s="702"/>
      <c r="R194" s="636">
        <f t="shared" si="20"/>
        <v>0</v>
      </c>
      <c r="S194" s="637"/>
      <c r="T194" s="702">
        <f t="shared" si="21"/>
        <v>0</v>
      </c>
      <c r="U194" s="702"/>
      <c r="V194" s="704">
        <f t="shared" si="22"/>
        <v>0</v>
      </c>
      <c r="W194" s="704"/>
      <c r="X194" s="778">
        <f t="shared" si="12"/>
        <v>0</v>
      </c>
      <c r="Y194" s="693"/>
      <c r="Z194" s="695">
        <f t="shared" si="13"/>
        <v>0</v>
      </c>
      <c r="AA194" s="695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44"/>
      <c r="B195" s="9"/>
      <c r="C195" s="654" t="str">
        <f t="shared" si="14"/>
        <v>GRIFERIA LAVAPLATO INDIVIDUAL</v>
      </c>
      <c r="D195" s="654"/>
      <c r="E195" s="654"/>
      <c r="F195" s="654"/>
      <c r="G195" s="654"/>
      <c r="H195" s="702">
        <f t="shared" si="15"/>
        <v>0</v>
      </c>
      <c r="I195" s="702"/>
      <c r="J195" s="704">
        <f t="shared" si="16"/>
        <v>0</v>
      </c>
      <c r="K195" s="704"/>
      <c r="L195" s="702">
        <f t="shared" si="17"/>
        <v>0</v>
      </c>
      <c r="M195" s="702"/>
      <c r="N195" s="636">
        <f t="shared" si="18"/>
        <v>0</v>
      </c>
      <c r="O195" s="637"/>
      <c r="P195" s="702">
        <f t="shared" si="19"/>
        <v>0</v>
      </c>
      <c r="Q195" s="702"/>
      <c r="R195" s="636">
        <f t="shared" si="20"/>
        <v>0</v>
      </c>
      <c r="S195" s="637"/>
      <c r="T195" s="702">
        <f t="shared" si="21"/>
        <v>0</v>
      </c>
      <c r="U195" s="702"/>
      <c r="V195" s="704">
        <f t="shared" si="22"/>
        <v>0</v>
      </c>
      <c r="W195" s="704"/>
      <c r="X195" s="778">
        <f t="shared" si="12"/>
        <v>0</v>
      </c>
      <c r="Y195" s="693"/>
      <c r="Z195" s="695">
        <f t="shared" si="13"/>
        <v>0</v>
      </c>
      <c r="AA195" s="695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44"/>
      <c r="B196" s="9"/>
      <c r="C196" s="654" t="str">
        <f t="shared" si="14"/>
        <v>LLAVE SENCILLA LAVAPLATO GRIVEN</v>
      </c>
      <c r="D196" s="654"/>
      <c r="E196" s="654"/>
      <c r="F196" s="654"/>
      <c r="G196" s="654"/>
      <c r="H196" s="702">
        <f t="shared" si="15"/>
        <v>0</v>
      </c>
      <c r="I196" s="702"/>
      <c r="J196" s="704">
        <f t="shared" si="16"/>
        <v>0</v>
      </c>
      <c r="K196" s="704"/>
      <c r="L196" s="702">
        <f t="shared" si="17"/>
        <v>0</v>
      </c>
      <c r="M196" s="702"/>
      <c r="N196" s="636">
        <f t="shared" si="18"/>
        <v>0</v>
      </c>
      <c r="O196" s="637"/>
      <c r="P196" s="702">
        <f t="shared" si="19"/>
        <v>0</v>
      </c>
      <c r="Q196" s="702"/>
      <c r="R196" s="636">
        <f t="shared" si="20"/>
        <v>0</v>
      </c>
      <c r="S196" s="637"/>
      <c r="T196" s="702">
        <f t="shared" si="21"/>
        <v>0</v>
      </c>
      <c r="U196" s="702"/>
      <c r="V196" s="704">
        <f t="shared" si="22"/>
        <v>0</v>
      </c>
      <c r="W196" s="704"/>
      <c r="X196" s="778">
        <f t="shared" si="12"/>
        <v>0</v>
      </c>
      <c r="Y196" s="693"/>
      <c r="Z196" s="695">
        <f t="shared" si="13"/>
        <v>0</v>
      </c>
      <c r="AA196" s="695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44"/>
      <c r="B197" s="9"/>
      <c r="C197" s="654" t="str">
        <f t="shared" si="14"/>
        <v>CODO 75MM X 90 RIEGO</v>
      </c>
      <c r="D197" s="654"/>
      <c r="E197" s="654"/>
      <c r="F197" s="654"/>
      <c r="G197" s="654"/>
      <c r="H197" s="702">
        <f t="shared" si="15"/>
        <v>0</v>
      </c>
      <c r="I197" s="702"/>
      <c r="J197" s="704">
        <f t="shared" si="16"/>
        <v>0</v>
      </c>
      <c r="K197" s="704"/>
      <c r="L197" s="702">
        <f t="shared" si="17"/>
        <v>0</v>
      </c>
      <c r="M197" s="702"/>
      <c r="N197" s="636">
        <f t="shared" si="18"/>
        <v>0</v>
      </c>
      <c r="O197" s="637"/>
      <c r="P197" s="702">
        <f t="shared" si="19"/>
        <v>0</v>
      </c>
      <c r="Q197" s="702"/>
      <c r="R197" s="636">
        <f t="shared" si="20"/>
        <v>0</v>
      </c>
      <c r="S197" s="637"/>
      <c r="T197" s="702">
        <f t="shared" si="21"/>
        <v>0</v>
      </c>
      <c r="U197" s="702"/>
      <c r="V197" s="704">
        <f t="shared" si="22"/>
        <v>0</v>
      </c>
      <c r="W197" s="704"/>
      <c r="X197" s="778">
        <f t="shared" si="12"/>
        <v>0</v>
      </c>
      <c r="Y197" s="693"/>
      <c r="Z197" s="695">
        <f t="shared" si="13"/>
        <v>0</v>
      </c>
      <c r="AA197" s="695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44"/>
      <c r="B198" s="9"/>
      <c r="C198" s="654" t="str">
        <f t="shared" si="14"/>
        <v>INFLADOR P/CAUCHOS</v>
      </c>
      <c r="D198" s="654"/>
      <c r="E198" s="654"/>
      <c r="F198" s="654"/>
      <c r="G198" s="654"/>
      <c r="H198" s="702">
        <f t="shared" si="15"/>
        <v>36</v>
      </c>
      <c r="I198" s="702"/>
      <c r="J198" s="704">
        <f t="shared" si="16"/>
        <v>288</v>
      </c>
      <c r="K198" s="704"/>
      <c r="L198" s="702">
        <f t="shared" si="17"/>
        <v>0</v>
      </c>
      <c r="M198" s="702"/>
      <c r="N198" s="636">
        <f t="shared" si="18"/>
        <v>0</v>
      </c>
      <c r="O198" s="637"/>
      <c r="P198" s="702">
        <f t="shared" si="19"/>
        <v>0</v>
      </c>
      <c r="Q198" s="702"/>
      <c r="R198" s="636">
        <f t="shared" si="20"/>
        <v>0</v>
      </c>
      <c r="S198" s="637"/>
      <c r="T198" s="702">
        <f t="shared" si="21"/>
        <v>0</v>
      </c>
      <c r="U198" s="702"/>
      <c r="V198" s="704">
        <f t="shared" si="22"/>
        <v>0</v>
      </c>
      <c r="W198" s="704"/>
      <c r="X198" s="778">
        <f t="shared" si="12"/>
        <v>36</v>
      </c>
      <c r="Y198" s="693"/>
      <c r="Z198" s="695">
        <f t="shared" si="13"/>
        <v>288</v>
      </c>
      <c r="AA198" s="695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44"/>
      <c r="B199" s="9"/>
      <c r="C199" s="654" t="str">
        <f t="shared" si="14"/>
        <v>SERRUCHO SECURITY 14" DE PODAR</v>
      </c>
      <c r="D199" s="654"/>
      <c r="E199" s="654"/>
      <c r="F199" s="654"/>
      <c r="G199" s="654"/>
      <c r="H199" s="702">
        <f t="shared" si="15"/>
        <v>0</v>
      </c>
      <c r="I199" s="702"/>
      <c r="J199" s="704">
        <f t="shared" si="16"/>
        <v>0</v>
      </c>
      <c r="K199" s="704"/>
      <c r="L199" s="702">
        <f t="shared" si="17"/>
        <v>0</v>
      </c>
      <c r="M199" s="702"/>
      <c r="N199" s="636">
        <f t="shared" si="18"/>
        <v>0</v>
      </c>
      <c r="O199" s="637"/>
      <c r="P199" s="702">
        <f t="shared" si="19"/>
        <v>0</v>
      </c>
      <c r="Q199" s="702"/>
      <c r="R199" s="636">
        <f t="shared" si="20"/>
        <v>0</v>
      </c>
      <c r="S199" s="637"/>
      <c r="T199" s="702">
        <f t="shared" si="21"/>
        <v>0</v>
      </c>
      <c r="U199" s="702"/>
      <c r="V199" s="704">
        <f t="shared" si="22"/>
        <v>0</v>
      </c>
      <c r="W199" s="704"/>
      <c r="X199" s="778">
        <f t="shared" si="12"/>
        <v>0</v>
      </c>
      <c r="Y199" s="693"/>
      <c r="Z199" s="695">
        <f t="shared" si="13"/>
        <v>0</v>
      </c>
      <c r="AA199" s="695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44"/>
      <c r="B200" s="9"/>
      <c r="C200" s="654" t="str">
        <f t="shared" si="14"/>
        <v>SPLINTER ORIG 2 VIAS</v>
      </c>
      <c r="D200" s="654"/>
      <c r="E200" s="654"/>
      <c r="F200" s="654"/>
      <c r="G200" s="654"/>
      <c r="H200" s="702">
        <f t="shared" si="15"/>
        <v>0</v>
      </c>
      <c r="I200" s="702"/>
      <c r="J200" s="704">
        <f t="shared" si="16"/>
        <v>0</v>
      </c>
      <c r="K200" s="704"/>
      <c r="L200" s="702">
        <f t="shared" si="17"/>
        <v>0</v>
      </c>
      <c r="M200" s="702"/>
      <c r="N200" s="636">
        <f t="shared" si="18"/>
        <v>0</v>
      </c>
      <c r="O200" s="637"/>
      <c r="P200" s="702">
        <f t="shared" si="19"/>
        <v>0</v>
      </c>
      <c r="Q200" s="702"/>
      <c r="R200" s="636">
        <f t="shared" si="20"/>
        <v>0</v>
      </c>
      <c r="S200" s="637"/>
      <c r="T200" s="702">
        <f t="shared" si="21"/>
        <v>0</v>
      </c>
      <c r="U200" s="702"/>
      <c r="V200" s="704">
        <f t="shared" si="22"/>
        <v>0</v>
      </c>
      <c r="W200" s="704"/>
      <c r="X200" s="778">
        <f t="shared" si="12"/>
        <v>0</v>
      </c>
      <c r="Y200" s="693"/>
      <c r="Z200" s="695">
        <f t="shared" si="13"/>
        <v>0</v>
      </c>
      <c r="AA200" s="695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44"/>
      <c r="B201" s="9"/>
      <c r="C201" s="654" t="str">
        <f t="shared" si="14"/>
        <v>LAMPARA DE NOCHE</v>
      </c>
      <c r="D201" s="654"/>
      <c r="E201" s="654"/>
      <c r="F201" s="654"/>
      <c r="G201" s="654"/>
      <c r="H201" s="702">
        <f t="shared" si="15"/>
        <v>0</v>
      </c>
      <c r="I201" s="702"/>
      <c r="J201" s="704">
        <f t="shared" si="16"/>
        <v>0</v>
      </c>
      <c r="K201" s="704"/>
      <c r="L201" s="702">
        <f t="shared" si="17"/>
        <v>0</v>
      </c>
      <c r="M201" s="702"/>
      <c r="N201" s="636">
        <f t="shared" si="18"/>
        <v>0</v>
      </c>
      <c r="O201" s="637"/>
      <c r="P201" s="702">
        <f t="shared" si="19"/>
        <v>0</v>
      </c>
      <c r="Q201" s="702"/>
      <c r="R201" s="636">
        <f t="shared" si="20"/>
        <v>0</v>
      </c>
      <c r="S201" s="637"/>
      <c r="T201" s="702">
        <f t="shared" si="21"/>
        <v>0</v>
      </c>
      <c r="U201" s="702"/>
      <c r="V201" s="704">
        <f t="shared" si="22"/>
        <v>0</v>
      </c>
      <c r="W201" s="704"/>
      <c r="X201" s="778">
        <f t="shared" si="12"/>
        <v>0</v>
      </c>
      <c r="Y201" s="693"/>
      <c r="Z201" s="695">
        <f t="shared" si="13"/>
        <v>0</v>
      </c>
      <c r="AA201" s="695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44"/>
      <c r="C202" s="26"/>
      <c r="D202" s="26"/>
      <c r="E202" s="26"/>
      <c r="F202" s="26"/>
      <c r="G202" s="26"/>
      <c r="H202" s="674">
        <f>SUM(J140:K201)</f>
        <v>538.70000000000005</v>
      </c>
      <c r="I202" s="675"/>
      <c r="J202" s="675"/>
      <c r="K202" s="675"/>
      <c r="L202" s="675">
        <f>SUM(N140:O201)</f>
        <v>0</v>
      </c>
      <c r="M202" s="675"/>
      <c r="N202" s="675"/>
      <c r="O202" s="676"/>
      <c r="P202" s="675">
        <f>SUM(R140:S201)</f>
        <v>0</v>
      </c>
      <c r="Q202" s="675"/>
      <c r="R202" s="675"/>
      <c r="S202" s="676"/>
      <c r="T202" s="675">
        <f>SUM(V140:W201)</f>
        <v>0</v>
      </c>
      <c r="U202" s="675"/>
      <c r="V202" s="675"/>
      <c r="W202" s="676"/>
      <c r="X202" s="674">
        <f>SUM(Z140:AA201)</f>
        <v>538.70000000000005</v>
      </c>
      <c r="Y202" s="675"/>
      <c r="Z202" s="675"/>
      <c r="AA202" s="675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44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44"/>
      <c r="B204" s="44"/>
      <c r="C204" s="45"/>
      <c r="D204" s="45"/>
      <c r="E204" s="45"/>
      <c r="F204" s="45"/>
      <c r="G204" s="45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3"/>
      <c r="X204" s="43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44"/>
      <c r="B205" s="44"/>
      <c r="C205" s="45"/>
      <c r="D205" s="45"/>
      <c r="E205" s="45"/>
      <c r="F205" s="45"/>
      <c r="G205" s="45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3"/>
      <c r="X205" s="43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2"/>
      <c r="B207" s="734" t="s">
        <v>89</v>
      </c>
      <c r="C207" s="734"/>
      <c r="D207" s="734"/>
      <c r="E207" s="734"/>
      <c r="F207" s="734"/>
      <c r="G207" s="734"/>
      <c r="H207" s="734"/>
      <c r="I207" s="734"/>
      <c r="J207" s="734"/>
      <c r="K207" s="734"/>
      <c r="L207" s="734"/>
      <c r="M207" s="734"/>
      <c r="N207" s="734"/>
      <c r="O207" s="734"/>
      <c r="P207" s="734"/>
      <c r="Q207" s="734"/>
      <c r="R207" s="734"/>
      <c r="S207" s="734"/>
      <c r="T207" s="734"/>
      <c r="U207" s="734"/>
      <c r="V207" s="734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2"/>
      <c r="B208" s="734"/>
      <c r="C208" s="734"/>
      <c r="D208" s="734"/>
      <c r="E208" s="734"/>
      <c r="F208" s="734"/>
      <c r="G208" s="734"/>
      <c r="H208" s="734"/>
      <c r="I208" s="734"/>
      <c r="J208" s="734"/>
      <c r="K208" s="734"/>
      <c r="L208" s="734"/>
      <c r="M208" s="734"/>
      <c r="N208" s="734"/>
      <c r="O208" s="734"/>
      <c r="P208" s="734"/>
      <c r="Q208" s="734"/>
      <c r="R208" s="734"/>
      <c r="S208" s="734"/>
      <c r="T208" s="734"/>
      <c r="U208" s="734"/>
      <c r="V208" s="734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2"/>
      <c r="B209" s="734"/>
      <c r="C209" s="734"/>
      <c r="D209" s="734"/>
      <c r="E209" s="734"/>
      <c r="F209" s="734"/>
      <c r="G209" s="734"/>
      <c r="H209" s="734"/>
      <c r="I209" s="734"/>
      <c r="J209" s="734"/>
      <c r="K209" s="734"/>
      <c r="L209" s="734"/>
      <c r="M209" s="734"/>
      <c r="N209" s="734"/>
      <c r="O209" s="734"/>
      <c r="P209" s="734"/>
      <c r="Q209" s="734"/>
      <c r="R209" s="734"/>
      <c r="S209" s="734"/>
      <c r="T209" s="734"/>
      <c r="U209" s="734"/>
      <c r="V209" s="734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2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64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2"/>
      <c r="C211" s="783" t="s">
        <v>216</v>
      </c>
      <c r="D211" s="783"/>
      <c r="E211" s="783"/>
      <c r="F211" s="783"/>
      <c r="G211" s="783"/>
      <c r="H211" s="783"/>
      <c r="I211" s="783"/>
      <c r="J211" s="783"/>
      <c r="K211" s="783"/>
      <c r="L211" s="783"/>
      <c r="M211" s="783"/>
      <c r="N211" s="783"/>
      <c r="O211" s="83"/>
      <c r="P211" s="8"/>
      <c r="Q211" s="8"/>
      <c r="R211" s="8"/>
      <c r="S211" s="8"/>
    </row>
    <row r="212" spans="1:31" ht="26.25" x14ac:dyDescent="0.25">
      <c r="A212" s="42"/>
      <c r="C212" s="779" t="s">
        <v>2</v>
      </c>
      <c r="D212" s="731"/>
      <c r="E212" s="731"/>
      <c r="F212" s="731"/>
      <c r="G212" s="780"/>
      <c r="H212" s="29">
        <v>1</v>
      </c>
      <c r="I212" s="38" t="s">
        <v>87</v>
      </c>
      <c r="J212" s="146" t="s">
        <v>86</v>
      </c>
      <c r="K212" s="15" t="s">
        <v>77</v>
      </c>
      <c r="L212" s="15" t="s">
        <v>78</v>
      </c>
      <c r="M212" s="15" t="s">
        <v>79</v>
      </c>
      <c r="N212" s="13" t="s">
        <v>94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2"/>
      <c r="C213" s="720" t="str">
        <f>C140</f>
        <v>BUSH HG 1 1/2" X 1"</v>
      </c>
      <c r="D213" s="654"/>
      <c r="E213" s="654"/>
      <c r="F213" s="654"/>
      <c r="G213" s="647"/>
      <c r="H213" s="51">
        <v>4500</v>
      </c>
      <c r="I213" s="51"/>
      <c r="J213" s="38"/>
      <c r="K213" s="52">
        <f>H213</f>
        <v>4500</v>
      </c>
      <c r="L213" s="15">
        <f>X140</f>
        <v>0</v>
      </c>
      <c r="M213" s="69">
        <f>K213-L213</f>
        <v>4500</v>
      </c>
      <c r="N213" s="104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2"/>
      <c r="C214" s="720" t="str">
        <f t="shared" ref="C214:C274" si="23">C141</f>
        <v>BUSH HG 1" X 1/2"</v>
      </c>
      <c r="D214" s="654"/>
      <c r="E214" s="654"/>
      <c r="F214" s="654"/>
      <c r="G214" s="647"/>
      <c r="H214" s="51">
        <v>1023</v>
      </c>
      <c r="I214" s="51"/>
      <c r="J214" s="147"/>
      <c r="K214" s="52">
        <f t="shared" ref="K214:K234" si="24">H214</f>
        <v>1023</v>
      </c>
      <c r="L214" s="15">
        <f t="shared" ref="L214:L234" si="25">X141</f>
        <v>0</v>
      </c>
      <c r="M214" s="69">
        <f t="shared" ref="M214:M234" si="26">K214-L214</f>
        <v>1023</v>
      </c>
      <c r="N214" s="104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2"/>
      <c r="C215" s="720" t="str">
        <f t="shared" si="23"/>
        <v>ANILLO HG 3</v>
      </c>
      <c r="D215" s="654"/>
      <c r="E215" s="654"/>
      <c r="F215" s="654"/>
      <c r="G215" s="647"/>
      <c r="H215" s="51">
        <v>27</v>
      </c>
      <c r="I215" s="51"/>
      <c r="J215" s="147"/>
      <c r="K215" s="52">
        <f t="shared" si="24"/>
        <v>27</v>
      </c>
      <c r="L215" s="15">
        <f t="shared" si="25"/>
        <v>0</v>
      </c>
      <c r="M215" s="69">
        <f t="shared" si="26"/>
        <v>27</v>
      </c>
      <c r="N215" s="104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2"/>
      <c r="C216" s="720" t="str">
        <f t="shared" si="23"/>
        <v>ANILLO HG 4</v>
      </c>
      <c r="D216" s="654"/>
      <c r="E216" s="654"/>
      <c r="F216" s="654"/>
      <c r="G216" s="647"/>
      <c r="H216" s="51">
        <v>12</v>
      </c>
      <c r="I216" s="51"/>
      <c r="J216" s="38"/>
      <c r="K216" s="52">
        <f t="shared" si="24"/>
        <v>12</v>
      </c>
      <c r="L216" s="15">
        <f t="shared" si="25"/>
        <v>0</v>
      </c>
      <c r="M216" s="69">
        <f t="shared" si="26"/>
        <v>12</v>
      </c>
      <c r="N216" s="104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2"/>
      <c r="C217" s="720" t="str">
        <f t="shared" si="23"/>
        <v>TAPON HG 1</v>
      </c>
      <c r="D217" s="654"/>
      <c r="E217" s="654"/>
      <c r="F217" s="654"/>
      <c r="G217" s="647"/>
      <c r="H217" s="51">
        <v>237</v>
      </c>
      <c r="I217" s="51"/>
      <c r="J217" s="38"/>
      <c r="K217" s="52">
        <f t="shared" si="24"/>
        <v>237</v>
      </c>
      <c r="L217" s="15">
        <f t="shared" si="25"/>
        <v>0</v>
      </c>
      <c r="M217" s="69">
        <f t="shared" si="26"/>
        <v>237</v>
      </c>
      <c r="N217" s="104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2"/>
      <c r="C218" s="720" t="str">
        <f t="shared" si="23"/>
        <v>TEE HG 1 1/2</v>
      </c>
      <c r="D218" s="654"/>
      <c r="E218" s="654"/>
      <c r="F218" s="654"/>
      <c r="G218" s="647"/>
      <c r="H218" s="51">
        <v>70</v>
      </c>
      <c r="I218" s="51"/>
      <c r="J218" s="38"/>
      <c r="K218" s="52">
        <f t="shared" si="24"/>
        <v>70</v>
      </c>
      <c r="L218" s="15">
        <f t="shared" si="25"/>
        <v>0</v>
      </c>
      <c r="M218" s="69">
        <f t="shared" si="26"/>
        <v>70</v>
      </c>
      <c r="N218" s="104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2"/>
      <c r="C219" s="720" t="str">
        <f t="shared" si="23"/>
        <v>CHECK PVC 1/2</v>
      </c>
      <c r="D219" s="654"/>
      <c r="E219" s="654"/>
      <c r="F219" s="654"/>
      <c r="G219" s="647"/>
      <c r="H219" s="51">
        <v>300</v>
      </c>
      <c r="I219" s="51"/>
      <c r="J219" s="147"/>
      <c r="K219" s="52">
        <f t="shared" si="24"/>
        <v>300</v>
      </c>
      <c r="L219" s="15">
        <f t="shared" si="25"/>
        <v>0</v>
      </c>
      <c r="M219" s="69">
        <f t="shared" si="26"/>
        <v>300</v>
      </c>
      <c r="N219" s="104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2"/>
      <c r="C220" s="720" t="str">
        <f t="shared" si="23"/>
        <v>CHECK PVC 3/4</v>
      </c>
      <c r="D220" s="654"/>
      <c r="E220" s="654"/>
      <c r="F220" s="654"/>
      <c r="G220" s="647"/>
      <c r="H220" s="51">
        <v>97</v>
      </c>
      <c r="I220" s="51"/>
      <c r="J220" s="147"/>
      <c r="K220" s="52">
        <f t="shared" si="24"/>
        <v>97</v>
      </c>
      <c r="L220" s="15">
        <f t="shared" si="25"/>
        <v>0</v>
      </c>
      <c r="M220" s="69">
        <f t="shared" si="26"/>
        <v>97</v>
      </c>
      <c r="N220" s="104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2"/>
      <c r="C221" s="720" t="str">
        <f t="shared" si="23"/>
        <v>CHECK PVC 1</v>
      </c>
      <c r="D221" s="654"/>
      <c r="E221" s="654"/>
      <c r="F221" s="654"/>
      <c r="G221" s="647"/>
      <c r="H221" s="51">
        <v>40</v>
      </c>
      <c r="I221" s="51"/>
      <c r="J221" s="148"/>
      <c r="K221" s="52">
        <f t="shared" si="24"/>
        <v>40</v>
      </c>
      <c r="L221" s="15">
        <f t="shared" si="25"/>
        <v>0</v>
      </c>
      <c r="M221" s="69">
        <f t="shared" si="26"/>
        <v>40</v>
      </c>
      <c r="N221" s="104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2"/>
      <c r="C222" s="720" t="str">
        <f t="shared" si="23"/>
        <v>CHECK PVC 1 1/2</v>
      </c>
      <c r="D222" s="654"/>
      <c r="E222" s="654"/>
      <c r="F222" s="654"/>
      <c r="G222" s="647"/>
      <c r="H222" s="51">
        <v>20</v>
      </c>
      <c r="I222" s="51"/>
      <c r="J222" s="147"/>
      <c r="K222" s="52">
        <f t="shared" si="24"/>
        <v>20</v>
      </c>
      <c r="L222" s="15">
        <f t="shared" si="25"/>
        <v>0</v>
      </c>
      <c r="M222" s="69">
        <f t="shared" si="26"/>
        <v>20</v>
      </c>
      <c r="N222" s="104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2"/>
      <c r="C223" s="720" t="str">
        <f t="shared" si="23"/>
        <v>ANILLO A/F C/R 3/4 PVC</v>
      </c>
      <c r="D223" s="654"/>
      <c r="E223" s="654"/>
      <c r="F223" s="654"/>
      <c r="G223" s="647"/>
      <c r="H223" s="51">
        <v>500</v>
      </c>
      <c r="I223" s="51"/>
      <c r="J223" s="147"/>
      <c r="K223" s="52">
        <f t="shared" si="24"/>
        <v>500</v>
      </c>
      <c r="L223" s="15">
        <f t="shared" si="25"/>
        <v>0</v>
      </c>
      <c r="M223" s="69">
        <f t="shared" si="26"/>
        <v>500</v>
      </c>
      <c r="N223" s="104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2"/>
      <c r="C224" s="720" t="str">
        <f t="shared" si="23"/>
        <v>ANILLO A/F C/R 1/2 PVC</v>
      </c>
      <c r="D224" s="654"/>
      <c r="E224" s="654"/>
      <c r="F224" s="654"/>
      <c r="G224" s="647"/>
      <c r="H224" s="51">
        <v>86</v>
      </c>
      <c r="I224" s="51"/>
      <c r="J224" s="147"/>
      <c r="K224" s="52">
        <f t="shared" si="24"/>
        <v>86</v>
      </c>
      <c r="L224" s="15">
        <f t="shared" si="25"/>
        <v>0</v>
      </c>
      <c r="M224" s="69">
        <f t="shared" si="26"/>
        <v>86</v>
      </c>
      <c r="N224" s="104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2"/>
      <c r="C225" s="720" t="str">
        <f t="shared" si="23"/>
        <v>TEE A/F C/R 1/2 PVC</v>
      </c>
      <c r="D225" s="654"/>
      <c r="E225" s="654"/>
      <c r="F225" s="654"/>
      <c r="G225" s="647"/>
      <c r="H225" s="51">
        <v>255</v>
      </c>
      <c r="I225" s="51"/>
      <c r="J225" s="38"/>
      <c r="K225" s="52">
        <f t="shared" si="24"/>
        <v>255</v>
      </c>
      <c r="L225" s="15">
        <f t="shared" si="25"/>
        <v>0</v>
      </c>
      <c r="M225" s="69">
        <f t="shared" si="26"/>
        <v>255</v>
      </c>
      <c r="N225" s="104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2"/>
      <c r="C226" s="720" t="str">
        <f t="shared" si="23"/>
        <v>TEE A/F C/R 3/4 PVC</v>
      </c>
      <c r="D226" s="654"/>
      <c r="E226" s="654"/>
      <c r="F226" s="654"/>
      <c r="G226" s="647"/>
      <c r="H226" s="51">
        <v>226</v>
      </c>
      <c r="I226" s="51"/>
      <c r="J226" s="38"/>
      <c r="K226" s="52">
        <f t="shared" si="24"/>
        <v>226</v>
      </c>
      <c r="L226" s="15">
        <f t="shared" si="25"/>
        <v>0</v>
      </c>
      <c r="M226" s="69">
        <f t="shared" si="26"/>
        <v>226</v>
      </c>
      <c r="N226" s="104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2"/>
      <c r="C227" s="720" t="str">
        <f t="shared" si="23"/>
        <v>CODO A/F C/R 1/2 X 90 PVC</v>
      </c>
      <c r="D227" s="654"/>
      <c r="E227" s="654"/>
      <c r="F227" s="654"/>
      <c r="G227" s="647"/>
      <c r="H227" s="51">
        <v>180</v>
      </c>
      <c r="I227" s="51"/>
      <c r="J227" s="38"/>
      <c r="K227" s="52">
        <f t="shared" si="24"/>
        <v>180</v>
      </c>
      <c r="L227" s="15">
        <f t="shared" si="25"/>
        <v>0</v>
      </c>
      <c r="M227" s="69">
        <f t="shared" si="26"/>
        <v>180</v>
      </c>
      <c r="N227" s="104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2"/>
      <c r="C228" s="720" t="str">
        <f t="shared" si="23"/>
        <v>TAPA A/F C/R 1/2 PVC</v>
      </c>
      <c r="D228" s="654"/>
      <c r="E228" s="654"/>
      <c r="F228" s="654"/>
      <c r="G228" s="647"/>
      <c r="H228" s="51">
        <v>300</v>
      </c>
      <c r="I228" s="51"/>
      <c r="J228" s="147"/>
      <c r="K228" s="52">
        <f t="shared" si="24"/>
        <v>300</v>
      </c>
      <c r="L228" s="15">
        <f t="shared" si="25"/>
        <v>0</v>
      </c>
      <c r="M228" s="69">
        <f t="shared" si="26"/>
        <v>300</v>
      </c>
      <c r="N228" s="104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2"/>
      <c r="C229" s="720" t="str">
        <f t="shared" si="23"/>
        <v>TAPA A/F C/R 3/4 PVC</v>
      </c>
      <c r="D229" s="654"/>
      <c r="E229" s="654"/>
      <c r="F229" s="654"/>
      <c r="G229" s="647"/>
      <c r="H229" s="51">
        <v>388</v>
      </c>
      <c r="I229" s="51"/>
      <c r="J229" s="147"/>
      <c r="K229" s="52">
        <f t="shared" si="24"/>
        <v>388</v>
      </c>
      <c r="L229" s="15">
        <f t="shared" si="25"/>
        <v>0</v>
      </c>
      <c r="M229" s="69">
        <f t="shared" si="26"/>
        <v>388</v>
      </c>
      <c r="N229" s="104">
        <f t="shared" si="27"/>
        <v>0</v>
      </c>
      <c r="O229" s="12"/>
      <c r="P229" s="143"/>
      <c r="Q229" s="143"/>
      <c r="R229" s="143"/>
      <c r="S229" s="143"/>
      <c r="T229" s="143"/>
      <c r="U229" s="143"/>
      <c r="V229" s="143"/>
      <c r="W229" s="143"/>
      <c r="X229" s="143"/>
      <c r="Y229" s="143"/>
      <c r="Z229" s="143"/>
      <c r="AA229" s="143"/>
    </row>
    <row r="230" spans="1:30" ht="15.75" x14ac:dyDescent="0.25">
      <c r="A230" s="42"/>
      <c r="C230" s="720" t="str">
        <f t="shared" si="23"/>
        <v>FLANCHE PVC 3/4 ECON</v>
      </c>
      <c r="D230" s="654"/>
      <c r="E230" s="654"/>
      <c r="F230" s="654"/>
      <c r="G230" s="647"/>
      <c r="H230" s="51">
        <v>113</v>
      </c>
      <c r="I230" s="51"/>
      <c r="J230" s="147"/>
      <c r="K230" s="52">
        <f t="shared" si="24"/>
        <v>113</v>
      </c>
      <c r="L230" s="15">
        <f t="shared" si="25"/>
        <v>0</v>
      </c>
      <c r="M230" s="69">
        <f t="shared" si="26"/>
        <v>113</v>
      </c>
      <c r="N230" s="104">
        <f t="shared" si="27"/>
        <v>0</v>
      </c>
      <c r="O230" s="12"/>
      <c r="P230" s="143"/>
      <c r="Q230" s="143"/>
      <c r="R230" s="143"/>
      <c r="S230" s="143"/>
      <c r="T230" s="143"/>
      <c r="U230" s="143"/>
      <c r="V230" s="143"/>
      <c r="W230" s="143"/>
      <c r="X230" s="143"/>
      <c r="Y230" s="143"/>
      <c r="Z230" s="143"/>
      <c r="AA230" s="143"/>
    </row>
    <row r="231" spans="1:30" ht="15.75" x14ac:dyDescent="0.25">
      <c r="A231" s="42"/>
      <c r="C231" s="720" t="str">
        <f t="shared" si="23"/>
        <v>UNION PAT A/F 1 1/2 P/P ECON</v>
      </c>
      <c r="D231" s="654"/>
      <c r="E231" s="654"/>
      <c r="F231" s="654"/>
      <c r="G231" s="647"/>
      <c r="H231" s="51">
        <v>8</v>
      </c>
      <c r="I231" s="51"/>
      <c r="J231" s="147"/>
      <c r="K231" s="52">
        <f t="shared" si="24"/>
        <v>8</v>
      </c>
      <c r="L231" s="15">
        <f t="shared" si="25"/>
        <v>0</v>
      </c>
      <c r="M231" s="69">
        <f t="shared" si="26"/>
        <v>8</v>
      </c>
      <c r="N231" s="104">
        <f t="shared" si="27"/>
        <v>0</v>
      </c>
      <c r="O231" s="12"/>
      <c r="P231" s="143"/>
      <c r="Q231" s="143"/>
      <c r="R231" s="143"/>
      <c r="S231" s="143"/>
      <c r="T231" s="143"/>
      <c r="U231" s="143"/>
      <c r="V231" s="143"/>
      <c r="W231" s="143"/>
      <c r="X231" s="143"/>
      <c r="Y231" s="143"/>
      <c r="Z231" s="143"/>
      <c r="AA231" s="143"/>
    </row>
    <row r="232" spans="1:30" ht="15.75" x14ac:dyDescent="0.25">
      <c r="A232" s="42"/>
      <c r="C232" s="720" t="str">
        <f t="shared" si="23"/>
        <v>UNION PAT A/F 1/2 P/P ECON</v>
      </c>
      <c r="D232" s="654"/>
      <c r="E232" s="654"/>
      <c r="F232" s="654"/>
      <c r="G232" s="647"/>
      <c r="H232" s="51">
        <v>101</v>
      </c>
      <c r="I232" s="51"/>
      <c r="J232" s="147"/>
      <c r="K232" s="52">
        <f t="shared" si="24"/>
        <v>101</v>
      </c>
      <c r="L232" s="15">
        <f t="shared" si="25"/>
        <v>0</v>
      </c>
      <c r="M232" s="69">
        <f t="shared" si="26"/>
        <v>101</v>
      </c>
      <c r="N232" s="104">
        <f t="shared" si="27"/>
        <v>0</v>
      </c>
      <c r="O232" s="12"/>
      <c r="P232" s="143"/>
      <c r="Q232" s="143"/>
      <c r="R232" s="143"/>
      <c r="S232" s="143"/>
      <c r="T232" s="143"/>
      <c r="U232" s="143"/>
      <c r="V232" s="143"/>
      <c r="W232" s="143"/>
      <c r="X232" s="143"/>
      <c r="Y232" s="143"/>
      <c r="Z232" s="143"/>
      <c r="AA232" s="143"/>
    </row>
    <row r="233" spans="1:30" ht="15.75" x14ac:dyDescent="0.25">
      <c r="A233" s="42"/>
      <c r="C233" s="720" t="str">
        <f t="shared" si="23"/>
        <v>TEE A/F 1 1/2 P/P</v>
      </c>
      <c r="D233" s="654"/>
      <c r="E233" s="654"/>
      <c r="F233" s="654"/>
      <c r="G233" s="647"/>
      <c r="H233" s="51">
        <v>200</v>
      </c>
      <c r="I233" s="51"/>
      <c r="J233" s="147"/>
      <c r="K233" s="52">
        <f t="shared" si="24"/>
        <v>200</v>
      </c>
      <c r="L233" s="15">
        <f t="shared" si="25"/>
        <v>0</v>
      </c>
      <c r="M233" s="69">
        <f t="shared" si="26"/>
        <v>200</v>
      </c>
      <c r="N233" s="104">
        <f t="shared" si="27"/>
        <v>0</v>
      </c>
      <c r="O233" s="12"/>
      <c r="P233" s="143"/>
      <c r="Q233" s="143"/>
      <c r="R233" s="143"/>
      <c r="S233" s="143"/>
      <c r="T233" s="143"/>
      <c r="U233" s="143"/>
      <c r="V233" s="143"/>
      <c r="W233" s="143"/>
      <c r="X233" s="143"/>
      <c r="Y233" s="143"/>
      <c r="Z233" s="143"/>
      <c r="AA233" s="143"/>
    </row>
    <row r="234" spans="1:30" ht="15.75" x14ac:dyDescent="0.25">
      <c r="A234" s="42"/>
      <c r="C234" s="720" t="str">
        <f t="shared" si="23"/>
        <v>TEE A/F 2 P/P</v>
      </c>
      <c r="D234" s="654"/>
      <c r="E234" s="654"/>
      <c r="F234" s="654"/>
      <c r="G234" s="647"/>
      <c r="H234" s="51">
        <v>25</v>
      </c>
      <c r="I234" s="51"/>
      <c r="J234" s="38"/>
      <c r="K234" s="52">
        <f t="shared" si="24"/>
        <v>25</v>
      </c>
      <c r="L234" s="15">
        <f t="shared" si="25"/>
        <v>0</v>
      </c>
      <c r="M234" s="69">
        <f t="shared" si="26"/>
        <v>25</v>
      </c>
      <c r="N234" s="104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2"/>
      <c r="C235" s="720" t="str">
        <f t="shared" si="23"/>
        <v>BUJE A/F 3/4 X 1/2</v>
      </c>
      <c r="D235" s="654"/>
      <c r="E235" s="654"/>
      <c r="F235" s="654"/>
      <c r="G235" s="647"/>
      <c r="H235" s="51">
        <v>361</v>
      </c>
      <c r="I235" s="28"/>
      <c r="J235" s="28"/>
      <c r="K235" s="52">
        <f t="shared" ref="K235:K274" si="28">H235</f>
        <v>361</v>
      </c>
      <c r="L235" s="15">
        <f t="shared" ref="L235:L274" si="29">X162</f>
        <v>0</v>
      </c>
      <c r="M235" s="69">
        <f t="shared" ref="M235:M274" si="30">K235-L235</f>
        <v>361</v>
      </c>
      <c r="N235" s="104">
        <f t="shared" ref="N235:N274" si="31">M235*I235</f>
        <v>0</v>
      </c>
    </row>
    <row r="236" spans="1:30" ht="15.75" x14ac:dyDescent="0.25">
      <c r="A236" s="42"/>
      <c r="C236" s="720" t="str">
        <f t="shared" si="23"/>
        <v>BUJE A/F 1 X 3/4</v>
      </c>
      <c r="D236" s="654"/>
      <c r="E236" s="654"/>
      <c r="F236" s="654"/>
      <c r="G236" s="647"/>
      <c r="H236" s="51">
        <v>53</v>
      </c>
      <c r="I236" s="28"/>
      <c r="J236" s="28"/>
      <c r="K236" s="52">
        <f t="shared" si="28"/>
        <v>53</v>
      </c>
      <c r="L236" s="15">
        <f t="shared" si="29"/>
        <v>0</v>
      </c>
      <c r="M236" s="69">
        <f t="shared" si="30"/>
        <v>53</v>
      </c>
      <c r="N236" s="104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2"/>
      <c r="C237" s="720" t="str">
        <f t="shared" si="23"/>
        <v>ADAPT HEM A/F 1 1/2</v>
      </c>
      <c r="D237" s="654"/>
      <c r="E237" s="654"/>
      <c r="F237" s="654"/>
      <c r="G237" s="647"/>
      <c r="H237" s="51">
        <v>50</v>
      </c>
      <c r="I237" s="149"/>
      <c r="J237" s="149"/>
      <c r="K237" s="52">
        <f t="shared" si="28"/>
        <v>50</v>
      </c>
      <c r="L237" s="15">
        <f t="shared" si="29"/>
        <v>0</v>
      </c>
      <c r="M237" s="69">
        <f t="shared" si="30"/>
        <v>50</v>
      </c>
      <c r="N237" s="104">
        <f t="shared" si="31"/>
        <v>0</v>
      </c>
      <c r="O237" s="135"/>
      <c r="P237" s="135"/>
      <c r="Q237" s="135"/>
      <c r="R237" s="135"/>
      <c r="S237" s="135"/>
      <c r="T237" s="135"/>
      <c r="U237" s="135"/>
      <c r="V237" s="12"/>
      <c r="W237" s="12"/>
      <c r="X237" s="12"/>
      <c r="Y237" s="12"/>
      <c r="Z237" s="12"/>
    </row>
    <row r="238" spans="1:30" ht="15.75" x14ac:dyDescent="0.25">
      <c r="A238" s="42"/>
      <c r="C238" s="720" t="str">
        <f t="shared" si="23"/>
        <v>CHECK PVC A/N 4</v>
      </c>
      <c r="D238" s="654"/>
      <c r="E238" s="654"/>
      <c r="F238" s="654"/>
      <c r="G238" s="647"/>
      <c r="H238" s="51">
        <v>1</v>
      </c>
      <c r="I238" s="38"/>
      <c r="J238" s="146"/>
      <c r="K238" s="52">
        <f t="shared" si="28"/>
        <v>1</v>
      </c>
      <c r="L238" s="15">
        <f t="shared" si="29"/>
        <v>0</v>
      </c>
      <c r="M238" s="69">
        <f t="shared" si="30"/>
        <v>1</v>
      </c>
      <c r="N238" s="104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2"/>
      <c r="C239" s="720" t="str">
        <f t="shared" si="23"/>
        <v>YEE 2 IMPLAVEN</v>
      </c>
      <c r="D239" s="654"/>
      <c r="E239" s="654"/>
      <c r="F239" s="654"/>
      <c r="G239" s="647"/>
      <c r="H239" s="51">
        <v>20</v>
      </c>
      <c r="I239" s="28"/>
      <c r="J239" s="76"/>
      <c r="K239" s="52">
        <f t="shared" si="28"/>
        <v>20</v>
      </c>
      <c r="L239" s="15">
        <f t="shared" si="29"/>
        <v>0</v>
      </c>
      <c r="M239" s="69">
        <f t="shared" si="30"/>
        <v>20</v>
      </c>
      <c r="N239" s="104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2"/>
      <c r="C240" s="720" t="str">
        <f t="shared" si="23"/>
        <v>YEE 3</v>
      </c>
      <c r="D240" s="654"/>
      <c r="E240" s="654"/>
      <c r="F240" s="654"/>
      <c r="G240" s="647"/>
      <c r="H240" s="51">
        <v>24</v>
      </c>
      <c r="I240" s="28"/>
      <c r="J240" s="77"/>
      <c r="K240" s="52">
        <f t="shared" si="28"/>
        <v>24</v>
      </c>
      <c r="L240" s="15">
        <f t="shared" si="29"/>
        <v>0</v>
      </c>
      <c r="M240" s="69">
        <f t="shared" si="30"/>
        <v>24</v>
      </c>
      <c r="N240" s="104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2"/>
      <c r="C241" s="720" t="str">
        <f t="shared" si="23"/>
        <v>YEE A/N 4X2</v>
      </c>
      <c r="D241" s="654"/>
      <c r="E241" s="654"/>
      <c r="F241" s="654"/>
      <c r="G241" s="647"/>
      <c r="H241" s="51">
        <v>36</v>
      </c>
      <c r="I241" s="28"/>
      <c r="J241" s="76"/>
      <c r="K241" s="52">
        <f t="shared" si="28"/>
        <v>36</v>
      </c>
      <c r="L241" s="15">
        <f t="shared" si="29"/>
        <v>15</v>
      </c>
      <c r="M241" s="69">
        <f>K241-L241</f>
        <v>21</v>
      </c>
      <c r="N241" s="104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2"/>
      <c r="C242" s="720" t="str">
        <f t="shared" si="23"/>
        <v>YEE A/N 4</v>
      </c>
      <c r="D242" s="654"/>
      <c r="E242" s="654"/>
      <c r="F242" s="654"/>
      <c r="G242" s="647"/>
      <c r="H242" s="51">
        <v>39</v>
      </c>
      <c r="I242" s="28"/>
      <c r="J242" s="76"/>
      <c r="K242" s="52">
        <f t="shared" si="28"/>
        <v>39</v>
      </c>
      <c r="L242" s="15">
        <f t="shared" si="29"/>
        <v>15</v>
      </c>
      <c r="M242" s="69">
        <f t="shared" si="30"/>
        <v>24</v>
      </c>
      <c r="N242" s="104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2"/>
      <c r="C243" s="720" t="str">
        <f t="shared" si="23"/>
        <v>TEE A/N 2</v>
      </c>
      <c r="D243" s="654"/>
      <c r="E243" s="654"/>
      <c r="F243" s="654"/>
      <c r="G243" s="647"/>
      <c r="H243" s="51">
        <v>180</v>
      </c>
      <c r="I243" s="28"/>
      <c r="J243" s="76"/>
      <c r="K243" s="52">
        <f t="shared" si="28"/>
        <v>180</v>
      </c>
      <c r="L243" s="15">
        <f t="shared" si="29"/>
        <v>0</v>
      </c>
      <c r="M243" s="69">
        <f t="shared" si="30"/>
        <v>180</v>
      </c>
      <c r="N243" s="104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2"/>
      <c r="C244" s="720" t="str">
        <f t="shared" si="23"/>
        <v>TEE A/N 3</v>
      </c>
      <c r="D244" s="654"/>
      <c r="E244" s="654"/>
      <c r="F244" s="654"/>
      <c r="G244" s="647"/>
      <c r="H244" s="51">
        <v>170</v>
      </c>
      <c r="I244" s="28"/>
      <c r="J244" s="76"/>
      <c r="K244" s="52">
        <f t="shared" si="28"/>
        <v>170</v>
      </c>
      <c r="L244" s="15">
        <f t="shared" si="29"/>
        <v>0</v>
      </c>
      <c r="M244" s="69">
        <f t="shared" si="30"/>
        <v>170</v>
      </c>
      <c r="N244" s="104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2"/>
      <c r="C245" s="720" t="str">
        <f t="shared" si="23"/>
        <v>TEE A/N 4</v>
      </c>
      <c r="D245" s="654"/>
      <c r="E245" s="654"/>
      <c r="F245" s="654"/>
      <c r="G245" s="647"/>
      <c r="H245" s="51">
        <v>57</v>
      </c>
      <c r="I245" s="28"/>
      <c r="J245" s="28"/>
      <c r="K245" s="52">
        <f t="shared" si="28"/>
        <v>57</v>
      </c>
      <c r="L245" s="15">
        <f t="shared" si="29"/>
        <v>10</v>
      </c>
      <c r="M245" s="69">
        <f t="shared" si="30"/>
        <v>47</v>
      </c>
      <c r="N245" s="104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2"/>
      <c r="C246" s="720" t="str">
        <f t="shared" si="23"/>
        <v>TEE A/N 4X2</v>
      </c>
      <c r="D246" s="654"/>
      <c r="E246" s="654"/>
      <c r="F246" s="654"/>
      <c r="G246" s="647"/>
      <c r="H246" s="51">
        <v>25</v>
      </c>
      <c r="I246" s="28"/>
      <c r="J246" s="28"/>
      <c r="K246" s="52">
        <f t="shared" si="28"/>
        <v>25</v>
      </c>
      <c r="L246" s="15">
        <f t="shared" si="29"/>
        <v>10</v>
      </c>
      <c r="M246" s="69">
        <f t="shared" si="30"/>
        <v>15</v>
      </c>
      <c r="N246" s="104">
        <f t="shared" si="31"/>
        <v>0</v>
      </c>
      <c r="O246" s="140"/>
      <c r="P246" s="12"/>
      <c r="Q246" s="12"/>
      <c r="R246" s="12"/>
      <c r="S246" s="12"/>
      <c r="T246" s="12"/>
      <c r="U246" s="12"/>
    </row>
    <row r="247" spans="1:31" ht="15.75" x14ac:dyDescent="0.25">
      <c r="A247" s="42"/>
      <c r="C247" s="720" t="str">
        <f t="shared" si="23"/>
        <v>TEE 3X2 UNIPLAST</v>
      </c>
      <c r="D247" s="654"/>
      <c r="E247" s="654"/>
      <c r="F247" s="654"/>
      <c r="G247" s="647"/>
      <c r="H247" s="51">
        <v>18</v>
      </c>
      <c r="I247" s="28"/>
      <c r="J247" s="28"/>
      <c r="K247" s="52">
        <f t="shared" si="28"/>
        <v>18</v>
      </c>
      <c r="L247" s="15">
        <f t="shared" si="29"/>
        <v>0</v>
      </c>
      <c r="M247" s="69">
        <f t="shared" si="30"/>
        <v>18</v>
      </c>
      <c r="N247" s="104">
        <f t="shared" si="31"/>
        <v>0</v>
      </c>
      <c r="O247" s="12"/>
      <c r="P247" s="12"/>
      <c r="Q247" s="12"/>
      <c r="R247" s="12"/>
      <c r="S247" s="12"/>
      <c r="T247" s="12"/>
      <c r="U247" s="12"/>
      <c r="V247" s="140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2"/>
      <c r="C248" s="720" t="str">
        <f t="shared" si="23"/>
        <v>TEE 4X3 PAVCO</v>
      </c>
      <c r="D248" s="654"/>
      <c r="E248" s="654"/>
      <c r="F248" s="654"/>
      <c r="G248" s="647"/>
      <c r="H248" s="51">
        <v>23</v>
      </c>
      <c r="I248" s="28"/>
      <c r="J248" s="28"/>
      <c r="K248" s="52">
        <f t="shared" si="28"/>
        <v>23</v>
      </c>
      <c r="L248" s="15">
        <f t="shared" si="29"/>
        <v>0</v>
      </c>
      <c r="M248" s="69">
        <f t="shared" si="30"/>
        <v>23</v>
      </c>
      <c r="N248" s="104">
        <f t="shared" si="31"/>
        <v>0</v>
      </c>
      <c r="O248" s="12"/>
      <c r="P248" s="12"/>
      <c r="Q248" s="12"/>
      <c r="R248" s="12"/>
      <c r="S248" s="12"/>
      <c r="T248" s="12"/>
      <c r="U248" s="12"/>
      <c r="V248" s="140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2"/>
      <c r="C249" s="720" t="str">
        <f t="shared" si="23"/>
        <v>TAPA A/N 2 REGISTRO</v>
      </c>
      <c r="D249" s="654"/>
      <c r="E249" s="654"/>
      <c r="F249" s="654"/>
      <c r="G249" s="647"/>
      <c r="H249" s="51">
        <v>50</v>
      </c>
      <c r="I249" s="149"/>
      <c r="J249" s="149"/>
      <c r="K249" s="52">
        <f t="shared" si="28"/>
        <v>50</v>
      </c>
      <c r="L249" s="15">
        <f t="shared" si="29"/>
        <v>0</v>
      </c>
      <c r="M249" s="69">
        <f t="shared" si="30"/>
        <v>50</v>
      </c>
      <c r="N249" s="104">
        <f t="shared" si="31"/>
        <v>0</v>
      </c>
      <c r="O249" s="135"/>
      <c r="P249" s="135"/>
      <c r="Q249" s="135"/>
      <c r="R249" s="135"/>
      <c r="S249" s="135"/>
      <c r="T249" s="135"/>
      <c r="U249" s="135"/>
      <c r="V249" s="140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2"/>
      <c r="C250" s="720" t="str">
        <f t="shared" si="23"/>
        <v>TAPA A/N 3 REGISTRO</v>
      </c>
      <c r="D250" s="654"/>
      <c r="E250" s="654"/>
      <c r="F250" s="654"/>
      <c r="G250" s="647"/>
      <c r="H250" s="51">
        <v>63</v>
      </c>
      <c r="I250" s="38"/>
      <c r="J250" s="146"/>
      <c r="K250" s="52">
        <f t="shared" si="28"/>
        <v>63</v>
      </c>
      <c r="L250" s="15">
        <f t="shared" si="29"/>
        <v>0</v>
      </c>
      <c r="M250" s="69">
        <f t="shared" si="30"/>
        <v>63</v>
      </c>
      <c r="N250" s="104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2"/>
      <c r="C251" s="720" t="str">
        <f t="shared" si="23"/>
        <v>ANILLO A/N 2</v>
      </c>
      <c r="D251" s="654"/>
      <c r="E251" s="654"/>
      <c r="F251" s="654"/>
      <c r="G251" s="647"/>
      <c r="H251" s="51">
        <v>118</v>
      </c>
      <c r="I251" s="28"/>
      <c r="J251" s="76"/>
      <c r="K251" s="52">
        <f t="shared" si="28"/>
        <v>118</v>
      </c>
      <c r="L251" s="15">
        <f t="shared" si="29"/>
        <v>0</v>
      </c>
      <c r="M251" s="69">
        <f t="shared" si="30"/>
        <v>118</v>
      </c>
      <c r="N251" s="104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2"/>
      <c r="C252" s="720" t="str">
        <f t="shared" si="23"/>
        <v>RED A/N 3X2</v>
      </c>
      <c r="D252" s="654"/>
      <c r="E252" s="654"/>
      <c r="F252" s="654"/>
      <c r="G252" s="647"/>
      <c r="H252" s="51">
        <v>25</v>
      </c>
      <c r="I252" s="28"/>
      <c r="J252" s="76"/>
      <c r="K252" s="52">
        <f t="shared" si="28"/>
        <v>25</v>
      </c>
      <c r="L252" s="15">
        <f t="shared" si="29"/>
        <v>0</v>
      </c>
      <c r="M252" s="69">
        <f t="shared" si="30"/>
        <v>25</v>
      </c>
      <c r="N252" s="104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2"/>
      <c r="C253" s="720" t="str">
        <f t="shared" si="23"/>
        <v>CODO 3X45 TUBRICA</v>
      </c>
      <c r="D253" s="654"/>
      <c r="E253" s="654"/>
      <c r="F253" s="654"/>
      <c r="G253" s="647"/>
      <c r="H253" s="51">
        <v>50</v>
      </c>
      <c r="I253" s="28"/>
      <c r="J253" s="28"/>
      <c r="K253" s="52">
        <f t="shared" si="28"/>
        <v>50</v>
      </c>
      <c r="L253" s="15">
        <f t="shared" si="29"/>
        <v>0</v>
      </c>
      <c r="M253" s="69">
        <f t="shared" si="30"/>
        <v>50</v>
      </c>
      <c r="N253" s="104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2"/>
      <c r="C254" s="720" t="str">
        <f t="shared" si="23"/>
        <v>CODO 4X45 BETAPLAST</v>
      </c>
      <c r="D254" s="654"/>
      <c r="E254" s="654"/>
      <c r="F254" s="654"/>
      <c r="G254" s="647"/>
      <c r="H254" s="51">
        <v>19</v>
      </c>
      <c r="I254" s="28"/>
      <c r="J254" s="28"/>
      <c r="K254" s="52">
        <f t="shared" si="28"/>
        <v>19</v>
      </c>
      <c r="L254" s="15">
        <f t="shared" si="29"/>
        <v>0</v>
      </c>
      <c r="M254" s="69">
        <f t="shared" si="30"/>
        <v>19</v>
      </c>
      <c r="N254" s="104">
        <f t="shared" si="31"/>
        <v>0</v>
      </c>
      <c r="O254" s="140"/>
      <c r="P254" s="12"/>
      <c r="Q254" s="12"/>
      <c r="R254" s="12"/>
      <c r="S254" s="12"/>
      <c r="T254" s="12"/>
      <c r="U254" s="12"/>
    </row>
    <row r="255" spans="1:31" ht="15.75" x14ac:dyDescent="0.25">
      <c r="A255" s="42"/>
      <c r="C255" s="720" t="str">
        <f t="shared" si="23"/>
        <v>CODO 4X90</v>
      </c>
      <c r="D255" s="654"/>
      <c r="E255" s="654"/>
      <c r="F255" s="654"/>
      <c r="G255" s="647"/>
      <c r="H255" s="51">
        <v>30</v>
      </c>
      <c r="I255" s="28"/>
      <c r="J255" s="28"/>
      <c r="K255" s="52">
        <f t="shared" si="28"/>
        <v>30</v>
      </c>
      <c r="L255" s="15">
        <f t="shared" si="29"/>
        <v>0</v>
      </c>
      <c r="M255" s="69">
        <f t="shared" si="30"/>
        <v>30</v>
      </c>
      <c r="N255" s="104">
        <f t="shared" si="31"/>
        <v>0</v>
      </c>
      <c r="O255" s="12"/>
      <c r="P255" s="12"/>
      <c r="Q255" s="12"/>
      <c r="R255" s="12"/>
      <c r="S255" s="12"/>
      <c r="T255" s="12"/>
      <c r="U255" s="12"/>
      <c r="V255" s="140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2"/>
      <c r="C256" s="720" t="str">
        <f t="shared" si="23"/>
        <v>SIFON COMPLETO 2"</v>
      </c>
      <c r="D256" s="654"/>
      <c r="E256" s="654"/>
      <c r="F256" s="654"/>
      <c r="G256" s="647"/>
      <c r="H256" s="51">
        <v>45</v>
      </c>
      <c r="I256" s="28"/>
      <c r="J256" s="28"/>
      <c r="K256" s="52">
        <f t="shared" si="28"/>
        <v>45</v>
      </c>
      <c r="L256" s="15">
        <f t="shared" si="29"/>
        <v>0</v>
      </c>
      <c r="M256" s="69">
        <f t="shared" si="30"/>
        <v>45</v>
      </c>
      <c r="N256" s="104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2"/>
      <c r="C257" s="720" t="str">
        <f t="shared" si="23"/>
        <v>SIFON 4 COMPLETO BETAPLAST</v>
      </c>
      <c r="D257" s="654"/>
      <c r="E257" s="654"/>
      <c r="F257" s="654"/>
      <c r="G257" s="647"/>
      <c r="H257" s="51">
        <v>10</v>
      </c>
      <c r="I257" s="149"/>
      <c r="J257" s="149"/>
      <c r="K257" s="52">
        <f t="shared" si="28"/>
        <v>10</v>
      </c>
      <c r="L257" s="15">
        <f t="shared" si="29"/>
        <v>0</v>
      </c>
      <c r="M257" s="69">
        <f t="shared" si="30"/>
        <v>10</v>
      </c>
      <c r="N257" s="104">
        <f t="shared" si="31"/>
        <v>0</v>
      </c>
      <c r="O257" s="135"/>
      <c r="P257" s="135"/>
      <c r="Q257" s="135"/>
      <c r="R257" s="135"/>
      <c r="S257" s="135"/>
      <c r="T257" s="135"/>
      <c r="U257" s="135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2"/>
      <c r="C258" s="720" t="str">
        <f t="shared" si="23"/>
        <v>SIFON CORTO 3" DERIVADO</v>
      </c>
      <c r="D258" s="654"/>
      <c r="E258" s="654"/>
      <c r="F258" s="654"/>
      <c r="G258" s="647"/>
      <c r="H258" s="51">
        <v>10</v>
      </c>
      <c r="I258" s="38"/>
      <c r="J258" s="146"/>
      <c r="K258" s="52">
        <f t="shared" si="28"/>
        <v>10</v>
      </c>
      <c r="L258" s="15">
        <f t="shared" si="29"/>
        <v>0</v>
      </c>
      <c r="M258" s="69">
        <f t="shared" si="30"/>
        <v>10</v>
      </c>
      <c r="N258" s="104">
        <f t="shared" si="31"/>
        <v>0</v>
      </c>
      <c r="O258" s="138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2"/>
      <c r="C259" s="720" t="str">
        <f t="shared" si="23"/>
        <v>SIFON 4 CORTO DERIVADOS</v>
      </c>
      <c r="D259" s="654"/>
      <c r="E259" s="654"/>
      <c r="F259" s="654"/>
      <c r="G259" s="647"/>
      <c r="H259" s="51">
        <v>7</v>
      </c>
      <c r="I259" s="28"/>
      <c r="J259" s="76"/>
      <c r="K259" s="52">
        <f t="shared" si="28"/>
        <v>7</v>
      </c>
      <c r="L259" s="15">
        <f t="shared" si="29"/>
        <v>0</v>
      </c>
      <c r="M259" s="69">
        <f t="shared" si="30"/>
        <v>7</v>
      </c>
      <c r="N259" s="104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2"/>
      <c r="C260" s="720" t="str">
        <f t="shared" si="23"/>
        <v>MANG 1/2 X 5/8 PLAST ECON</v>
      </c>
      <c r="D260" s="654"/>
      <c r="E260" s="654"/>
      <c r="F260" s="654"/>
      <c r="G260" s="647"/>
      <c r="H260" s="51">
        <v>376</v>
      </c>
      <c r="I260" s="28"/>
      <c r="J260" s="76"/>
      <c r="K260" s="52">
        <f t="shared" si="28"/>
        <v>376</v>
      </c>
      <c r="L260" s="15">
        <f t="shared" si="29"/>
        <v>0</v>
      </c>
      <c r="M260" s="69">
        <f t="shared" si="30"/>
        <v>376</v>
      </c>
      <c r="N260" s="104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2"/>
      <c r="C261" s="720" t="str">
        <f t="shared" si="23"/>
        <v>MANG 1/2 X 1/2 PLAST ECON</v>
      </c>
      <c r="D261" s="654"/>
      <c r="E261" s="654"/>
      <c r="F261" s="654"/>
      <c r="G261" s="647"/>
      <c r="H261" s="51">
        <v>295</v>
      </c>
      <c r="I261" s="28"/>
      <c r="J261" s="76"/>
      <c r="K261" s="52">
        <f t="shared" si="28"/>
        <v>295</v>
      </c>
      <c r="L261" s="15">
        <f t="shared" si="29"/>
        <v>0</v>
      </c>
      <c r="M261" s="69">
        <f t="shared" si="30"/>
        <v>295</v>
      </c>
      <c r="N261" s="104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2"/>
      <c r="C262" s="720" t="str">
        <f t="shared" si="23"/>
        <v>TUBO COBRE 3/16</v>
      </c>
      <c r="D262" s="654"/>
      <c r="E262" s="654"/>
      <c r="F262" s="654"/>
      <c r="G262" s="647"/>
      <c r="H262" s="51">
        <v>30</v>
      </c>
      <c r="I262" s="28"/>
      <c r="J262" s="76"/>
      <c r="K262" s="52">
        <f t="shared" si="28"/>
        <v>30</v>
      </c>
      <c r="L262" s="15">
        <f t="shared" si="29"/>
        <v>0</v>
      </c>
      <c r="M262" s="69">
        <f t="shared" si="30"/>
        <v>30</v>
      </c>
      <c r="N262" s="104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2"/>
      <c r="C263" s="720" t="str">
        <f t="shared" si="23"/>
        <v>DISCO C/M 4 1/2 WINONE</v>
      </c>
      <c r="D263" s="654"/>
      <c r="E263" s="654"/>
      <c r="F263" s="654"/>
      <c r="G263" s="647"/>
      <c r="H263" s="51">
        <v>600</v>
      </c>
      <c r="I263" s="28"/>
      <c r="J263" s="76"/>
      <c r="K263" s="52">
        <f t="shared" si="28"/>
        <v>600</v>
      </c>
      <c r="L263" s="15">
        <f t="shared" si="29"/>
        <v>0</v>
      </c>
      <c r="M263" s="69">
        <f t="shared" si="30"/>
        <v>600</v>
      </c>
      <c r="N263" s="104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2"/>
      <c r="C264" s="720" t="str">
        <f t="shared" si="23"/>
        <v>DISCO R/M 4 1/2 WINONE</v>
      </c>
      <c r="D264" s="654"/>
      <c r="E264" s="654"/>
      <c r="F264" s="654"/>
      <c r="G264" s="647"/>
      <c r="H264" s="51">
        <v>275</v>
      </c>
      <c r="I264" s="28"/>
      <c r="J264" s="76"/>
      <c r="K264" s="52">
        <f t="shared" si="28"/>
        <v>275</v>
      </c>
      <c r="L264" s="15">
        <f t="shared" si="29"/>
        <v>0</v>
      </c>
      <c r="M264" s="69">
        <f t="shared" si="30"/>
        <v>275</v>
      </c>
      <c r="N264" s="104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2"/>
      <c r="C265" s="720" t="str">
        <f t="shared" si="23"/>
        <v>LLAVERO GANCHO GRANDE</v>
      </c>
      <c r="D265" s="654"/>
      <c r="E265" s="654"/>
      <c r="F265" s="654"/>
      <c r="G265" s="647"/>
      <c r="H265" s="51">
        <v>40</v>
      </c>
      <c r="I265" s="28"/>
      <c r="J265" s="76"/>
      <c r="K265" s="52">
        <f t="shared" si="28"/>
        <v>40</v>
      </c>
      <c r="L265" s="15">
        <f t="shared" si="29"/>
        <v>0</v>
      </c>
      <c r="M265" s="69">
        <f t="shared" si="30"/>
        <v>40</v>
      </c>
      <c r="N265" s="104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2"/>
      <c r="C266" s="720" t="str">
        <f t="shared" si="23"/>
        <v>LLAVERO GANCHO MEDIANO</v>
      </c>
      <c r="D266" s="654"/>
      <c r="E266" s="654"/>
      <c r="F266" s="654"/>
      <c r="G266" s="647"/>
      <c r="H266" s="51">
        <v>42</v>
      </c>
      <c r="I266" s="28"/>
      <c r="J266" s="76"/>
      <c r="K266" s="52">
        <f t="shared" si="28"/>
        <v>42</v>
      </c>
      <c r="L266" s="15">
        <f t="shared" si="29"/>
        <v>0</v>
      </c>
      <c r="M266" s="69">
        <f t="shared" si="30"/>
        <v>42</v>
      </c>
      <c r="N266" s="104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2"/>
      <c r="C267" s="720" t="str">
        <f t="shared" si="23"/>
        <v>LLAVERO SECURITY</v>
      </c>
      <c r="D267" s="654"/>
      <c r="E267" s="654"/>
      <c r="F267" s="654"/>
      <c r="G267" s="647"/>
      <c r="H267" s="51">
        <v>41</v>
      </c>
      <c r="I267" s="28"/>
      <c r="J267" s="77"/>
      <c r="K267" s="52">
        <f t="shared" si="28"/>
        <v>41</v>
      </c>
      <c r="L267" s="15">
        <f t="shared" si="29"/>
        <v>0</v>
      </c>
      <c r="M267" s="69">
        <f t="shared" si="30"/>
        <v>41</v>
      </c>
      <c r="N267" s="104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2"/>
      <c r="C268" s="720" t="str">
        <f t="shared" si="23"/>
        <v>GRIFERIA LAVAPLATO INDIVIDUAL</v>
      </c>
      <c r="D268" s="654"/>
      <c r="E268" s="654"/>
      <c r="F268" s="654"/>
      <c r="G268" s="647"/>
      <c r="H268" s="51">
        <v>40</v>
      </c>
      <c r="I268" s="28"/>
      <c r="J268" s="76"/>
      <c r="K268" s="52">
        <f t="shared" si="28"/>
        <v>40</v>
      </c>
      <c r="L268" s="15">
        <f t="shared" si="29"/>
        <v>0</v>
      </c>
      <c r="M268" s="69">
        <f t="shared" si="30"/>
        <v>40</v>
      </c>
      <c r="N268" s="104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2"/>
      <c r="C269" s="720" t="str">
        <f t="shared" si="23"/>
        <v>LLAVE SENCILLA LAVAPLATO GRIVEN</v>
      </c>
      <c r="D269" s="654"/>
      <c r="E269" s="654"/>
      <c r="F269" s="654"/>
      <c r="G269" s="647"/>
      <c r="H269" s="51">
        <v>59</v>
      </c>
      <c r="I269" s="28"/>
      <c r="J269" s="76"/>
      <c r="K269" s="52">
        <f t="shared" si="28"/>
        <v>59</v>
      </c>
      <c r="L269" s="15">
        <f t="shared" si="29"/>
        <v>0</v>
      </c>
      <c r="M269" s="69">
        <f t="shared" si="30"/>
        <v>59</v>
      </c>
      <c r="N269" s="104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2"/>
      <c r="C270" s="720" t="str">
        <f t="shared" si="23"/>
        <v>CODO 75MM X 90 RIEGO</v>
      </c>
      <c r="D270" s="654"/>
      <c r="E270" s="654"/>
      <c r="F270" s="654"/>
      <c r="G270" s="647"/>
      <c r="H270" s="51">
        <v>11</v>
      </c>
      <c r="I270" s="28"/>
      <c r="J270" s="77"/>
      <c r="K270" s="52">
        <f t="shared" si="28"/>
        <v>11</v>
      </c>
      <c r="L270" s="15">
        <f t="shared" si="29"/>
        <v>0</v>
      </c>
      <c r="M270" s="69">
        <f t="shared" si="30"/>
        <v>11</v>
      </c>
      <c r="N270" s="104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2"/>
      <c r="C271" s="720" t="str">
        <f t="shared" si="23"/>
        <v>INFLADOR P/CAUCHOS</v>
      </c>
      <c r="D271" s="654"/>
      <c r="E271" s="654"/>
      <c r="F271" s="654"/>
      <c r="G271" s="647"/>
      <c r="H271" s="51">
        <v>164</v>
      </c>
      <c r="I271" s="28"/>
      <c r="J271" s="76"/>
      <c r="K271" s="52">
        <f t="shared" si="28"/>
        <v>164</v>
      </c>
      <c r="L271" s="15">
        <f t="shared" si="29"/>
        <v>36</v>
      </c>
      <c r="M271" s="69">
        <f t="shared" si="30"/>
        <v>128</v>
      </c>
      <c r="N271" s="104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2"/>
      <c r="C272" s="720" t="str">
        <f t="shared" si="23"/>
        <v>SERRUCHO SECURITY 14" DE PODAR</v>
      </c>
      <c r="D272" s="654"/>
      <c r="E272" s="654"/>
      <c r="F272" s="654"/>
      <c r="G272" s="647"/>
      <c r="H272" s="51">
        <v>74</v>
      </c>
      <c r="I272" s="28"/>
      <c r="J272" s="76"/>
      <c r="K272" s="52">
        <f t="shared" si="28"/>
        <v>74</v>
      </c>
      <c r="L272" s="15">
        <f t="shared" si="29"/>
        <v>0</v>
      </c>
      <c r="M272" s="69">
        <f t="shared" si="30"/>
        <v>74</v>
      </c>
      <c r="N272" s="104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2"/>
      <c r="C273" s="720" t="str">
        <f t="shared" si="23"/>
        <v>SPLINTER ORIG 2 VIAS</v>
      </c>
      <c r="D273" s="654"/>
      <c r="E273" s="654"/>
      <c r="F273" s="654"/>
      <c r="G273" s="647"/>
      <c r="H273" s="51">
        <v>435</v>
      </c>
      <c r="I273" s="28"/>
      <c r="J273" s="76"/>
      <c r="K273" s="52">
        <f t="shared" si="28"/>
        <v>435</v>
      </c>
      <c r="L273" s="15">
        <f t="shared" si="29"/>
        <v>0</v>
      </c>
      <c r="M273" s="69">
        <f t="shared" si="30"/>
        <v>435</v>
      </c>
      <c r="N273" s="104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2"/>
      <c r="C274" s="720" t="str">
        <f t="shared" si="23"/>
        <v>LAMPARA DE NOCHE</v>
      </c>
      <c r="D274" s="654"/>
      <c r="E274" s="654"/>
      <c r="F274" s="654"/>
      <c r="G274" s="647"/>
      <c r="H274" s="51">
        <v>648</v>
      </c>
      <c r="I274" s="28"/>
      <c r="J274" s="76"/>
      <c r="K274" s="52">
        <f t="shared" si="28"/>
        <v>648</v>
      </c>
      <c r="L274" s="15">
        <f t="shared" si="29"/>
        <v>0</v>
      </c>
      <c r="M274" s="69">
        <f t="shared" si="30"/>
        <v>648</v>
      </c>
      <c r="N274" s="104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2"/>
      <c r="C275" s="771"/>
      <c r="D275" s="771"/>
      <c r="E275" s="771"/>
      <c r="F275" s="771"/>
      <c r="G275" s="771"/>
      <c r="H275" s="12"/>
      <c r="I275" s="12"/>
      <c r="J275" s="139"/>
      <c r="K275" s="12"/>
      <c r="L275" s="12"/>
      <c r="M275" s="106"/>
      <c r="N275" s="86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2"/>
      <c r="C276" s="771"/>
      <c r="D276" s="771"/>
      <c r="E276" s="771"/>
      <c r="F276" s="771"/>
      <c r="G276" s="771"/>
      <c r="H276" s="12"/>
      <c r="I276" s="12"/>
      <c r="J276" s="139"/>
      <c r="K276" s="12"/>
      <c r="L276" s="12"/>
      <c r="M276" s="106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2"/>
      <c r="C277" s="771"/>
      <c r="D277" s="771"/>
      <c r="E277" s="771"/>
      <c r="F277" s="771"/>
      <c r="G277" s="771"/>
      <c r="H277" s="12"/>
      <c r="I277" s="12"/>
      <c r="J277" s="139"/>
      <c r="K277" s="12"/>
      <c r="L277" s="12"/>
      <c r="M277" s="106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2"/>
      <c r="C278" s="771"/>
      <c r="D278" s="771"/>
      <c r="E278" s="771"/>
      <c r="F278" s="771"/>
      <c r="G278" s="771"/>
      <c r="H278" s="12"/>
      <c r="I278" s="12"/>
      <c r="J278" s="139"/>
      <c r="K278" s="12"/>
      <c r="L278" s="12"/>
      <c r="M278" s="106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2"/>
      <c r="C279" s="771"/>
      <c r="D279" s="771"/>
      <c r="E279" s="771"/>
      <c r="F279" s="771"/>
      <c r="G279" s="771"/>
      <c r="H279" s="12"/>
      <c r="I279" s="12"/>
      <c r="J279" s="139"/>
      <c r="K279" s="12"/>
      <c r="L279" s="12"/>
      <c r="M279" s="106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2"/>
      <c r="C280" s="771"/>
      <c r="D280" s="771"/>
      <c r="E280" s="771"/>
      <c r="F280" s="771"/>
      <c r="G280" s="771"/>
      <c r="H280" s="12"/>
      <c r="I280" s="12"/>
      <c r="J280" s="139"/>
      <c r="K280" s="12"/>
      <c r="L280" s="12"/>
      <c r="M280" s="106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2"/>
      <c r="C281" s="771"/>
      <c r="D281" s="771"/>
      <c r="E281" s="771"/>
      <c r="F281" s="771"/>
      <c r="G281" s="771"/>
      <c r="H281" s="12"/>
      <c r="I281" s="12"/>
      <c r="J281" s="139"/>
      <c r="K281" s="12"/>
      <c r="L281" s="12"/>
      <c r="M281" s="106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2"/>
      <c r="C282" s="771"/>
      <c r="D282" s="771"/>
      <c r="E282" s="771"/>
      <c r="F282" s="771"/>
      <c r="G282" s="771"/>
      <c r="H282" s="12"/>
      <c r="I282" s="12"/>
      <c r="J282" s="139"/>
      <c r="K282" s="12"/>
      <c r="L282" s="12"/>
      <c r="M282" s="106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2"/>
      <c r="C283" s="771"/>
      <c r="D283" s="771"/>
      <c r="E283" s="771"/>
      <c r="F283" s="771"/>
      <c r="G283" s="771"/>
      <c r="H283" s="12"/>
      <c r="I283" s="12"/>
      <c r="J283" s="139"/>
      <c r="K283" s="12"/>
      <c r="L283" s="12"/>
      <c r="M283" s="106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2"/>
      <c r="C284" s="771"/>
      <c r="D284" s="771"/>
      <c r="E284" s="771"/>
      <c r="F284" s="771"/>
      <c r="G284" s="771"/>
      <c r="H284" s="12"/>
      <c r="I284" s="12"/>
      <c r="J284" s="139"/>
      <c r="K284" s="12"/>
      <c r="L284" s="12"/>
      <c r="M284" s="106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2"/>
      <c r="C285" s="771"/>
      <c r="D285" s="771"/>
      <c r="E285" s="771"/>
      <c r="F285" s="771"/>
      <c r="G285" s="771"/>
      <c r="H285" s="12"/>
      <c r="I285" s="12"/>
      <c r="J285" s="139"/>
      <c r="K285" s="12"/>
      <c r="L285" s="12"/>
      <c r="M285" s="106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2"/>
      <c r="C286" s="771"/>
      <c r="D286" s="771"/>
      <c r="E286" s="771"/>
      <c r="F286" s="771"/>
      <c r="G286" s="771"/>
      <c r="H286" s="6"/>
      <c r="I286" s="6"/>
      <c r="J286" s="139"/>
      <c r="K286" s="12"/>
      <c r="L286" s="6"/>
      <c r="M286" s="106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2"/>
      <c r="C287" s="771"/>
      <c r="D287" s="771"/>
      <c r="E287" s="771"/>
      <c r="F287" s="771"/>
      <c r="G287" s="771"/>
      <c r="H287" s="12"/>
      <c r="I287" s="12"/>
      <c r="J287" s="139"/>
      <c r="K287" s="12"/>
      <c r="L287" s="6"/>
      <c r="M287" s="106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2"/>
      <c r="C288" s="771"/>
      <c r="D288" s="771"/>
      <c r="E288" s="771"/>
      <c r="F288" s="771"/>
      <c r="G288" s="771"/>
      <c r="H288" s="12"/>
      <c r="I288" s="12"/>
      <c r="J288" s="139"/>
      <c r="K288" s="12"/>
      <c r="L288" s="6"/>
      <c r="M288" s="106"/>
      <c r="N288" s="6"/>
      <c r="O288" s="6"/>
      <c r="P288" s="12"/>
      <c r="Q288" s="12"/>
      <c r="R288" s="12"/>
      <c r="S288" s="12"/>
    </row>
    <row r="289" spans="1:27" x14ac:dyDescent="0.25">
      <c r="A289" s="42"/>
      <c r="C289" s="771"/>
      <c r="D289" s="771"/>
      <c r="E289" s="771"/>
      <c r="F289" s="771"/>
      <c r="G289" s="771"/>
      <c r="H289" s="12"/>
      <c r="I289" s="12"/>
      <c r="J289" s="139"/>
      <c r="K289" s="12"/>
      <c r="L289" s="6"/>
      <c r="M289" s="106"/>
      <c r="N289" s="6"/>
      <c r="O289" s="6"/>
      <c r="P289" s="12"/>
      <c r="Q289" s="12"/>
      <c r="R289" s="12"/>
      <c r="S289" s="12"/>
    </row>
    <row r="290" spans="1:27" x14ac:dyDescent="0.25">
      <c r="A290" s="42"/>
      <c r="C290" s="771"/>
      <c r="D290" s="771"/>
      <c r="E290" s="771"/>
      <c r="F290" s="771"/>
      <c r="G290" s="771"/>
      <c r="H290" s="12"/>
      <c r="I290" s="12"/>
      <c r="J290" s="139"/>
      <c r="K290" s="12"/>
      <c r="L290" s="6"/>
      <c r="M290" s="106"/>
      <c r="N290" s="6"/>
      <c r="O290" s="6"/>
      <c r="P290" s="12"/>
      <c r="Q290" s="12"/>
      <c r="R290" s="12"/>
      <c r="S290" s="12"/>
    </row>
    <row r="291" spans="1:27" x14ac:dyDescent="0.25">
      <c r="A291" s="42"/>
      <c r="C291" s="141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2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2"/>
      <c r="C293" s="781"/>
      <c r="D293" s="781"/>
      <c r="E293" s="781"/>
      <c r="F293" s="781"/>
      <c r="G293" s="781"/>
      <c r="H293" s="781"/>
      <c r="I293" s="781"/>
      <c r="J293" s="781"/>
      <c r="K293" s="781"/>
      <c r="L293" s="781"/>
      <c r="M293" s="781"/>
      <c r="N293" s="781"/>
      <c r="O293" s="781"/>
      <c r="P293" s="781"/>
      <c r="Q293" s="781"/>
      <c r="R293" s="781"/>
      <c r="S293" s="781"/>
      <c r="T293" s="781"/>
    </row>
    <row r="294" spans="1:27" ht="21" x14ac:dyDescent="0.25">
      <c r="A294" s="42"/>
      <c r="C294" s="782"/>
      <c r="D294" s="782"/>
      <c r="E294" s="782"/>
      <c r="F294" s="782"/>
      <c r="G294" s="782"/>
      <c r="H294" s="136"/>
      <c r="I294" s="17"/>
      <c r="J294" s="137"/>
      <c r="K294" s="138"/>
      <c r="L294" s="12"/>
      <c r="M294" s="136"/>
      <c r="N294" s="17"/>
      <c r="O294" s="137"/>
      <c r="P294" s="138"/>
      <c r="Q294" s="12"/>
      <c r="R294" s="12"/>
      <c r="S294" s="12"/>
      <c r="T294" s="12"/>
    </row>
    <row r="295" spans="1:27" x14ac:dyDescent="0.25">
      <c r="A295" s="42"/>
      <c r="C295" s="771"/>
      <c r="D295" s="771"/>
      <c r="E295" s="771"/>
      <c r="F295" s="771"/>
      <c r="G295" s="771"/>
      <c r="H295" s="12"/>
      <c r="I295" s="12"/>
      <c r="J295" s="140"/>
      <c r="K295" s="12"/>
      <c r="L295" s="12"/>
      <c r="M295" s="12"/>
      <c r="N295" s="12"/>
      <c r="O295" s="142"/>
      <c r="P295" s="12"/>
      <c r="Q295" s="12"/>
      <c r="R295" s="12"/>
      <c r="S295" s="12"/>
      <c r="T295" s="12"/>
      <c r="V295" s="143"/>
      <c r="W295" s="143"/>
      <c r="X295" s="143"/>
      <c r="Y295" s="143"/>
      <c r="Z295" s="143"/>
      <c r="AA295" s="143"/>
    </row>
    <row r="296" spans="1:27" x14ac:dyDescent="0.25">
      <c r="A296" s="42"/>
      <c r="C296" s="771"/>
      <c r="D296" s="771"/>
      <c r="E296" s="771"/>
      <c r="F296" s="771"/>
      <c r="G296" s="771"/>
      <c r="H296" s="12"/>
      <c r="I296" s="12"/>
      <c r="J296" s="142"/>
      <c r="K296" s="12"/>
      <c r="L296" s="12"/>
      <c r="M296" s="12"/>
      <c r="N296" s="12"/>
      <c r="O296" s="142"/>
      <c r="P296" s="12"/>
      <c r="Q296" s="12"/>
      <c r="R296" s="12"/>
      <c r="S296" s="12"/>
      <c r="T296" s="12"/>
      <c r="V296" s="143"/>
      <c r="W296" s="143"/>
      <c r="X296" s="143"/>
      <c r="Y296" s="143"/>
      <c r="Z296" s="143"/>
      <c r="AA296" s="143"/>
    </row>
    <row r="297" spans="1:27" x14ac:dyDescent="0.25">
      <c r="A297" s="42"/>
      <c r="C297" s="141"/>
      <c r="T297" s="12"/>
    </row>
    <row r="298" spans="1:27" x14ac:dyDescent="0.25">
      <c r="A298" s="42"/>
    </row>
    <row r="299" spans="1:27" ht="21" x14ac:dyDescent="0.35">
      <c r="A299" s="42"/>
      <c r="C299" s="781"/>
      <c r="D299" s="781"/>
      <c r="E299" s="781"/>
      <c r="F299" s="781"/>
      <c r="G299" s="781"/>
      <c r="H299" s="781"/>
      <c r="I299" s="781"/>
      <c r="J299" s="781"/>
      <c r="K299" s="781"/>
      <c r="L299" s="781"/>
      <c r="M299" s="781"/>
      <c r="N299" s="781"/>
      <c r="O299" s="781"/>
      <c r="P299" s="125"/>
      <c r="Q299" s="125"/>
    </row>
    <row r="300" spans="1:27" ht="21" x14ac:dyDescent="0.25">
      <c r="A300" s="42"/>
      <c r="C300" s="782"/>
      <c r="D300" s="782"/>
      <c r="E300" s="782"/>
      <c r="F300" s="782"/>
      <c r="G300" s="782"/>
      <c r="H300" s="136"/>
      <c r="I300" s="17"/>
      <c r="J300" s="137"/>
      <c r="K300" s="138"/>
      <c r="L300" s="12"/>
      <c r="M300" s="12"/>
      <c r="N300" s="12"/>
      <c r="O300" s="12"/>
    </row>
    <row r="301" spans="1:27" x14ac:dyDescent="0.25">
      <c r="A301" s="42"/>
      <c r="C301" s="771"/>
      <c r="D301" s="771"/>
      <c r="E301" s="771"/>
      <c r="F301" s="771"/>
      <c r="G301" s="771"/>
      <c r="H301" s="12"/>
      <c r="I301" s="12"/>
      <c r="J301" s="140"/>
      <c r="K301" s="12"/>
      <c r="L301" s="12"/>
      <c r="M301" s="12"/>
      <c r="N301" s="12"/>
      <c r="O301" s="12"/>
    </row>
    <row r="302" spans="1:27" x14ac:dyDescent="0.25">
      <c r="A302" s="42"/>
      <c r="C302" s="141"/>
      <c r="O302" s="12"/>
    </row>
    <row r="303" spans="1:27" x14ac:dyDescent="0.25">
      <c r="A303" s="42"/>
    </row>
    <row r="304" spans="1:27" x14ac:dyDescent="0.25">
      <c r="A304" s="42"/>
    </row>
    <row r="305" spans="1:22" x14ac:dyDescent="0.25">
      <c r="A305" s="42"/>
    </row>
    <row r="306" spans="1:22" x14ac:dyDescent="0.25">
      <c r="A306" s="42"/>
      <c r="B306" s="8"/>
      <c r="C306" s="694"/>
      <c r="D306" s="694"/>
      <c r="E306" s="694"/>
      <c r="F306" s="694"/>
      <c r="G306" s="694"/>
      <c r="H306" s="694"/>
    </row>
    <row r="307" spans="1:22" x14ac:dyDescent="0.25">
      <c r="A307" s="42"/>
      <c r="B307" s="8"/>
      <c r="C307" s="6"/>
      <c r="D307" s="6"/>
      <c r="E307" s="6"/>
      <c r="F307" s="6"/>
      <c r="G307" s="6"/>
      <c r="H307" s="6"/>
    </row>
    <row r="308" spans="1:22" x14ac:dyDescent="0.25">
      <c r="A308" s="42"/>
      <c r="B308" s="8"/>
      <c r="C308" s="6"/>
      <c r="D308" s="6"/>
      <c r="E308" s="6"/>
      <c r="F308" s="6"/>
      <c r="G308" s="144"/>
      <c r="H308" s="6"/>
    </row>
    <row r="309" spans="1:22" x14ac:dyDescent="0.25">
      <c r="A309" s="8"/>
      <c r="C309" s="6"/>
      <c r="D309" s="6"/>
      <c r="E309" s="6"/>
      <c r="F309" s="6"/>
      <c r="G309" s="144"/>
      <c r="H309" s="6"/>
    </row>
    <row r="310" spans="1:22" x14ac:dyDescent="0.25">
      <c r="A310" s="8"/>
      <c r="C310" s="6"/>
      <c r="D310" s="6"/>
      <c r="E310" s="6"/>
      <c r="F310" s="6"/>
      <c r="G310" s="144"/>
      <c r="H310" s="6"/>
    </row>
    <row r="311" spans="1:22" x14ac:dyDescent="0.25">
      <c r="A311" s="8"/>
      <c r="C311" s="6"/>
      <c r="D311" s="6"/>
      <c r="E311" s="6"/>
      <c r="F311" s="6"/>
      <c r="G311" s="144"/>
      <c r="H311" s="6"/>
    </row>
    <row r="312" spans="1:22" x14ac:dyDescent="0.25">
      <c r="A312" s="8"/>
      <c r="C312" s="6"/>
      <c r="D312" s="6"/>
      <c r="E312" s="6"/>
      <c r="F312" s="6"/>
      <c r="G312" s="144"/>
      <c r="H312" s="6"/>
    </row>
    <row r="313" spans="1:22" ht="15.75" x14ac:dyDescent="0.25">
      <c r="A313" s="8"/>
      <c r="C313" s="103"/>
      <c r="D313" s="103"/>
      <c r="E313" s="103"/>
      <c r="F313" s="117"/>
      <c r="G313" s="145"/>
      <c r="H313" s="119"/>
    </row>
    <row r="314" spans="1:22" x14ac:dyDescent="0.25">
      <c r="A314" s="8"/>
      <c r="C314" s="141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252"/>
  <sheetViews>
    <sheetView tabSelected="1" topLeftCell="Q220" zoomScale="85" zoomScaleNormal="85" workbookViewId="0">
      <pane xSplit="6" topLeftCell="W1" activePane="topRight" state="frozen"/>
      <selection activeCell="AP15" sqref="AP15"/>
      <selection pane="topRight" activeCell="Q227" sqref="Q227:S235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6" width="0" hidden="1" customWidth="1"/>
    <col min="17" max="17" width="5.5703125" style="542" customWidth="1"/>
    <col min="18" max="18" width="10.7109375" customWidth="1"/>
    <col min="19" max="19" width="14.140625" customWidth="1"/>
    <col min="20" max="20" width="13" bestFit="1" customWidth="1"/>
    <col min="21" max="22" width="11.7109375" bestFit="1" customWidth="1"/>
    <col min="23" max="23" width="13.85546875" customWidth="1"/>
    <col min="24" max="27" width="11.42578125" customWidth="1"/>
    <col min="28" max="28" width="11.5703125" customWidth="1"/>
    <col min="29" max="29" width="11.42578125" customWidth="1"/>
    <col min="30" max="30" width="15.28515625" customWidth="1"/>
    <col min="31" max="31" width="14.5703125" customWidth="1"/>
    <col min="32" max="36" width="11.42578125" customWidth="1"/>
    <col min="37" max="38" width="13.140625" customWidth="1"/>
    <col min="39" max="39" width="14.28515625" customWidth="1"/>
    <col min="40" max="40" width="39" customWidth="1"/>
    <col min="42" max="42" width="11.85546875" bestFit="1" customWidth="1"/>
  </cols>
  <sheetData>
    <row r="2" spans="1:41" ht="42.75" customHeight="1" x14ac:dyDescent="0.25">
      <c r="A2" s="308"/>
      <c r="B2" s="308"/>
      <c r="C2" s="308"/>
      <c r="D2" s="308"/>
      <c r="E2" s="308"/>
      <c r="F2" s="308"/>
      <c r="G2" s="308"/>
      <c r="H2" s="308"/>
      <c r="I2" s="308"/>
      <c r="R2" s="793" t="s">
        <v>80</v>
      </c>
      <c r="S2" s="793"/>
      <c r="T2" s="793"/>
      <c r="U2" s="793"/>
      <c r="V2" s="793"/>
      <c r="W2" s="793"/>
      <c r="X2" s="793"/>
      <c r="Y2" s="793"/>
      <c r="Z2" s="793"/>
      <c r="AA2" s="793"/>
      <c r="AB2" s="793"/>
      <c r="AC2" s="793"/>
      <c r="AD2" s="793"/>
      <c r="AE2" s="793"/>
      <c r="AF2" s="793"/>
      <c r="AG2" s="793"/>
      <c r="AH2" s="793"/>
      <c r="AI2" s="793"/>
      <c r="AJ2" s="793"/>
      <c r="AK2" s="793"/>
      <c r="AL2" s="793"/>
      <c r="AM2" s="793"/>
      <c r="AN2" s="793"/>
      <c r="AO2" s="793"/>
    </row>
    <row r="3" spans="1:41" ht="30" customHeight="1" x14ac:dyDescent="0.25">
      <c r="B3" s="792" t="s">
        <v>2</v>
      </c>
      <c r="C3" s="792"/>
      <c r="D3" s="792"/>
      <c r="E3" s="792"/>
      <c r="F3" s="792"/>
      <c r="G3" s="309" t="s">
        <v>339</v>
      </c>
      <c r="H3" s="309" t="s">
        <v>338</v>
      </c>
      <c r="I3" s="309" t="s">
        <v>337</v>
      </c>
      <c r="J3" s="309" t="s">
        <v>340</v>
      </c>
      <c r="K3" s="327" t="s">
        <v>339</v>
      </c>
      <c r="L3" s="327" t="s">
        <v>365</v>
      </c>
      <c r="R3" s="792" t="s">
        <v>2</v>
      </c>
      <c r="S3" s="792"/>
      <c r="T3" s="792"/>
      <c r="U3" s="792"/>
      <c r="V3" s="792"/>
      <c r="W3" s="372" t="s">
        <v>378</v>
      </c>
      <c r="X3" s="344" t="s">
        <v>379</v>
      </c>
      <c r="Y3" s="373" t="s">
        <v>377</v>
      </c>
      <c r="Z3" s="372" t="s">
        <v>368</v>
      </c>
      <c r="AA3" s="344" t="s">
        <v>369</v>
      </c>
      <c r="AB3" s="373" t="s">
        <v>373</v>
      </c>
      <c r="AC3" s="372" t="s">
        <v>370</v>
      </c>
      <c r="AD3" s="344" t="s">
        <v>371</v>
      </c>
      <c r="AE3" s="373" t="s">
        <v>374</v>
      </c>
      <c r="AF3" s="372" t="s">
        <v>372</v>
      </c>
      <c r="AG3" s="344" t="s">
        <v>380</v>
      </c>
      <c r="AH3" s="373" t="s">
        <v>375</v>
      </c>
      <c r="AI3" s="382" t="s">
        <v>78</v>
      </c>
      <c r="AJ3" s="382" t="s">
        <v>382</v>
      </c>
      <c r="AK3" s="382" t="s">
        <v>376</v>
      </c>
      <c r="AL3" s="344" t="s">
        <v>383</v>
      </c>
      <c r="AM3" s="344" t="s">
        <v>381</v>
      </c>
      <c r="AN3" s="794" t="s">
        <v>384</v>
      </c>
      <c r="AO3" s="794"/>
    </row>
    <row r="4" spans="1:41" ht="20.100000000000001" customHeight="1" x14ac:dyDescent="0.25">
      <c r="B4" s="789" t="s">
        <v>49</v>
      </c>
      <c r="C4" s="789"/>
      <c r="D4" s="789"/>
      <c r="E4" s="789"/>
      <c r="F4" s="789"/>
      <c r="G4" s="84">
        <f>I4/0.9</f>
        <v>28.888888888888889</v>
      </c>
      <c r="H4" s="84">
        <f>G4*1.16</f>
        <v>33.511111111111106</v>
      </c>
      <c r="I4" s="84">
        <v>26</v>
      </c>
      <c r="J4" s="84">
        <f>I4*1.16</f>
        <v>30.159999999999997</v>
      </c>
      <c r="K4" s="328">
        <f>G4*0.97</f>
        <v>28.022222222222222</v>
      </c>
      <c r="L4" s="328">
        <f>I4*0.97</f>
        <v>25.22</v>
      </c>
      <c r="Q4" s="426"/>
      <c r="R4" s="789" t="s">
        <v>49</v>
      </c>
      <c r="S4" s="789"/>
      <c r="T4" s="789"/>
      <c r="U4" s="789"/>
      <c r="V4" s="789"/>
      <c r="W4" s="370">
        <v>36</v>
      </c>
      <c r="X4" s="336">
        <v>24.23</v>
      </c>
      <c r="Y4" s="371">
        <f t="shared" ref="Y4:Y19" si="0">IF(AK4 &lt; AF4+AC4+Z4+W4, MIN(AC4+AF4+Z4+W4-AK4,AI4-AH4-AE4-AB4,W4),0)</f>
        <v>0</v>
      </c>
      <c r="Z4" s="370">
        <v>70</v>
      </c>
      <c r="AA4" s="336">
        <v>19.73</v>
      </c>
      <c r="AB4" s="371">
        <f t="shared" ref="AB4:AB19" si="1">IF(AK4 &lt; AF4+AC4+Z4, MIN(AC4+AF4+Z4-AK4,AI4-AH4-AE4,Z4),0)</f>
        <v>6</v>
      </c>
      <c r="AC4" s="370">
        <v>10</v>
      </c>
      <c r="AD4" s="336">
        <v>24.43</v>
      </c>
      <c r="AE4" s="371">
        <f t="shared" ref="AE4:AE19" si="2">IF(AK4 &lt; AF4+AC4, MIN(AC4+AF4-AK4,AI4-AH4,AC4),0)</f>
        <v>0</v>
      </c>
      <c r="AF4" s="370"/>
      <c r="AG4" s="336"/>
      <c r="AH4" s="371">
        <f t="shared" ref="AH4:AH19" si="3">IF(AK4 &lt;=AF4, MIN(AF4-AK4,AI4), 0)</f>
        <v>0</v>
      </c>
      <c r="AI4" s="467">
        <v>6</v>
      </c>
      <c r="AJ4" s="467">
        <v>180</v>
      </c>
      <c r="AK4" s="467">
        <v>21</v>
      </c>
      <c r="AL4" s="344" t="str">
        <f t="shared" ref="AL4:AL19" si="4">IF(OR((W4+Z4+AC4+AF4) &gt;= (AI4+AK4), AI4 = 0), "YA", "MAS")</f>
        <v>YA</v>
      </c>
      <c r="AM4" s="338">
        <f t="shared" ref="AM4:AM19" si="5">IF(AI4=0,0,AH4*AG4+AE4*AD4+AB4*AA4+Y4*X4)</f>
        <v>118.38</v>
      </c>
      <c r="AN4" s="785">
        <f>IF(AI4 = 0, 0, AJ4-AM4)</f>
        <v>61.620000000000005</v>
      </c>
      <c r="AO4" s="785"/>
    </row>
    <row r="5" spans="1:41" ht="20.100000000000001" customHeight="1" x14ac:dyDescent="0.25">
      <c r="B5" s="789" t="s">
        <v>56</v>
      </c>
      <c r="C5" s="789"/>
      <c r="D5" s="789"/>
      <c r="E5" s="789"/>
      <c r="F5" s="789"/>
      <c r="G5" s="84">
        <f t="shared" ref="G5:G27" si="6">I5/0.9</f>
        <v>14.444444444444445</v>
      </c>
      <c r="H5" s="84">
        <f t="shared" ref="H5:H27" si="7">G5*1.16</f>
        <v>16.755555555555553</v>
      </c>
      <c r="I5" s="84">
        <v>13</v>
      </c>
      <c r="J5" s="84">
        <f t="shared" ref="J5:J27" si="8">I5*1.16</f>
        <v>15.079999999999998</v>
      </c>
      <c r="K5" s="328">
        <f t="shared" ref="K5:K27" si="9">G5*0.97</f>
        <v>14.011111111111111</v>
      </c>
      <c r="L5" s="328">
        <f t="shared" ref="L5:L27" si="10">I5*0.97</f>
        <v>12.61</v>
      </c>
      <c r="Q5" s="426"/>
      <c r="R5" s="789" t="s">
        <v>56</v>
      </c>
      <c r="S5" s="789"/>
      <c r="T5" s="789"/>
      <c r="U5" s="789"/>
      <c r="V5" s="789"/>
      <c r="W5" s="370">
        <v>40</v>
      </c>
      <c r="X5" s="336">
        <v>9.2200000000000006</v>
      </c>
      <c r="Y5" s="371">
        <f t="shared" si="0"/>
        <v>0</v>
      </c>
      <c r="Z5" s="370">
        <v>20</v>
      </c>
      <c r="AA5" s="336">
        <v>9.5399999999999991</v>
      </c>
      <c r="AB5" s="371">
        <f t="shared" si="1"/>
        <v>0</v>
      </c>
      <c r="AC5" s="370"/>
      <c r="AD5" s="336"/>
      <c r="AE5" s="371">
        <f t="shared" si="2"/>
        <v>0</v>
      </c>
      <c r="AF5" s="370"/>
      <c r="AG5" s="336"/>
      <c r="AH5" s="371">
        <f t="shared" si="3"/>
        <v>0</v>
      </c>
      <c r="AI5" s="467"/>
      <c r="AJ5" s="467"/>
      <c r="AK5" s="467"/>
      <c r="AL5" s="344" t="str">
        <f t="shared" si="4"/>
        <v>YA</v>
      </c>
      <c r="AM5" s="338">
        <f t="shared" si="5"/>
        <v>0</v>
      </c>
      <c r="AN5" s="790">
        <f t="shared" ref="AN5:AN19" si="11">AJ5-AM5</f>
        <v>0</v>
      </c>
      <c r="AO5" s="791"/>
    </row>
    <row r="6" spans="1:41" ht="20.100000000000001" customHeight="1" x14ac:dyDescent="0.25">
      <c r="B6" s="789" t="s">
        <v>50</v>
      </c>
      <c r="C6" s="789"/>
      <c r="D6" s="789"/>
      <c r="E6" s="789"/>
      <c r="F6" s="789"/>
      <c r="G6" s="84">
        <f t="shared" si="6"/>
        <v>7.7777777777777777</v>
      </c>
      <c r="H6" s="84">
        <f t="shared" si="7"/>
        <v>9.0222222222222221</v>
      </c>
      <c r="I6" s="84">
        <v>7</v>
      </c>
      <c r="J6" s="84">
        <f t="shared" si="8"/>
        <v>8.1199999999999992</v>
      </c>
      <c r="K6" s="328">
        <f t="shared" si="9"/>
        <v>7.5444444444444443</v>
      </c>
      <c r="L6" s="328">
        <f t="shared" si="10"/>
        <v>6.79</v>
      </c>
      <c r="Q6" s="426"/>
      <c r="R6" s="789" t="s">
        <v>50</v>
      </c>
      <c r="S6" s="789"/>
      <c r="T6" s="789"/>
      <c r="U6" s="789"/>
      <c r="V6" s="789"/>
      <c r="W6" s="370">
        <v>36</v>
      </c>
      <c r="X6" s="336">
        <v>5.59</v>
      </c>
      <c r="Y6" s="371">
        <f t="shared" si="0"/>
        <v>1</v>
      </c>
      <c r="Z6" s="370"/>
      <c r="AA6" s="336"/>
      <c r="AB6" s="371">
        <f t="shared" si="1"/>
        <v>0</v>
      </c>
      <c r="AC6" s="370"/>
      <c r="AD6" s="336"/>
      <c r="AE6" s="371">
        <f t="shared" si="2"/>
        <v>0</v>
      </c>
      <c r="AF6" s="370"/>
      <c r="AG6" s="336"/>
      <c r="AH6" s="371">
        <f t="shared" si="3"/>
        <v>0</v>
      </c>
      <c r="AI6" s="467">
        <v>1</v>
      </c>
      <c r="AJ6" s="467">
        <v>8</v>
      </c>
      <c r="AK6" s="467">
        <v>26</v>
      </c>
      <c r="AL6" s="344" t="str">
        <f t="shared" si="4"/>
        <v>YA</v>
      </c>
      <c r="AM6" s="338">
        <f t="shared" si="5"/>
        <v>5.59</v>
      </c>
      <c r="AN6" s="790">
        <f t="shared" si="11"/>
        <v>2.41</v>
      </c>
      <c r="AO6" s="791"/>
    </row>
    <row r="7" spans="1:41" ht="20.100000000000001" customHeight="1" x14ac:dyDescent="0.25">
      <c r="B7" s="789" t="s">
        <v>7</v>
      </c>
      <c r="C7" s="789"/>
      <c r="D7" s="789"/>
      <c r="E7" s="789"/>
      <c r="F7" s="789"/>
      <c r="G7" s="84">
        <f t="shared" si="6"/>
        <v>33.333333333333336</v>
      </c>
      <c r="H7" s="84">
        <f t="shared" si="7"/>
        <v>38.666666666666664</v>
      </c>
      <c r="I7" s="84">
        <v>30</v>
      </c>
      <c r="J7" s="84">
        <f t="shared" si="8"/>
        <v>34.799999999999997</v>
      </c>
      <c r="K7" s="328">
        <f t="shared" si="9"/>
        <v>32.333333333333336</v>
      </c>
      <c r="L7" s="328">
        <f t="shared" si="10"/>
        <v>29.099999999999998</v>
      </c>
      <c r="Q7" s="426"/>
      <c r="R7" s="789" t="s">
        <v>7</v>
      </c>
      <c r="S7" s="789"/>
      <c r="T7" s="789"/>
      <c r="U7" s="789"/>
      <c r="V7" s="789"/>
      <c r="W7" s="370">
        <v>20</v>
      </c>
      <c r="X7" s="335">
        <v>24.129629629629626</v>
      </c>
      <c r="Y7" s="371">
        <f t="shared" si="0"/>
        <v>0</v>
      </c>
      <c r="Z7" s="370">
        <v>100</v>
      </c>
      <c r="AA7" s="336">
        <v>22.79</v>
      </c>
      <c r="AB7" s="371">
        <f t="shared" si="1"/>
        <v>4</v>
      </c>
      <c r="AC7" s="370"/>
      <c r="AD7" s="336"/>
      <c r="AE7" s="371">
        <f t="shared" si="2"/>
        <v>0</v>
      </c>
      <c r="AF7" s="370"/>
      <c r="AG7" s="335"/>
      <c r="AH7" s="371">
        <f t="shared" si="3"/>
        <v>0</v>
      </c>
      <c r="AI7" s="467">
        <v>4</v>
      </c>
      <c r="AJ7" s="467">
        <v>136</v>
      </c>
      <c r="AK7" s="467">
        <v>61</v>
      </c>
      <c r="AL7" s="344" t="str">
        <f t="shared" si="4"/>
        <v>YA</v>
      </c>
      <c r="AM7" s="338">
        <f t="shared" si="5"/>
        <v>91.16</v>
      </c>
      <c r="AN7" s="790">
        <f t="shared" si="11"/>
        <v>44.84</v>
      </c>
      <c r="AO7" s="791"/>
    </row>
    <row r="8" spans="1:41" ht="20.100000000000001" customHeight="1" x14ac:dyDescent="0.25">
      <c r="B8" s="789" t="s">
        <v>6</v>
      </c>
      <c r="C8" s="789"/>
      <c r="D8" s="789"/>
      <c r="E8" s="789"/>
      <c r="F8" s="789"/>
      <c r="G8" s="84">
        <f t="shared" si="6"/>
        <v>12.222222222222221</v>
      </c>
      <c r="H8" s="84">
        <f t="shared" si="7"/>
        <v>14.177777777777775</v>
      </c>
      <c r="I8" s="84">
        <v>11</v>
      </c>
      <c r="J8" s="84">
        <f t="shared" si="8"/>
        <v>12.76</v>
      </c>
      <c r="K8" s="328">
        <f t="shared" si="9"/>
        <v>11.855555555555554</v>
      </c>
      <c r="L8" s="328">
        <f t="shared" si="10"/>
        <v>10.67</v>
      </c>
      <c r="Q8" s="426"/>
      <c r="R8" s="789" t="s">
        <v>6</v>
      </c>
      <c r="S8" s="789"/>
      <c r="T8" s="789"/>
      <c r="U8" s="789"/>
      <c r="V8" s="789"/>
      <c r="W8" s="370">
        <v>20</v>
      </c>
      <c r="X8" s="336">
        <v>7.96</v>
      </c>
      <c r="Y8" s="371">
        <f t="shared" si="0"/>
        <v>0</v>
      </c>
      <c r="Z8" s="370">
        <v>60</v>
      </c>
      <c r="AA8" s="335">
        <v>8.231481481481481</v>
      </c>
      <c r="AB8" s="371">
        <f t="shared" si="1"/>
        <v>2</v>
      </c>
      <c r="AC8" s="370"/>
      <c r="AD8" s="336"/>
      <c r="AE8" s="371">
        <f t="shared" si="2"/>
        <v>0</v>
      </c>
      <c r="AF8" s="370"/>
      <c r="AG8" s="335"/>
      <c r="AH8" s="371">
        <f t="shared" si="3"/>
        <v>0</v>
      </c>
      <c r="AI8" s="467">
        <v>2</v>
      </c>
      <c r="AJ8" s="467">
        <v>24</v>
      </c>
      <c r="AK8" s="467">
        <v>26</v>
      </c>
      <c r="AL8" s="344" t="str">
        <f t="shared" si="4"/>
        <v>YA</v>
      </c>
      <c r="AM8" s="338">
        <f t="shared" si="5"/>
        <v>16.462962962962962</v>
      </c>
      <c r="AN8" s="790">
        <f t="shared" si="11"/>
        <v>7.5370370370370381</v>
      </c>
      <c r="AO8" s="791"/>
    </row>
    <row r="9" spans="1:41" ht="20.100000000000001" customHeight="1" x14ac:dyDescent="0.25">
      <c r="B9" s="789" t="s">
        <v>232</v>
      </c>
      <c r="C9" s="789"/>
      <c r="D9" s="789"/>
      <c r="E9" s="789"/>
      <c r="F9" s="789"/>
      <c r="G9" s="84">
        <f t="shared" si="6"/>
        <v>44.444444444444443</v>
      </c>
      <c r="H9" s="84">
        <f t="shared" si="7"/>
        <v>51.55555555555555</v>
      </c>
      <c r="I9" s="84">
        <v>40</v>
      </c>
      <c r="J9" s="84">
        <f t="shared" si="8"/>
        <v>46.4</v>
      </c>
      <c r="K9" s="328">
        <f t="shared" si="9"/>
        <v>43.111111111111107</v>
      </c>
      <c r="L9" s="328">
        <f t="shared" si="10"/>
        <v>38.799999999999997</v>
      </c>
      <c r="Q9" s="426"/>
      <c r="R9" s="789" t="s">
        <v>232</v>
      </c>
      <c r="S9" s="789"/>
      <c r="T9" s="789"/>
      <c r="U9" s="789"/>
      <c r="V9" s="789"/>
      <c r="W9" s="370">
        <v>6</v>
      </c>
      <c r="X9" s="336">
        <v>40</v>
      </c>
      <c r="Y9" s="371">
        <f t="shared" si="0"/>
        <v>0</v>
      </c>
      <c r="Z9" s="370">
        <v>15</v>
      </c>
      <c r="AA9" s="336">
        <v>32.29</v>
      </c>
      <c r="AB9" s="371">
        <f t="shared" si="1"/>
        <v>0</v>
      </c>
      <c r="AC9" s="370"/>
      <c r="AD9" s="336"/>
      <c r="AE9" s="371">
        <f t="shared" si="2"/>
        <v>0</v>
      </c>
      <c r="AF9" s="370"/>
      <c r="AG9" s="336"/>
      <c r="AH9" s="371">
        <f t="shared" si="3"/>
        <v>0</v>
      </c>
      <c r="AI9" s="467"/>
      <c r="AJ9" s="467"/>
      <c r="AK9" s="467"/>
      <c r="AL9" s="344" t="str">
        <f t="shared" si="4"/>
        <v>YA</v>
      </c>
      <c r="AM9" s="338">
        <f t="shared" si="5"/>
        <v>0</v>
      </c>
      <c r="AN9" s="790">
        <f t="shared" si="11"/>
        <v>0</v>
      </c>
      <c r="AO9" s="791"/>
    </row>
    <row r="10" spans="1:41" ht="20.100000000000001" customHeight="1" x14ac:dyDescent="0.25">
      <c r="B10" s="789" t="s">
        <v>53</v>
      </c>
      <c r="C10" s="789"/>
      <c r="D10" s="789"/>
      <c r="E10" s="789"/>
      <c r="F10" s="789"/>
      <c r="G10" s="84">
        <f t="shared" si="6"/>
        <v>27.777777777777779</v>
      </c>
      <c r="H10" s="84">
        <f t="shared" si="7"/>
        <v>32.222222222222221</v>
      </c>
      <c r="I10" s="84">
        <v>25</v>
      </c>
      <c r="J10" s="84">
        <f t="shared" si="8"/>
        <v>28.999999999999996</v>
      </c>
      <c r="K10" s="328">
        <f t="shared" si="9"/>
        <v>26.944444444444443</v>
      </c>
      <c r="L10" s="328">
        <f t="shared" si="10"/>
        <v>24.25</v>
      </c>
      <c r="Q10" s="426"/>
      <c r="R10" s="789" t="s">
        <v>53</v>
      </c>
      <c r="S10" s="789"/>
      <c r="T10" s="789"/>
      <c r="U10" s="789"/>
      <c r="V10" s="789"/>
      <c r="W10" s="370"/>
      <c r="X10" s="334"/>
      <c r="Y10" s="371">
        <f t="shared" si="0"/>
        <v>0</v>
      </c>
      <c r="Z10" s="370"/>
      <c r="AA10" s="336"/>
      <c r="AB10" s="371">
        <f t="shared" si="1"/>
        <v>0</v>
      </c>
      <c r="AC10" s="370"/>
      <c r="AD10" s="336"/>
      <c r="AE10" s="371">
        <f t="shared" si="2"/>
        <v>0</v>
      </c>
      <c r="AF10" s="370"/>
      <c r="AG10" s="335"/>
      <c r="AH10" s="371">
        <f t="shared" si="3"/>
        <v>0</v>
      </c>
      <c r="AI10" s="467"/>
      <c r="AJ10" s="467"/>
      <c r="AK10" s="467"/>
      <c r="AL10" s="344" t="str">
        <f t="shared" si="4"/>
        <v>YA</v>
      </c>
      <c r="AM10" s="338">
        <f t="shared" si="5"/>
        <v>0</v>
      </c>
      <c r="AN10" s="790">
        <f t="shared" si="11"/>
        <v>0</v>
      </c>
      <c r="AO10" s="791"/>
    </row>
    <row r="11" spans="1:41" ht="20.100000000000001" customHeight="1" x14ac:dyDescent="0.25">
      <c r="B11" s="789" t="s">
        <v>55</v>
      </c>
      <c r="C11" s="789"/>
      <c r="D11" s="789"/>
      <c r="E11" s="789"/>
      <c r="F11" s="789"/>
      <c r="G11" s="84">
        <f t="shared" si="6"/>
        <v>8.8888888888888893</v>
      </c>
      <c r="H11" s="84">
        <f t="shared" si="7"/>
        <v>10.31111111111111</v>
      </c>
      <c r="I11" s="84">
        <v>8</v>
      </c>
      <c r="J11" s="84">
        <f t="shared" si="8"/>
        <v>9.2799999999999994</v>
      </c>
      <c r="K11" s="328">
        <f t="shared" si="9"/>
        <v>8.6222222222222218</v>
      </c>
      <c r="L11" s="328">
        <f t="shared" si="10"/>
        <v>7.76</v>
      </c>
      <c r="Q11" s="426"/>
      <c r="R11" s="789" t="s">
        <v>55</v>
      </c>
      <c r="S11" s="789"/>
      <c r="T11" s="789"/>
      <c r="U11" s="789"/>
      <c r="V11" s="789"/>
      <c r="W11" s="370">
        <v>12</v>
      </c>
      <c r="X11" s="336">
        <v>5.7</v>
      </c>
      <c r="Y11" s="371">
        <f t="shared" si="0"/>
        <v>0</v>
      </c>
      <c r="Z11" s="370">
        <v>48</v>
      </c>
      <c r="AA11" s="335">
        <v>5.7037037037037033</v>
      </c>
      <c r="AB11" s="371">
        <f t="shared" si="1"/>
        <v>5</v>
      </c>
      <c r="AC11" s="370"/>
      <c r="AD11" s="335"/>
      <c r="AE11" s="371">
        <f t="shared" si="2"/>
        <v>0</v>
      </c>
      <c r="AF11" s="370"/>
      <c r="AG11" s="335"/>
      <c r="AH11" s="371">
        <f t="shared" si="3"/>
        <v>0</v>
      </c>
      <c r="AI11" s="467">
        <v>5</v>
      </c>
      <c r="AJ11" s="467">
        <v>41</v>
      </c>
      <c r="AK11" s="467">
        <v>17</v>
      </c>
      <c r="AL11" s="344" t="str">
        <f t="shared" si="4"/>
        <v>YA</v>
      </c>
      <c r="AM11" s="338">
        <f t="shared" si="5"/>
        <v>28.518518518518515</v>
      </c>
      <c r="AN11" s="790">
        <f t="shared" si="11"/>
        <v>12.481481481481485</v>
      </c>
      <c r="AO11" s="791"/>
    </row>
    <row r="12" spans="1:41" ht="20.100000000000001" customHeight="1" x14ac:dyDescent="0.25">
      <c r="B12" s="789" t="s">
        <v>5</v>
      </c>
      <c r="C12" s="789"/>
      <c r="D12" s="789"/>
      <c r="E12" s="789"/>
      <c r="F12" s="789"/>
      <c r="G12" s="84">
        <f t="shared" si="6"/>
        <v>43.333333333333336</v>
      </c>
      <c r="H12" s="84">
        <f t="shared" si="7"/>
        <v>50.266666666666666</v>
      </c>
      <c r="I12" s="84">
        <v>39</v>
      </c>
      <c r="J12" s="84">
        <f t="shared" si="8"/>
        <v>45.239999999999995</v>
      </c>
      <c r="K12" s="328">
        <f t="shared" si="9"/>
        <v>42.033333333333331</v>
      </c>
      <c r="L12" s="328">
        <f t="shared" si="10"/>
        <v>37.83</v>
      </c>
      <c r="Q12" s="426"/>
      <c r="R12" s="789" t="s">
        <v>5</v>
      </c>
      <c r="S12" s="789"/>
      <c r="T12" s="789"/>
      <c r="U12" s="789"/>
      <c r="V12" s="789"/>
      <c r="W12" s="370">
        <v>60</v>
      </c>
      <c r="X12" s="335">
        <v>31.27</v>
      </c>
      <c r="Y12" s="371">
        <f t="shared" si="0"/>
        <v>0</v>
      </c>
      <c r="Z12" s="370">
        <v>70</v>
      </c>
      <c r="AA12" s="335">
        <v>29.53</v>
      </c>
      <c r="AB12" s="371">
        <f t="shared" si="1"/>
        <v>0</v>
      </c>
      <c r="AC12" s="370">
        <v>20</v>
      </c>
      <c r="AD12" s="335">
        <v>33.31</v>
      </c>
      <c r="AE12" s="371">
        <f t="shared" si="2"/>
        <v>1</v>
      </c>
      <c r="AF12" s="370"/>
      <c r="AG12" s="335"/>
      <c r="AH12" s="371">
        <f t="shared" si="3"/>
        <v>0</v>
      </c>
      <c r="AI12" s="467">
        <v>1</v>
      </c>
      <c r="AJ12" s="467">
        <v>42</v>
      </c>
      <c r="AK12" s="467">
        <v>19</v>
      </c>
      <c r="AL12" s="344" t="str">
        <f t="shared" si="4"/>
        <v>YA</v>
      </c>
      <c r="AM12" s="338">
        <f t="shared" si="5"/>
        <v>33.31</v>
      </c>
      <c r="AN12" s="790">
        <f t="shared" si="11"/>
        <v>8.6899999999999977</v>
      </c>
      <c r="AO12" s="791"/>
    </row>
    <row r="13" spans="1:41" ht="20.100000000000001" customHeight="1" x14ac:dyDescent="0.25">
      <c r="B13" s="789" t="s">
        <v>4</v>
      </c>
      <c r="C13" s="789"/>
      <c r="D13" s="789"/>
      <c r="E13" s="789"/>
      <c r="F13" s="789"/>
      <c r="G13" s="84">
        <f t="shared" si="6"/>
        <v>16.666666666666668</v>
      </c>
      <c r="H13" s="84">
        <f t="shared" si="7"/>
        <v>19.333333333333332</v>
      </c>
      <c r="I13" s="84">
        <v>15</v>
      </c>
      <c r="J13" s="84">
        <f t="shared" si="8"/>
        <v>17.399999999999999</v>
      </c>
      <c r="K13" s="328">
        <f t="shared" si="9"/>
        <v>16.166666666666668</v>
      </c>
      <c r="L13" s="328">
        <f t="shared" si="10"/>
        <v>14.549999999999999</v>
      </c>
      <c r="Q13" s="426"/>
      <c r="R13" s="789" t="s">
        <v>4</v>
      </c>
      <c r="S13" s="789"/>
      <c r="T13" s="789"/>
      <c r="U13" s="789"/>
      <c r="V13" s="789"/>
      <c r="W13" s="370">
        <v>20</v>
      </c>
      <c r="X13" s="335">
        <v>11.324074074074074</v>
      </c>
      <c r="Y13" s="371">
        <f t="shared" si="0"/>
        <v>0</v>
      </c>
      <c r="Z13" s="370">
        <v>100</v>
      </c>
      <c r="AA13" s="335">
        <v>10.69</v>
      </c>
      <c r="AB13" s="371">
        <f t="shared" si="1"/>
        <v>0</v>
      </c>
      <c r="AC13" s="370">
        <v>60</v>
      </c>
      <c r="AD13" s="335">
        <v>11.91</v>
      </c>
      <c r="AE13" s="371">
        <f t="shared" si="2"/>
        <v>12</v>
      </c>
      <c r="AF13" s="370"/>
      <c r="AG13" s="335"/>
      <c r="AH13" s="371">
        <f t="shared" si="3"/>
        <v>0</v>
      </c>
      <c r="AI13" s="467">
        <v>12</v>
      </c>
      <c r="AJ13" s="467">
        <v>179</v>
      </c>
      <c r="AK13" s="467">
        <v>44</v>
      </c>
      <c r="AL13" s="344" t="str">
        <f t="shared" si="4"/>
        <v>YA</v>
      </c>
      <c r="AM13" s="338">
        <f t="shared" si="5"/>
        <v>142.92000000000002</v>
      </c>
      <c r="AN13" s="790">
        <f t="shared" si="11"/>
        <v>36.079999999999984</v>
      </c>
      <c r="AO13" s="791"/>
    </row>
    <row r="14" spans="1:41" ht="20.100000000000001" customHeight="1" x14ac:dyDescent="0.25">
      <c r="B14" s="789" t="s">
        <v>12</v>
      </c>
      <c r="C14" s="789"/>
      <c r="D14" s="789"/>
      <c r="E14" s="789"/>
      <c r="F14" s="789"/>
      <c r="G14" s="84">
        <f>I14/0.9</f>
        <v>34.444444444444443</v>
      </c>
      <c r="H14" s="84">
        <f>G14*1.16</f>
        <v>39.955555555555549</v>
      </c>
      <c r="I14" s="84">
        <v>31</v>
      </c>
      <c r="J14" s="84">
        <f>I14*1.16</f>
        <v>35.96</v>
      </c>
      <c r="K14" s="328">
        <f t="shared" si="9"/>
        <v>33.411111111111111</v>
      </c>
      <c r="L14" s="328">
        <f t="shared" si="10"/>
        <v>30.07</v>
      </c>
      <c r="Q14" s="426"/>
      <c r="R14" s="789" t="s">
        <v>12</v>
      </c>
      <c r="S14" s="789"/>
      <c r="T14" s="789"/>
      <c r="U14" s="789"/>
      <c r="V14" s="789"/>
      <c r="W14" s="370">
        <v>200</v>
      </c>
      <c r="X14" s="335">
        <v>24.52</v>
      </c>
      <c r="Y14" s="371">
        <f t="shared" si="0"/>
        <v>5</v>
      </c>
      <c r="Z14" s="370"/>
      <c r="AA14" s="336"/>
      <c r="AB14" s="371">
        <f t="shared" si="1"/>
        <v>0</v>
      </c>
      <c r="AC14" s="370"/>
      <c r="AD14" s="336"/>
      <c r="AE14" s="371">
        <f t="shared" si="2"/>
        <v>0</v>
      </c>
      <c r="AF14" s="370"/>
      <c r="AG14" s="335"/>
      <c r="AH14" s="371">
        <f t="shared" si="3"/>
        <v>0</v>
      </c>
      <c r="AI14" s="467">
        <v>5</v>
      </c>
      <c r="AJ14" s="467">
        <v>170</v>
      </c>
      <c r="AK14" s="467">
        <v>74</v>
      </c>
      <c r="AL14" s="344" t="str">
        <f t="shared" si="4"/>
        <v>YA</v>
      </c>
      <c r="AM14" s="338">
        <f t="shared" si="5"/>
        <v>122.6</v>
      </c>
      <c r="AN14" s="790">
        <f t="shared" si="11"/>
        <v>47.400000000000006</v>
      </c>
      <c r="AO14" s="791"/>
    </row>
    <row r="15" spans="1:41" ht="20.100000000000001" customHeight="1" x14ac:dyDescent="0.25">
      <c r="B15" s="789" t="s">
        <v>204</v>
      </c>
      <c r="C15" s="789"/>
      <c r="D15" s="789"/>
      <c r="E15" s="789"/>
      <c r="F15" s="789"/>
      <c r="G15" s="84">
        <f t="shared" si="6"/>
        <v>37.777777777777779</v>
      </c>
      <c r="H15" s="84">
        <f t="shared" si="7"/>
        <v>43.822222222222223</v>
      </c>
      <c r="I15" s="84">
        <v>34</v>
      </c>
      <c r="J15" s="84">
        <f t="shared" si="8"/>
        <v>39.44</v>
      </c>
      <c r="K15" s="328">
        <f t="shared" si="9"/>
        <v>36.644444444444446</v>
      </c>
      <c r="L15" s="328">
        <f t="shared" si="10"/>
        <v>32.979999999999997</v>
      </c>
      <c r="Q15" s="426"/>
      <c r="R15" s="789" t="s">
        <v>204</v>
      </c>
      <c r="S15" s="789"/>
      <c r="T15" s="789"/>
      <c r="U15" s="789"/>
      <c r="V15" s="789"/>
      <c r="W15" s="370">
        <v>1000</v>
      </c>
      <c r="X15" s="337">
        <v>26.22</v>
      </c>
      <c r="Y15" s="371">
        <f t="shared" si="0"/>
        <v>11</v>
      </c>
      <c r="Z15" s="370">
        <v>75</v>
      </c>
      <c r="AA15" s="337">
        <v>29.43</v>
      </c>
      <c r="AB15" s="371">
        <f t="shared" si="1"/>
        <v>0</v>
      </c>
      <c r="AC15" s="370"/>
      <c r="AD15" s="337"/>
      <c r="AE15" s="371">
        <f t="shared" si="2"/>
        <v>0</v>
      </c>
      <c r="AF15" s="370"/>
      <c r="AG15" s="337"/>
      <c r="AH15" s="371">
        <f t="shared" si="3"/>
        <v>0</v>
      </c>
      <c r="AI15" s="467">
        <v>11</v>
      </c>
      <c r="AJ15" s="467">
        <v>392.12</v>
      </c>
      <c r="AK15" s="467">
        <v>125</v>
      </c>
      <c r="AL15" s="344" t="str">
        <f t="shared" si="4"/>
        <v>YA</v>
      </c>
      <c r="AM15" s="338">
        <f t="shared" si="5"/>
        <v>288.41999999999996</v>
      </c>
      <c r="AN15" s="790">
        <f t="shared" si="11"/>
        <v>103.70000000000005</v>
      </c>
      <c r="AO15" s="791"/>
    </row>
    <row r="16" spans="1:41" ht="20.100000000000001" customHeight="1" x14ac:dyDescent="0.25">
      <c r="B16" s="789" t="s">
        <v>52</v>
      </c>
      <c r="C16" s="789"/>
      <c r="D16" s="789"/>
      <c r="E16" s="789"/>
      <c r="F16" s="789"/>
      <c r="G16" s="84">
        <f t="shared" si="6"/>
        <v>67.777777777777771</v>
      </c>
      <c r="H16" s="84">
        <f t="shared" si="7"/>
        <v>78.622222222222206</v>
      </c>
      <c r="I16" s="84">
        <v>61</v>
      </c>
      <c r="J16" s="84">
        <f t="shared" si="8"/>
        <v>70.759999999999991</v>
      </c>
      <c r="K16" s="328">
        <f t="shared" si="9"/>
        <v>65.74444444444444</v>
      </c>
      <c r="L16" s="328">
        <f t="shared" si="10"/>
        <v>59.17</v>
      </c>
      <c r="Q16" s="426"/>
      <c r="R16" s="789" t="s">
        <v>52</v>
      </c>
      <c r="S16" s="789"/>
      <c r="T16" s="789"/>
      <c r="U16" s="789"/>
      <c r="V16" s="789"/>
      <c r="W16" s="370">
        <v>15</v>
      </c>
      <c r="X16" s="337">
        <v>46.63</v>
      </c>
      <c r="Y16" s="371">
        <f t="shared" si="0"/>
        <v>0</v>
      </c>
      <c r="Z16" s="370">
        <v>30</v>
      </c>
      <c r="AA16" s="336">
        <v>45.58</v>
      </c>
      <c r="AB16" s="371">
        <f t="shared" si="1"/>
        <v>0</v>
      </c>
      <c r="AC16" s="370"/>
      <c r="AD16" s="336"/>
      <c r="AE16" s="371">
        <f t="shared" si="2"/>
        <v>0</v>
      </c>
      <c r="AF16" s="370"/>
      <c r="AG16" s="337"/>
      <c r="AH16" s="371">
        <f t="shared" si="3"/>
        <v>0</v>
      </c>
      <c r="AI16" s="467"/>
      <c r="AJ16" s="467"/>
      <c r="AK16" s="467"/>
      <c r="AL16" s="344" t="str">
        <f t="shared" si="4"/>
        <v>YA</v>
      </c>
      <c r="AM16" s="338">
        <f t="shared" si="5"/>
        <v>0</v>
      </c>
      <c r="AN16" s="790">
        <f t="shared" si="11"/>
        <v>0</v>
      </c>
      <c r="AO16" s="791"/>
    </row>
    <row r="17" spans="2:41" ht="20.100000000000001" customHeight="1" x14ac:dyDescent="0.25">
      <c r="B17" s="789" t="s">
        <v>367</v>
      </c>
      <c r="C17" s="789"/>
      <c r="D17" s="789"/>
      <c r="E17" s="789"/>
      <c r="F17" s="789"/>
      <c r="G17" s="84">
        <f>I17/0.9</f>
        <v>67.777777777777771</v>
      </c>
      <c r="H17" s="84">
        <f>G17*1.16</f>
        <v>78.622222222222206</v>
      </c>
      <c r="I17" s="84">
        <v>61</v>
      </c>
      <c r="J17" s="84">
        <f>I17*1.16</f>
        <v>70.759999999999991</v>
      </c>
      <c r="K17" s="328"/>
      <c r="L17" s="328"/>
      <c r="Q17" s="426"/>
      <c r="R17" s="789" t="s">
        <v>367</v>
      </c>
      <c r="S17" s="789"/>
      <c r="T17" s="789"/>
      <c r="U17" s="789"/>
      <c r="V17" s="789"/>
      <c r="W17" s="370">
        <v>10</v>
      </c>
      <c r="X17" s="336">
        <v>67.349999999999994</v>
      </c>
      <c r="Y17" s="371">
        <f t="shared" si="0"/>
        <v>1.1000000000000001</v>
      </c>
      <c r="Z17" s="370">
        <v>6</v>
      </c>
      <c r="AA17" s="336">
        <v>71.13</v>
      </c>
      <c r="AB17" s="371">
        <f t="shared" si="1"/>
        <v>0</v>
      </c>
      <c r="AC17" s="370"/>
      <c r="AD17" s="336"/>
      <c r="AE17" s="371">
        <f t="shared" si="2"/>
        <v>0</v>
      </c>
      <c r="AF17" s="370"/>
      <c r="AG17" s="337"/>
      <c r="AH17" s="371">
        <f t="shared" si="3"/>
        <v>0</v>
      </c>
      <c r="AI17" s="467">
        <v>1.1000000000000001</v>
      </c>
      <c r="AJ17" s="467">
        <v>100</v>
      </c>
      <c r="AK17" s="467">
        <v>8</v>
      </c>
      <c r="AL17" s="344" t="str">
        <f t="shared" si="4"/>
        <v>YA</v>
      </c>
      <c r="AM17" s="338">
        <f t="shared" si="5"/>
        <v>74.084999999999994</v>
      </c>
      <c r="AN17" s="790">
        <f t="shared" si="11"/>
        <v>25.915000000000006</v>
      </c>
      <c r="AO17" s="791"/>
    </row>
    <row r="18" spans="2:41" ht="20.100000000000001" customHeight="1" x14ac:dyDescent="0.25">
      <c r="B18" s="789" t="s">
        <v>99</v>
      </c>
      <c r="C18" s="789"/>
      <c r="D18" s="789"/>
      <c r="E18" s="789"/>
      <c r="F18" s="789"/>
      <c r="G18" s="84" t="s">
        <v>336</v>
      </c>
      <c r="H18" s="84" t="s">
        <v>336</v>
      </c>
      <c r="I18" s="84" t="s">
        <v>336</v>
      </c>
      <c r="J18" s="84" t="s">
        <v>336</v>
      </c>
      <c r="K18" s="328" t="s">
        <v>336</v>
      </c>
      <c r="L18" s="328" t="s">
        <v>336</v>
      </c>
      <c r="Q18" s="426"/>
      <c r="R18" s="789" t="s">
        <v>99</v>
      </c>
      <c r="S18" s="789"/>
      <c r="T18" s="789"/>
      <c r="U18" s="789"/>
      <c r="V18" s="789"/>
      <c r="W18" s="370"/>
      <c r="X18" s="336"/>
      <c r="Y18" s="371">
        <f t="shared" si="0"/>
        <v>0</v>
      </c>
      <c r="Z18" s="370"/>
      <c r="AA18" s="336"/>
      <c r="AB18" s="371">
        <f t="shared" si="1"/>
        <v>0</v>
      </c>
      <c r="AC18" s="370"/>
      <c r="AD18" s="336"/>
      <c r="AE18" s="371">
        <f t="shared" si="2"/>
        <v>0</v>
      </c>
      <c r="AF18" s="370"/>
      <c r="AG18" s="337"/>
      <c r="AH18" s="371">
        <f t="shared" si="3"/>
        <v>0</v>
      </c>
      <c r="AI18" s="467"/>
      <c r="AJ18" s="467"/>
      <c r="AK18" s="467"/>
      <c r="AL18" s="344" t="str">
        <f t="shared" si="4"/>
        <v>YA</v>
      </c>
      <c r="AM18" s="338">
        <f t="shared" si="5"/>
        <v>0</v>
      </c>
      <c r="AN18" s="790">
        <f t="shared" si="11"/>
        <v>0</v>
      </c>
      <c r="AO18" s="791"/>
    </row>
    <row r="19" spans="2:41" ht="20.100000000000001" customHeight="1" x14ac:dyDescent="0.25">
      <c r="B19" s="789" t="s">
        <v>100</v>
      </c>
      <c r="C19" s="789"/>
      <c r="D19" s="789"/>
      <c r="E19" s="789"/>
      <c r="F19" s="789"/>
      <c r="G19" s="84" t="s">
        <v>336</v>
      </c>
      <c r="H19" s="84" t="s">
        <v>336</v>
      </c>
      <c r="I19" s="84" t="s">
        <v>336</v>
      </c>
      <c r="J19" s="84" t="s">
        <v>336</v>
      </c>
      <c r="K19" s="328" t="s">
        <v>336</v>
      </c>
      <c r="L19" s="328" t="s">
        <v>336</v>
      </c>
      <c r="Q19" s="426"/>
      <c r="R19" s="789" t="s">
        <v>100</v>
      </c>
      <c r="S19" s="789"/>
      <c r="T19" s="789"/>
      <c r="U19" s="789"/>
      <c r="V19" s="789"/>
      <c r="W19" s="370"/>
      <c r="X19" s="336"/>
      <c r="Y19" s="371">
        <f t="shared" si="0"/>
        <v>0</v>
      </c>
      <c r="Z19" s="370"/>
      <c r="AA19" s="336"/>
      <c r="AB19" s="371">
        <f t="shared" si="1"/>
        <v>0</v>
      </c>
      <c r="AC19" s="370"/>
      <c r="AD19" s="336"/>
      <c r="AE19" s="371">
        <f t="shared" si="2"/>
        <v>0</v>
      </c>
      <c r="AF19" s="370"/>
      <c r="AG19" s="337"/>
      <c r="AH19" s="371">
        <f t="shared" si="3"/>
        <v>0</v>
      </c>
      <c r="AI19" s="467"/>
      <c r="AJ19" s="467"/>
      <c r="AK19" s="467"/>
      <c r="AL19" s="344" t="str">
        <f t="shared" si="4"/>
        <v>YA</v>
      </c>
      <c r="AM19" s="338">
        <f t="shared" si="5"/>
        <v>0</v>
      </c>
      <c r="AN19" s="790">
        <f t="shared" si="11"/>
        <v>0</v>
      </c>
      <c r="AO19" s="791"/>
    </row>
    <row r="20" spans="2:41" ht="20.100000000000001" customHeight="1" x14ac:dyDescent="0.25">
      <c r="B20" s="789" t="s">
        <v>98</v>
      </c>
      <c r="C20" s="789"/>
      <c r="D20" s="789"/>
      <c r="E20" s="789"/>
      <c r="F20" s="789"/>
      <c r="G20" s="84">
        <f t="shared" si="6"/>
        <v>127.77777777777777</v>
      </c>
      <c r="H20" s="84">
        <f t="shared" si="7"/>
        <v>148.2222222222222</v>
      </c>
      <c r="I20" s="84">
        <v>115</v>
      </c>
      <c r="J20" s="84">
        <f t="shared" si="8"/>
        <v>133.39999999999998</v>
      </c>
      <c r="K20" s="328">
        <f t="shared" si="9"/>
        <v>123.94444444444443</v>
      </c>
      <c r="L20" s="328">
        <f t="shared" si="10"/>
        <v>111.55</v>
      </c>
      <c r="Q20" s="426"/>
      <c r="R20" s="789" t="s">
        <v>98</v>
      </c>
      <c r="S20" s="789"/>
      <c r="T20" s="789"/>
      <c r="U20" s="789"/>
      <c r="V20" s="789"/>
      <c r="W20" s="370">
        <v>1</v>
      </c>
      <c r="X20" s="336">
        <v>99</v>
      </c>
      <c r="Y20" s="371">
        <f t="shared" ref="Y20:Y28" si="12">IF(AK20 &lt; AF20+AC20+Z20+W20, MIN(AC20+AF20+Z20+W20-AK20,AI20-AH20-AE20-AB20,W20),0)</f>
        <v>0</v>
      </c>
      <c r="Z20" s="370"/>
      <c r="AA20" s="336"/>
      <c r="AB20" s="371">
        <f t="shared" ref="AB20:AB28" si="13">IF(AK20 &lt; AF20+AC20+Z20, MIN(AC20+AF20+Z20-AK20,AI20-AH20-AE20,Z20),0)</f>
        <v>0</v>
      </c>
      <c r="AC20" s="370"/>
      <c r="AD20" s="336"/>
      <c r="AE20" s="371">
        <f t="shared" ref="AE20:AE28" si="14">IF(AK20 &lt; AF20+AC20, MIN(AC20+AF20-AK20,AI20-AH20,AC20),0)</f>
        <v>0</v>
      </c>
      <c r="AF20" s="370"/>
      <c r="AG20" s="337"/>
      <c r="AH20" s="371">
        <f t="shared" ref="AH20:AH28" si="15">IF(AK20 &lt;=AF20, MIN(AF20-AK20,AI20), 0)</f>
        <v>0</v>
      </c>
      <c r="AI20" s="467"/>
      <c r="AJ20" s="467"/>
      <c r="AK20" s="467"/>
      <c r="AL20" s="344" t="str">
        <f t="shared" ref="AL20:AL28" si="16">IF(OR((W20+Z20+AC20+AF20) &gt;= (AI20+AK20), AI20 = 0), "YA", "MAS")</f>
        <v>YA</v>
      </c>
      <c r="AM20" s="338">
        <f t="shared" ref="AM20:AM28" si="17">IF(AI20=0,0,AH20*AG20+AE20*AD20+AB20*AA20+Y20*X20)</f>
        <v>0</v>
      </c>
      <c r="AN20" s="790">
        <f t="shared" ref="AN20:AN28" si="18">AJ20-AM20</f>
        <v>0</v>
      </c>
      <c r="AO20" s="791"/>
    </row>
    <row r="21" spans="2:41" ht="20.100000000000001" customHeight="1" x14ac:dyDescent="0.25">
      <c r="B21" s="789" t="s">
        <v>101</v>
      </c>
      <c r="C21" s="789"/>
      <c r="D21" s="789"/>
      <c r="E21" s="789"/>
      <c r="F21" s="789"/>
      <c r="G21" s="84">
        <f t="shared" si="6"/>
        <v>127.77777777777777</v>
      </c>
      <c r="H21" s="84">
        <f t="shared" si="7"/>
        <v>148.2222222222222</v>
      </c>
      <c r="I21" s="84">
        <v>115</v>
      </c>
      <c r="J21" s="84">
        <f t="shared" si="8"/>
        <v>133.39999999999998</v>
      </c>
      <c r="K21" s="328">
        <f t="shared" si="9"/>
        <v>123.94444444444443</v>
      </c>
      <c r="L21" s="328">
        <f t="shared" si="10"/>
        <v>111.55</v>
      </c>
      <c r="Q21" s="426"/>
      <c r="R21" s="789" t="s">
        <v>101</v>
      </c>
      <c r="S21" s="789"/>
      <c r="T21" s="789"/>
      <c r="U21" s="789"/>
      <c r="V21" s="789"/>
      <c r="W21" s="370">
        <v>1</v>
      </c>
      <c r="X21" s="336">
        <v>98.29</v>
      </c>
      <c r="Y21" s="371">
        <f t="shared" si="12"/>
        <v>0</v>
      </c>
      <c r="Z21" s="370"/>
      <c r="AA21" s="336"/>
      <c r="AB21" s="371">
        <f t="shared" si="13"/>
        <v>0</v>
      </c>
      <c r="AC21" s="370"/>
      <c r="AD21" s="336"/>
      <c r="AE21" s="371">
        <f t="shared" si="14"/>
        <v>0</v>
      </c>
      <c r="AF21" s="370"/>
      <c r="AG21" s="337"/>
      <c r="AH21" s="371">
        <f t="shared" si="15"/>
        <v>0</v>
      </c>
      <c r="AI21" s="467"/>
      <c r="AJ21" s="467"/>
      <c r="AK21" s="467"/>
      <c r="AL21" s="344" t="str">
        <f t="shared" si="16"/>
        <v>YA</v>
      </c>
      <c r="AM21" s="338">
        <f t="shared" si="17"/>
        <v>0</v>
      </c>
      <c r="AN21" s="790">
        <f t="shared" si="18"/>
        <v>0</v>
      </c>
      <c r="AO21" s="791"/>
    </row>
    <row r="22" spans="2:41" ht="20.100000000000001" customHeight="1" x14ac:dyDescent="0.25">
      <c r="B22" s="789" t="s">
        <v>11</v>
      </c>
      <c r="C22" s="789"/>
      <c r="D22" s="789"/>
      <c r="E22" s="789"/>
      <c r="F22" s="789"/>
      <c r="G22" s="84">
        <f t="shared" si="6"/>
        <v>117.77777777777777</v>
      </c>
      <c r="H22" s="84">
        <f t="shared" si="7"/>
        <v>136.62222222222221</v>
      </c>
      <c r="I22" s="84">
        <v>106</v>
      </c>
      <c r="J22" s="84">
        <f t="shared" si="8"/>
        <v>122.96</v>
      </c>
      <c r="K22" s="328">
        <f t="shared" si="9"/>
        <v>114.24444444444444</v>
      </c>
      <c r="L22" s="328">
        <f t="shared" si="10"/>
        <v>102.82</v>
      </c>
      <c r="Q22" s="426"/>
      <c r="R22" s="789" t="s">
        <v>11</v>
      </c>
      <c r="S22" s="789"/>
      <c r="T22" s="789"/>
      <c r="U22" s="789"/>
      <c r="V22" s="789"/>
      <c r="W22" s="370">
        <v>60</v>
      </c>
      <c r="X22" s="337">
        <v>84.777777777777771</v>
      </c>
      <c r="Y22" s="371">
        <f t="shared" si="12"/>
        <v>0</v>
      </c>
      <c r="Z22" s="370">
        <v>200</v>
      </c>
      <c r="AA22" s="337">
        <v>80.069999999999993</v>
      </c>
      <c r="AB22" s="371">
        <f t="shared" si="13"/>
        <v>3</v>
      </c>
      <c r="AC22" s="370">
        <v>20</v>
      </c>
      <c r="AD22" s="337">
        <v>95.79</v>
      </c>
      <c r="AE22" s="371">
        <f t="shared" si="14"/>
        <v>0</v>
      </c>
      <c r="AF22" s="370"/>
      <c r="AG22" s="337"/>
      <c r="AH22" s="371">
        <f t="shared" si="15"/>
        <v>0</v>
      </c>
      <c r="AI22" s="467">
        <v>3</v>
      </c>
      <c r="AJ22" s="467">
        <v>360</v>
      </c>
      <c r="AK22" s="467">
        <v>26</v>
      </c>
      <c r="AL22" s="344" t="str">
        <f t="shared" si="16"/>
        <v>YA</v>
      </c>
      <c r="AM22" s="338">
        <f t="shared" si="17"/>
        <v>240.20999999999998</v>
      </c>
      <c r="AN22" s="790">
        <f t="shared" si="18"/>
        <v>119.79000000000002</v>
      </c>
      <c r="AO22" s="791"/>
    </row>
    <row r="23" spans="2:41" ht="20.100000000000001" customHeight="1" x14ac:dyDescent="0.25">
      <c r="B23" s="789" t="s">
        <v>10</v>
      </c>
      <c r="C23" s="789"/>
      <c r="D23" s="789"/>
      <c r="E23" s="789"/>
      <c r="F23" s="789"/>
      <c r="G23" s="84">
        <f t="shared" si="6"/>
        <v>34.444444444444443</v>
      </c>
      <c r="H23" s="84">
        <f t="shared" si="7"/>
        <v>39.955555555555549</v>
      </c>
      <c r="I23" s="84">
        <v>31</v>
      </c>
      <c r="J23" s="84">
        <f t="shared" si="8"/>
        <v>35.96</v>
      </c>
      <c r="K23" s="328">
        <f t="shared" si="9"/>
        <v>33.411111111111111</v>
      </c>
      <c r="L23" s="328">
        <f t="shared" si="10"/>
        <v>30.07</v>
      </c>
      <c r="Q23" s="426"/>
      <c r="R23" s="789" t="s">
        <v>10</v>
      </c>
      <c r="S23" s="789"/>
      <c r="T23" s="789"/>
      <c r="U23" s="789"/>
      <c r="V23" s="789"/>
      <c r="W23" s="370">
        <v>60</v>
      </c>
      <c r="X23" s="337">
        <v>24.94</v>
      </c>
      <c r="Y23" s="371">
        <f t="shared" si="12"/>
        <v>0</v>
      </c>
      <c r="Z23" s="370">
        <v>260</v>
      </c>
      <c r="AA23" s="337">
        <v>23.56</v>
      </c>
      <c r="AB23" s="371">
        <f t="shared" si="13"/>
        <v>3</v>
      </c>
      <c r="AC23" s="370"/>
      <c r="AD23" s="337"/>
      <c r="AE23" s="371">
        <f t="shared" si="14"/>
        <v>0</v>
      </c>
      <c r="AF23" s="370"/>
      <c r="AG23" s="337"/>
      <c r="AH23" s="371">
        <f t="shared" si="15"/>
        <v>0</v>
      </c>
      <c r="AI23" s="467">
        <v>3</v>
      </c>
      <c r="AJ23" s="467">
        <v>101.23</v>
      </c>
      <c r="AK23" s="467">
        <v>68</v>
      </c>
      <c r="AL23" s="344" t="str">
        <f t="shared" si="16"/>
        <v>YA</v>
      </c>
      <c r="AM23" s="338">
        <f t="shared" si="17"/>
        <v>70.679999999999993</v>
      </c>
      <c r="AN23" s="790">
        <f t="shared" si="18"/>
        <v>30.550000000000011</v>
      </c>
      <c r="AO23" s="791"/>
    </row>
    <row r="24" spans="2:41" ht="20.100000000000001" customHeight="1" x14ac:dyDescent="0.25">
      <c r="B24" s="789" t="s">
        <v>9</v>
      </c>
      <c r="C24" s="789"/>
      <c r="D24" s="789"/>
      <c r="E24" s="789"/>
      <c r="F24" s="789"/>
      <c r="G24" s="84">
        <f t="shared" si="6"/>
        <v>33.333333333333336</v>
      </c>
      <c r="H24" s="84">
        <f t="shared" si="7"/>
        <v>38.666666666666664</v>
      </c>
      <c r="I24" s="84">
        <v>30</v>
      </c>
      <c r="J24" s="84">
        <f t="shared" si="8"/>
        <v>34.799999999999997</v>
      </c>
      <c r="K24" s="328">
        <f t="shared" si="9"/>
        <v>32.333333333333336</v>
      </c>
      <c r="L24" s="328">
        <f t="shared" si="10"/>
        <v>29.099999999999998</v>
      </c>
      <c r="Q24" s="426"/>
      <c r="R24" s="789" t="s">
        <v>9</v>
      </c>
      <c r="S24" s="789"/>
      <c r="T24" s="789"/>
      <c r="U24" s="789"/>
      <c r="V24" s="789"/>
      <c r="W24" s="370">
        <v>132</v>
      </c>
      <c r="X24" s="337">
        <v>22.61</v>
      </c>
      <c r="Y24" s="371">
        <f t="shared" si="12"/>
        <v>0</v>
      </c>
      <c r="Z24" s="370">
        <v>36</v>
      </c>
      <c r="AA24" s="337">
        <v>25.81</v>
      </c>
      <c r="AB24" s="371">
        <f t="shared" si="13"/>
        <v>6</v>
      </c>
      <c r="AC24" s="370"/>
      <c r="AD24" s="337"/>
      <c r="AE24" s="371">
        <f t="shared" si="14"/>
        <v>0</v>
      </c>
      <c r="AF24" s="370"/>
      <c r="AG24" s="337"/>
      <c r="AH24" s="371">
        <f t="shared" si="15"/>
        <v>0</v>
      </c>
      <c r="AI24" s="467">
        <v>6</v>
      </c>
      <c r="AJ24" s="467">
        <v>188.55</v>
      </c>
      <c r="AK24" s="467">
        <v>14</v>
      </c>
      <c r="AL24" s="344" t="str">
        <f t="shared" si="16"/>
        <v>YA</v>
      </c>
      <c r="AM24" s="338">
        <f t="shared" si="17"/>
        <v>154.85999999999999</v>
      </c>
      <c r="AN24" s="790">
        <f t="shared" si="18"/>
        <v>33.690000000000026</v>
      </c>
      <c r="AO24" s="791"/>
    </row>
    <row r="25" spans="2:41" ht="20.100000000000001" customHeight="1" x14ac:dyDescent="0.25">
      <c r="B25" s="789" t="s">
        <v>8</v>
      </c>
      <c r="C25" s="789"/>
      <c r="D25" s="789"/>
      <c r="E25" s="789"/>
      <c r="F25" s="789"/>
      <c r="G25" s="84">
        <f t="shared" si="6"/>
        <v>15.555555555555555</v>
      </c>
      <c r="H25" s="84">
        <f t="shared" si="7"/>
        <v>18.044444444444444</v>
      </c>
      <c r="I25" s="84">
        <v>14</v>
      </c>
      <c r="J25" s="84">
        <f t="shared" si="8"/>
        <v>16.239999999999998</v>
      </c>
      <c r="K25" s="328">
        <f t="shared" si="9"/>
        <v>15.088888888888889</v>
      </c>
      <c r="L25" s="328">
        <f t="shared" si="10"/>
        <v>13.58</v>
      </c>
      <c r="Q25" s="426"/>
      <c r="R25" s="789" t="s">
        <v>8</v>
      </c>
      <c r="S25" s="789"/>
      <c r="T25" s="789"/>
      <c r="U25" s="789"/>
      <c r="V25" s="789"/>
      <c r="W25" s="370">
        <v>20</v>
      </c>
      <c r="X25" s="337">
        <v>12.15</v>
      </c>
      <c r="Y25" s="371">
        <f t="shared" si="12"/>
        <v>0</v>
      </c>
      <c r="Z25" s="370">
        <v>48</v>
      </c>
      <c r="AA25" s="337">
        <v>9.89</v>
      </c>
      <c r="AB25" s="371">
        <f t="shared" si="13"/>
        <v>3</v>
      </c>
      <c r="AC25" s="370">
        <v>20</v>
      </c>
      <c r="AD25" s="337">
        <v>11.1</v>
      </c>
      <c r="AE25" s="371">
        <f t="shared" si="14"/>
        <v>0</v>
      </c>
      <c r="AF25" s="370"/>
      <c r="AG25" s="337"/>
      <c r="AH25" s="371">
        <f t="shared" si="15"/>
        <v>0</v>
      </c>
      <c r="AI25" s="467">
        <v>3</v>
      </c>
      <c r="AJ25" s="467">
        <v>45</v>
      </c>
      <c r="AK25" s="467">
        <v>23</v>
      </c>
      <c r="AL25" s="344" t="str">
        <f t="shared" si="16"/>
        <v>YA</v>
      </c>
      <c r="AM25" s="338">
        <f t="shared" si="17"/>
        <v>29.67</v>
      </c>
      <c r="AN25" s="790">
        <f t="shared" si="18"/>
        <v>15.329999999999998</v>
      </c>
      <c r="AO25" s="791"/>
    </row>
    <row r="26" spans="2:41" ht="20.100000000000001" customHeight="1" x14ac:dyDescent="0.25">
      <c r="B26" s="789" t="s">
        <v>57</v>
      </c>
      <c r="C26" s="789"/>
      <c r="D26" s="789"/>
      <c r="E26" s="789"/>
      <c r="F26" s="789"/>
      <c r="G26" s="84">
        <f t="shared" si="6"/>
        <v>55.555555555555557</v>
      </c>
      <c r="H26" s="84">
        <f t="shared" si="7"/>
        <v>64.444444444444443</v>
      </c>
      <c r="I26" s="84">
        <v>50</v>
      </c>
      <c r="J26" s="84">
        <f t="shared" si="8"/>
        <v>57.999999999999993</v>
      </c>
      <c r="K26" s="328">
        <f t="shared" si="9"/>
        <v>53.888888888888886</v>
      </c>
      <c r="L26" s="328">
        <f t="shared" si="10"/>
        <v>48.5</v>
      </c>
      <c r="Q26" s="426"/>
      <c r="R26" s="789" t="s">
        <v>57</v>
      </c>
      <c r="S26" s="789"/>
      <c r="T26" s="789"/>
      <c r="U26" s="789"/>
      <c r="V26" s="789"/>
      <c r="W26" s="370">
        <v>20</v>
      </c>
      <c r="X26" s="337">
        <v>39.287037037037031</v>
      </c>
      <c r="Y26" s="371">
        <f t="shared" si="12"/>
        <v>0</v>
      </c>
      <c r="Z26" s="370">
        <v>60</v>
      </c>
      <c r="AA26" s="337">
        <v>37.1</v>
      </c>
      <c r="AB26" s="371">
        <f t="shared" si="13"/>
        <v>1</v>
      </c>
      <c r="AC26" s="370">
        <v>20</v>
      </c>
      <c r="AD26" s="337">
        <v>44.78</v>
      </c>
      <c r="AE26" s="371">
        <f t="shared" si="14"/>
        <v>0</v>
      </c>
      <c r="AF26" s="370"/>
      <c r="AG26" s="337"/>
      <c r="AH26" s="371">
        <f t="shared" si="15"/>
        <v>0</v>
      </c>
      <c r="AI26" s="467">
        <v>1</v>
      </c>
      <c r="AJ26" s="467">
        <v>55</v>
      </c>
      <c r="AK26" s="467">
        <v>31</v>
      </c>
      <c r="AL26" s="344" t="str">
        <f t="shared" si="16"/>
        <v>YA</v>
      </c>
      <c r="AM26" s="338">
        <f t="shared" si="17"/>
        <v>37.1</v>
      </c>
      <c r="AN26" s="790">
        <f t="shared" si="18"/>
        <v>17.899999999999999</v>
      </c>
      <c r="AO26" s="791"/>
    </row>
    <row r="27" spans="2:41" ht="20.100000000000001" customHeight="1" x14ac:dyDescent="0.25">
      <c r="B27" s="789" t="s">
        <v>51</v>
      </c>
      <c r="C27" s="789"/>
      <c r="D27" s="789"/>
      <c r="E27" s="789"/>
      <c r="F27" s="789"/>
      <c r="G27" s="84">
        <f t="shared" si="6"/>
        <v>51.111111111111107</v>
      </c>
      <c r="H27" s="84">
        <f t="shared" si="7"/>
        <v>59.288888888888877</v>
      </c>
      <c r="I27" s="84">
        <v>46</v>
      </c>
      <c r="J27" s="84">
        <f t="shared" si="8"/>
        <v>53.36</v>
      </c>
      <c r="K27" s="328">
        <f t="shared" si="9"/>
        <v>49.577777777777776</v>
      </c>
      <c r="L27" s="328">
        <f t="shared" si="10"/>
        <v>44.62</v>
      </c>
      <c r="Q27" s="426"/>
      <c r="R27" s="789" t="s">
        <v>51</v>
      </c>
      <c r="S27" s="789"/>
      <c r="T27" s="789"/>
      <c r="U27" s="789"/>
      <c r="V27" s="789"/>
      <c r="W27" s="370">
        <v>20</v>
      </c>
      <c r="X27" s="337">
        <v>37.027777777777779</v>
      </c>
      <c r="Y27" s="371">
        <f t="shared" si="12"/>
        <v>0</v>
      </c>
      <c r="Z27" s="370">
        <v>40</v>
      </c>
      <c r="AA27" s="337">
        <v>34.97</v>
      </c>
      <c r="AB27" s="371">
        <f t="shared" si="13"/>
        <v>0</v>
      </c>
      <c r="AC27" s="370"/>
      <c r="AD27" s="337"/>
      <c r="AE27" s="371">
        <f t="shared" si="14"/>
        <v>0</v>
      </c>
      <c r="AF27" s="370"/>
      <c r="AG27" s="337"/>
      <c r="AH27" s="371">
        <f t="shared" si="15"/>
        <v>0</v>
      </c>
      <c r="AI27" s="467"/>
      <c r="AJ27" s="467"/>
      <c r="AK27" s="467"/>
      <c r="AL27" s="344" t="str">
        <f t="shared" si="16"/>
        <v>YA</v>
      </c>
      <c r="AM27" s="338">
        <f t="shared" si="17"/>
        <v>0</v>
      </c>
      <c r="AN27" s="790">
        <f t="shared" si="18"/>
        <v>0</v>
      </c>
      <c r="AO27" s="791"/>
    </row>
    <row r="28" spans="2:41" ht="20.100000000000001" customHeight="1" x14ac:dyDescent="0.25">
      <c r="B28" s="417"/>
      <c r="C28" s="417"/>
      <c r="D28" s="417"/>
      <c r="E28" s="417"/>
      <c r="F28" s="417"/>
      <c r="G28" s="418"/>
      <c r="H28" s="418"/>
      <c r="I28" s="418"/>
      <c r="J28" s="418"/>
      <c r="K28" s="419"/>
      <c r="L28" s="419"/>
      <c r="Q28" s="426"/>
      <c r="R28" s="789" t="s">
        <v>285</v>
      </c>
      <c r="S28" s="789"/>
      <c r="T28" s="789"/>
      <c r="U28" s="789"/>
      <c r="V28" s="789"/>
      <c r="W28" s="370">
        <v>15</v>
      </c>
      <c r="X28" s="336">
        <v>56.48</v>
      </c>
      <c r="Y28" s="371">
        <f t="shared" si="12"/>
        <v>0</v>
      </c>
      <c r="Z28" s="370"/>
      <c r="AA28" s="337"/>
      <c r="AB28" s="371">
        <f t="shared" si="13"/>
        <v>0</v>
      </c>
      <c r="AC28" s="370"/>
      <c r="AD28" s="337"/>
      <c r="AE28" s="371">
        <f t="shared" si="14"/>
        <v>0</v>
      </c>
      <c r="AF28" s="370"/>
      <c r="AG28" s="337"/>
      <c r="AH28" s="371">
        <f t="shared" si="15"/>
        <v>0</v>
      </c>
      <c r="AI28" s="467"/>
      <c r="AJ28" s="467"/>
      <c r="AK28" s="467"/>
      <c r="AL28" s="416" t="str">
        <f t="shared" si="16"/>
        <v>YA</v>
      </c>
      <c r="AM28" s="338">
        <f t="shared" si="17"/>
        <v>0</v>
      </c>
      <c r="AN28" s="790">
        <f t="shared" si="18"/>
        <v>0</v>
      </c>
      <c r="AO28" s="791"/>
    </row>
    <row r="29" spans="2:41" ht="18.75" x14ac:dyDescent="0.3">
      <c r="Q29" s="426"/>
      <c r="R29" s="332"/>
      <c r="S29" s="332"/>
      <c r="T29" s="332"/>
      <c r="U29" s="332"/>
      <c r="V29" s="332"/>
      <c r="W29" s="333"/>
      <c r="X29" s="331"/>
      <c r="Y29" s="331"/>
      <c r="Z29" s="331"/>
      <c r="AA29" s="331"/>
      <c r="AJ29" s="420">
        <f>SUM(AJ4:AJ28)</f>
        <v>2021.8999999999999</v>
      </c>
      <c r="AM29" s="420">
        <f>SUM(AM4:AM28)</f>
        <v>1453.9664814814814</v>
      </c>
      <c r="AN29" s="375">
        <f>SUM(AN4:AO28)</f>
        <v>567.93351851851867</v>
      </c>
      <c r="AO29" s="376">
        <f>AN29/AM29</f>
        <v>0.39060977385107087</v>
      </c>
    </row>
    <row r="30" spans="2:41" ht="18.75" x14ac:dyDescent="0.3">
      <c r="Q30" s="426"/>
      <c r="R30" s="332"/>
      <c r="S30" s="332"/>
      <c r="T30" s="332"/>
      <c r="U30" s="332"/>
      <c r="V30" s="332"/>
      <c r="W30" s="333"/>
      <c r="X30" s="331"/>
      <c r="Y30" s="331"/>
      <c r="Z30" s="331"/>
      <c r="AA30" s="331"/>
      <c r="AJ30" s="361"/>
      <c r="AM30" s="360"/>
      <c r="AN30" s="362"/>
      <c r="AO30" s="363"/>
    </row>
    <row r="31" spans="2:41" ht="51" customHeight="1" x14ac:dyDescent="0.25">
      <c r="B31" s="792" t="s">
        <v>2</v>
      </c>
      <c r="C31" s="792"/>
      <c r="D31" s="792"/>
      <c r="E31" s="792"/>
      <c r="F31" s="792"/>
      <c r="G31" s="309" t="s">
        <v>339</v>
      </c>
      <c r="H31" s="309" t="s">
        <v>338</v>
      </c>
      <c r="I31" s="309" t="s">
        <v>337</v>
      </c>
      <c r="J31" s="309" t="s">
        <v>340</v>
      </c>
      <c r="Q31" s="426"/>
      <c r="R31" s="793" t="s">
        <v>82</v>
      </c>
      <c r="S31" s="793"/>
      <c r="T31" s="793"/>
      <c r="U31" s="793"/>
      <c r="V31" s="793"/>
      <c r="W31" s="793"/>
      <c r="X31" s="793"/>
      <c r="Y31" s="793"/>
      <c r="Z31" s="793"/>
      <c r="AA31" s="793"/>
      <c r="AB31" s="793"/>
      <c r="AC31" s="793"/>
      <c r="AD31" s="793"/>
      <c r="AE31" s="793"/>
      <c r="AF31" s="793"/>
      <c r="AG31" s="793"/>
      <c r="AH31" s="793"/>
      <c r="AI31" s="793"/>
      <c r="AJ31" s="793"/>
      <c r="AK31" s="793"/>
      <c r="AL31" s="793"/>
      <c r="AM31" s="793"/>
      <c r="AN31" s="793"/>
      <c r="AO31" s="793"/>
    </row>
    <row r="32" spans="2:41" ht="20.100000000000001" customHeight="1" x14ac:dyDescent="0.25">
      <c r="B32" s="789" t="s">
        <v>40</v>
      </c>
      <c r="C32" s="789"/>
      <c r="D32" s="789"/>
      <c r="E32" s="789"/>
      <c r="F32" s="789"/>
      <c r="G32" s="84">
        <f>I32/0.9</f>
        <v>100</v>
      </c>
      <c r="H32" s="84">
        <f>G32*1.16</f>
        <v>115.99999999999999</v>
      </c>
      <c r="I32" s="84">
        <v>90</v>
      </c>
      <c r="J32" s="84">
        <f>I32*1.16</f>
        <v>104.39999999999999</v>
      </c>
      <c r="Q32" s="426"/>
      <c r="R32" s="792" t="s">
        <v>2</v>
      </c>
      <c r="S32" s="792"/>
      <c r="T32" s="792"/>
      <c r="U32" s="792"/>
      <c r="V32" s="792"/>
      <c r="W32" s="372" t="s">
        <v>378</v>
      </c>
      <c r="X32" s="344" t="s">
        <v>379</v>
      </c>
      <c r="Y32" s="373" t="s">
        <v>377</v>
      </c>
      <c r="Z32" s="372" t="s">
        <v>368</v>
      </c>
      <c r="AA32" s="344" t="s">
        <v>369</v>
      </c>
      <c r="AB32" s="373" t="s">
        <v>373</v>
      </c>
      <c r="AC32" s="372" t="s">
        <v>370</v>
      </c>
      <c r="AD32" s="344" t="s">
        <v>371</v>
      </c>
      <c r="AE32" s="373" t="s">
        <v>374</v>
      </c>
      <c r="AF32" s="372" t="s">
        <v>372</v>
      </c>
      <c r="AG32" s="344" t="s">
        <v>380</v>
      </c>
      <c r="AH32" s="373" t="s">
        <v>375</v>
      </c>
      <c r="AI32" s="382" t="s">
        <v>78</v>
      </c>
      <c r="AJ32" s="382" t="s">
        <v>382</v>
      </c>
      <c r="AK32" s="382" t="s">
        <v>376</v>
      </c>
      <c r="AL32" s="344" t="s">
        <v>383</v>
      </c>
      <c r="AM32" s="344" t="s">
        <v>381</v>
      </c>
      <c r="AN32" s="794" t="s">
        <v>384</v>
      </c>
      <c r="AO32" s="794"/>
    </row>
    <row r="33" spans="2:41" ht="20.100000000000001" customHeight="1" x14ac:dyDescent="0.25">
      <c r="B33" s="786" t="s">
        <v>28</v>
      </c>
      <c r="C33" s="787"/>
      <c r="D33" s="787"/>
      <c r="E33" s="787"/>
      <c r="F33" s="788"/>
      <c r="G33" s="84">
        <f t="shared" ref="G33:G63" si="19">I33/0.9</f>
        <v>33.333333333333336</v>
      </c>
      <c r="H33" s="84">
        <f t="shared" ref="H33:H63" si="20">G33*1.16</f>
        <v>38.666666666666664</v>
      </c>
      <c r="I33" s="84">
        <v>30</v>
      </c>
      <c r="J33" s="84">
        <f t="shared" ref="J33:J63" si="21">I33*1.16</f>
        <v>34.799999999999997</v>
      </c>
      <c r="Q33" s="426"/>
      <c r="R33" s="789" t="s">
        <v>385</v>
      </c>
      <c r="S33" s="789"/>
      <c r="T33" s="789"/>
      <c r="U33" s="789"/>
      <c r="V33" s="789"/>
      <c r="W33" s="370"/>
      <c r="X33" s="336"/>
      <c r="Y33" s="371">
        <f t="shared" ref="Y33:Y70" si="22">IF(AK33 &lt; AF33+AC33+Z33+W33, MIN(AC33+AF33+Z33+W33-AK33,AI33-AH33-AE33-AB33,W33),0)</f>
        <v>0</v>
      </c>
      <c r="Z33" s="370"/>
      <c r="AA33" s="335"/>
      <c r="AB33" s="371">
        <f t="shared" ref="AB33:AB70" si="23">IF(AK33 &lt; AF33+AC33+Z33, MIN(AC33+AF33+Z33-AK33,AI33-AH33-AE33,Z33),0)</f>
        <v>0</v>
      </c>
      <c r="AC33" s="370"/>
      <c r="AD33" s="336"/>
      <c r="AE33" s="371">
        <f t="shared" ref="AE33:AE70" si="24">IF(AK33 &lt; AF33+AC33, MIN(AC33+AF33-AK33,AI33-AH33,AC33),0)</f>
        <v>0</v>
      </c>
      <c r="AF33" s="370"/>
      <c r="AG33" s="335"/>
      <c r="AH33" s="371">
        <f t="shared" ref="AH33:AH70" si="25">IF(AK33 &lt;=AF33, MIN(AF33-AK33,AI33), 0)</f>
        <v>0</v>
      </c>
      <c r="AI33" s="467"/>
      <c r="AJ33" s="467"/>
      <c r="AK33" s="467"/>
      <c r="AL33" s="344" t="str">
        <f t="shared" ref="AL33:AL70" si="26">IF(OR((W33+Z33+AC33+AF33) &gt;= (AI33+AK33),AI33 = 0), "YA", "MAS")</f>
        <v>YA</v>
      </c>
      <c r="AM33" s="338">
        <f t="shared" ref="AM33:AM70" si="27">IF(AI33=0,0,AH33*AG33+AE33*AD33+AB33*AA33+Y33*X33)</f>
        <v>0</v>
      </c>
      <c r="AN33" s="785">
        <f t="shared" ref="AN33:AN70" si="28">AJ33-AM33</f>
        <v>0</v>
      </c>
      <c r="AO33" s="785"/>
    </row>
    <row r="34" spans="2:41" ht="20.100000000000001" customHeight="1" x14ac:dyDescent="0.25">
      <c r="B34" s="789" t="s">
        <v>113</v>
      </c>
      <c r="C34" s="789"/>
      <c r="D34" s="789"/>
      <c r="E34" s="789"/>
      <c r="F34" s="789"/>
      <c r="G34" s="84">
        <f t="shared" si="19"/>
        <v>33.333333333333336</v>
      </c>
      <c r="H34" s="84">
        <f t="shared" si="20"/>
        <v>38.666666666666664</v>
      </c>
      <c r="I34" s="84">
        <v>30</v>
      </c>
      <c r="J34" s="84">
        <f t="shared" si="21"/>
        <v>34.799999999999997</v>
      </c>
      <c r="Q34" s="426"/>
      <c r="R34" s="789" t="s">
        <v>308</v>
      </c>
      <c r="S34" s="789"/>
      <c r="T34" s="789"/>
      <c r="U34" s="789"/>
      <c r="V34" s="789"/>
      <c r="W34" s="370">
        <v>44</v>
      </c>
      <c r="X34" s="335">
        <v>104</v>
      </c>
      <c r="Y34" s="371">
        <f t="shared" si="22"/>
        <v>0</v>
      </c>
      <c r="Z34" s="370">
        <v>40</v>
      </c>
      <c r="AA34" s="335">
        <v>77.739999999999995</v>
      </c>
      <c r="AB34" s="371">
        <f t="shared" si="23"/>
        <v>0</v>
      </c>
      <c r="AC34" s="370"/>
      <c r="AD34" s="336"/>
      <c r="AE34" s="371">
        <f t="shared" si="24"/>
        <v>0</v>
      </c>
      <c r="AF34" s="370"/>
      <c r="AG34" s="335"/>
      <c r="AH34" s="371">
        <f t="shared" si="25"/>
        <v>0</v>
      </c>
      <c r="AI34" s="467"/>
      <c r="AJ34" s="467"/>
      <c r="AK34" s="467"/>
      <c r="AL34" s="344" t="str">
        <f t="shared" si="26"/>
        <v>YA</v>
      </c>
      <c r="AM34" s="338">
        <f t="shared" si="27"/>
        <v>0</v>
      </c>
      <c r="AN34" s="785">
        <f t="shared" si="28"/>
        <v>0</v>
      </c>
      <c r="AO34" s="785"/>
    </row>
    <row r="35" spans="2:41" ht="20.100000000000001" customHeight="1" x14ac:dyDescent="0.25">
      <c r="B35" s="789" t="s">
        <v>31</v>
      </c>
      <c r="C35" s="789"/>
      <c r="D35" s="789"/>
      <c r="E35" s="789"/>
      <c r="F35" s="789"/>
      <c r="G35" s="84">
        <f t="shared" si="19"/>
        <v>33.333333333333336</v>
      </c>
      <c r="H35" s="84">
        <f t="shared" si="20"/>
        <v>38.666666666666664</v>
      </c>
      <c r="I35" s="84">
        <v>30</v>
      </c>
      <c r="J35" s="84">
        <f t="shared" si="21"/>
        <v>34.799999999999997</v>
      </c>
      <c r="Q35" s="426"/>
      <c r="R35" s="789" t="s">
        <v>386</v>
      </c>
      <c r="S35" s="789"/>
      <c r="T35" s="789"/>
      <c r="U35" s="789"/>
      <c r="V35" s="789"/>
      <c r="W35" s="370">
        <v>48</v>
      </c>
      <c r="X35" s="336">
        <v>22.3</v>
      </c>
      <c r="Y35" s="371">
        <f t="shared" si="22"/>
        <v>0</v>
      </c>
      <c r="Z35" s="370">
        <v>32</v>
      </c>
      <c r="AA35" s="336">
        <v>18.45</v>
      </c>
      <c r="AB35" s="371">
        <f t="shared" si="23"/>
        <v>0</v>
      </c>
      <c r="AC35" s="370"/>
      <c r="AD35" s="336"/>
      <c r="AE35" s="371">
        <f t="shared" si="24"/>
        <v>0</v>
      </c>
      <c r="AF35" s="370"/>
      <c r="AG35" s="336"/>
      <c r="AH35" s="371">
        <f t="shared" si="25"/>
        <v>0</v>
      </c>
      <c r="AI35" s="467"/>
      <c r="AJ35" s="467"/>
      <c r="AK35" s="467"/>
      <c r="AL35" s="344" t="str">
        <f t="shared" si="26"/>
        <v>YA</v>
      </c>
      <c r="AM35" s="338">
        <f t="shared" si="27"/>
        <v>0</v>
      </c>
      <c r="AN35" s="785">
        <f t="shared" si="28"/>
        <v>0</v>
      </c>
      <c r="AO35" s="785"/>
    </row>
    <row r="36" spans="2:41" ht="23.25" customHeight="1" x14ac:dyDescent="0.25">
      <c r="B36" s="789" t="s">
        <v>48</v>
      </c>
      <c r="C36" s="789"/>
      <c r="D36" s="789"/>
      <c r="E36" s="789"/>
      <c r="F36" s="789"/>
      <c r="G36" s="84">
        <f t="shared" si="19"/>
        <v>111.11111111111111</v>
      </c>
      <c r="H36" s="84">
        <f t="shared" si="20"/>
        <v>128.88888888888889</v>
      </c>
      <c r="I36" s="84">
        <v>100</v>
      </c>
      <c r="J36" s="84">
        <f t="shared" si="21"/>
        <v>115.99999999999999</v>
      </c>
      <c r="R36" s="789" t="s">
        <v>387</v>
      </c>
      <c r="S36" s="789"/>
      <c r="T36" s="789"/>
      <c r="U36" s="789"/>
      <c r="V36" s="789"/>
      <c r="W36" s="370">
        <v>40</v>
      </c>
      <c r="X36" s="335">
        <v>104</v>
      </c>
      <c r="Y36" s="371">
        <f t="shared" si="22"/>
        <v>0</v>
      </c>
      <c r="Z36" s="370">
        <v>21</v>
      </c>
      <c r="AA36" s="335">
        <v>77.739999999999995</v>
      </c>
      <c r="AB36" s="371">
        <f t="shared" si="23"/>
        <v>0</v>
      </c>
      <c r="AC36" s="370"/>
      <c r="AD36" s="336"/>
      <c r="AE36" s="371">
        <f t="shared" si="24"/>
        <v>0</v>
      </c>
      <c r="AF36" s="370"/>
      <c r="AG36" s="335"/>
      <c r="AH36" s="371">
        <f t="shared" si="25"/>
        <v>0</v>
      </c>
      <c r="AI36" s="467"/>
      <c r="AJ36" s="467"/>
      <c r="AK36" s="467"/>
      <c r="AL36" s="344" t="str">
        <f t="shared" si="26"/>
        <v>YA</v>
      </c>
      <c r="AM36" s="338">
        <f t="shared" si="27"/>
        <v>0</v>
      </c>
      <c r="AN36" s="785">
        <f t="shared" si="28"/>
        <v>0</v>
      </c>
      <c r="AO36" s="785"/>
    </row>
    <row r="37" spans="2:41" ht="20.100000000000001" customHeight="1" x14ac:dyDescent="0.25">
      <c r="B37" s="789" t="s">
        <v>41</v>
      </c>
      <c r="C37" s="789"/>
      <c r="D37" s="789"/>
      <c r="E37" s="789"/>
      <c r="F37" s="789"/>
      <c r="G37" s="84">
        <f t="shared" si="19"/>
        <v>10</v>
      </c>
      <c r="H37" s="84">
        <f t="shared" si="20"/>
        <v>11.6</v>
      </c>
      <c r="I37" s="84">
        <v>9</v>
      </c>
      <c r="J37" s="84">
        <f t="shared" si="21"/>
        <v>10.44</v>
      </c>
      <c r="R37" s="789" t="s">
        <v>388</v>
      </c>
      <c r="S37" s="789"/>
      <c r="T37" s="789"/>
      <c r="U37" s="789"/>
      <c r="V37" s="789"/>
      <c r="W37" s="370">
        <v>24</v>
      </c>
      <c r="X37" s="336">
        <v>22.3</v>
      </c>
      <c r="Y37" s="371">
        <f t="shared" si="22"/>
        <v>0</v>
      </c>
      <c r="Z37" s="370">
        <v>8</v>
      </c>
      <c r="AA37" s="335">
        <v>22.3</v>
      </c>
      <c r="AB37" s="371">
        <f t="shared" si="23"/>
        <v>0</v>
      </c>
      <c r="AC37" s="370">
        <v>20</v>
      </c>
      <c r="AD37" s="336">
        <v>18.45</v>
      </c>
      <c r="AE37" s="371">
        <f t="shared" si="24"/>
        <v>0</v>
      </c>
      <c r="AF37" s="370"/>
      <c r="AG37" s="335"/>
      <c r="AH37" s="371">
        <f t="shared" si="25"/>
        <v>0</v>
      </c>
      <c r="AI37" s="467"/>
      <c r="AJ37" s="467"/>
      <c r="AK37" s="467"/>
      <c r="AL37" s="344" t="str">
        <f t="shared" si="26"/>
        <v>YA</v>
      </c>
      <c r="AM37" s="338">
        <f t="shared" si="27"/>
        <v>0</v>
      </c>
      <c r="AN37" s="785">
        <f t="shared" si="28"/>
        <v>0</v>
      </c>
      <c r="AO37" s="785"/>
    </row>
    <row r="38" spans="2:41" ht="20.100000000000001" customHeight="1" x14ac:dyDescent="0.25">
      <c r="B38" s="789" t="s">
        <v>115</v>
      </c>
      <c r="C38" s="789"/>
      <c r="D38" s="789"/>
      <c r="E38" s="789"/>
      <c r="F38" s="789"/>
      <c r="G38" s="84">
        <f t="shared" si="19"/>
        <v>10</v>
      </c>
      <c r="H38" s="84">
        <f t="shared" si="20"/>
        <v>11.6</v>
      </c>
      <c r="I38" s="84">
        <v>9</v>
      </c>
      <c r="J38" s="84">
        <f t="shared" si="21"/>
        <v>10.44</v>
      </c>
      <c r="R38" s="789" t="s">
        <v>389</v>
      </c>
      <c r="S38" s="789"/>
      <c r="T38" s="789"/>
      <c r="U38" s="789"/>
      <c r="V38" s="789"/>
      <c r="W38" s="370">
        <v>19</v>
      </c>
      <c r="X38" s="335">
        <v>104</v>
      </c>
      <c r="Y38" s="371">
        <f t="shared" si="22"/>
        <v>0</v>
      </c>
      <c r="Z38" s="370">
        <v>20</v>
      </c>
      <c r="AA38" s="335">
        <v>77.739999999999995</v>
      </c>
      <c r="AB38" s="371">
        <f t="shared" si="23"/>
        <v>0</v>
      </c>
      <c r="AC38" s="370"/>
      <c r="AD38" s="336"/>
      <c r="AE38" s="371">
        <f t="shared" si="24"/>
        <v>0</v>
      </c>
      <c r="AF38" s="370"/>
      <c r="AG38" s="335"/>
      <c r="AH38" s="371">
        <f t="shared" si="25"/>
        <v>0</v>
      </c>
      <c r="AI38" s="467"/>
      <c r="AJ38" s="467"/>
      <c r="AK38" s="467"/>
      <c r="AL38" s="344" t="str">
        <f t="shared" si="26"/>
        <v>YA</v>
      </c>
      <c r="AM38" s="338">
        <f t="shared" si="27"/>
        <v>0</v>
      </c>
      <c r="AN38" s="785">
        <f t="shared" si="28"/>
        <v>0</v>
      </c>
      <c r="AO38" s="785"/>
    </row>
    <row r="39" spans="2:41" ht="20.100000000000001" customHeight="1" x14ac:dyDescent="0.25">
      <c r="B39" s="789" t="s">
        <v>45</v>
      </c>
      <c r="C39" s="789"/>
      <c r="D39" s="789"/>
      <c r="E39" s="789"/>
      <c r="F39" s="789"/>
      <c r="G39" s="84">
        <f t="shared" si="19"/>
        <v>18.888888888888889</v>
      </c>
      <c r="H39" s="84">
        <f t="shared" si="20"/>
        <v>21.911111111111111</v>
      </c>
      <c r="I39" s="84">
        <v>17</v>
      </c>
      <c r="J39" s="84">
        <f t="shared" si="21"/>
        <v>19.72</v>
      </c>
      <c r="R39" s="789" t="s">
        <v>390</v>
      </c>
      <c r="S39" s="789"/>
      <c r="T39" s="789"/>
      <c r="U39" s="789"/>
      <c r="V39" s="789"/>
      <c r="W39" s="370">
        <v>12</v>
      </c>
      <c r="X39" s="335">
        <v>18.45</v>
      </c>
      <c r="Y39" s="371">
        <f t="shared" si="22"/>
        <v>0</v>
      </c>
      <c r="Z39" s="370"/>
      <c r="AA39" s="335"/>
      <c r="AB39" s="371">
        <f t="shared" si="23"/>
        <v>0</v>
      </c>
      <c r="AC39" s="370"/>
      <c r="AD39" s="336"/>
      <c r="AE39" s="371">
        <f t="shared" si="24"/>
        <v>0</v>
      </c>
      <c r="AF39" s="370"/>
      <c r="AG39" s="335"/>
      <c r="AH39" s="371">
        <f t="shared" si="25"/>
        <v>0</v>
      </c>
      <c r="AI39" s="467"/>
      <c r="AJ39" s="467"/>
      <c r="AK39" s="467"/>
      <c r="AL39" s="344" t="str">
        <f t="shared" si="26"/>
        <v>YA</v>
      </c>
      <c r="AM39" s="338">
        <f t="shared" si="27"/>
        <v>0</v>
      </c>
      <c r="AN39" s="785">
        <f t="shared" si="28"/>
        <v>0</v>
      </c>
      <c r="AO39" s="785"/>
    </row>
    <row r="40" spans="2:41" ht="20.100000000000001" customHeight="1" x14ac:dyDescent="0.25">
      <c r="B40" s="789" t="s">
        <v>42</v>
      </c>
      <c r="C40" s="789"/>
      <c r="D40" s="789"/>
      <c r="E40" s="789"/>
      <c r="F40" s="789"/>
      <c r="G40" s="84">
        <f t="shared" si="19"/>
        <v>10</v>
      </c>
      <c r="H40" s="84">
        <f t="shared" si="20"/>
        <v>11.6</v>
      </c>
      <c r="I40" s="84">
        <v>9</v>
      </c>
      <c r="J40" s="84">
        <f t="shared" si="21"/>
        <v>10.44</v>
      </c>
      <c r="R40" s="789" t="s">
        <v>391</v>
      </c>
      <c r="S40" s="789"/>
      <c r="T40" s="789"/>
      <c r="U40" s="789"/>
      <c r="V40" s="789"/>
      <c r="W40" s="370">
        <v>72</v>
      </c>
      <c r="X40" s="335">
        <v>6.56</v>
      </c>
      <c r="Y40" s="371">
        <f t="shared" si="22"/>
        <v>0</v>
      </c>
      <c r="Z40" s="370"/>
      <c r="AA40" s="335"/>
      <c r="AB40" s="371">
        <f t="shared" si="23"/>
        <v>0</v>
      </c>
      <c r="AC40" s="370"/>
      <c r="AD40" s="336"/>
      <c r="AE40" s="371">
        <f t="shared" si="24"/>
        <v>0</v>
      </c>
      <c r="AF40" s="370"/>
      <c r="AG40" s="335"/>
      <c r="AH40" s="371">
        <f t="shared" si="25"/>
        <v>0</v>
      </c>
      <c r="AI40" s="467"/>
      <c r="AJ40" s="467"/>
      <c r="AK40" s="467"/>
      <c r="AL40" s="344" t="str">
        <f t="shared" si="26"/>
        <v>YA</v>
      </c>
      <c r="AM40" s="338">
        <f t="shared" si="27"/>
        <v>0</v>
      </c>
      <c r="AN40" s="785">
        <f t="shared" si="28"/>
        <v>0</v>
      </c>
      <c r="AO40" s="785"/>
    </row>
    <row r="41" spans="2:41" ht="20.100000000000001" customHeight="1" x14ac:dyDescent="0.25">
      <c r="B41" s="789" t="s">
        <v>245</v>
      </c>
      <c r="C41" s="789"/>
      <c r="D41" s="789"/>
      <c r="E41" s="789"/>
      <c r="F41" s="789"/>
      <c r="G41" s="84">
        <f t="shared" si="19"/>
        <v>10</v>
      </c>
      <c r="H41" s="84">
        <f t="shared" si="20"/>
        <v>11.6</v>
      </c>
      <c r="I41" s="84">
        <v>9</v>
      </c>
      <c r="J41" s="84">
        <f t="shared" si="21"/>
        <v>10.44</v>
      </c>
      <c r="R41" s="789" t="s">
        <v>392</v>
      </c>
      <c r="S41" s="789"/>
      <c r="T41" s="789"/>
      <c r="U41" s="789"/>
      <c r="V41" s="789"/>
      <c r="W41" s="370">
        <v>1</v>
      </c>
      <c r="X41" s="337">
        <v>66.03</v>
      </c>
      <c r="Y41" s="371">
        <f t="shared" si="22"/>
        <v>0</v>
      </c>
      <c r="Z41" s="370"/>
      <c r="AA41" s="337"/>
      <c r="AB41" s="371">
        <f t="shared" si="23"/>
        <v>0</v>
      </c>
      <c r="AC41" s="370"/>
      <c r="AD41" s="336"/>
      <c r="AE41" s="371">
        <f t="shared" si="24"/>
        <v>0</v>
      </c>
      <c r="AF41" s="370"/>
      <c r="AG41" s="337"/>
      <c r="AH41" s="371">
        <f t="shared" si="25"/>
        <v>0</v>
      </c>
      <c r="AI41" s="467"/>
      <c r="AJ41" s="467"/>
      <c r="AK41" s="467"/>
      <c r="AL41" s="344" t="str">
        <f t="shared" si="26"/>
        <v>YA</v>
      </c>
      <c r="AM41" s="338">
        <f t="shared" si="27"/>
        <v>0</v>
      </c>
      <c r="AN41" s="785">
        <f t="shared" si="28"/>
        <v>0</v>
      </c>
      <c r="AO41" s="785"/>
    </row>
    <row r="42" spans="2:41" ht="20.100000000000001" customHeight="1" x14ac:dyDescent="0.25">
      <c r="B42" s="789" t="s">
        <v>114</v>
      </c>
      <c r="C42" s="789"/>
      <c r="D42" s="789"/>
      <c r="E42" s="789"/>
      <c r="F42" s="789"/>
      <c r="G42" s="84">
        <f t="shared" si="19"/>
        <v>10</v>
      </c>
      <c r="H42" s="84">
        <f t="shared" si="20"/>
        <v>11.6</v>
      </c>
      <c r="I42" s="84">
        <v>9</v>
      </c>
      <c r="J42" s="84">
        <f t="shared" si="21"/>
        <v>10.44</v>
      </c>
      <c r="R42" s="789" t="s">
        <v>393</v>
      </c>
      <c r="S42" s="789"/>
      <c r="T42" s="789"/>
      <c r="U42" s="789"/>
      <c r="V42" s="789"/>
      <c r="W42" s="370">
        <v>62</v>
      </c>
      <c r="X42" s="337">
        <v>6.1</v>
      </c>
      <c r="Y42" s="371">
        <f t="shared" si="22"/>
        <v>4</v>
      </c>
      <c r="Z42" s="370"/>
      <c r="AA42" s="337"/>
      <c r="AB42" s="371">
        <f t="shared" si="23"/>
        <v>0</v>
      </c>
      <c r="AC42" s="370"/>
      <c r="AD42" s="336"/>
      <c r="AE42" s="371">
        <f t="shared" si="24"/>
        <v>0</v>
      </c>
      <c r="AF42" s="370"/>
      <c r="AG42" s="337"/>
      <c r="AH42" s="371">
        <f t="shared" si="25"/>
        <v>0</v>
      </c>
      <c r="AI42" s="467">
        <v>4</v>
      </c>
      <c r="AJ42" s="467">
        <v>36</v>
      </c>
      <c r="AK42" s="467"/>
      <c r="AL42" s="344" t="str">
        <f t="shared" si="26"/>
        <v>YA</v>
      </c>
      <c r="AM42" s="338">
        <f t="shared" si="27"/>
        <v>24.4</v>
      </c>
      <c r="AN42" s="785">
        <f t="shared" si="28"/>
        <v>11.600000000000001</v>
      </c>
      <c r="AO42" s="785"/>
    </row>
    <row r="43" spans="2:41" ht="20.100000000000001" customHeight="1" x14ac:dyDescent="0.25">
      <c r="B43" s="406"/>
      <c r="C43" s="406"/>
      <c r="D43" s="406"/>
      <c r="E43" s="406"/>
      <c r="F43" s="406"/>
      <c r="G43" s="84"/>
      <c r="H43" s="84"/>
      <c r="I43" s="84"/>
      <c r="J43" s="84"/>
      <c r="R43" s="789" t="s">
        <v>480</v>
      </c>
      <c r="S43" s="789"/>
      <c r="T43" s="789"/>
      <c r="U43" s="789"/>
      <c r="V43" s="789"/>
      <c r="W43" s="370">
        <v>8</v>
      </c>
      <c r="X43" s="337">
        <v>11.54</v>
      </c>
      <c r="Y43" s="371">
        <f t="shared" si="22"/>
        <v>2</v>
      </c>
      <c r="Z43" s="370"/>
      <c r="AA43" s="337"/>
      <c r="AB43" s="371">
        <f t="shared" si="23"/>
        <v>0</v>
      </c>
      <c r="AC43" s="370"/>
      <c r="AD43" s="336"/>
      <c r="AE43" s="371">
        <f t="shared" si="24"/>
        <v>0</v>
      </c>
      <c r="AF43" s="370"/>
      <c r="AG43" s="337"/>
      <c r="AH43" s="371">
        <f t="shared" si="25"/>
        <v>0</v>
      </c>
      <c r="AI43" s="467">
        <v>2</v>
      </c>
      <c r="AJ43" s="467">
        <v>34</v>
      </c>
      <c r="AK43" s="467"/>
      <c r="AL43" s="407" t="str">
        <f t="shared" si="26"/>
        <v>YA</v>
      </c>
      <c r="AM43" s="338">
        <f t="shared" si="27"/>
        <v>23.08</v>
      </c>
      <c r="AN43" s="785">
        <f>AJ43-AM43</f>
        <v>10.920000000000002</v>
      </c>
      <c r="AO43" s="785"/>
    </row>
    <row r="44" spans="2:41" ht="20.100000000000001" customHeight="1" x14ac:dyDescent="0.25">
      <c r="B44" s="789" t="s">
        <v>47</v>
      </c>
      <c r="C44" s="789"/>
      <c r="D44" s="789"/>
      <c r="E44" s="789"/>
      <c r="F44" s="789"/>
      <c r="G44" s="84">
        <f t="shared" si="19"/>
        <v>18.888888888888889</v>
      </c>
      <c r="H44" s="84">
        <f t="shared" si="20"/>
        <v>21.911111111111111</v>
      </c>
      <c r="I44" s="84">
        <v>17</v>
      </c>
      <c r="J44" s="84">
        <f t="shared" si="21"/>
        <v>19.72</v>
      </c>
      <c r="R44" s="789" t="s">
        <v>394</v>
      </c>
      <c r="S44" s="789"/>
      <c r="T44" s="789"/>
      <c r="U44" s="789"/>
      <c r="V44" s="789"/>
      <c r="W44" s="370">
        <v>8</v>
      </c>
      <c r="X44" s="336">
        <v>4.84</v>
      </c>
      <c r="Y44" s="371">
        <f t="shared" si="22"/>
        <v>0</v>
      </c>
      <c r="Z44" s="370">
        <v>8</v>
      </c>
      <c r="AA44" s="337">
        <v>6.1</v>
      </c>
      <c r="AB44" s="371">
        <f t="shared" si="23"/>
        <v>0</v>
      </c>
      <c r="AC44" s="370"/>
      <c r="AD44" s="336"/>
      <c r="AE44" s="371">
        <f t="shared" si="24"/>
        <v>0</v>
      </c>
      <c r="AF44" s="370"/>
      <c r="AG44" s="337"/>
      <c r="AH44" s="371">
        <f t="shared" si="25"/>
        <v>0</v>
      </c>
      <c r="AI44" s="467"/>
      <c r="AJ44" s="467"/>
      <c r="AK44" s="467"/>
      <c r="AL44" s="344" t="str">
        <f t="shared" si="26"/>
        <v>YA</v>
      </c>
      <c r="AM44" s="338">
        <f t="shared" si="27"/>
        <v>0</v>
      </c>
      <c r="AN44" s="785">
        <f t="shared" si="28"/>
        <v>0</v>
      </c>
      <c r="AO44" s="785"/>
    </row>
    <row r="45" spans="2:41" ht="20.100000000000001" customHeight="1" x14ac:dyDescent="0.25">
      <c r="B45" s="789" t="s">
        <v>43</v>
      </c>
      <c r="C45" s="789"/>
      <c r="D45" s="789"/>
      <c r="E45" s="789"/>
      <c r="F45" s="789"/>
      <c r="G45" s="84">
        <f t="shared" si="19"/>
        <v>10</v>
      </c>
      <c r="H45" s="84">
        <f t="shared" si="20"/>
        <v>11.6</v>
      </c>
      <c r="I45" s="84">
        <v>9</v>
      </c>
      <c r="J45" s="84">
        <f t="shared" si="21"/>
        <v>10.44</v>
      </c>
      <c r="R45" s="789" t="s">
        <v>395</v>
      </c>
      <c r="S45" s="789"/>
      <c r="T45" s="789"/>
      <c r="U45" s="789"/>
      <c r="V45" s="789"/>
      <c r="W45" s="370"/>
      <c r="X45" s="337">
        <v>6.1</v>
      </c>
      <c r="Y45" s="371">
        <f t="shared" si="22"/>
        <v>0</v>
      </c>
      <c r="Z45" s="370"/>
      <c r="AA45" s="337"/>
      <c r="AB45" s="371">
        <f t="shared" si="23"/>
        <v>0</v>
      </c>
      <c r="AC45" s="370"/>
      <c r="AD45" s="336"/>
      <c r="AE45" s="371">
        <f t="shared" si="24"/>
        <v>0</v>
      </c>
      <c r="AF45" s="370"/>
      <c r="AG45" s="337"/>
      <c r="AH45" s="371">
        <f t="shared" si="25"/>
        <v>0</v>
      </c>
      <c r="AI45" s="467"/>
      <c r="AJ45" s="467"/>
      <c r="AK45" s="467"/>
      <c r="AL45" s="344" t="str">
        <f t="shared" si="26"/>
        <v>YA</v>
      </c>
      <c r="AM45" s="338">
        <f t="shared" si="27"/>
        <v>0</v>
      </c>
      <c r="AN45" s="785">
        <f t="shared" si="28"/>
        <v>0</v>
      </c>
      <c r="AO45" s="785"/>
    </row>
    <row r="46" spans="2:41" ht="20.100000000000001" customHeight="1" x14ac:dyDescent="0.25">
      <c r="B46" s="789" t="s">
        <v>46</v>
      </c>
      <c r="C46" s="789"/>
      <c r="D46" s="789"/>
      <c r="E46" s="789"/>
      <c r="F46" s="789"/>
      <c r="G46" s="84">
        <f t="shared" si="19"/>
        <v>18.888888888888889</v>
      </c>
      <c r="H46" s="84">
        <f t="shared" si="20"/>
        <v>21.911111111111111</v>
      </c>
      <c r="I46" s="84">
        <v>17</v>
      </c>
      <c r="J46" s="84">
        <f t="shared" si="21"/>
        <v>19.72</v>
      </c>
      <c r="R46" s="789" t="s">
        <v>396</v>
      </c>
      <c r="S46" s="789"/>
      <c r="T46" s="789"/>
      <c r="U46" s="789"/>
      <c r="V46" s="789"/>
      <c r="W46" s="370">
        <v>16</v>
      </c>
      <c r="X46" s="337">
        <v>6.1</v>
      </c>
      <c r="Y46" s="371">
        <f t="shared" si="22"/>
        <v>0</v>
      </c>
      <c r="Z46" s="370"/>
      <c r="AA46" s="337"/>
      <c r="AB46" s="371">
        <f t="shared" si="23"/>
        <v>0</v>
      </c>
      <c r="AC46" s="370"/>
      <c r="AD46" s="336"/>
      <c r="AE46" s="371">
        <f t="shared" si="24"/>
        <v>0</v>
      </c>
      <c r="AF46" s="370"/>
      <c r="AG46" s="337"/>
      <c r="AH46" s="371">
        <f t="shared" si="25"/>
        <v>0</v>
      </c>
      <c r="AI46" s="467"/>
      <c r="AJ46" s="467"/>
      <c r="AK46" s="467"/>
      <c r="AL46" s="344" t="str">
        <f t="shared" si="26"/>
        <v>YA</v>
      </c>
      <c r="AM46" s="338">
        <f t="shared" si="27"/>
        <v>0</v>
      </c>
      <c r="AN46" s="785">
        <f t="shared" si="28"/>
        <v>0</v>
      </c>
      <c r="AO46" s="785"/>
    </row>
    <row r="47" spans="2:41" ht="20.100000000000001" customHeight="1" x14ac:dyDescent="0.25">
      <c r="B47" s="789" t="s">
        <v>219</v>
      </c>
      <c r="C47" s="789"/>
      <c r="D47" s="789"/>
      <c r="E47" s="789"/>
      <c r="F47" s="789"/>
      <c r="G47" s="84">
        <f t="shared" si="19"/>
        <v>10</v>
      </c>
      <c r="H47" s="84">
        <f t="shared" si="20"/>
        <v>11.6</v>
      </c>
      <c r="I47" s="84">
        <v>9</v>
      </c>
      <c r="J47" s="84">
        <f t="shared" si="21"/>
        <v>10.44</v>
      </c>
      <c r="R47" s="789" t="s">
        <v>397</v>
      </c>
      <c r="S47" s="789"/>
      <c r="T47" s="789"/>
      <c r="U47" s="789"/>
      <c r="V47" s="789"/>
      <c r="W47" s="370">
        <v>20</v>
      </c>
      <c r="X47" s="337">
        <v>6.1</v>
      </c>
      <c r="Y47" s="371">
        <f t="shared" si="22"/>
        <v>0</v>
      </c>
      <c r="Z47" s="370"/>
      <c r="AA47" s="337">
        <v>6.1</v>
      </c>
      <c r="AB47" s="371">
        <f t="shared" si="23"/>
        <v>0</v>
      </c>
      <c r="AC47" s="370"/>
      <c r="AD47" s="336">
        <v>6.1</v>
      </c>
      <c r="AE47" s="371">
        <f t="shared" si="24"/>
        <v>0</v>
      </c>
      <c r="AF47" s="370"/>
      <c r="AG47" s="337">
        <v>6.1</v>
      </c>
      <c r="AH47" s="371">
        <f t="shared" si="25"/>
        <v>0</v>
      </c>
      <c r="AI47" s="467"/>
      <c r="AJ47" s="467"/>
      <c r="AK47" s="467"/>
      <c r="AL47" s="344" t="str">
        <f t="shared" si="26"/>
        <v>YA</v>
      </c>
      <c r="AM47" s="338">
        <f>IF(AI47=0,0,AH47*AG47+AE47*AD47+AB47*AA47+Y47*X47)</f>
        <v>0</v>
      </c>
      <c r="AN47" s="785">
        <f>AJ47-AM47</f>
        <v>0</v>
      </c>
      <c r="AO47" s="785"/>
    </row>
    <row r="48" spans="2:41" ht="20.100000000000001" customHeight="1" x14ac:dyDescent="0.25">
      <c r="B48" s="789" t="s">
        <v>26</v>
      </c>
      <c r="C48" s="789"/>
      <c r="D48" s="789"/>
      <c r="E48" s="789"/>
      <c r="F48" s="789"/>
      <c r="G48" s="84" t="s">
        <v>336</v>
      </c>
      <c r="H48" s="84" t="s">
        <v>336</v>
      </c>
      <c r="I48" s="84" t="s">
        <v>336</v>
      </c>
      <c r="J48" s="84" t="s">
        <v>336</v>
      </c>
      <c r="R48" s="789" t="s">
        <v>398</v>
      </c>
      <c r="S48" s="789"/>
      <c r="T48" s="789"/>
      <c r="U48" s="789"/>
      <c r="V48" s="789"/>
      <c r="W48" s="370">
        <v>16</v>
      </c>
      <c r="X48" s="337">
        <v>6.1</v>
      </c>
      <c r="Y48" s="371">
        <f t="shared" si="22"/>
        <v>0</v>
      </c>
      <c r="Z48" s="370"/>
      <c r="AA48" s="337"/>
      <c r="AB48" s="371">
        <f t="shared" si="23"/>
        <v>0</v>
      </c>
      <c r="AC48" s="370"/>
      <c r="AD48" s="336"/>
      <c r="AE48" s="371">
        <f t="shared" si="24"/>
        <v>0</v>
      </c>
      <c r="AF48" s="370"/>
      <c r="AG48" s="337"/>
      <c r="AH48" s="371">
        <f t="shared" si="25"/>
        <v>0</v>
      </c>
      <c r="AI48" s="467"/>
      <c r="AJ48" s="467"/>
      <c r="AK48" s="467"/>
      <c r="AL48" s="344" t="str">
        <f t="shared" si="26"/>
        <v>YA</v>
      </c>
      <c r="AM48" s="338">
        <f t="shared" si="27"/>
        <v>0</v>
      </c>
      <c r="AN48" s="785">
        <f t="shared" si="28"/>
        <v>0</v>
      </c>
      <c r="AO48" s="785"/>
    </row>
    <row r="49" spans="2:41" ht="20.100000000000001" customHeight="1" x14ac:dyDescent="0.25">
      <c r="B49" s="789" t="s">
        <v>35</v>
      </c>
      <c r="C49" s="789"/>
      <c r="D49" s="789"/>
      <c r="E49" s="789"/>
      <c r="F49" s="789"/>
      <c r="G49" s="84">
        <f t="shared" si="19"/>
        <v>7.7777777777777777</v>
      </c>
      <c r="H49" s="84">
        <f t="shared" si="20"/>
        <v>9.0222222222222221</v>
      </c>
      <c r="I49" s="84">
        <v>7</v>
      </c>
      <c r="J49" s="84">
        <f t="shared" si="21"/>
        <v>8.1199999999999992</v>
      </c>
      <c r="R49" s="789" t="s">
        <v>399</v>
      </c>
      <c r="S49" s="789"/>
      <c r="T49" s="789"/>
      <c r="U49" s="789"/>
      <c r="V49" s="789"/>
      <c r="W49" s="370">
        <v>8</v>
      </c>
      <c r="X49" s="337">
        <v>6.1</v>
      </c>
      <c r="Y49" s="371">
        <f t="shared" si="22"/>
        <v>0</v>
      </c>
      <c r="Z49" s="370"/>
      <c r="AA49" s="337"/>
      <c r="AB49" s="371">
        <f t="shared" si="23"/>
        <v>0</v>
      </c>
      <c r="AC49" s="370"/>
      <c r="AD49" s="336"/>
      <c r="AE49" s="371">
        <f t="shared" si="24"/>
        <v>0</v>
      </c>
      <c r="AF49" s="370"/>
      <c r="AG49" s="337"/>
      <c r="AH49" s="371">
        <f t="shared" si="25"/>
        <v>0</v>
      </c>
      <c r="AI49" s="467"/>
      <c r="AJ49" s="467"/>
      <c r="AK49" s="467"/>
      <c r="AL49" s="344" t="str">
        <f t="shared" si="26"/>
        <v>YA</v>
      </c>
      <c r="AM49" s="338">
        <f t="shared" si="27"/>
        <v>0</v>
      </c>
      <c r="AN49" s="785">
        <f t="shared" si="28"/>
        <v>0</v>
      </c>
      <c r="AO49" s="785"/>
    </row>
    <row r="50" spans="2:41" ht="20.100000000000001" customHeight="1" x14ac:dyDescent="0.25">
      <c r="B50" s="789" t="s">
        <v>33</v>
      </c>
      <c r="C50" s="789"/>
      <c r="D50" s="789"/>
      <c r="E50" s="789"/>
      <c r="F50" s="789"/>
      <c r="G50" s="84">
        <f t="shared" si="19"/>
        <v>16.666666666666668</v>
      </c>
      <c r="H50" s="84">
        <f t="shared" si="20"/>
        <v>19.333333333333332</v>
      </c>
      <c r="I50" s="84">
        <v>15</v>
      </c>
      <c r="J50" s="84">
        <f t="shared" si="21"/>
        <v>17.399999999999999</v>
      </c>
      <c r="R50" s="789" t="s">
        <v>400</v>
      </c>
      <c r="S50" s="789"/>
      <c r="T50" s="789"/>
      <c r="U50" s="789"/>
      <c r="V50" s="789"/>
      <c r="W50" s="370">
        <v>9</v>
      </c>
      <c r="X50" s="337">
        <v>6.1</v>
      </c>
      <c r="Y50" s="371">
        <f t="shared" si="22"/>
        <v>0</v>
      </c>
      <c r="Z50" s="370"/>
      <c r="AA50" s="337"/>
      <c r="AB50" s="371">
        <f t="shared" si="23"/>
        <v>0</v>
      </c>
      <c r="AC50" s="370"/>
      <c r="AD50" s="336"/>
      <c r="AE50" s="371">
        <f t="shared" si="24"/>
        <v>0</v>
      </c>
      <c r="AF50" s="370"/>
      <c r="AG50" s="337"/>
      <c r="AH50" s="371">
        <f t="shared" si="25"/>
        <v>0</v>
      </c>
      <c r="AI50" s="467"/>
      <c r="AJ50" s="467"/>
      <c r="AK50" s="467"/>
      <c r="AL50" s="344" t="str">
        <f t="shared" si="26"/>
        <v>YA</v>
      </c>
      <c r="AM50" s="338">
        <f t="shared" si="27"/>
        <v>0</v>
      </c>
      <c r="AN50" s="785">
        <f t="shared" si="28"/>
        <v>0</v>
      </c>
      <c r="AO50" s="785"/>
    </row>
    <row r="51" spans="2:41" ht="20.100000000000001" customHeight="1" x14ac:dyDescent="0.25">
      <c r="B51" s="789" t="s">
        <v>34</v>
      </c>
      <c r="C51" s="789"/>
      <c r="D51" s="789"/>
      <c r="E51" s="789"/>
      <c r="F51" s="789"/>
      <c r="G51" s="84">
        <f t="shared" si="19"/>
        <v>16.666666666666668</v>
      </c>
      <c r="H51" s="84">
        <f t="shared" si="20"/>
        <v>19.333333333333332</v>
      </c>
      <c r="I51" s="84">
        <v>15</v>
      </c>
      <c r="J51" s="84">
        <f t="shared" si="21"/>
        <v>17.399999999999999</v>
      </c>
      <c r="R51" s="789" t="s">
        <v>401</v>
      </c>
      <c r="S51" s="789"/>
      <c r="T51" s="789"/>
      <c r="U51" s="789"/>
      <c r="V51" s="789"/>
      <c r="W51" s="370"/>
      <c r="X51" s="337"/>
      <c r="Y51" s="371">
        <f t="shared" si="22"/>
        <v>0</v>
      </c>
      <c r="Z51" s="370"/>
      <c r="AA51" s="337"/>
      <c r="AB51" s="371">
        <f t="shared" si="23"/>
        <v>0</v>
      </c>
      <c r="AC51" s="370"/>
      <c r="AD51" s="336"/>
      <c r="AE51" s="371">
        <f t="shared" si="24"/>
        <v>0</v>
      </c>
      <c r="AF51" s="370"/>
      <c r="AG51" s="337"/>
      <c r="AH51" s="371">
        <f t="shared" si="25"/>
        <v>0</v>
      </c>
      <c r="AI51" s="467"/>
      <c r="AJ51" s="467"/>
      <c r="AK51" s="467"/>
      <c r="AL51" s="344" t="str">
        <f t="shared" si="26"/>
        <v>YA</v>
      </c>
      <c r="AM51" s="338">
        <f t="shared" si="27"/>
        <v>0</v>
      </c>
      <c r="AN51" s="785">
        <f t="shared" si="28"/>
        <v>0</v>
      </c>
      <c r="AO51" s="785"/>
    </row>
    <row r="52" spans="2:41" ht="20.100000000000001" customHeight="1" x14ac:dyDescent="0.25">
      <c r="B52" s="789" t="s">
        <v>32</v>
      </c>
      <c r="C52" s="789"/>
      <c r="D52" s="789"/>
      <c r="E52" s="789"/>
      <c r="F52" s="789"/>
      <c r="G52" s="84">
        <f t="shared" si="19"/>
        <v>16.666666666666668</v>
      </c>
      <c r="H52" s="84">
        <f t="shared" si="20"/>
        <v>19.333333333333332</v>
      </c>
      <c r="I52" s="84">
        <v>15</v>
      </c>
      <c r="J52" s="84">
        <f t="shared" si="21"/>
        <v>17.399999999999999</v>
      </c>
      <c r="R52" s="789" t="s">
        <v>402</v>
      </c>
      <c r="S52" s="789"/>
      <c r="T52" s="789"/>
      <c r="U52" s="789"/>
      <c r="V52" s="789"/>
      <c r="W52" s="370">
        <v>8</v>
      </c>
      <c r="X52" s="337">
        <v>3.4</v>
      </c>
      <c r="Y52" s="371">
        <f t="shared" si="22"/>
        <v>0</v>
      </c>
      <c r="Z52" s="370">
        <v>8</v>
      </c>
      <c r="AA52" s="337">
        <v>6.09</v>
      </c>
      <c r="AB52" s="371">
        <f t="shared" si="23"/>
        <v>0</v>
      </c>
      <c r="AC52" s="370"/>
      <c r="AD52" s="336"/>
      <c r="AE52" s="371">
        <f t="shared" si="24"/>
        <v>0</v>
      </c>
      <c r="AF52" s="370"/>
      <c r="AG52" s="337"/>
      <c r="AH52" s="371">
        <f t="shared" si="25"/>
        <v>0</v>
      </c>
      <c r="AI52" s="467"/>
      <c r="AJ52" s="467"/>
      <c r="AK52" s="467"/>
      <c r="AL52" s="344" t="str">
        <f t="shared" si="26"/>
        <v>YA</v>
      </c>
      <c r="AM52" s="338">
        <f t="shared" si="27"/>
        <v>0</v>
      </c>
      <c r="AN52" s="785">
        <f t="shared" si="28"/>
        <v>0</v>
      </c>
      <c r="AO52" s="785"/>
    </row>
    <row r="53" spans="2:41" ht="20.100000000000001" customHeight="1" x14ac:dyDescent="0.25">
      <c r="B53" s="789" t="s">
        <v>20</v>
      </c>
      <c r="C53" s="789"/>
      <c r="D53" s="789"/>
      <c r="E53" s="789"/>
      <c r="F53" s="789"/>
      <c r="G53" s="84">
        <f t="shared" si="19"/>
        <v>5.5555555555555554</v>
      </c>
      <c r="H53" s="84">
        <f t="shared" si="20"/>
        <v>6.4444444444444438</v>
      </c>
      <c r="I53" s="84">
        <v>5</v>
      </c>
      <c r="J53" s="84">
        <f t="shared" si="21"/>
        <v>5.8</v>
      </c>
      <c r="R53" s="789" t="s">
        <v>403</v>
      </c>
      <c r="S53" s="789"/>
      <c r="T53" s="789"/>
      <c r="U53" s="789"/>
      <c r="V53" s="789"/>
      <c r="W53" s="370">
        <v>4</v>
      </c>
      <c r="X53" s="337">
        <v>7.27</v>
      </c>
      <c r="Y53" s="371">
        <f t="shared" si="22"/>
        <v>0</v>
      </c>
      <c r="Z53" s="370"/>
      <c r="AA53" s="337"/>
      <c r="AB53" s="371">
        <f t="shared" si="23"/>
        <v>0</v>
      </c>
      <c r="AC53" s="370"/>
      <c r="AD53" s="336"/>
      <c r="AE53" s="371">
        <f t="shared" si="24"/>
        <v>0</v>
      </c>
      <c r="AF53" s="370"/>
      <c r="AG53" s="337"/>
      <c r="AH53" s="371">
        <f t="shared" si="25"/>
        <v>0</v>
      </c>
      <c r="AI53" s="467"/>
      <c r="AJ53" s="467"/>
      <c r="AK53" s="467"/>
      <c r="AL53" s="344" t="str">
        <f t="shared" si="26"/>
        <v>YA</v>
      </c>
      <c r="AM53" s="338">
        <f t="shared" si="27"/>
        <v>0</v>
      </c>
      <c r="AN53" s="785">
        <f t="shared" si="28"/>
        <v>0</v>
      </c>
      <c r="AO53" s="785"/>
    </row>
    <row r="54" spans="2:41" ht="20.100000000000001" customHeight="1" x14ac:dyDescent="0.25">
      <c r="B54" s="789" t="s">
        <v>21</v>
      </c>
      <c r="C54" s="789"/>
      <c r="D54" s="789"/>
      <c r="E54" s="789"/>
      <c r="F54" s="789"/>
      <c r="G54" s="84">
        <f t="shared" si="19"/>
        <v>11.111111111111111</v>
      </c>
      <c r="H54" s="84">
        <f t="shared" si="20"/>
        <v>12.888888888888888</v>
      </c>
      <c r="I54" s="84">
        <v>10</v>
      </c>
      <c r="J54" s="84">
        <f t="shared" si="21"/>
        <v>11.6</v>
      </c>
      <c r="R54" s="789" t="s">
        <v>404</v>
      </c>
      <c r="S54" s="789"/>
      <c r="T54" s="789"/>
      <c r="U54" s="789"/>
      <c r="V54" s="789"/>
      <c r="W54" s="370">
        <v>12</v>
      </c>
      <c r="X54" s="337">
        <v>3.87</v>
      </c>
      <c r="Y54" s="371">
        <f t="shared" si="22"/>
        <v>0</v>
      </c>
      <c r="Z54" s="370"/>
      <c r="AA54" s="337"/>
      <c r="AB54" s="371">
        <f t="shared" si="23"/>
        <v>0</v>
      </c>
      <c r="AC54" s="370"/>
      <c r="AD54" s="336"/>
      <c r="AE54" s="371">
        <f t="shared" si="24"/>
        <v>0</v>
      </c>
      <c r="AF54" s="370"/>
      <c r="AG54" s="337"/>
      <c r="AH54" s="371">
        <f t="shared" si="25"/>
        <v>0</v>
      </c>
      <c r="AI54" s="467"/>
      <c r="AJ54" s="467"/>
      <c r="AK54" s="467"/>
      <c r="AL54" s="344" t="str">
        <f t="shared" si="26"/>
        <v>YA</v>
      </c>
      <c r="AM54" s="338">
        <f t="shared" si="27"/>
        <v>0</v>
      </c>
      <c r="AN54" s="785">
        <f t="shared" si="28"/>
        <v>0</v>
      </c>
      <c r="AO54" s="785"/>
    </row>
    <row r="55" spans="2:41" ht="20.100000000000001" customHeight="1" x14ac:dyDescent="0.25">
      <c r="B55" s="789" t="s">
        <v>22</v>
      </c>
      <c r="C55" s="789"/>
      <c r="D55" s="789"/>
      <c r="E55" s="789"/>
      <c r="F55" s="789"/>
      <c r="G55" s="84">
        <f t="shared" si="19"/>
        <v>12.222222222222221</v>
      </c>
      <c r="H55" s="84">
        <f t="shared" si="20"/>
        <v>14.177777777777775</v>
      </c>
      <c r="I55" s="84">
        <v>11</v>
      </c>
      <c r="J55" s="84">
        <f t="shared" si="21"/>
        <v>12.76</v>
      </c>
      <c r="R55" s="789" t="s">
        <v>405</v>
      </c>
      <c r="S55" s="789"/>
      <c r="T55" s="789"/>
      <c r="U55" s="789"/>
      <c r="V55" s="789"/>
      <c r="W55" s="370">
        <v>10</v>
      </c>
      <c r="X55" s="336">
        <v>7.45</v>
      </c>
      <c r="Y55" s="371">
        <f t="shared" si="22"/>
        <v>0</v>
      </c>
      <c r="Z55" s="370">
        <v>50</v>
      </c>
      <c r="AA55" s="337">
        <v>6.66</v>
      </c>
      <c r="AB55" s="371">
        <f t="shared" si="23"/>
        <v>0</v>
      </c>
      <c r="AC55" s="370"/>
      <c r="AD55" s="336"/>
      <c r="AE55" s="371">
        <f t="shared" si="24"/>
        <v>0</v>
      </c>
      <c r="AF55" s="370"/>
      <c r="AG55" s="337"/>
      <c r="AH55" s="371">
        <f t="shared" si="25"/>
        <v>0</v>
      </c>
      <c r="AI55" s="467"/>
      <c r="AJ55" s="467"/>
      <c r="AK55" s="467"/>
      <c r="AL55" s="344" t="str">
        <f t="shared" si="26"/>
        <v>YA</v>
      </c>
      <c r="AM55" s="338">
        <f t="shared" si="27"/>
        <v>0</v>
      </c>
      <c r="AN55" s="785">
        <f t="shared" si="28"/>
        <v>0</v>
      </c>
      <c r="AO55" s="785"/>
    </row>
    <row r="56" spans="2:41" ht="20.100000000000001" customHeight="1" x14ac:dyDescent="0.25">
      <c r="B56" s="789" t="s">
        <v>23</v>
      </c>
      <c r="C56" s="789"/>
      <c r="D56" s="789"/>
      <c r="E56" s="789"/>
      <c r="F56" s="789"/>
      <c r="G56" s="84">
        <f t="shared" si="19"/>
        <v>4.4444444444444446</v>
      </c>
      <c r="H56" s="84">
        <f t="shared" si="20"/>
        <v>5.155555555555555</v>
      </c>
      <c r="I56" s="84">
        <v>4</v>
      </c>
      <c r="J56" s="84">
        <f t="shared" si="21"/>
        <v>4.6399999999999997</v>
      </c>
      <c r="R56" s="789" t="s">
        <v>406</v>
      </c>
      <c r="S56" s="789"/>
      <c r="T56" s="789"/>
      <c r="U56" s="789"/>
      <c r="V56" s="789"/>
      <c r="W56" s="370">
        <v>50</v>
      </c>
      <c r="X56" s="337">
        <v>27.73</v>
      </c>
      <c r="Y56" s="371">
        <f t="shared" si="22"/>
        <v>2</v>
      </c>
      <c r="Z56" s="370"/>
      <c r="AA56" s="337"/>
      <c r="AB56" s="371">
        <f t="shared" si="23"/>
        <v>0</v>
      </c>
      <c r="AC56" s="370"/>
      <c r="AD56" s="336"/>
      <c r="AE56" s="371">
        <f t="shared" si="24"/>
        <v>0</v>
      </c>
      <c r="AF56" s="370"/>
      <c r="AG56" s="337"/>
      <c r="AH56" s="371">
        <f t="shared" si="25"/>
        <v>0</v>
      </c>
      <c r="AI56" s="467">
        <v>2</v>
      </c>
      <c r="AJ56" s="467">
        <v>75</v>
      </c>
      <c r="AK56" s="467"/>
      <c r="AL56" s="344" t="str">
        <f t="shared" si="26"/>
        <v>YA</v>
      </c>
      <c r="AM56" s="338">
        <f t="shared" si="27"/>
        <v>55.46</v>
      </c>
      <c r="AN56" s="785">
        <f t="shared" si="28"/>
        <v>19.54</v>
      </c>
      <c r="AO56" s="785"/>
    </row>
    <row r="57" spans="2:41" ht="20.100000000000001" customHeight="1" x14ac:dyDescent="0.25">
      <c r="B57" s="789" t="s">
        <v>24</v>
      </c>
      <c r="C57" s="789"/>
      <c r="D57" s="789"/>
      <c r="E57" s="789"/>
      <c r="F57" s="789"/>
      <c r="G57" s="84">
        <f t="shared" si="19"/>
        <v>8.8888888888888893</v>
      </c>
      <c r="H57" s="84">
        <f t="shared" si="20"/>
        <v>10.31111111111111</v>
      </c>
      <c r="I57" s="84">
        <v>8</v>
      </c>
      <c r="J57" s="84">
        <f t="shared" si="21"/>
        <v>9.2799999999999994</v>
      </c>
      <c r="R57" s="789" t="s">
        <v>407</v>
      </c>
      <c r="S57" s="789"/>
      <c r="T57" s="789"/>
      <c r="U57" s="789"/>
      <c r="V57" s="789"/>
      <c r="W57" s="370">
        <v>1</v>
      </c>
      <c r="X57" s="337">
        <v>7</v>
      </c>
      <c r="Y57" s="371">
        <f t="shared" si="22"/>
        <v>0</v>
      </c>
      <c r="Z57" s="370"/>
      <c r="AA57" s="337"/>
      <c r="AB57" s="371">
        <f t="shared" si="23"/>
        <v>0</v>
      </c>
      <c r="AC57" s="370"/>
      <c r="AD57" s="336"/>
      <c r="AE57" s="371">
        <f t="shared" si="24"/>
        <v>0</v>
      </c>
      <c r="AF57" s="370"/>
      <c r="AG57" s="337"/>
      <c r="AH57" s="371">
        <f t="shared" si="25"/>
        <v>0</v>
      </c>
      <c r="AI57" s="467"/>
      <c r="AJ57" s="467"/>
      <c r="AK57" s="467"/>
      <c r="AL57" s="344" t="str">
        <f t="shared" si="26"/>
        <v>YA</v>
      </c>
      <c r="AM57" s="338">
        <f t="shared" si="27"/>
        <v>0</v>
      </c>
      <c r="AN57" s="785">
        <f t="shared" si="28"/>
        <v>0</v>
      </c>
      <c r="AO57" s="785"/>
    </row>
    <row r="58" spans="2:41" ht="20.100000000000001" customHeight="1" x14ac:dyDescent="0.25">
      <c r="B58" s="789" t="s">
        <v>25</v>
      </c>
      <c r="C58" s="789"/>
      <c r="D58" s="789"/>
      <c r="E58" s="789"/>
      <c r="F58" s="789"/>
      <c r="G58" s="84" t="s">
        <v>336</v>
      </c>
      <c r="H58" s="84" t="s">
        <v>336</v>
      </c>
      <c r="I58" s="84" t="s">
        <v>336</v>
      </c>
      <c r="J58" s="84" t="s">
        <v>336</v>
      </c>
      <c r="R58" s="789" t="s">
        <v>408</v>
      </c>
      <c r="S58" s="789"/>
      <c r="T58" s="789"/>
      <c r="U58" s="789"/>
      <c r="V58" s="789"/>
      <c r="W58" s="370">
        <v>12</v>
      </c>
      <c r="X58" s="337">
        <v>10.220000000000001</v>
      </c>
      <c r="Y58" s="371">
        <f t="shared" si="22"/>
        <v>0</v>
      </c>
      <c r="Z58" s="370"/>
      <c r="AA58" s="337"/>
      <c r="AB58" s="371">
        <f t="shared" si="23"/>
        <v>0</v>
      </c>
      <c r="AC58" s="370"/>
      <c r="AD58" s="336"/>
      <c r="AE58" s="371">
        <f t="shared" si="24"/>
        <v>0</v>
      </c>
      <c r="AF58" s="370"/>
      <c r="AG58" s="337"/>
      <c r="AH58" s="371">
        <f t="shared" si="25"/>
        <v>0</v>
      </c>
      <c r="AI58" s="467"/>
      <c r="AJ58" s="467"/>
      <c r="AK58" s="467"/>
      <c r="AL58" s="344" t="str">
        <f t="shared" si="26"/>
        <v>YA</v>
      </c>
      <c r="AM58" s="338">
        <f t="shared" si="27"/>
        <v>0</v>
      </c>
      <c r="AN58" s="785">
        <f t="shared" si="28"/>
        <v>0</v>
      </c>
      <c r="AO58" s="785"/>
    </row>
    <row r="59" spans="2:41" ht="20.100000000000001" customHeight="1" x14ac:dyDescent="0.25">
      <c r="B59" s="789" t="s">
        <v>36</v>
      </c>
      <c r="C59" s="789"/>
      <c r="D59" s="789"/>
      <c r="E59" s="789"/>
      <c r="F59" s="789"/>
      <c r="G59" s="84">
        <f t="shared" si="19"/>
        <v>7.7777777777777777</v>
      </c>
      <c r="H59" s="84">
        <f t="shared" si="20"/>
        <v>9.0222222222222221</v>
      </c>
      <c r="I59" s="84">
        <v>7</v>
      </c>
      <c r="J59" s="84">
        <f t="shared" si="21"/>
        <v>8.1199999999999992</v>
      </c>
      <c r="R59" s="789" t="s">
        <v>409</v>
      </c>
      <c r="S59" s="789"/>
      <c r="T59" s="789"/>
      <c r="U59" s="789"/>
      <c r="V59" s="789"/>
      <c r="W59" s="370">
        <v>12</v>
      </c>
      <c r="X59" s="337">
        <v>11.4</v>
      </c>
      <c r="Y59" s="371">
        <f t="shared" si="22"/>
        <v>0</v>
      </c>
      <c r="Z59" s="370"/>
      <c r="AA59" s="337"/>
      <c r="AB59" s="371">
        <f t="shared" si="23"/>
        <v>0</v>
      </c>
      <c r="AC59" s="370"/>
      <c r="AD59" s="336"/>
      <c r="AE59" s="371">
        <f t="shared" si="24"/>
        <v>0</v>
      </c>
      <c r="AF59" s="370"/>
      <c r="AG59" s="337"/>
      <c r="AH59" s="371">
        <f t="shared" si="25"/>
        <v>0</v>
      </c>
      <c r="AI59" s="467"/>
      <c r="AJ59" s="467"/>
      <c r="AK59" s="467"/>
      <c r="AL59" s="344" t="str">
        <f t="shared" si="26"/>
        <v>YA</v>
      </c>
      <c r="AM59" s="338">
        <f t="shared" si="27"/>
        <v>0</v>
      </c>
      <c r="AN59" s="785">
        <f t="shared" si="28"/>
        <v>0</v>
      </c>
      <c r="AO59" s="785"/>
    </row>
    <row r="60" spans="2:41" ht="20.100000000000001" customHeight="1" x14ac:dyDescent="0.25">
      <c r="B60" s="789" t="s">
        <v>38</v>
      </c>
      <c r="C60" s="789"/>
      <c r="D60" s="789"/>
      <c r="E60" s="789"/>
      <c r="F60" s="789"/>
      <c r="G60" s="84">
        <f t="shared" si="19"/>
        <v>14.444444444444445</v>
      </c>
      <c r="H60" s="84">
        <f t="shared" si="20"/>
        <v>16.755555555555553</v>
      </c>
      <c r="I60" s="84">
        <v>13</v>
      </c>
      <c r="J60" s="84">
        <f t="shared" si="21"/>
        <v>15.079999999999998</v>
      </c>
      <c r="R60" s="789" t="s">
        <v>410</v>
      </c>
      <c r="S60" s="789"/>
      <c r="T60" s="789"/>
      <c r="U60" s="789"/>
      <c r="V60" s="789"/>
      <c r="W60" s="370">
        <v>880</v>
      </c>
      <c r="X60" s="337">
        <v>11</v>
      </c>
      <c r="Y60" s="371">
        <f t="shared" si="22"/>
        <v>0</v>
      </c>
      <c r="Z60" s="370"/>
      <c r="AA60" s="337"/>
      <c r="AB60" s="371">
        <f t="shared" si="23"/>
        <v>0</v>
      </c>
      <c r="AC60" s="370"/>
      <c r="AD60" s="336"/>
      <c r="AE60" s="371">
        <f t="shared" si="24"/>
        <v>0</v>
      </c>
      <c r="AF60" s="370"/>
      <c r="AG60" s="337"/>
      <c r="AH60" s="371">
        <f t="shared" si="25"/>
        <v>0</v>
      </c>
      <c r="AI60" s="467"/>
      <c r="AJ60" s="467"/>
      <c r="AK60" s="467"/>
      <c r="AL60" s="344" t="str">
        <f t="shared" si="26"/>
        <v>YA</v>
      </c>
      <c r="AM60" s="338">
        <f t="shared" si="27"/>
        <v>0</v>
      </c>
      <c r="AN60" s="785">
        <f t="shared" si="28"/>
        <v>0</v>
      </c>
      <c r="AO60" s="785"/>
    </row>
    <row r="61" spans="2:41" ht="20.100000000000001" customHeight="1" x14ac:dyDescent="0.25">
      <c r="B61" s="789" t="s">
        <v>39</v>
      </c>
      <c r="C61" s="789"/>
      <c r="D61" s="789"/>
      <c r="E61" s="789"/>
      <c r="F61" s="789"/>
      <c r="G61" s="84">
        <f t="shared" si="19"/>
        <v>20</v>
      </c>
      <c r="H61" s="84">
        <f t="shared" si="20"/>
        <v>23.2</v>
      </c>
      <c r="I61" s="84">
        <v>18</v>
      </c>
      <c r="J61" s="84">
        <f t="shared" si="21"/>
        <v>20.88</v>
      </c>
      <c r="R61" s="789" t="s">
        <v>411</v>
      </c>
      <c r="S61" s="789"/>
      <c r="T61" s="789"/>
      <c r="U61" s="789"/>
      <c r="V61" s="789"/>
      <c r="W61" s="370">
        <v>12</v>
      </c>
      <c r="X61" s="337">
        <v>0</v>
      </c>
      <c r="Y61" s="371">
        <f t="shared" si="22"/>
        <v>0</v>
      </c>
      <c r="Z61" s="370"/>
      <c r="AA61" s="337"/>
      <c r="AB61" s="371">
        <f t="shared" si="23"/>
        <v>0</v>
      </c>
      <c r="AC61" s="370"/>
      <c r="AD61" s="336"/>
      <c r="AE61" s="371">
        <f t="shared" si="24"/>
        <v>0</v>
      </c>
      <c r="AF61" s="370"/>
      <c r="AG61" s="337"/>
      <c r="AH61" s="371">
        <f t="shared" si="25"/>
        <v>0</v>
      </c>
      <c r="AI61" s="467"/>
      <c r="AJ61" s="467"/>
      <c r="AK61" s="467"/>
      <c r="AL61" s="344" t="str">
        <f t="shared" si="26"/>
        <v>YA</v>
      </c>
      <c r="AM61" s="338">
        <f t="shared" si="27"/>
        <v>0</v>
      </c>
      <c r="AN61" s="785">
        <f t="shared" si="28"/>
        <v>0</v>
      </c>
      <c r="AO61" s="785"/>
    </row>
    <row r="62" spans="2:41" ht="20.100000000000001" customHeight="1" x14ac:dyDescent="0.25">
      <c r="B62" s="789" t="s">
        <v>276</v>
      </c>
      <c r="C62" s="789"/>
      <c r="D62" s="789"/>
      <c r="E62" s="789"/>
      <c r="F62" s="789"/>
      <c r="G62" s="84">
        <f t="shared" si="19"/>
        <v>10</v>
      </c>
      <c r="H62" s="84">
        <f t="shared" si="20"/>
        <v>11.6</v>
      </c>
      <c r="I62" s="84">
        <v>9</v>
      </c>
      <c r="J62" s="84">
        <f t="shared" si="21"/>
        <v>10.44</v>
      </c>
      <c r="R62" s="789" t="s">
        <v>412</v>
      </c>
      <c r="S62" s="789"/>
      <c r="T62" s="789"/>
      <c r="U62" s="789"/>
      <c r="V62" s="789"/>
      <c r="W62" s="370">
        <v>12</v>
      </c>
      <c r="X62" s="337">
        <v>2.33</v>
      </c>
      <c r="Y62" s="371">
        <f t="shared" si="22"/>
        <v>0</v>
      </c>
      <c r="Z62" s="370"/>
      <c r="AA62" s="337"/>
      <c r="AB62" s="371">
        <f t="shared" si="23"/>
        <v>0</v>
      </c>
      <c r="AC62" s="370"/>
      <c r="AD62" s="336"/>
      <c r="AE62" s="371">
        <f t="shared" si="24"/>
        <v>0</v>
      </c>
      <c r="AF62" s="370"/>
      <c r="AG62" s="337"/>
      <c r="AH62" s="371">
        <f t="shared" si="25"/>
        <v>0</v>
      </c>
      <c r="AI62" s="467"/>
      <c r="AJ62" s="467"/>
      <c r="AK62" s="467"/>
      <c r="AL62" s="344" t="str">
        <f t="shared" si="26"/>
        <v>YA</v>
      </c>
      <c r="AM62" s="338">
        <f t="shared" si="27"/>
        <v>0</v>
      </c>
      <c r="AN62" s="785">
        <f t="shared" si="28"/>
        <v>0</v>
      </c>
      <c r="AO62" s="785"/>
    </row>
    <row r="63" spans="2:41" ht="20.100000000000001" customHeight="1" x14ac:dyDescent="0.25">
      <c r="B63" s="789" t="s">
        <v>37</v>
      </c>
      <c r="C63" s="789"/>
      <c r="D63" s="789"/>
      <c r="E63" s="789"/>
      <c r="F63" s="789"/>
      <c r="G63" s="84">
        <f t="shared" si="19"/>
        <v>10</v>
      </c>
      <c r="H63" s="84">
        <f t="shared" si="20"/>
        <v>11.6</v>
      </c>
      <c r="I63" s="84">
        <v>9</v>
      </c>
      <c r="J63" s="84">
        <f t="shared" si="21"/>
        <v>10.44</v>
      </c>
      <c r="R63" s="789" t="s">
        <v>413</v>
      </c>
      <c r="S63" s="789"/>
      <c r="T63" s="789"/>
      <c r="U63" s="789"/>
      <c r="V63" s="789"/>
      <c r="W63" s="370">
        <v>22</v>
      </c>
      <c r="X63" s="337">
        <v>5.71</v>
      </c>
      <c r="Y63" s="371">
        <f t="shared" si="22"/>
        <v>0</v>
      </c>
      <c r="Z63" s="370"/>
      <c r="AA63" s="337"/>
      <c r="AB63" s="371">
        <f t="shared" si="23"/>
        <v>0</v>
      </c>
      <c r="AC63" s="370"/>
      <c r="AD63" s="336"/>
      <c r="AE63" s="371">
        <f t="shared" si="24"/>
        <v>0</v>
      </c>
      <c r="AF63" s="370"/>
      <c r="AG63" s="337"/>
      <c r="AH63" s="371">
        <f t="shared" si="25"/>
        <v>0</v>
      </c>
      <c r="AI63" s="467"/>
      <c r="AJ63" s="467"/>
      <c r="AK63" s="467"/>
      <c r="AL63" s="344" t="str">
        <f t="shared" si="26"/>
        <v>YA</v>
      </c>
      <c r="AM63" s="338">
        <f t="shared" si="27"/>
        <v>0</v>
      </c>
      <c r="AN63" s="785">
        <f t="shared" si="28"/>
        <v>0</v>
      </c>
      <c r="AO63" s="785"/>
    </row>
    <row r="64" spans="2:41" x14ac:dyDescent="0.25">
      <c r="R64" s="789" t="s">
        <v>414</v>
      </c>
      <c r="S64" s="789"/>
      <c r="T64" s="789"/>
      <c r="U64" s="789"/>
      <c r="V64" s="789"/>
      <c r="W64" s="370">
        <v>2</v>
      </c>
      <c r="X64" s="337">
        <v>18.059999999999999</v>
      </c>
      <c r="Y64" s="371">
        <f t="shared" si="22"/>
        <v>0</v>
      </c>
      <c r="Z64" s="370"/>
      <c r="AA64" s="337"/>
      <c r="AB64" s="371">
        <f t="shared" si="23"/>
        <v>0</v>
      </c>
      <c r="AC64" s="370"/>
      <c r="AD64" s="336"/>
      <c r="AE64" s="371">
        <f t="shared" si="24"/>
        <v>0</v>
      </c>
      <c r="AF64" s="370"/>
      <c r="AG64" s="337"/>
      <c r="AH64" s="371">
        <f t="shared" si="25"/>
        <v>0</v>
      </c>
      <c r="AI64" s="467"/>
      <c r="AJ64" s="467"/>
      <c r="AK64" s="467"/>
      <c r="AL64" s="344" t="str">
        <f>IF(OR((W64+Z64+AC64+AF64) &gt;= (AI64+AK64),AI64 = 0), "YA", "MAS")</f>
        <v>YA</v>
      </c>
      <c r="AM64" s="338">
        <f t="shared" si="27"/>
        <v>0</v>
      </c>
      <c r="AN64" s="785">
        <f t="shared" si="28"/>
        <v>0</v>
      </c>
      <c r="AO64" s="785"/>
    </row>
    <row r="65" spans="2:41" x14ac:dyDescent="0.25">
      <c r="R65" s="789" t="s">
        <v>415</v>
      </c>
      <c r="S65" s="789"/>
      <c r="T65" s="789"/>
      <c r="U65" s="789"/>
      <c r="V65" s="789"/>
      <c r="W65" s="370">
        <v>1</v>
      </c>
      <c r="X65" s="337">
        <v>35</v>
      </c>
      <c r="Y65" s="371">
        <f t="shared" si="22"/>
        <v>0</v>
      </c>
      <c r="Z65" s="370"/>
      <c r="AA65" s="337"/>
      <c r="AB65" s="371">
        <f t="shared" si="23"/>
        <v>0</v>
      </c>
      <c r="AC65" s="370"/>
      <c r="AD65" s="336"/>
      <c r="AE65" s="371">
        <f t="shared" si="24"/>
        <v>0</v>
      </c>
      <c r="AF65" s="370"/>
      <c r="AG65" s="337"/>
      <c r="AH65" s="371">
        <f t="shared" si="25"/>
        <v>0</v>
      </c>
      <c r="AI65" s="467"/>
      <c r="AJ65" s="467"/>
      <c r="AK65" s="467"/>
      <c r="AL65" s="344" t="str">
        <f t="shared" si="26"/>
        <v>YA</v>
      </c>
      <c r="AM65" s="338">
        <f t="shared" si="27"/>
        <v>0</v>
      </c>
      <c r="AN65" s="785">
        <f t="shared" si="28"/>
        <v>0</v>
      </c>
      <c r="AO65" s="785"/>
    </row>
    <row r="66" spans="2:41" ht="18.75" x14ac:dyDescent="0.25">
      <c r="B66" s="792" t="s">
        <v>2</v>
      </c>
      <c r="C66" s="792"/>
      <c r="D66" s="792"/>
      <c r="E66" s="792"/>
      <c r="F66" s="792"/>
      <c r="R66" s="789" t="s">
        <v>416</v>
      </c>
      <c r="S66" s="789"/>
      <c r="T66" s="789"/>
      <c r="U66" s="789"/>
      <c r="V66" s="789"/>
      <c r="W66" s="370">
        <v>40</v>
      </c>
      <c r="X66" s="336">
        <v>3.23</v>
      </c>
      <c r="Y66" s="371">
        <f t="shared" si="22"/>
        <v>0</v>
      </c>
      <c r="Z66" s="370">
        <v>50</v>
      </c>
      <c r="AA66" s="337">
        <v>2.89</v>
      </c>
      <c r="AB66" s="371">
        <f t="shared" si="23"/>
        <v>0</v>
      </c>
      <c r="AC66" s="370"/>
      <c r="AD66" s="336"/>
      <c r="AE66" s="371">
        <f t="shared" si="24"/>
        <v>0</v>
      </c>
      <c r="AF66" s="370"/>
      <c r="AG66" s="337"/>
      <c r="AH66" s="371">
        <f t="shared" si="25"/>
        <v>0</v>
      </c>
      <c r="AI66" s="467"/>
      <c r="AJ66" s="467"/>
      <c r="AK66" s="467"/>
      <c r="AL66" s="344" t="str">
        <f t="shared" si="26"/>
        <v>YA</v>
      </c>
      <c r="AM66" s="338">
        <f t="shared" si="27"/>
        <v>0</v>
      </c>
      <c r="AN66" s="785">
        <f t="shared" si="28"/>
        <v>0</v>
      </c>
      <c r="AO66" s="785"/>
    </row>
    <row r="67" spans="2:41" x14ac:dyDescent="0.25">
      <c r="B67" s="789" t="s">
        <v>49</v>
      </c>
      <c r="C67" s="789"/>
      <c r="D67" s="789"/>
      <c r="E67" s="789"/>
      <c r="F67" s="789"/>
      <c r="G67" s="310">
        <v>30</v>
      </c>
      <c r="H67" s="380">
        <v>50</v>
      </c>
      <c r="R67" s="789" t="s">
        <v>417</v>
      </c>
      <c r="S67" s="789"/>
      <c r="T67" s="789"/>
      <c r="U67" s="789"/>
      <c r="V67" s="789"/>
      <c r="W67" s="370">
        <v>50</v>
      </c>
      <c r="X67" s="337">
        <v>6.55</v>
      </c>
      <c r="Y67" s="371">
        <f t="shared" si="22"/>
        <v>1</v>
      </c>
      <c r="Z67" s="370"/>
      <c r="AA67" s="337"/>
      <c r="AB67" s="371">
        <f t="shared" si="23"/>
        <v>0</v>
      </c>
      <c r="AC67" s="370"/>
      <c r="AD67" s="336"/>
      <c r="AE67" s="371">
        <f t="shared" si="24"/>
        <v>0</v>
      </c>
      <c r="AF67" s="370"/>
      <c r="AG67" s="337"/>
      <c r="AH67" s="371">
        <f t="shared" si="25"/>
        <v>0</v>
      </c>
      <c r="AI67" s="467">
        <v>1</v>
      </c>
      <c r="AJ67" s="467">
        <v>10</v>
      </c>
      <c r="AK67" s="467"/>
      <c r="AL67" s="344" t="str">
        <f t="shared" si="26"/>
        <v>YA</v>
      </c>
      <c r="AM67" s="338">
        <f t="shared" si="27"/>
        <v>6.55</v>
      </c>
      <c r="AN67" s="785">
        <f t="shared" si="28"/>
        <v>3.45</v>
      </c>
      <c r="AO67" s="785"/>
    </row>
    <row r="68" spans="2:41" x14ac:dyDescent="0.25">
      <c r="B68" s="789" t="s">
        <v>56</v>
      </c>
      <c r="C68" s="789"/>
      <c r="D68" s="789"/>
      <c r="E68" s="789"/>
      <c r="F68" s="789"/>
      <c r="G68" s="310">
        <v>0</v>
      </c>
      <c r="H68" s="380"/>
      <c r="R68" s="789" t="s">
        <v>345</v>
      </c>
      <c r="S68" s="789"/>
      <c r="T68" s="789"/>
      <c r="U68" s="789"/>
      <c r="V68" s="789"/>
      <c r="W68" s="370">
        <v>30</v>
      </c>
      <c r="X68" s="337">
        <v>13</v>
      </c>
      <c r="Y68" s="371">
        <f t="shared" si="22"/>
        <v>0</v>
      </c>
      <c r="Z68" s="370"/>
      <c r="AA68" s="337"/>
      <c r="AB68" s="371">
        <f t="shared" si="23"/>
        <v>0</v>
      </c>
      <c r="AC68" s="370"/>
      <c r="AD68" s="336"/>
      <c r="AE68" s="371">
        <f t="shared" si="24"/>
        <v>0</v>
      </c>
      <c r="AF68" s="370"/>
      <c r="AG68" s="337"/>
      <c r="AH68" s="371">
        <f t="shared" si="25"/>
        <v>0</v>
      </c>
      <c r="AI68" s="467"/>
      <c r="AJ68" s="467"/>
      <c r="AK68" s="467"/>
      <c r="AL68" s="344" t="str">
        <f t="shared" si="26"/>
        <v>YA</v>
      </c>
      <c r="AM68" s="338">
        <f t="shared" si="27"/>
        <v>0</v>
      </c>
      <c r="AN68" s="785">
        <f t="shared" si="28"/>
        <v>0</v>
      </c>
      <c r="AO68" s="785"/>
    </row>
    <row r="69" spans="2:41" x14ac:dyDescent="0.25">
      <c r="B69" s="789" t="s">
        <v>50</v>
      </c>
      <c r="C69" s="789"/>
      <c r="D69" s="789"/>
      <c r="E69" s="789"/>
      <c r="F69" s="789"/>
      <c r="G69" s="310">
        <v>0</v>
      </c>
      <c r="H69" s="380"/>
      <c r="R69" s="789" t="s">
        <v>418</v>
      </c>
      <c r="S69" s="789"/>
      <c r="T69" s="789"/>
      <c r="U69" s="789"/>
      <c r="V69" s="789"/>
      <c r="W69" s="370"/>
      <c r="X69" s="336"/>
      <c r="Y69" s="371">
        <f t="shared" si="22"/>
        <v>0</v>
      </c>
      <c r="Z69" s="370"/>
      <c r="AA69" s="337"/>
      <c r="AB69" s="371">
        <f t="shared" si="23"/>
        <v>0</v>
      </c>
      <c r="AC69" s="370"/>
      <c r="AD69" s="336"/>
      <c r="AE69" s="371">
        <f t="shared" si="24"/>
        <v>0</v>
      </c>
      <c r="AF69" s="370"/>
      <c r="AG69" s="337"/>
      <c r="AH69" s="371">
        <f t="shared" si="25"/>
        <v>0</v>
      </c>
      <c r="AI69" s="467"/>
      <c r="AJ69" s="467"/>
      <c r="AK69" s="467"/>
      <c r="AL69" s="344" t="str">
        <f t="shared" si="26"/>
        <v>YA</v>
      </c>
      <c r="AM69" s="338">
        <f t="shared" si="27"/>
        <v>0</v>
      </c>
      <c r="AN69" s="785">
        <f t="shared" si="28"/>
        <v>0</v>
      </c>
      <c r="AO69" s="785"/>
    </row>
    <row r="70" spans="2:41" x14ac:dyDescent="0.25">
      <c r="B70" s="789" t="s">
        <v>7</v>
      </c>
      <c r="C70" s="789"/>
      <c r="D70" s="789"/>
      <c r="E70" s="789"/>
      <c r="F70" s="789"/>
      <c r="G70" s="310">
        <v>0</v>
      </c>
      <c r="H70" s="380">
        <v>20</v>
      </c>
      <c r="R70" s="789" t="s">
        <v>419</v>
      </c>
      <c r="S70" s="789"/>
      <c r="T70" s="789"/>
      <c r="U70" s="789"/>
      <c r="V70" s="789"/>
      <c r="W70" s="370">
        <v>6</v>
      </c>
      <c r="X70" s="336"/>
      <c r="Y70" s="371">
        <f t="shared" si="22"/>
        <v>0</v>
      </c>
      <c r="Z70" s="370"/>
      <c r="AA70" s="337"/>
      <c r="AB70" s="371">
        <f t="shared" si="23"/>
        <v>0</v>
      </c>
      <c r="AC70" s="370"/>
      <c r="AD70" s="336"/>
      <c r="AE70" s="371">
        <f t="shared" si="24"/>
        <v>0</v>
      </c>
      <c r="AF70" s="370"/>
      <c r="AG70" s="337"/>
      <c r="AH70" s="371">
        <f t="shared" si="25"/>
        <v>0</v>
      </c>
      <c r="AI70" s="467"/>
      <c r="AJ70" s="467"/>
      <c r="AK70" s="467"/>
      <c r="AL70" s="344" t="str">
        <f t="shared" si="26"/>
        <v>YA</v>
      </c>
      <c r="AM70" s="338">
        <f t="shared" si="27"/>
        <v>0</v>
      </c>
      <c r="AN70" s="785">
        <f t="shared" si="28"/>
        <v>0</v>
      </c>
      <c r="AO70" s="785"/>
    </row>
    <row r="71" spans="2:41" ht="18.75" customHeight="1" x14ac:dyDescent="0.3">
      <c r="B71" s="789" t="s">
        <v>6</v>
      </c>
      <c r="C71" s="789"/>
      <c r="D71" s="789"/>
      <c r="E71" s="789"/>
      <c r="F71" s="789"/>
      <c r="G71" s="310">
        <v>0</v>
      </c>
      <c r="H71" s="380"/>
      <c r="W71" s="341"/>
      <c r="AJ71" s="374">
        <f>SUM(AJ33:AJ70)</f>
        <v>155</v>
      </c>
      <c r="AM71" s="374">
        <f>SUM(AM33:AM70)</f>
        <v>109.49</v>
      </c>
      <c r="AN71" s="377">
        <f>SUM(AN33:AO70)</f>
        <v>45.510000000000005</v>
      </c>
      <c r="AO71" s="378">
        <f>AN71/AM71</f>
        <v>0.415654397661887</v>
      </c>
    </row>
    <row r="72" spans="2:41" ht="18.75" customHeight="1" x14ac:dyDescent="0.3">
      <c r="B72" s="343"/>
      <c r="C72" s="343"/>
      <c r="D72" s="343"/>
      <c r="E72" s="343"/>
      <c r="F72" s="343"/>
      <c r="G72" s="345"/>
      <c r="H72" s="380"/>
      <c r="W72" s="341"/>
      <c r="AJ72" s="361"/>
      <c r="AM72" s="360"/>
      <c r="AN72" s="362"/>
      <c r="AO72" s="363"/>
    </row>
    <row r="73" spans="2:41" ht="38.25" customHeight="1" x14ac:dyDescent="0.25">
      <c r="B73" s="789" t="s">
        <v>232</v>
      </c>
      <c r="C73" s="789"/>
      <c r="D73" s="789"/>
      <c r="E73" s="789"/>
      <c r="F73" s="789"/>
      <c r="G73" s="310">
        <v>0</v>
      </c>
      <c r="H73" s="380"/>
      <c r="R73" s="793" t="s">
        <v>420</v>
      </c>
      <c r="S73" s="793"/>
      <c r="T73" s="793"/>
      <c r="U73" s="793"/>
      <c r="V73" s="793"/>
      <c r="W73" s="793"/>
      <c r="X73" s="793"/>
      <c r="Y73" s="793"/>
      <c r="Z73" s="793"/>
      <c r="AA73" s="793"/>
      <c r="AB73" s="793"/>
      <c r="AC73" s="793"/>
      <c r="AD73" s="793"/>
      <c r="AE73" s="793"/>
      <c r="AF73" s="793"/>
      <c r="AG73" s="793"/>
      <c r="AH73" s="793"/>
      <c r="AI73" s="793"/>
      <c r="AJ73" s="793"/>
      <c r="AK73" s="793"/>
      <c r="AL73" s="793"/>
      <c r="AM73" s="793"/>
      <c r="AN73" s="793"/>
      <c r="AO73" s="793"/>
    </row>
    <row r="74" spans="2:41" ht="15" customHeight="1" x14ac:dyDescent="0.25">
      <c r="B74" s="789" t="s">
        <v>53</v>
      </c>
      <c r="C74" s="789"/>
      <c r="D74" s="789"/>
      <c r="E74" s="789"/>
      <c r="F74" s="789"/>
      <c r="G74" s="310">
        <v>0</v>
      </c>
      <c r="H74" s="380"/>
      <c r="R74" s="792" t="s">
        <v>2</v>
      </c>
      <c r="S74" s="792"/>
      <c r="T74" s="792"/>
      <c r="U74" s="792"/>
      <c r="V74" s="792"/>
      <c r="W74" s="372" t="s">
        <v>378</v>
      </c>
      <c r="X74" s="344" t="s">
        <v>379</v>
      </c>
      <c r="Y74" s="373" t="s">
        <v>377</v>
      </c>
      <c r="Z74" s="372" t="s">
        <v>368</v>
      </c>
      <c r="AA74" s="344" t="s">
        <v>369</v>
      </c>
      <c r="AB74" s="373" t="s">
        <v>373</v>
      </c>
      <c r="AC74" s="372" t="s">
        <v>370</v>
      </c>
      <c r="AD74" s="344" t="s">
        <v>371</v>
      </c>
      <c r="AE74" s="373" t="s">
        <v>374</v>
      </c>
      <c r="AF74" s="372" t="s">
        <v>372</v>
      </c>
      <c r="AG74" s="344" t="s">
        <v>380</v>
      </c>
      <c r="AH74" s="373" t="s">
        <v>375</v>
      </c>
      <c r="AI74" s="382" t="s">
        <v>78</v>
      </c>
      <c r="AJ74" s="382" t="s">
        <v>382</v>
      </c>
      <c r="AK74" s="382" t="s">
        <v>376</v>
      </c>
      <c r="AL74" s="344" t="s">
        <v>383</v>
      </c>
      <c r="AM74" s="344" t="s">
        <v>381</v>
      </c>
      <c r="AN74" s="794" t="s">
        <v>384</v>
      </c>
      <c r="AO74" s="794"/>
    </row>
    <row r="75" spans="2:41" ht="15" customHeight="1" x14ac:dyDescent="0.25">
      <c r="B75" s="789" t="s">
        <v>55</v>
      </c>
      <c r="C75" s="789"/>
      <c r="D75" s="789"/>
      <c r="E75" s="789"/>
      <c r="F75" s="789"/>
      <c r="G75" s="310">
        <v>0</v>
      </c>
      <c r="H75" s="380"/>
      <c r="R75" s="789" t="s">
        <v>421</v>
      </c>
      <c r="S75" s="789"/>
      <c r="T75" s="789"/>
      <c r="U75" s="789"/>
      <c r="V75" s="789"/>
      <c r="W75" s="370">
        <v>10</v>
      </c>
      <c r="X75" s="336">
        <v>26.69</v>
      </c>
      <c r="Y75" s="371">
        <f t="shared" ref="Y75:Y90" si="29">IF(AK75 &lt; AF75+AC75+Z75+W75, MIN(AC75+AF75+Z75+W75-AK75,AI75-AH75-AE75-AB75,W75),0)</f>
        <v>0</v>
      </c>
      <c r="Z75" s="370">
        <v>2</v>
      </c>
      <c r="AA75" s="336">
        <v>22.5</v>
      </c>
      <c r="AB75" s="371">
        <f t="shared" ref="AB75:AB90" si="30">IF(AK75 &lt; AF75+AC75+Z75, MIN(AC75+AF75+Z75-AK75,AI75-AH75-AE75,Z75),0)</f>
        <v>0</v>
      </c>
      <c r="AC75" s="370">
        <v>10</v>
      </c>
      <c r="AD75" s="336">
        <v>17.04</v>
      </c>
      <c r="AE75" s="371">
        <f t="shared" ref="AE75:AE90" si="31">IF(AK75 &lt; AF75+AC75, MIN(AC75+AF75-AK75,AI75-AH75,AC75),0)</f>
        <v>0</v>
      </c>
      <c r="AF75" s="370"/>
      <c r="AG75" s="336"/>
      <c r="AH75" s="371">
        <f t="shared" ref="AH75:AH90" si="32">IF(AK75 &lt;=AF75, MIN(AF75-AK75,AI75), 0)</f>
        <v>0</v>
      </c>
      <c r="AI75" s="467"/>
      <c r="AJ75" s="467"/>
      <c r="AK75" s="467"/>
      <c r="AL75" s="344" t="str">
        <f t="shared" ref="AL75:AL90" si="33">IF(OR((W75+Z75+AC75+AF75) &gt;= (AI75+AK75), AI75 = 0), "YA", "MAS")</f>
        <v>YA</v>
      </c>
      <c r="AM75" s="338">
        <f t="shared" ref="AM75:AM90" si="34">IF(AI75=0,0,AH75*AG75+AE75*AD75+AB75*AA75+Y75*X75)</f>
        <v>0</v>
      </c>
      <c r="AN75" s="785">
        <f t="shared" ref="AN75:AN90" si="35">AJ75-AM75</f>
        <v>0</v>
      </c>
      <c r="AO75" s="785"/>
    </row>
    <row r="76" spans="2:41" ht="15" customHeight="1" x14ac:dyDescent="0.25">
      <c r="B76" s="789" t="s">
        <v>5</v>
      </c>
      <c r="C76" s="789"/>
      <c r="D76" s="789"/>
      <c r="E76" s="789"/>
      <c r="F76" s="789"/>
      <c r="G76" s="310">
        <v>30</v>
      </c>
      <c r="H76" s="380">
        <v>50</v>
      </c>
      <c r="R76" s="789" t="s">
        <v>422</v>
      </c>
      <c r="S76" s="789"/>
      <c r="T76" s="789"/>
      <c r="U76" s="789"/>
      <c r="V76" s="789"/>
      <c r="W76" s="370">
        <v>10</v>
      </c>
      <c r="X76" s="336">
        <v>15.18</v>
      </c>
      <c r="Y76" s="371">
        <f t="shared" si="29"/>
        <v>0</v>
      </c>
      <c r="Z76" s="370">
        <v>4</v>
      </c>
      <c r="AA76" s="336">
        <v>13</v>
      </c>
      <c r="AB76" s="371">
        <f t="shared" si="30"/>
        <v>1</v>
      </c>
      <c r="AC76" s="370"/>
      <c r="AD76" s="336"/>
      <c r="AE76" s="371">
        <f t="shared" si="31"/>
        <v>0</v>
      </c>
      <c r="AF76" s="370"/>
      <c r="AG76" s="336"/>
      <c r="AH76" s="371">
        <f t="shared" si="32"/>
        <v>0</v>
      </c>
      <c r="AI76" s="467">
        <v>1</v>
      </c>
      <c r="AJ76" s="467">
        <v>19</v>
      </c>
      <c r="AK76" s="467"/>
      <c r="AL76" s="344" t="str">
        <f t="shared" si="33"/>
        <v>YA</v>
      </c>
      <c r="AM76" s="338">
        <f t="shared" si="34"/>
        <v>13</v>
      </c>
      <c r="AN76" s="785">
        <f t="shared" si="35"/>
        <v>6</v>
      </c>
      <c r="AO76" s="785"/>
    </row>
    <row r="77" spans="2:41" ht="15" customHeight="1" x14ac:dyDescent="0.25">
      <c r="B77" s="789" t="s">
        <v>4</v>
      </c>
      <c r="C77" s="789"/>
      <c r="D77" s="789"/>
      <c r="E77" s="789"/>
      <c r="F77" s="789"/>
      <c r="G77" s="310">
        <v>0</v>
      </c>
      <c r="H77" s="380"/>
      <c r="R77" s="789" t="s">
        <v>423</v>
      </c>
      <c r="S77" s="789"/>
      <c r="T77" s="789"/>
      <c r="U77" s="789"/>
      <c r="V77" s="789"/>
      <c r="W77" s="370">
        <v>5</v>
      </c>
      <c r="X77" s="336">
        <v>10.97</v>
      </c>
      <c r="Y77" s="371">
        <f t="shared" si="29"/>
        <v>0</v>
      </c>
      <c r="Z77" s="370">
        <v>10</v>
      </c>
      <c r="AA77" s="336">
        <v>10.58</v>
      </c>
      <c r="AB77" s="371">
        <f t="shared" si="30"/>
        <v>0</v>
      </c>
      <c r="AC77" s="370"/>
      <c r="AD77" s="336"/>
      <c r="AE77" s="371">
        <f t="shared" si="31"/>
        <v>0</v>
      </c>
      <c r="AF77" s="370"/>
      <c r="AG77" s="336"/>
      <c r="AH77" s="371">
        <f t="shared" si="32"/>
        <v>0</v>
      </c>
      <c r="AI77" s="467"/>
      <c r="AJ77" s="467"/>
      <c r="AK77" s="467"/>
      <c r="AL77" s="344" t="str">
        <f t="shared" si="33"/>
        <v>YA</v>
      </c>
      <c r="AM77" s="338">
        <f t="shared" si="34"/>
        <v>0</v>
      </c>
      <c r="AN77" s="785">
        <f>AJ77-AM77</f>
        <v>0</v>
      </c>
      <c r="AO77" s="785"/>
    </row>
    <row r="78" spans="2:41" ht="15" customHeight="1" x14ac:dyDescent="0.25">
      <c r="B78" s="789" t="s">
        <v>12</v>
      </c>
      <c r="C78" s="789"/>
      <c r="D78" s="789"/>
      <c r="E78" s="789"/>
      <c r="F78" s="789"/>
      <c r="G78" s="310">
        <v>0</v>
      </c>
      <c r="H78" s="380">
        <v>60</v>
      </c>
      <c r="R78" s="789" t="s">
        <v>424</v>
      </c>
      <c r="S78" s="789"/>
      <c r="T78" s="789"/>
      <c r="U78" s="789"/>
      <c r="V78" s="789"/>
      <c r="W78" s="370">
        <v>28</v>
      </c>
      <c r="X78" s="335">
        <v>14.5</v>
      </c>
      <c r="Y78" s="371">
        <f t="shared" si="29"/>
        <v>0</v>
      </c>
      <c r="Z78" s="370">
        <v>20</v>
      </c>
      <c r="AA78" s="335">
        <v>13.5</v>
      </c>
      <c r="AB78" s="371">
        <f t="shared" si="30"/>
        <v>0</v>
      </c>
      <c r="AC78" s="370"/>
      <c r="AD78" s="336"/>
      <c r="AE78" s="371">
        <f t="shared" si="31"/>
        <v>0</v>
      </c>
      <c r="AF78" s="370"/>
      <c r="AG78" s="335"/>
      <c r="AH78" s="371">
        <f t="shared" si="32"/>
        <v>0</v>
      </c>
      <c r="AI78" s="467"/>
      <c r="AJ78" s="467"/>
      <c r="AK78" s="467"/>
      <c r="AL78" s="344" t="str">
        <f t="shared" si="33"/>
        <v>YA</v>
      </c>
      <c r="AM78" s="338">
        <f t="shared" si="34"/>
        <v>0</v>
      </c>
      <c r="AN78" s="785">
        <f t="shared" si="35"/>
        <v>0</v>
      </c>
      <c r="AO78" s="785"/>
    </row>
    <row r="79" spans="2:41" x14ac:dyDescent="0.25">
      <c r="B79" s="789" t="s">
        <v>204</v>
      </c>
      <c r="C79" s="789"/>
      <c r="D79" s="789"/>
      <c r="E79" s="789"/>
      <c r="F79" s="789"/>
      <c r="G79" s="310">
        <v>200</v>
      </c>
      <c r="H79" s="380">
        <v>300</v>
      </c>
      <c r="R79" s="789" t="s">
        <v>425</v>
      </c>
      <c r="S79" s="789"/>
      <c r="T79" s="789"/>
      <c r="U79" s="789"/>
      <c r="V79" s="789"/>
      <c r="W79" s="370"/>
      <c r="X79" s="335"/>
      <c r="Y79" s="371">
        <f t="shared" si="29"/>
        <v>0</v>
      </c>
      <c r="Z79" s="370"/>
      <c r="AA79" s="335"/>
      <c r="AB79" s="371">
        <f t="shared" si="30"/>
        <v>0</v>
      </c>
      <c r="AC79" s="370"/>
      <c r="AD79" s="336"/>
      <c r="AE79" s="371">
        <f t="shared" si="31"/>
        <v>0</v>
      </c>
      <c r="AF79" s="370"/>
      <c r="AG79" s="335"/>
      <c r="AH79" s="371">
        <f t="shared" si="32"/>
        <v>0</v>
      </c>
      <c r="AI79" s="467"/>
      <c r="AJ79" s="467"/>
      <c r="AK79" s="467"/>
      <c r="AL79" s="344" t="str">
        <f t="shared" si="33"/>
        <v>YA</v>
      </c>
      <c r="AM79" s="338">
        <f t="shared" si="34"/>
        <v>0</v>
      </c>
      <c r="AN79" s="785">
        <f t="shared" si="35"/>
        <v>0</v>
      </c>
      <c r="AO79" s="785"/>
    </row>
    <row r="80" spans="2:41" ht="15" customHeight="1" x14ac:dyDescent="0.25">
      <c r="B80" s="789" t="s">
        <v>52</v>
      </c>
      <c r="C80" s="789"/>
      <c r="D80" s="789"/>
      <c r="E80" s="789"/>
      <c r="F80" s="789"/>
      <c r="G80" s="310">
        <v>15</v>
      </c>
      <c r="H80" s="380">
        <v>15</v>
      </c>
      <c r="R80" s="789" t="s">
        <v>426</v>
      </c>
      <c r="S80" s="789"/>
      <c r="T80" s="789"/>
      <c r="U80" s="789"/>
      <c r="V80" s="789"/>
      <c r="W80" s="370">
        <v>2</v>
      </c>
      <c r="X80" s="336">
        <v>16.5</v>
      </c>
      <c r="Y80" s="371">
        <f t="shared" si="29"/>
        <v>0</v>
      </c>
      <c r="Z80" s="370"/>
      <c r="AA80" s="336"/>
      <c r="AB80" s="371">
        <f t="shared" si="30"/>
        <v>0</v>
      </c>
      <c r="AC80" s="370"/>
      <c r="AD80" s="336"/>
      <c r="AE80" s="371">
        <f t="shared" si="31"/>
        <v>0</v>
      </c>
      <c r="AF80" s="370"/>
      <c r="AG80" s="336"/>
      <c r="AH80" s="371">
        <f t="shared" si="32"/>
        <v>0</v>
      </c>
      <c r="AI80" s="467"/>
      <c r="AJ80" s="467"/>
      <c r="AK80" s="467"/>
      <c r="AL80" s="344" t="str">
        <f t="shared" si="33"/>
        <v>YA</v>
      </c>
      <c r="AM80" s="338">
        <f t="shared" si="34"/>
        <v>0</v>
      </c>
      <c r="AN80" s="785">
        <f t="shared" si="35"/>
        <v>0</v>
      </c>
      <c r="AO80" s="785"/>
    </row>
    <row r="81" spans="2:41" ht="15" customHeight="1" x14ac:dyDescent="0.25">
      <c r="B81" s="789" t="s">
        <v>99</v>
      </c>
      <c r="C81" s="789"/>
      <c r="D81" s="789"/>
      <c r="E81" s="789"/>
      <c r="F81" s="789"/>
      <c r="G81" s="310">
        <v>0</v>
      </c>
      <c r="H81" s="380"/>
      <c r="R81" s="789" t="s">
        <v>427</v>
      </c>
      <c r="S81" s="789"/>
      <c r="T81" s="789"/>
      <c r="U81" s="789"/>
      <c r="V81" s="789"/>
      <c r="W81" s="370"/>
      <c r="X81" s="335"/>
      <c r="Y81" s="371">
        <f t="shared" si="29"/>
        <v>0</v>
      </c>
      <c r="Z81" s="370"/>
      <c r="AA81" s="335"/>
      <c r="AB81" s="371">
        <f t="shared" si="30"/>
        <v>0</v>
      </c>
      <c r="AC81" s="370"/>
      <c r="AD81" s="336"/>
      <c r="AE81" s="371">
        <f t="shared" si="31"/>
        <v>0</v>
      </c>
      <c r="AF81" s="370"/>
      <c r="AG81" s="335"/>
      <c r="AH81" s="371">
        <f t="shared" si="32"/>
        <v>0</v>
      </c>
      <c r="AI81" s="467"/>
      <c r="AJ81" s="467"/>
      <c r="AK81" s="467"/>
      <c r="AL81" s="344" t="str">
        <f t="shared" si="33"/>
        <v>YA</v>
      </c>
      <c r="AM81" s="338">
        <f t="shared" si="34"/>
        <v>0</v>
      </c>
      <c r="AN81" s="785">
        <f t="shared" si="35"/>
        <v>0</v>
      </c>
      <c r="AO81" s="785"/>
    </row>
    <row r="82" spans="2:41" ht="15" customHeight="1" x14ac:dyDescent="0.25">
      <c r="B82" s="789" t="s">
        <v>100</v>
      </c>
      <c r="C82" s="789"/>
      <c r="D82" s="789"/>
      <c r="E82" s="789"/>
      <c r="F82" s="789"/>
      <c r="G82" s="310">
        <v>0</v>
      </c>
      <c r="H82" s="380"/>
      <c r="R82" s="789" t="s">
        <v>428</v>
      </c>
      <c r="S82" s="789"/>
      <c r="T82" s="789"/>
      <c r="U82" s="789"/>
      <c r="V82" s="789"/>
      <c r="W82" s="370">
        <v>36</v>
      </c>
      <c r="X82" s="335">
        <v>12</v>
      </c>
      <c r="Y82" s="371">
        <f t="shared" si="29"/>
        <v>0</v>
      </c>
      <c r="Z82" s="370">
        <v>19</v>
      </c>
      <c r="AA82" s="335">
        <v>13.5</v>
      </c>
      <c r="AB82" s="371">
        <f t="shared" si="30"/>
        <v>0</v>
      </c>
      <c r="AC82" s="370"/>
      <c r="AD82" s="336"/>
      <c r="AE82" s="371">
        <f t="shared" si="31"/>
        <v>0</v>
      </c>
      <c r="AF82" s="370"/>
      <c r="AG82" s="335"/>
      <c r="AH82" s="371">
        <f t="shared" si="32"/>
        <v>0</v>
      </c>
      <c r="AI82" s="467"/>
      <c r="AJ82" s="467"/>
      <c r="AK82" s="467"/>
      <c r="AL82" s="344" t="str">
        <f t="shared" si="33"/>
        <v>YA</v>
      </c>
      <c r="AM82" s="338">
        <f t="shared" si="34"/>
        <v>0</v>
      </c>
      <c r="AN82" s="785">
        <f t="shared" si="35"/>
        <v>0</v>
      </c>
      <c r="AO82" s="785"/>
    </row>
    <row r="83" spans="2:41" ht="15" customHeight="1" x14ac:dyDescent="0.25">
      <c r="B83" s="789" t="s">
        <v>98</v>
      </c>
      <c r="C83" s="789"/>
      <c r="D83" s="789"/>
      <c r="E83" s="789"/>
      <c r="F83" s="789"/>
      <c r="G83" s="310">
        <v>0</v>
      </c>
      <c r="H83" s="380"/>
      <c r="R83" s="789" t="s">
        <v>429</v>
      </c>
      <c r="S83" s="789"/>
      <c r="T83" s="789"/>
      <c r="U83" s="789"/>
      <c r="V83" s="789"/>
      <c r="W83" s="370">
        <v>50</v>
      </c>
      <c r="X83" s="335">
        <v>22.25</v>
      </c>
      <c r="Y83" s="371">
        <f t="shared" si="29"/>
        <v>0</v>
      </c>
      <c r="Z83" s="370"/>
      <c r="AA83" s="335"/>
      <c r="AB83" s="371">
        <f t="shared" si="30"/>
        <v>0</v>
      </c>
      <c r="AC83" s="370"/>
      <c r="AD83" s="336"/>
      <c r="AE83" s="371">
        <f t="shared" si="31"/>
        <v>0</v>
      </c>
      <c r="AF83" s="370"/>
      <c r="AG83" s="335"/>
      <c r="AH83" s="371">
        <f t="shared" si="32"/>
        <v>0</v>
      </c>
      <c r="AI83" s="467"/>
      <c r="AJ83" s="467"/>
      <c r="AK83" s="467"/>
      <c r="AL83" s="344" t="str">
        <f t="shared" si="33"/>
        <v>YA</v>
      </c>
      <c r="AM83" s="338">
        <f t="shared" si="34"/>
        <v>0</v>
      </c>
      <c r="AN83" s="785">
        <f t="shared" si="35"/>
        <v>0</v>
      </c>
      <c r="AO83" s="785"/>
    </row>
    <row r="84" spans="2:41" ht="15" customHeight="1" x14ac:dyDescent="0.25">
      <c r="B84" s="789" t="s">
        <v>101</v>
      </c>
      <c r="C84" s="789"/>
      <c r="D84" s="789"/>
      <c r="E84" s="789"/>
      <c r="F84" s="789"/>
      <c r="G84" s="310">
        <v>0</v>
      </c>
      <c r="H84" s="380"/>
      <c r="R84" s="789" t="s">
        <v>430</v>
      </c>
      <c r="S84" s="789"/>
      <c r="T84" s="789"/>
      <c r="U84" s="789"/>
      <c r="V84" s="789"/>
      <c r="W84" s="370">
        <v>20</v>
      </c>
      <c r="X84" s="335">
        <v>10</v>
      </c>
      <c r="Y84" s="371">
        <f t="shared" si="29"/>
        <v>0</v>
      </c>
      <c r="Z84" s="370"/>
      <c r="AA84" s="335"/>
      <c r="AB84" s="371">
        <f t="shared" si="30"/>
        <v>0</v>
      </c>
      <c r="AC84" s="370"/>
      <c r="AD84" s="336"/>
      <c r="AE84" s="371">
        <f t="shared" si="31"/>
        <v>0</v>
      </c>
      <c r="AF84" s="370"/>
      <c r="AG84" s="335"/>
      <c r="AH84" s="371">
        <f t="shared" si="32"/>
        <v>0</v>
      </c>
      <c r="AI84" s="467"/>
      <c r="AJ84" s="467"/>
      <c r="AK84" s="467"/>
      <c r="AL84" s="344" t="str">
        <f t="shared" si="33"/>
        <v>YA</v>
      </c>
      <c r="AM84" s="338">
        <f t="shared" si="34"/>
        <v>0</v>
      </c>
      <c r="AN84" s="785">
        <f t="shared" si="35"/>
        <v>0</v>
      </c>
      <c r="AO84" s="785"/>
    </row>
    <row r="85" spans="2:41" x14ac:dyDescent="0.25">
      <c r="B85" s="789" t="s">
        <v>11</v>
      </c>
      <c r="C85" s="789"/>
      <c r="D85" s="789"/>
      <c r="E85" s="789"/>
      <c r="F85" s="789"/>
      <c r="G85" s="310">
        <v>30</v>
      </c>
      <c r="H85" s="380">
        <v>50</v>
      </c>
      <c r="R85" s="789" t="s">
        <v>431</v>
      </c>
      <c r="S85" s="789"/>
      <c r="T85" s="789"/>
      <c r="U85" s="789"/>
      <c r="V85" s="789"/>
      <c r="W85" s="370">
        <v>25</v>
      </c>
      <c r="X85" s="335">
        <v>11.3</v>
      </c>
      <c r="Y85" s="371">
        <f t="shared" si="29"/>
        <v>0</v>
      </c>
      <c r="Z85" s="370">
        <v>50</v>
      </c>
      <c r="AA85" s="335">
        <v>9</v>
      </c>
      <c r="AB85" s="371">
        <f t="shared" si="30"/>
        <v>0</v>
      </c>
      <c r="AC85" s="370">
        <v>30</v>
      </c>
      <c r="AD85" s="336">
        <v>8.0500000000000007</v>
      </c>
      <c r="AE85" s="371">
        <f t="shared" si="31"/>
        <v>-30</v>
      </c>
      <c r="AF85" s="370">
        <v>30</v>
      </c>
      <c r="AG85" s="335">
        <v>6.5</v>
      </c>
      <c r="AH85" s="371">
        <f t="shared" si="32"/>
        <v>30</v>
      </c>
      <c r="AI85" s="467"/>
      <c r="AJ85" s="467"/>
      <c r="AK85" s="467"/>
      <c r="AL85" s="344" t="str">
        <f t="shared" si="33"/>
        <v>YA</v>
      </c>
      <c r="AM85" s="338">
        <f t="shared" si="34"/>
        <v>0</v>
      </c>
      <c r="AN85" s="785">
        <f t="shared" si="35"/>
        <v>0</v>
      </c>
      <c r="AO85" s="785"/>
    </row>
    <row r="86" spans="2:41" ht="15" customHeight="1" x14ac:dyDescent="0.25">
      <c r="B86" s="789" t="s">
        <v>10</v>
      </c>
      <c r="C86" s="789"/>
      <c r="D86" s="789"/>
      <c r="E86" s="789"/>
      <c r="F86" s="789"/>
      <c r="G86" s="310">
        <v>20</v>
      </c>
      <c r="H86" s="380">
        <v>40</v>
      </c>
      <c r="R86" s="789" t="s">
        <v>432</v>
      </c>
      <c r="S86" s="789"/>
      <c r="T86" s="789"/>
      <c r="U86" s="789"/>
      <c r="V86" s="789"/>
      <c r="W86" s="370">
        <v>20</v>
      </c>
      <c r="X86" s="337">
        <v>8</v>
      </c>
      <c r="Y86" s="371">
        <f t="shared" si="29"/>
        <v>0</v>
      </c>
      <c r="Z86" s="370"/>
      <c r="AA86" s="337"/>
      <c r="AB86" s="371">
        <f t="shared" si="30"/>
        <v>0</v>
      </c>
      <c r="AC86" s="370"/>
      <c r="AD86" s="336"/>
      <c r="AE86" s="371">
        <f t="shared" si="31"/>
        <v>0</v>
      </c>
      <c r="AF86" s="370"/>
      <c r="AG86" s="337"/>
      <c r="AH86" s="371">
        <f t="shared" si="32"/>
        <v>0</v>
      </c>
      <c r="AI86" s="467"/>
      <c r="AJ86" s="467"/>
      <c r="AK86" s="467"/>
      <c r="AL86" s="344" t="str">
        <f t="shared" si="33"/>
        <v>YA</v>
      </c>
      <c r="AM86" s="338">
        <f t="shared" si="34"/>
        <v>0</v>
      </c>
      <c r="AN86" s="785">
        <f t="shared" si="35"/>
        <v>0</v>
      </c>
      <c r="AO86" s="785"/>
    </row>
    <row r="87" spans="2:41" ht="15" customHeight="1" x14ac:dyDescent="0.25">
      <c r="B87" s="789" t="s">
        <v>9</v>
      </c>
      <c r="C87" s="789"/>
      <c r="D87" s="789"/>
      <c r="E87" s="789"/>
      <c r="F87" s="789"/>
      <c r="G87" s="310">
        <v>30</v>
      </c>
      <c r="H87" s="380">
        <v>70</v>
      </c>
      <c r="R87" s="789" t="s">
        <v>433</v>
      </c>
      <c r="S87" s="789"/>
      <c r="T87" s="789"/>
      <c r="U87" s="789"/>
      <c r="V87" s="789"/>
      <c r="W87" s="370">
        <v>50</v>
      </c>
      <c r="X87" s="337">
        <v>13</v>
      </c>
      <c r="Y87" s="371">
        <f t="shared" si="29"/>
        <v>0</v>
      </c>
      <c r="Z87" s="370">
        <v>20</v>
      </c>
      <c r="AA87" s="337">
        <v>13.5</v>
      </c>
      <c r="AB87" s="371">
        <f t="shared" si="30"/>
        <v>0</v>
      </c>
      <c r="AC87" s="370"/>
      <c r="AD87" s="336"/>
      <c r="AE87" s="371">
        <f t="shared" si="31"/>
        <v>0</v>
      </c>
      <c r="AF87" s="370"/>
      <c r="AG87" s="337"/>
      <c r="AH87" s="371">
        <f t="shared" si="32"/>
        <v>0</v>
      </c>
      <c r="AI87" s="467"/>
      <c r="AJ87" s="467"/>
      <c r="AK87" s="467"/>
      <c r="AL87" s="344" t="str">
        <f t="shared" si="33"/>
        <v>YA</v>
      </c>
      <c r="AM87" s="338">
        <f t="shared" si="34"/>
        <v>0</v>
      </c>
      <c r="AN87" s="785">
        <f t="shared" si="35"/>
        <v>0</v>
      </c>
      <c r="AO87" s="785"/>
    </row>
    <row r="88" spans="2:41" x14ac:dyDescent="0.25">
      <c r="B88" s="789" t="s">
        <v>8</v>
      </c>
      <c r="C88" s="789"/>
      <c r="D88" s="789"/>
      <c r="E88" s="789"/>
      <c r="F88" s="789"/>
      <c r="G88" s="310">
        <v>0</v>
      </c>
      <c r="H88" s="380"/>
      <c r="R88" s="789" t="s">
        <v>434</v>
      </c>
      <c r="S88" s="789"/>
      <c r="T88" s="789"/>
      <c r="U88" s="789"/>
      <c r="V88" s="789"/>
      <c r="W88" s="370"/>
      <c r="X88" s="337"/>
      <c r="Y88" s="371">
        <f t="shared" si="29"/>
        <v>0</v>
      </c>
      <c r="Z88" s="370"/>
      <c r="AA88" s="337"/>
      <c r="AB88" s="371">
        <f t="shared" si="30"/>
        <v>0</v>
      </c>
      <c r="AC88" s="370"/>
      <c r="AD88" s="336"/>
      <c r="AE88" s="371">
        <f t="shared" si="31"/>
        <v>0</v>
      </c>
      <c r="AF88" s="370"/>
      <c r="AG88" s="337"/>
      <c r="AH88" s="371">
        <f t="shared" si="32"/>
        <v>0</v>
      </c>
      <c r="AI88" s="467"/>
      <c r="AJ88" s="467"/>
      <c r="AK88" s="467"/>
      <c r="AL88" s="344" t="str">
        <f t="shared" si="33"/>
        <v>YA</v>
      </c>
      <c r="AM88" s="338">
        <f t="shared" si="34"/>
        <v>0</v>
      </c>
      <c r="AN88" s="785">
        <f t="shared" si="35"/>
        <v>0</v>
      </c>
      <c r="AO88" s="785"/>
    </row>
    <row r="89" spans="2:41" x14ac:dyDescent="0.25">
      <c r="B89" s="789" t="s">
        <v>57</v>
      </c>
      <c r="C89" s="789"/>
      <c r="D89" s="789"/>
      <c r="E89" s="789"/>
      <c r="F89" s="789"/>
      <c r="G89" s="310">
        <v>30</v>
      </c>
      <c r="H89" s="380">
        <v>60</v>
      </c>
      <c r="R89" s="789" t="s">
        <v>435</v>
      </c>
      <c r="S89" s="789"/>
      <c r="T89" s="789"/>
      <c r="U89" s="789"/>
      <c r="V89" s="789"/>
      <c r="W89" s="370">
        <v>10</v>
      </c>
      <c r="X89" s="337">
        <v>15.83</v>
      </c>
      <c r="Y89" s="371">
        <f t="shared" si="29"/>
        <v>0</v>
      </c>
      <c r="Z89" s="370"/>
      <c r="AA89" s="337"/>
      <c r="AB89" s="371">
        <f t="shared" si="30"/>
        <v>0</v>
      </c>
      <c r="AC89" s="370"/>
      <c r="AD89" s="336"/>
      <c r="AE89" s="371">
        <f t="shared" si="31"/>
        <v>0</v>
      </c>
      <c r="AF89" s="370"/>
      <c r="AG89" s="337"/>
      <c r="AH89" s="371">
        <f t="shared" si="32"/>
        <v>0</v>
      </c>
      <c r="AI89" s="467"/>
      <c r="AJ89" s="467"/>
      <c r="AK89" s="467"/>
      <c r="AL89" s="344" t="str">
        <f t="shared" si="33"/>
        <v>YA</v>
      </c>
      <c r="AM89" s="338">
        <f t="shared" si="34"/>
        <v>0</v>
      </c>
      <c r="AN89" s="785">
        <f t="shared" si="35"/>
        <v>0</v>
      </c>
      <c r="AO89" s="785"/>
    </row>
    <row r="90" spans="2:41" x14ac:dyDescent="0.25">
      <c r="B90" s="789" t="s">
        <v>51</v>
      </c>
      <c r="C90" s="789"/>
      <c r="D90" s="789"/>
      <c r="E90" s="789"/>
      <c r="F90" s="789"/>
      <c r="G90" s="310">
        <v>0</v>
      </c>
      <c r="R90" s="789" t="s">
        <v>436</v>
      </c>
      <c r="S90" s="789"/>
      <c r="T90" s="789"/>
      <c r="U90" s="789"/>
      <c r="V90" s="789"/>
      <c r="W90" s="370"/>
      <c r="X90" s="337"/>
      <c r="Y90" s="371">
        <f t="shared" si="29"/>
        <v>0</v>
      </c>
      <c r="Z90" s="370"/>
      <c r="AA90" s="337"/>
      <c r="AB90" s="371">
        <f t="shared" si="30"/>
        <v>0</v>
      </c>
      <c r="AC90" s="370"/>
      <c r="AD90" s="336"/>
      <c r="AE90" s="371">
        <f t="shared" si="31"/>
        <v>0</v>
      </c>
      <c r="AF90" s="370"/>
      <c r="AG90" s="337"/>
      <c r="AH90" s="371">
        <f t="shared" si="32"/>
        <v>0</v>
      </c>
      <c r="AI90" s="467"/>
      <c r="AJ90" s="467"/>
      <c r="AK90" s="467"/>
      <c r="AL90" s="344" t="str">
        <f t="shared" si="33"/>
        <v>YA</v>
      </c>
      <c r="AM90" s="338">
        <f t="shared" si="34"/>
        <v>0</v>
      </c>
      <c r="AN90" s="785">
        <f t="shared" si="35"/>
        <v>0</v>
      </c>
      <c r="AO90" s="785"/>
    </row>
    <row r="91" spans="2:41" x14ac:dyDescent="0.25">
      <c r="R91" s="789" t="s">
        <v>437</v>
      </c>
      <c r="S91" s="789"/>
      <c r="T91" s="789"/>
      <c r="U91" s="789"/>
      <c r="V91" s="789"/>
      <c r="W91" s="370">
        <v>10</v>
      </c>
      <c r="X91" s="337">
        <v>10.59</v>
      </c>
      <c r="Y91" s="371">
        <f t="shared" ref="Y91:Y104" si="36">IF(AK91 &lt; AF91+AC91+Z91+W91, MIN(AC91+AF91+Z91+W91-AK91,AI91-AH91-AE91-AB91,W91),0)</f>
        <v>0</v>
      </c>
      <c r="Z91" s="370">
        <v>10</v>
      </c>
      <c r="AA91" s="337">
        <v>5.58</v>
      </c>
      <c r="AB91" s="371">
        <f t="shared" ref="AB91:AB104" si="37">IF(AK91 &lt; AF91+AC91+Z91, MIN(AC91+AF91+Z91-AK91,AI91-AH91-AE91,Z91),0)</f>
        <v>0</v>
      </c>
      <c r="AC91" s="370"/>
      <c r="AD91" s="336"/>
      <c r="AE91" s="371">
        <f t="shared" ref="AE91:AE104" si="38">IF(AK91 &lt; AF91+AC91, MIN(AC91+AF91-AK91,AI91-AH91,AC91),0)</f>
        <v>0</v>
      </c>
      <c r="AF91" s="370"/>
      <c r="AG91" s="337"/>
      <c r="AH91" s="371">
        <f t="shared" ref="AH91:AH104" si="39">IF(AK91 &lt;=AF91, MIN(AF91-AK91,AI91), 0)</f>
        <v>0</v>
      </c>
      <c r="AI91" s="467"/>
      <c r="AJ91" s="467"/>
      <c r="AK91" s="467"/>
      <c r="AL91" s="344" t="str">
        <f t="shared" ref="AL91:AL104" si="40">IF(OR((W91+Z91+AC91+AF91) &gt;= (AI91+AK91), AI91 = 0), "YA", "MAS")</f>
        <v>YA</v>
      </c>
      <c r="AM91" s="338">
        <f t="shared" ref="AM91:AM104" si="41">IF(AI91=0,0,AH91*AG91+AE91*AD91+AB91*AA91+Y91*X91)</f>
        <v>0</v>
      </c>
      <c r="AN91" s="785">
        <f t="shared" ref="AN91:AN104" si="42">AJ91-AM91</f>
        <v>0</v>
      </c>
      <c r="AO91" s="785"/>
    </row>
    <row r="92" spans="2:41" x14ac:dyDescent="0.25">
      <c r="R92" s="789" t="s">
        <v>438</v>
      </c>
      <c r="S92" s="789"/>
      <c r="T92" s="789"/>
      <c r="U92" s="789"/>
      <c r="V92" s="789"/>
      <c r="W92" s="370">
        <v>15</v>
      </c>
      <c r="X92" s="337">
        <v>8.33</v>
      </c>
      <c r="Y92" s="371">
        <f t="shared" si="36"/>
        <v>0</v>
      </c>
      <c r="Z92" s="370">
        <v>10</v>
      </c>
      <c r="AA92" s="337">
        <v>5.05</v>
      </c>
      <c r="AB92" s="371">
        <f t="shared" si="37"/>
        <v>0</v>
      </c>
      <c r="AC92" s="370"/>
      <c r="AD92" s="336"/>
      <c r="AE92" s="371">
        <f t="shared" si="38"/>
        <v>0</v>
      </c>
      <c r="AF92" s="370"/>
      <c r="AG92" s="337"/>
      <c r="AH92" s="371">
        <f t="shared" si="39"/>
        <v>0</v>
      </c>
      <c r="AI92" s="467"/>
      <c r="AJ92" s="467"/>
      <c r="AK92" s="467"/>
      <c r="AL92" s="344" t="str">
        <f t="shared" si="40"/>
        <v>YA</v>
      </c>
      <c r="AM92" s="338">
        <f t="shared" si="41"/>
        <v>0</v>
      </c>
      <c r="AN92" s="785">
        <f t="shared" si="42"/>
        <v>0</v>
      </c>
      <c r="AO92" s="785"/>
    </row>
    <row r="93" spans="2:41" x14ac:dyDescent="0.25">
      <c r="R93" s="789" t="s">
        <v>439</v>
      </c>
      <c r="S93" s="789"/>
      <c r="T93" s="789"/>
      <c r="U93" s="789"/>
      <c r="V93" s="789"/>
      <c r="W93" s="370">
        <v>10</v>
      </c>
      <c r="X93" s="336">
        <v>9.92</v>
      </c>
      <c r="Y93" s="371">
        <f t="shared" si="36"/>
        <v>0</v>
      </c>
      <c r="Z93" s="370">
        <v>6</v>
      </c>
      <c r="AA93" s="337">
        <v>11.8</v>
      </c>
      <c r="AB93" s="371">
        <f t="shared" si="37"/>
        <v>0</v>
      </c>
      <c r="AC93" s="370">
        <v>10</v>
      </c>
      <c r="AD93" s="336">
        <v>7.75</v>
      </c>
      <c r="AE93" s="371">
        <f t="shared" si="38"/>
        <v>-30</v>
      </c>
      <c r="AF93" s="370">
        <v>30</v>
      </c>
      <c r="AG93" s="337">
        <v>6.73</v>
      </c>
      <c r="AH93" s="371">
        <f t="shared" si="39"/>
        <v>30</v>
      </c>
      <c r="AI93" s="467"/>
      <c r="AJ93" s="467"/>
      <c r="AK93" s="467"/>
      <c r="AL93" s="344" t="str">
        <f t="shared" si="40"/>
        <v>YA</v>
      </c>
      <c r="AM93" s="338">
        <f t="shared" si="41"/>
        <v>0</v>
      </c>
      <c r="AN93" s="785">
        <f t="shared" si="42"/>
        <v>0</v>
      </c>
      <c r="AO93" s="785"/>
    </row>
    <row r="94" spans="2:41" x14ac:dyDescent="0.25">
      <c r="R94" s="789" t="s">
        <v>440</v>
      </c>
      <c r="S94" s="789"/>
      <c r="T94" s="789"/>
      <c r="U94" s="789"/>
      <c r="V94" s="789"/>
      <c r="W94" s="370">
        <v>10</v>
      </c>
      <c r="X94" s="336">
        <v>7.26</v>
      </c>
      <c r="Y94" s="371">
        <f t="shared" si="36"/>
        <v>0</v>
      </c>
      <c r="Z94" s="370">
        <v>15</v>
      </c>
      <c r="AA94" s="337">
        <v>7.56</v>
      </c>
      <c r="AB94" s="371">
        <f t="shared" si="37"/>
        <v>0</v>
      </c>
      <c r="AC94" s="370"/>
      <c r="AD94" s="336"/>
      <c r="AE94" s="371">
        <f t="shared" si="38"/>
        <v>0</v>
      </c>
      <c r="AF94" s="370"/>
      <c r="AG94" s="337"/>
      <c r="AH94" s="371">
        <f t="shared" si="39"/>
        <v>0</v>
      </c>
      <c r="AI94" s="467"/>
      <c r="AJ94" s="467"/>
      <c r="AK94" s="467"/>
      <c r="AL94" s="344" t="str">
        <f t="shared" si="40"/>
        <v>YA</v>
      </c>
      <c r="AM94" s="338">
        <f t="shared" si="41"/>
        <v>0</v>
      </c>
      <c r="AN94" s="785">
        <f t="shared" si="42"/>
        <v>0</v>
      </c>
      <c r="AO94" s="785"/>
    </row>
    <row r="95" spans="2:41" x14ac:dyDescent="0.25">
      <c r="R95" s="789" t="s">
        <v>441</v>
      </c>
      <c r="S95" s="789"/>
      <c r="T95" s="789"/>
      <c r="U95" s="789"/>
      <c r="V95" s="789"/>
      <c r="W95" s="370">
        <v>5</v>
      </c>
      <c r="X95" s="337">
        <v>18.29</v>
      </c>
      <c r="Y95" s="371">
        <f t="shared" si="36"/>
        <v>0</v>
      </c>
      <c r="Z95" s="370"/>
      <c r="AA95" s="337"/>
      <c r="AB95" s="371">
        <f t="shared" si="37"/>
        <v>0</v>
      </c>
      <c r="AC95" s="370"/>
      <c r="AD95" s="336"/>
      <c r="AE95" s="371">
        <f t="shared" si="38"/>
        <v>0</v>
      </c>
      <c r="AF95" s="370"/>
      <c r="AG95" s="337"/>
      <c r="AH95" s="371">
        <f t="shared" si="39"/>
        <v>0</v>
      </c>
      <c r="AI95" s="467"/>
      <c r="AJ95" s="467"/>
      <c r="AK95" s="467"/>
      <c r="AL95" s="344" t="str">
        <f t="shared" si="40"/>
        <v>YA</v>
      </c>
      <c r="AM95" s="338">
        <f t="shared" si="41"/>
        <v>0</v>
      </c>
      <c r="AN95" s="785">
        <f t="shared" si="42"/>
        <v>0</v>
      </c>
      <c r="AO95" s="785"/>
    </row>
    <row r="96" spans="2:41" x14ac:dyDescent="0.25">
      <c r="R96" s="789" t="s">
        <v>442</v>
      </c>
      <c r="S96" s="789"/>
      <c r="T96" s="789"/>
      <c r="U96" s="789"/>
      <c r="V96" s="789"/>
      <c r="W96" s="370">
        <v>5</v>
      </c>
      <c r="X96" s="337">
        <v>19.510000000000002</v>
      </c>
      <c r="Y96" s="371">
        <f t="shared" si="36"/>
        <v>0</v>
      </c>
      <c r="Z96" s="370"/>
      <c r="AA96" s="337"/>
      <c r="AB96" s="371">
        <f t="shared" si="37"/>
        <v>0</v>
      </c>
      <c r="AC96" s="370"/>
      <c r="AD96" s="336"/>
      <c r="AE96" s="371">
        <f t="shared" si="38"/>
        <v>0</v>
      </c>
      <c r="AF96" s="370"/>
      <c r="AG96" s="337"/>
      <c r="AH96" s="371">
        <f t="shared" si="39"/>
        <v>0</v>
      </c>
      <c r="AI96" s="467"/>
      <c r="AJ96" s="467"/>
      <c r="AK96" s="467"/>
      <c r="AL96" s="344" t="str">
        <f t="shared" si="40"/>
        <v>YA</v>
      </c>
      <c r="AM96" s="338">
        <f t="shared" si="41"/>
        <v>0</v>
      </c>
      <c r="AN96" s="785">
        <f t="shared" si="42"/>
        <v>0</v>
      </c>
      <c r="AO96" s="785"/>
    </row>
    <row r="97" spans="18:41" x14ac:dyDescent="0.25">
      <c r="R97" s="789" t="s">
        <v>443</v>
      </c>
      <c r="S97" s="789"/>
      <c r="T97" s="789"/>
      <c r="U97" s="789"/>
      <c r="V97" s="789"/>
      <c r="W97" s="370">
        <v>5</v>
      </c>
      <c r="X97" s="337">
        <v>13</v>
      </c>
      <c r="Y97" s="371">
        <f t="shared" ref="Y97" si="43">IF(AK97 &lt; AF97+AC97+Z97+W97, MIN(AC97+AF97+Z97+W97-AK97,AI97-AH97-AE97-AB97,W97),0)</f>
        <v>0</v>
      </c>
      <c r="Z97" s="370">
        <v>20</v>
      </c>
      <c r="AA97" s="337">
        <v>12.25</v>
      </c>
      <c r="AB97" s="371">
        <f t="shared" ref="AB97" si="44">IF(AK97 &lt; AF97+AC97+Z97, MIN(AC97+AF97+Z97-AK97,AI97-AH97-AE97,Z97),0)</f>
        <v>0</v>
      </c>
      <c r="AC97" s="370">
        <v>50</v>
      </c>
      <c r="AD97" s="336">
        <v>9.73</v>
      </c>
      <c r="AE97" s="371">
        <f t="shared" ref="AE97" si="45">IF(AK97 &lt; AF97+AC97, MIN(AC97+AF97-AK97,AI97-AH97,AC97),0)</f>
        <v>4</v>
      </c>
      <c r="AF97" s="370"/>
      <c r="AG97" s="337"/>
      <c r="AH97" s="371">
        <f t="shared" ref="AH97" si="46">IF(AK97 &lt;=AF97, MIN(AF97-AK97,AI97), 0)</f>
        <v>0</v>
      </c>
      <c r="AI97" s="467">
        <v>4</v>
      </c>
      <c r="AJ97" s="467">
        <v>46.71</v>
      </c>
      <c r="AK97" s="467"/>
      <c r="AL97" s="494" t="str">
        <f t="shared" ref="AL97" si="47">IF(OR((W97+Z97+AC97+AF97) &gt;= (AI97+AK97), AI97 = 0), "YA", "MAS")</f>
        <v>YA</v>
      </c>
      <c r="AM97" s="338">
        <f t="shared" ref="AM97" si="48">IF(AI97=0,0,AH97*AG97+AE97*AD97+AB97*AA97+Y97*X97)</f>
        <v>38.92</v>
      </c>
      <c r="AN97" s="785">
        <f t="shared" ref="AN97" si="49">AJ97-AM97</f>
        <v>7.7899999999999991</v>
      </c>
      <c r="AO97" s="785"/>
    </row>
    <row r="98" spans="18:41" x14ac:dyDescent="0.25">
      <c r="R98" s="789" t="s">
        <v>618</v>
      </c>
      <c r="S98" s="789"/>
      <c r="T98" s="789"/>
      <c r="U98" s="789"/>
      <c r="V98" s="789"/>
      <c r="W98" s="370">
        <v>10</v>
      </c>
      <c r="X98" s="337">
        <v>15.54</v>
      </c>
      <c r="Y98" s="371">
        <f t="shared" si="36"/>
        <v>5</v>
      </c>
      <c r="Z98" s="370"/>
      <c r="AA98" s="337"/>
      <c r="AB98" s="371">
        <f t="shared" si="37"/>
        <v>0</v>
      </c>
      <c r="AC98" s="370"/>
      <c r="AD98" s="336"/>
      <c r="AE98" s="371">
        <f t="shared" si="38"/>
        <v>0</v>
      </c>
      <c r="AF98" s="370"/>
      <c r="AG98" s="337"/>
      <c r="AH98" s="371">
        <f t="shared" si="39"/>
        <v>0</v>
      </c>
      <c r="AI98" s="467">
        <v>5</v>
      </c>
      <c r="AJ98" s="467">
        <v>110</v>
      </c>
      <c r="AK98" s="467"/>
      <c r="AL98" s="408" t="str">
        <f t="shared" si="40"/>
        <v>YA</v>
      </c>
      <c r="AM98" s="338">
        <f t="shared" si="41"/>
        <v>77.699999999999989</v>
      </c>
      <c r="AN98" s="785">
        <f t="shared" si="42"/>
        <v>32.300000000000011</v>
      </c>
      <c r="AO98" s="785"/>
    </row>
    <row r="99" spans="18:41" x14ac:dyDescent="0.25">
      <c r="R99" s="786" t="s">
        <v>484</v>
      </c>
      <c r="S99" s="787"/>
      <c r="T99" s="787"/>
      <c r="U99" s="787"/>
      <c r="V99" s="788"/>
      <c r="W99" s="370">
        <v>10</v>
      </c>
      <c r="X99" s="337">
        <v>10.56</v>
      </c>
      <c r="Y99" s="371">
        <f t="shared" si="36"/>
        <v>0</v>
      </c>
      <c r="Z99" s="370"/>
      <c r="AA99" s="337"/>
      <c r="AB99" s="371">
        <f t="shared" si="37"/>
        <v>0</v>
      </c>
      <c r="AC99" s="370"/>
      <c r="AD99" s="336"/>
      <c r="AE99" s="371">
        <f t="shared" si="38"/>
        <v>0</v>
      </c>
      <c r="AF99" s="370"/>
      <c r="AG99" s="337"/>
      <c r="AH99" s="371">
        <f t="shared" si="39"/>
        <v>0</v>
      </c>
      <c r="AI99" s="467"/>
      <c r="AJ99" s="467"/>
      <c r="AK99" s="467"/>
      <c r="AL99" s="408" t="str">
        <f t="shared" si="40"/>
        <v>YA</v>
      </c>
      <c r="AM99" s="338">
        <f t="shared" si="41"/>
        <v>0</v>
      </c>
      <c r="AN99" s="785">
        <f t="shared" si="42"/>
        <v>0</v>
      </c>
      <c r="AO99" s="785"/>
    </row>
    <row r="100" spans="18:41" x14ac:dyDescent="0.25">
      <c r="R100" s="786" t="s">
        <v>482</v>
      </c>
      <c r="S100" s="787"/>
      <c r="T100" s="787"/>
      <c r="U100" s="787"/>
      <c r="V100" s="788"/>
      <c r="W100" s="370">
        <v>10</v>
      </c>
      <c r="X100" s="337">
        <v>12.5</v>
      </c>
      <c r="Y100" s="371">
        <f t="shared" si="36"/>
        <v>0</v>
      </c>
      <c r="Z100" s="370"/>
      <c r="AA100" s="337"/>
      <c r="AB100" s="371">
        <f t="shared" si="37"/>
        <v>0</v>
      </c>
      <c r="AC100" s="370"/>
      <c r="AD100" s="336"/>
      <c r="AE100" s="371">
        <f t="shared" si="38"/>
        <v>0</v>
      </c>
      <c r="AF100" s="370"/>
      <c r="AG100" s="337"/>
      <c r="AH100" s="371">
        <f t="shared" si="39"/>
        <v>0</v>
      </c>
      <c r="AI100" s="467"/>
      <c r="AJ100" s="467"/>
      <c r="AK100" s="467"/>
      <c r="AL100" s="408" t="str">
        <f t="shared" si="40"/>
        <v>YA</v>
      </c>
      <c r="AM100" s="338">
        <f t="shared" si="41"/>
        <v>0</v>
      </c>
      <c r="AN100" s="785">
        <f t="shared" si="42"/>
        <v>0</v>
      </c>
      <c r="AO100" s="785"/>
    </row>
    <row r="101" spans="18:41" x14ac:dyDescent="0.25">
      <c r="R101" s="786" t="s">
        <v>483</v>
      </c>
      <c r="S101" s="787"/>
      <c r="T101" s="787"/>
      <c r="U101" s="787"/>
      <c r="V101" s="788"/>
      <c r="W101" s="370">
        <v>5</v>
      </c>
      <c r="X101" s="337">
        <v>25.61</v>
      </c>
      <c r="Y101" s="371">
        <f t="shared" si="36"/>
        <v>0</v>
      </c>
      <c r="Z101" s="370"/>
      <c r="AA101" s="337"/>
      <c r="AB101" s="371">
        <f t="shared" si="37"/>
        <v>0</v>
      </c>
      <c r="AC101" s="370"/>
      <c r="AD101" s="336"/>
      <c r="AE101" s="371">
        <f t="shared" si="38"/>
        <v>0</v>
      </c>
      <c r="AF101" s="370"/>
      <c r="AG101" s="337"/>
      <c r="AH101" s="371">
        <f t="shared" si="39"/>
        <v>0</v>
      </c>
      <c r="AI101" s="467"/>
      <c r="AJ101" s="467"/>
      <c r="AK101" s="467"/>
      <c r="AL101" s="408" t="str">
        <f t="shared" si="40"/>
        <v>YA</v>
      </c>
      <c r="AM101" s="338">
        <f t="shared" si="41"/>
        <v>0</v>
      </c>
      <c r="AN101" s="790">
        <f t="shared" si="42"/>
        <v>0</v>
      </c>
      <c r="AO101" s="791"/>
    </row>
    <row r="102" spans="18:41" x14ac:dyDescent="0.25">
      <c r="R102" s="786" t="s">
        <v>629</v>
      </c>
      <c r="S102" s="787"/>
      <c r="T102" s="787"/>
      <c r="U102" s="787"/>
      <c r="V102" s="788"/>
      <c r="W102" s="370">
        <v>10</v>
      </c>
      <c r="X102" s="337">
        <v>5.88</v>
      </c>
      <c r="Y102" s="371">
        <f t="shared" ref="Y102:Y103" si="50">IF(AK102 &lt; AF102+AC102+Z102+W102, MIN(AC102+AF102+Z102+W102-AK102,AI102-AH102-AE102-AB102,W102),0)</f>
        <v>0</v>
      </c>
      <c r="Z102" s="370"/>
      <c r="AA102" s="337"/>
      <c r="AB102" s="371">
        <f t="shared" ref="AB102:AB103" si="51">IF(AK102 &lt; AF102+AC102+Z102, MIN(AC102+AF102+Z102-AK102,AI102-AH102-AE102,Z102),0)</f>
        <v>0</v>
      </c>
      <c r="AC102" s="370"/>
      <c r="AD102" s="336"/>
      <c r="AE102" s="371">
        <f t="shared" ref="AE102:AE103" si="52">IF(AK102 &lt; AF102+AC102, MIN(AC102+AF102-AK102,AI102-AH102,AC102),0)</f>
        <v>0</v>
      </c>
      <c r="AF102" s="370"/>
      <c r="AG102" s="337"/>
      <c r="AH102" s="371">
        <f t="shared" ref="AH102:AH103" si="53">IF(AK102 &lt;=AF102, MIN(AF102-AK102,AI102), 0)</f>
        <v>0</v>
      </c>
      <c r="AI102" s="467"/>
      <c r="AJ102" s="467"/>
      <c r="AK102" s="467"/>
      <c r="AL102" s="502" t="str">
        <f t="shared" ref="AL102:AL103" si="54">IF(OR((W102+Z102+AC102+AF102) &gt;= (AI102+AK102), AI102 = 0), "YA", "MAS")</f>
        <v>YA</v>
      </c>
      <c r="AM102" s="338">
        <f t="shared" ref="AM102:AM103" si="55">IF(AI102=0,0,AH102*AG102+AE102*AD102+AB102*AA102+Y102*X102)</f>
        <v>0</v>
      </c>
      <c r="AN102" s="790">
        <f t="shared" ref="AN102:AN103" si="56">AJ102-AM102</f>
        <v>0</v>
      </c>
      <c r="AO102" s="791"/>
    </row>
    <row r="103" spans="18:41" x14ac:dyDescent="0.25">
      <c r="R103" s="786" t="s">
        <v>630</v>
      </c>
      <c r="S103" s="787"/>
      <c r="T103" s="787"/>
      <c r="U103" s="787"/>
      <c r="V103" s="788"/>
      <c r="W103" s="370">
        <v>10</v>
      </c>
      <c r="X103" s="337">
        <v>6.42</v>
      </c>
      <c r="Y103" s="371">
        <f t="shared" si="50"/>
        <v>0</v>
      </c>
      <c r="Z103" s="370"/>
      <c r="AA103" s="337"/>
      <c r="AB103" s="371">
        <f t="shared" si="51"/>
        <v>0</v>
      </c>
      <c r="AC103" s="370"/>
      <c r="AD103" s="336"/>
      <c r="AE103" s="371">
        <f t="shared" si="52"/>
        <v>0</v>
      </c>
      <c r="AF103" s="370"/>
      <c r="AG103" s="337"/>
      <c r="AH103" s="371">
        <f t="shared" si="53"/>
        <v>0</v>
      </c>
      <c r="AI103" s="467"/>
      <c r="AJ103" s="467"/>
      <c r="AK103" s="467"/>
      <c r="AL103" s="502" t="str">
        <f t="shared" si="54"/>
        <v>YA</v>
      </c>
      <c r="AM103" s="338">
        <f t="shared" si="55"/>
        <v>0</v>
      </c>
      <c r="AN103" s="790">
        <f t="shared" si="56"/>
        <v>0</v>
      </c>
      <c r="AO103" s="791"/>
    </row>
    <row r="104" spans="18:41" x14ac:dyDescent="0.25">
      <c r="R104" s="786" t="s">
        <v>485</v>
      </c>
      <c r="S104" s="787"/>
      <c r="T104" s="787"/>
      <c r="U104" s="787"/>
      <c r="V104" s="788"/>
      <c r="W104" s="370">
        <v>10</v>
      </c>
      <c r="X104" s="337">
        <v>67</v>
      </c>
      <c r="Y104" s="371">
        <f t="shared" si="36"/>
        <v>0</v>
      </c>
      <c r="Z104" s="370"/>
      <c r="AA104" s="337"/>
      <c r="AB104" s="371">
        <f t="shared" si="37"/>
        <v>0</v>
      </c>
      <c r="AC104" s="370"/>
      <c r="AD104" s="336"/>
      <c r="AE104" s="371">
        <f t="shared" si="38"/>
        <v>0</v>
      </c>
      <c r="AF104" s="370"/>
      <c r="AG104" s="337"/>
      <c r="AH104" s="371">
        <f t="shared" si="39"/>
        <v>0</v>
      </c>
      <c r="AI104" s="467"/>
      <c r="AJ104" s="467"/>
      <c r="AK104" s="467"/>
      <c r="AL104" s="408" t="str">
        <f t="shared" si="40"/>
        <v>YA</v>
      </c>
      <c r="AM104" s="338">
        <f t="shared" si="41"/>
        <v>0</v>
      </c>
      <c r="AN104" s="790">
        <f t="shared" si="42"/>
        <v>0</v>
      </c>
      <c r="AO104" s="791"/>
    </row>
    <row r="105" spans="18:41" ht="18.75" x14ac:dyDescent="0.25">
      <c r="R105" s="332"/>
      <c r="S105" s="332"/>
      <c r="T105" s="332"/>
      <c r="U105" s="332"/>
      <c r="V105" s="332"/>
      <c r="W105" s="333"/>
      <c r="X105" s="331"/>
      <c r="Y105" s="331"/>
      <c r="Z105" s="331"/>
      <c r="AA105" s="331"/>
      <c r="AJ105" s="379">
        <f>SUM(AJ75:AJ104)</f>
        <v>175.71</v>
      </c>
      <c r="AK105" s="339"/>
      <c r="AM105" s="379">
        <f>SUM(AM75:AM104)</f>
        <v>129.62</v>
      </c>
      <c r="AN105" s="377">
        <f>SUM(AN75:AN104)</f>
        <v>46.090000000000011</v>
      </c>
      <c r="AO105" s="378">
        <f>AN105/AM105</f>
        <v>0.35557784292547451</v>
      </c>
    </row>
    <row r="106" spans="18:41" x14ac:dyDescent="0.25">
      <c r="R106" s="340"/>
    </row>
    <row r="107" spans="18:41" ht="44.25" customHeight="1" x14ac:dyDescent="0.25">
      <c r="R107" s="795" t="s">
        <v>444</v>
      </c>
      <c r="S107" s="796"/>
      <c r="T107" s="796"/>
      <c r="U107" s="796"/>
      <c r="V107" s="796"/>
      <c r="W107" s="796"/>
      <c r="X107" s="796"/>
      <c r="Y107" s="796"/>
      <c r="Z107" s="796"/>
      <c r="AA107" s="796"/>
      <c r="AB107" s="796"/>
      <c r="AC107" s="796"/>
      <c r="AD107" s="796"/>
      <c r="AE107" s="796"/>
      <c r="AF107" s="796"/>
      <c r="AG107" s="796"/>
      <c r="AH107" s="796"/>
      <c r="AI107" s="796"/>
      <c r="AJ107" s="796"/>
      <c r="AK107" s="796"/>
      <c r="AL107" s="796"/>
      <c r="AM107" s="796"/>
      <c r="AN107" s="796"/>
      <c r="AO107" s="797"/>
    </row>
    <row r="108" spans="18:41" ht="18.75" x14ac:dyDescent="0.25">
      <c r="R108" s="792" t="s">
        <v>2</v>
      </c>
      <c r="S108" s="792"/>
      <c r="T108" s="792"/>
      <c r="U108" s="792"/>
      <c r="V108" s="792"/>
      <c r="W108" s="372" t="s">
        <v>378</v>
      </c>
      <c r="X108" s="344" t="s">
        <v>379</v>
      </c>
      <c r="Y108" s="373" t="s">
        <v>377</v>
      </c>
      <c r="Z108" s="372" t="s">
        <v>368</v>
      </c>
      <c r="AA108" s="344" t="s">
        <v>369</v>
      </c>
      <c r="AB108" s="373" t="s">
        <v>373</v>
      </c>
      <c r="AC108" s="372" t="s">
        <v>370</v>
      </c>
      <c r="AD108" s="344" t="s">
        <v>371</v>
      </c>
      <c r="AE108" s="373" t="s">
        <v>374</v>
      </c>
      <c r="AF108" s="372" t="s">
        <v>372</v>
      </c>
      <c r="AG108" s="344" t="s">
        <v>380</v>
      </c>
      <c r="AH108" s="373" t="s">
        <v>375</v>
      </c>
      <c r="AI108" s="382" t="s">
        <v>78</v>
      </c>
      <c r="AJ108" s="382" t="s">
        <v>382</v>
      </c>
      <c r="AK108" s="382" t="s">
        <v>376</v>
      </c>
      <c r="AL108" s="344" t="s">
        <v>383</v>
      </c>
      <c r="AM108" s="344" t="s">
        <v>381</v>
      </c>
      <c r="AN108" s="794" t="s">
        <v>384</v>
      </c>
      <c r="AO108" s="794"/>
    </row>
    <row r="109" spans="18:41" x14ac:dyDescent="0.25">
      <c r="R109" s="789" t="s">
        <v>445</v>
      </c>
      <c r="S109" s="789"/>
      <c r="T109" s="789"/>
      <c r="U109" s="789"/>
      <c r="V109" s="789"/>
      <c r="W109" s="370">
        <v>6</v>
      </c>
      <c r="X109" s="336">
        <v>120</v>
      </c>
      <c r="Y109" s="371">
        <f t="shared" ref="Y109:Y121" si="57">IF(AK109 &lt; AF109+AC109+Z109+W109, MIN(AC109+AF109+Z109+W109-AK109,AI109-AH109-AE109-AB109,W109),0)</f>
        <v>0</v>
      </c>
      <c r="Z109" s="370">
        <v>7</v>
      </c>
      <c r="AA109" s="336">
        <v>100</v>
      </c>
      <c r="AB109" s="371">
        <f t="shared" ref="AB109:AB121" si="58">IF(AK109 &lt; AF109+AC109+Z109, MIN(AC109+AF109+Z109-AK109,AI109-AH109-AE109,Z109),0)</f>
        <v>1</v>
      </c>
      <c r="AC109" s="370"/>
      <c r="AD109" s="336"/>
      <c r="AE109" s="371">
        <f t="shared" ref="AE109:AE121" si="59">IF(AK109 &lt; AF109+AC109, MIN(AC109+AF109-AK109,AI109-AH109,AC109),0)</f>
        <v>0</v>
      </c>
      <c r="AF109" s="370"/>
      <c r="AG109" s="336"/>
      <c r="AH109" s="371">
        <f t="shared" ref="AH109:AH121" si="60">IF(AK109 &lt;=AF109, MIN(AF109-AK109,AI109), 0)</f>
        <v>0</v>
      </c>
      <c r="AI109" s="467">
        <v>1</v>
      </c>
      <c r="AJ109" s="467">
        <v>125</v>
      </c>
      <c r="AK109" s="467"/>
      <c r="AL109" s="344" t="str">
        <f t="shared" ref="AL109:AL121" si="61">IF(OR((W109+Z109+AC109+AF109) &gt;= (AI109+AK109), AI109 = 0), "YA", "MAS")</f>
        <v>YA</v>
      </c>
      <c r="AM109" s="338">
        <f t="shared" ref="AM109:AM121" si="62">IF(AI109=0,0,AH109*AG109+AE109*AD109+AB109*AA109+Y109*X109)</f>
        <v>100</v>
      </c>
      <c r="AN109" s="785">
        <f t="shared" ref="AN109:AN121" si="63">AJ109-AM109</f>
        <v>25</v>
      </c>
      <c r="AO109" s="785"/>
    </row>
    <row r="110" spans="18:41" x14ac:dyDescent="0.25">
      <c r="R110" s="789" t="s">
        <v>446</v>
      </c>
      <c r="S110" s="789"/>
      <c r="T110" s="789"/>
      <c r="U110" s="789"/>
      <c r="V110" s="789"/>
      <c r="W110" s="370">
        <v>6</v>
      </c>
      <c r="X110" s="334">
        <v>65</v>
      </c>
      <c r="Y110" s="371">
        <f t="shared" si="57"/>
        <v>1</v>
      </c>
      <c r="Z110" s="370"/>
      <c r="AA110" s="336"/>
      <c r="AB110" s="371">
        <f t="shared" si="58"/>
        <v>0</v>
      </c>
      <c r="AC110" s="370"/>
      <c r="AD110" s="336"/>
      <c r="AE110" s="371">
        <f t="shared" si="59"/>
        <v>0</v>
      </c>
      <c r="AF110" s="370"/>
      <c r="AG110" s="336"/>
      <c r="AH110" s="371">
        <f t="shared" si="60"/>
        <v>0</v>
      </c>
      <c r="AI110" s="467">
        <v>1</v>
      </c>
      <c r="AJ110" s="467">
        <v>80</v>
      </c>
      <c r="AK110" s="467"/>
      <c r="AL110" s="344" t="str">
        <f t="shared" si="61"/>
        <v>YA</v>
      </c>
      <c r="AM110" s="338">
        <f t="shared" si="62"/>
        <v>65</v>
      </c>
      <c r="AN110" s="785">
        <f t="shared" si="63"/>
        <v>15</v>
      </c>
      <c r="AO110" s="785"/>
    </row>
    <row r="111" spans="18:41" x14ac:dyDescent="0.25">
      <c r="R111" s="789" t="s">
        <v>725</v>
      </c>
      <c r="S111" s="789"/>
      <c r="T111" s="789"/>
      <c r="U111" s="789"/>
      <c r="V111" s="789"/>
      <c r="W111" s="370">
        <v>5</v>
      </c>
      <c r="X111" s="334">
        <v>60</v>
      </c>
      <c r="Y111" s="371">
        <f t="shared" ref="Y111" si="64">IF(AK111 &lt; AF111+AC111+Z111+W111, MIN(AC111+AF111+Z111+W111-AK111,AI111-AH111-AE111-AB111,W111),0)</f>
        <v>0</v>
      </c>
      <c r="Z111" s="370">
        <v>6</v>
      </c>
      <c r="AA111" s="336">
        <v>55</v>
      </c>
      <c r="AB111" s="371">
        <f t="shared" ref="AB111" si="65">IF(AK111 &lt; AF111+AC111+Z111, MIN(AC111+AF111+Z111-AK111,AI111-AH111-AE111,Z111),0)</f>
        <v>0</v>
      </c>
      <c r="AC111" s="370"/>
      <c r="AD111" s="336"/>
      <c r="AE111" s="371">
        <f t="shared" ref="AE111" si="66">IF(AK111 &lt; AF111+AC111, MIN(AC111+AF111-AK111,AI111-AH111,AC111),0)</f>
        <v>0</v>
      </c>
      <c r="AF111" s="370"/>
      <c r="AG111" s="336"/>
      <c r="AH111" s="371">
        <f t="shared" ref="AH111" si="67">IF(AK111 &lt;=AF111, MIN(AF111-AK111,AI111), 0)</f>
        <v>0</v>
      </c>
      <c r="AI111" s="467"/>
      <c r="AJ111" s="467"/>
      <c r="AK111" s="467"/>
      <c r="AL111" s="486" t="str">
        <f t="shared" ref="AL111" si="68">IF(OR((W111+Z111+AC111+AF111) &gt;= (AI111+AK111), AI111 = 0), "YA", "MAS")</f>
        <v>YA</v>
      </c>
      <c r="AM111" s="338">
        <f t="shared" ref="AM111" si="69">IF(AI111=0,0,AH111*AG111+AE111*AD111+AB111*AA111+Y111*X111)</f>
        <v>0</v>
      </c>
      <c r="AN111" s="785">
        <f t="shared" ref="AN111" si="70">AJ111-AM111</f>
        <v>0</v>
      </c>
      <c r="AO111" s="785"/>
    </row>
    <row r="112" spans="18:41" x14ac:dyDescent="0.25">
      <c r="R112" s="789" t="s">
        <v>447</v>
      </c>
      <c r="S112" s="789"/>
      <c r="T112" s="789"/>
      <c r="U112" s="789"/>
      <c r="V112" s="789"/>
      <c r="W112" s="370">
        <v>10</v>
      </c>
      <c r="X112" s="336">
        <v>80</v>
      </c>
      <c r="Y112" s="371">
        <f t="shared" si="57"/>
        <v>0</v>
      </c>
      <c r="Z112" s="370">
        <v>9</v>
      </c>
      <c r="AA112" s="336">
        <v>65</v>
      </c>
      <c r="AB112" s="371">
        <f t="shared" si="58"/>
        <v>1</v>
      </c>
      <c r="AC112" s="370"/>
      <c r="AD112" s="336"/>
      <c r="AE112" s="371">
        <f t="shared" si="59"/>
        <v>0</v>
      </c>
      <c r="AF112" s="370"/>
      <c r="AG112" s="336"/>
      <c r="AH112" s="371">
        <f t="shared" si="60"/>
        <v>0</v>
      </c>
      <c r="AI112" s="467">
        <v>1</v>
      </c>
      <c r="AJ112" s="467">
        <v>85</v>
      </c>
      <c r="AK112" s="467"/>
      <c r="AL112" s="344" t="str">
        <f t="shared" si="61"/>
        <v>YA</v>
      </c>
      <c r="AM112" s="338">
        <f t="shared" si="62"/>
        <v>65</v>
      </c>
      <c r="AN112" s="785">
        <f t="shared" si="63"/>
        <v>20</v>
      </c>
      <c r="AO112" s="785"/>
    </row>
    <row r="113" spans="18:41" x14ac:dyDescent="0.25">
      <c r="R113" s="789" t="s">
        <v>448</v>
      </c>
      <c r="S113" s="789"/>
      <c r="T113" s="789"/>
      <c r="U113" s="789"/>
      <c r="V113" s="789"/>
      <c r="W113" s="370">
        <v>9</v>
      </c>
      <c r="X113" s="336">
        <v>80</v>
      </c>
      <c r="Y113" s="371">
        <f t="shared" si="57"/>
        <v>0</v>
      </c>
      <c r="Z113" s="370">
        <v>6</v>
      </c>
      <c r="AA113" s="335">
        <v>85</v>
      </c>
      <c r="AB113" s="371">
        <f t="shared" si="58"/>
        <v>0</v>
      </c>
      <c r="AC113" s="370">
        <v>6</v>
      </c>
      <c r="AD113" s="336">
        <v>80</v>
      </c>
      <c r="AE113" s="371">
        <f t="shared" si="59"/>
        <v>0</v>
      </c>
      <c r="AF113" s="370"/>
      <c r="AG113" s="335"/>
      <c r="AH113" s="371">
        <f t="shared" si="60"/>
        <v>0</v>
      </c>
      <c r="AI113" s="467"/>
      <c r="AJ113" s="467"/>
      <c r="AK113" s="467"/>
      <c r="AL113" s="344" t="str">
        <f t="shared" si="61"/>
        <v>YA</v>
      </c>
      <c r="AM113" s="338">
        <f t="shared" si="62"/>
        <v>0</v>
      </c>
      <c r="AN113" s="785">
        <f t="shared" si="63"/>
        <v>0</v>
      </c>
      <c r="AO113" s="785"/>
    </row>
    <row r="114" spans="18:41" x14ac:dyDescent="0.25">
      <c r="R114" s="789" t="s">
        <v>449</v>
      </c>
      <c r="S114" s="789"/>
      <c r="T114" s="789"/>
      <c r="U114" s="789"/>
      <c r="V114" s="789"/>
      <c r="W114" s="370">
        <v>3</v>
      </c>
      <c r="X114" s="334">
        <v>120</v>
      </c>
      <c r="Y114" s="371">
        <f t="shared" si="57"/>
        <v>0</v>
      </c>
      <c r="Z114" s="370">
        <v>3</v>
      </c>
      <c r="AA114" s="336">
        <v>100</v>
      </c>
      <c r="AB114" s="371">
        <f t="shared" si="58"/>
        <v>2</v>
      </c>
      <c r="AC114" s="370"/>
      <c r="AD114" s="336"/>
      <c r="AE114" s="371">
        <f t="shared" si="59"/>
        <v>0</v>
      </c>
      <c r="AF114" s="370"/>
      <c r="AG114" s="335"/>
      <c r="AH114" s="371">
        <f t="shared" si="60"/>
        <v>0</v>
      </c>
      <c r="AI114" s="467">
        <v>2</v>
      </c>
      <c r="AJ114" s="467">
        <v>220</v>
      </c>
      <c r="AK114" s="467"/>
      <c r="AL114" s="344" t="str">
        <f t="shared" si="61"/>
        <v>YA</v>
      </c>
      <c r="AM114" s="338">
        <f t="shared" si="62"/>
        <v>200</v>
      </c>
      <c r="AN114" s="785">
        <f t="shared" si="63"/>
        <v>20</v>
      </c>
      <c r="AO114" s="785"/>
    </row>
    <row r="115" spans="18:41" x14ac:dyDescent="0.25">
      <c r="R115" s="789" t="s">
        <v>450</v>
      </c>
      <c r="S115" s="789"/>
      <c r="T115" s="789"/>
      <c r="U115" s="789"/>
      <c r="V115" s="789"/>
      <c r="W115" s="370">
        <v>3</v>
      </c>
      <c r="X115" s="336">
        <v>180</v>
      </c>
      <c r="Y115" s="371">
        <f t="shared" si="57"/>
        <v>0</v>
      </c>
      <c r="Z115" s="370"/>
      <c r="AA115" s="335"/>
      <c r="AB115" s="371">
        <f t="shared" si="58"/>
        <v>0</v>
      </c>
      <c r="AC115" s="370"/>
      <c r="AD115" s="336"/>
      <c r="AE115" s="371">
        <f t="shared" si="59"/>
        <v>0</v>
      </c>
      <c r="AF115" s="370"/>
      <c r="AG115" s="336"/>
      <c r="AH115" s="371">
        <f t="shared" si="60"/>
        <v>0</v>
      </c>
      <c r="AI115" s="467"/>
      <c r="AJ115" s="467"/>
      <c r="AK115" s="467"/>
      <c r="AL115" s="344" t="str">
        <f t="shared" si="61"/>
        <v>YA</v>
      </c>
      <c r="AM115" s="338">
        <f t="shared" si="62"/>
        <v>0</v>
      </c>
      <c r="AN115" s="785">
        <f t="shared" si="63"/>
        <v>0</v>
      </c>
      <c r="AO115" s="785"/>
    </row>
    <row r="116" spans="18:41" x14ac:dyDescent="0.25">
      <c r="R116" s="789" t="s">
        <v>724</v>
      </c>
      <c r="S116" s="789"/>
      <c r="T116" s="789"/>
      <c r="U116" s="789"/>
      <c r="V116" s="789"/>
      <c r="W116" s="370">
        <v>6</v>
      </c>
      <c r="X116" s="336">
        <v>85</v>
      </c>
      <c r="Y116" s="371">
        <f t="shared" si="57"/>
        <v>0</v>
      </c>
      <c r="Z116" s="370">
        <v>6</v>
      </c>
      <c r="AA116" s="336">
        <v>88</v>
      </c>
      <c r="AB116" s="371">
        <f t="shared" si="58"/>
        <v>0</v>
      </c>
      <c r="AC116" s="370">
        <v>20</v>
      </c>
      <c r="AD116" s="335">
        <v>80</v>
      </c>
      <c r="AE116" s="371">
        <f t="shared" si="59"/>
        <v>1</v>
      </c>
      <c r="AF116" s="370"/>
      <c r="AG116" s="335"/>
      <c r="AH116" s="371">
        <f t="shared" si="60"/>
        <v>0</v>
      </c>
      <c r="AI116" s="467">
        <v>1</v>
      </c>
      <c r="AJ116" s="467">
        <v>93.33</v>
      </c>
      <c r="AK116" s="467"/>
      <c r="AL116" s="344" t="str">
        <f t="shared" si="61"/>
        <v>YA</v>
      </c>
      <c r="AM116" s="338">
        <f t="shared" si="62"/>
        <v>80</v>
      </c>
      <c r="AN116" s="785">
        <f t="shared" si="63"/>
        <v>13.329999999999998</v>
      </c>
      <c r="AO116" s="785"/>
    </row>
    <row r="117" spans="18:41" x14ac:dyDescent="0.25">
      <c r="R117" s="789" t="s">
        <v>452</v>
      </c>
      <c r="S117" s="789"/>
      <c r="T117" s="789"/>
      <c r="U117" s="789"/>
      <c r="V117" s="789"/>
      <c r="W117" s="370">
        <v>1</v>
      </c>
      <c r="X117" s="336">
        <v>250</v>
      </c>
      <c r="Y117" s="371">
        <f t="shared" si="57"/>
        <v>0</v>
      </c>
      <c r="Z117" s="370">
        <v>1</v>
      </c>
      <c r="AA117" s="336">
        <v>210</v>
      </c>
      <c r="AB117" s="371">
        <f t="shared" si="58"/>
        <v>0</v>
      </c>
      <c r="AC117" s="370"/>
      <c r="AD117" s="335"/>
      <c r="AE117" s="371">
        <f t="shared" si="59"/>
        <v>0</v>
      </c>
      <c r="AF117" s="370"/>
      <c r="AG117" s="335"/>
      <c r="AH117" s="371">
        <f t="shared" si="60"/>
        <v>0</v>
      </c>
      <c r="AI117" s="467"/>
      <c r="AJ117" s="467"/>
      <c r="AK117" s="467"/>
      <c r="AL117" s="404" t="str">
        <f t="shared" si="61"/>
        <v>YA</v>
      </c>
      <c r="AM117" s="338">
        <f t="shared" si="62"/>
        <v>0</v>
      </c>
      <c r="AN117" s="785">
        <f t="shared" si="63"/>
        <v>0</v>
      </c>
      <c r="AO117" s="785"/>
    </row>
    <row r="118" spans="18:41" ht="14.25" customHeight="1" x14ac:dyDescent="0.25">
      <c r="R118" s="789" t="s">
        <v>476</v>
      </c>
      <c r="S118" s="789"/>
      <c r="T118" s="789"/>
      <c r="U118" s="789"/>
      <c r="V118" s="789"/>
      <c r="W118" s="370">
        <v>2</v>
      </c>
      <c r="X118" s="336">
        <v>87.54</v>
      </c>
      <c r="Y118" s="371">
        <f t="shared" si="57"/>
        <v>0</v>
      </c>
      <c r="Z118" s="370">
        <v>5</v>
      </c>
      <c r="AA118" s="336">
        <v>95.08</v>
      </c>
      <c r="AB118" s="371">
        <f t="shared" si="58"/>
        <v>0</v>
      </c>
      <c r="AC118" s="370"/>
      <c r="AD118" s="335"/>
      <c r="AE118" s="371">
        <f t="shared" si="59"/>
        <v>0</v>
      </c>
      <c r="AF118" s="370"/>
      <c r="AG118" s="335"/>
      <c r="AH118" s="371">
        <f t="shared" si="60"/>
        <v>0</v>
      </c>
      <c r="AI118" s="467"/>
      <c r="AJ118" s="467"/>
      <c r="AK118" s="467"/>
      <c r="AL118" s="404" t="str">
        <f t="shared" si="61"/>
        <v>YA</v>
      </c>
      <c r="AM118" s="338">
        <f t="shared" si="62"/>
        <v>0</v>
      </c>
      <c r="AN118" s="785">
        <f t="shared" si="63"/>
        <v>0</v>
      </c>
      <c r="AO118" s="785"/>
    </row>
    <row r="119" spans="18:41" ht="14.25" customHeight="1" x14ac:dyDescent="0.25">
      <c r="R119" s="789" t="s">
        <v>708</v>
      </c>
      <c r="S119" s="789"/>
      <c r="T119" s="789"/>
      <c r="U119" s="789"/>
      <c r="V119" s="789"/>
      <c r="W119" s="370">
        <v>3</v>
      </c>
      <c r="X119" s="336">
        <v>12</v>
      </c>
      <c r="Y119" s="371">
        <f t="shared" si="57"/>
        <v>0</v>
      </c>
      <c r="Z119" s="370"/>
      <c r="AA119" s="336"/>
      <c r="AB119" s="371">
        <f t="shared" si="58"/>
        <v>0</v>
      </c>
      <c r="AC119" s="370"/>
      <c r="AD119" s="335"/>
      <c r="AE119" s="371">
        <f t="shared" si="59"/>
        <v>0</v>
      </c>
      <c r="AF119" s="370"/>
      <c r="AG119" s="335"/>
      <c r="AH119" s="371">
        <f t="shared" si="60"/>
        <v>0</v>
      </c>
      <c r="AI119" s="467"/>
      <c r="AJ119" s="467"/>
      <c r="AK119" s="467"/>
      <c r="AL119" s="529" t="str">
        <f t="shared" ref="AL119" si="71">IF(OR((W119+Z119+AC119+AF119) &gt;= (AI119+AK119), AI119 = 0), "YA", "MAS")</f>
        <v>YA</v>
      </c>
      <c r="AM119" s="338">
        <f t="shared" ref="AM119" si="72">IF(AI119=0,0,AH119*AG119+AE119*AD119+AB119*AA119+Y119*X119)</f>
        <v>0</v>
      </c>
      <c r="AN119" s="785">
        <f t="shared" ref="AN119" si="73">AJ119-AM119</f>
        <v>0</v>
      </c>
      <c r="AO119" s="785"/>
    </row>
    <row r="120" spans="18:41" x14ac:dyDescent="0.25">
      <c r="R120" s="789" t="s">
        <v>477</v>
      </c>
      <c r="S120" s="789"/>
      <c r="T120" s="789"/>
      <c r="U120" s="789"/>
      <c r="V120" s="789"/>
      <c r="W120" s="370">
        <v>2</v>
      </c>
      <c r="X120" s="334">
        <v>97.47</v>
      </c>
      <c r="Y120" s="371">
        <f t="shared" si="57"/>
        <v>0</v>
      </c>
      <c r="Z120" s="370">
        <v>6</v>
      </c>
      <c r="AA120" s="336">
        <v>105.33</v>
      </c>
      <c r="AB120" s="371">
        <f t="shared" si="58"/>
        <v>0</v>
      </c>
      <c r="AC120" s="370"/>
      <c r="AD120" s="336"/>
      <c r="AE120" s="371">
        <f t="shared" si="59"/>
        <v>0</v>
      </c>
      <c r="AF120" s="370"/>
      <c r="AG120" s="335"/>
      <c r="AH120" s="371">
        <f t="shared" si="60"/>
        <v>0</v>
      </c>
      <c r="AI120" s="467"/>
      <c r="AJ120" s="467"/>
      <c r="AK120" s="467"/>
      <c r="AL120" s="344" t="str">
        <f t="shared" si="61"/>
        <v>YA</v>
      </c>
      <c r="AM120" s="338">
        <f t="shared" si="62"/>
        <v>0</v>
      </c>
      <c r="AN120" s="785">
        <f t="shared" si="63"/>
        <v>0</v>
      </c>
      <c r="AO120" s="785"/>
    </row>
    <row r="121" spans="18:41" x14ac:dyDescent="0.25">
      <c r="R121" s="789" t="s">
        <v>495</v>
      </c>
      <c r="S121" s="789"/>
      <c r="T121" s="789"/>
      <c r="U121" s="789"/>
      <c r="V121" s="789"/>
      <c r="W121" s="370">
        <v>1</v>
      </c>
      <c r="X121" s="334">
        <v>395</v>
      </c>
      <c r="Y121" s="371">
        <f t="shared" si="57"/>
        <v>0</v>
      </c>
      <c r="Z121" s="370"/>
      <c r="AA121" s="336"/>
      <c r="AB121" s="371">
        <f t="shared" si="58"/>
        <v>0</v>
      </c>
      <c r="AC121" s="370"/>
      <c r="AD121" s="336"/>
      <c r="AE121" s="371">
        <f t="shared" si="59"/>
        <v>0</v>
      </c>
      <c r="AF121" s="370"/>
      <c r="AG121" s="335"/>
      <c r="AH121" s="371">
        <f t="shared" si="60"/>
        <v>0</v>
      </c>
      <c r="AI121" s="467"/>
      <c r="AJ121" s="467"/>
      <c r="AK121" s="467"/>
      <c r="AL121" s="416" t="str">
        <f t="shared" si="61"/>
        <v>YA</v>
      </c>
      <c r="AM121" s="338">
        <f t="shared" si="62"/>
        <v>0</v>
      </c>
      <c r="AN121" s="785">
        <f t="shared" si="63"/>
        <v>0</v>
      </c>
      <c r="AO121" s="785"/>
    </row>
    <row r="122" spans="18:41" ht="18.75" x14ac:dyDescent="0.3">
      <c r="R122" s="332"/>
      <c r="S122" s="332"/>
      <c r="T122" s="332"/>
      <c r="U122" s="332"/>
      <c r="V122" s="332"/>
      <c r="W122" s="333"/>
      <c r="X122" s="331"/>
      <c r="Y122" s="331"/>
      <c r="Z122" s="331"/>
      <c r="AA122" s="331"/>
      <c r="AJ122" s="420">
        <f>SUM(AJ109:AJ121)</f>
        <v>603.33000000000004</v>
      </c>
      <c r="AK122" s="339"/>
      <c r="AM122" s="420">
        <f>SUM(AM109:AM121)</f>
        <v>510</v>
      </c>
      <c r="AN122" s="421">
        <f>SUM(AN109:AO121)</f>
        <v>93.33</v>
      </c>
      <c r="AO122" s="422">
        <f>AN122/AM122</f>
        <v>0.183</v>
      </c>
    </row>
    <row r="124" spans="18:41" ht="43.5" customHeight="1" x14ac:dyDescent="0.25">
      <c r="R124" s="795" t="s">
        <v>453</v>
      </c>
      <c r="S124" s="796"/>
      <c r="T124" s="796"/>
      <c r="U124" s="796"/>
      <c r="V124" s="796"/>
      <c r="W124" s="796"/>
      <c r="X124" s="796"/>
      <c r="Y124" s="796"/>
      <c r="Z124" s="796"/>
      <c r="AA124" s="796"/>
      <c r="AB124" s="796"/>
      <c r="AC124" s="796"/>
      <c r="AD124" s="796"/>
      <c r="AE124" s="796"/>
      <c r="AF124" s="796"/>
      <c r="AG124" s="796"/>
      <c r="AH124" s="796"/>
      <c r="AI124" s="796"/>
      <c r="AJ124" s="796"/>
      <c r="AK124" s="796"/>
      <c r="AL124" s="796"/>
      <c r="AM124" s="796"/>
      <c r="AN124" s="796"/>
      <c r="AO124" s="797"/>
    </row>
    <row r="125" spans="18:41" ht="18.75" x14ac:dyDescent="0.25">
      <c r="R125" s="792" t="s">
        <v>2</v>
      </c>
      <c r="S125" s="792"/>
      <c r="T125" s="792"/>
      <c r="U125" s="792"/>
      <c r="V125" s="792"/>
      <c r="W125" s="372" t="s">
        <v>378</v>
      </c>
      <c r="X125" s="344" t="s">
        <v>379</v>
      </c>
      <c r="Y125" s="373" t="s">
        <v>377</v>
      </c>
      <c r="Z125" s="372" t="s">
        <v>368</v>
      </c>
      <c r="AA125" s="344" t="s">
        <v>369</v>
      </c>
      <c r="AB125" s="373" t="s">
        <v>373</v>
      </c>
      <c r="AC125" s="372" t="s">
        <v>370</v>
      </c>
      <c r="AD125" s="344" t="s">
        <v>371</v>
      </c>
      <c r="AE125" s="373" t="s">
        <v>374</v>
      </c>
      <c r="AF125" s="372" t="s">
        <v>372</v>
      </c>
      <c r="AG125" s="344" t="s">
        <v>380</v>
      </c>
      <c r="AH125" s="373" t="s">
        <v>375</v>
      </c>
      <c r="AI125" s="382" t="s">
        <v>78</v>
      </c>
      <c r="AJ125" s="382" t="s">
        <v>382</v>
      </c>
      <c r="AK125" s="382" t="s">
        <v>376</v>
      </c>
      <c r="AL125" s="344" t="s">
        <v>383</v>
      </c>
      <c r="AM125" s="344" t="s">
        <v>381</v>
      </c>
      <c r="AN125" s="794" t="s">
        <v>384</v>
      </c>
      <c r="AO125" s="794"/>
    </row>
    <row r="126" spans="18:41" x14ac:dyDescent="0.25">
      <c r="R126" s="789" t="s">
        <v>454</v>
      </c>
      <c r="S126" s="789"/>
      <c r="T126" s="789"/>
      <c r="U126" s="789"/>
      <c r="V126" s="789"/>
      <c r="W126" s="370">
        <v>20</v>
      </c>
      <c r="X126" s="334">
        <v>3</v>
      </c>
      <c r="Y126" s="371">
        <f t="shared" ref="Y126:Y147" si="74">IF(AK126 &lt; AF126+AC126+Z126+W126, MIN(AC126+AF126+Z126+W126-AK126,AI126-AH126-AE126-AB126,W126),0)</f>
        <v>0</v>
      </c>
      <c r="Z126" s="370"/>
      <c r="AA126" s="336"/>
      <c r="AB126" s="371">
        <f t="shared" ref="AB126:AB147" si="75">IF(AK126 &lt; AF126+AC126+Z126, MIN(AC126+AF126+Z126-AK126,AI126-AH126-AE126,Z126),0)</f>
        <v>0</v>
      </c>
      <c r="AC126" s="370"/>
      <c r="AD126" s="336"/>
      <c r="AE126" s="371">
        <f t="shared" ref="AE126:AE147" si="76">IF(AK126 &lt; AF126+AC126, MIN(AC126+AF126-AK126,AI126-AH126,AC126),0)</f>
        <v>0</v>
      </c>
      <c r="AF126" s="370"/>
      <c r="AG126" s="336"/>
      <c r="AH126" s="371">
        <f t="shared" ref="AH126:AH147" si="77">IF(AK126 &lt;=AF126, MIN(AF126-AK126,AI126), 0)</f>
        <v>0</v>
      </c>
      <c r="AI126" s="467"/>
      <c r="AJ126" s="467"/>
      <c r="AK126" s="467"/>
      <c r="AL126" s="344" t="str">
        <f t="shared" ref="AL126:AL147" si="78">IF(OR((W126+Z126+AC126+AF126) &gt;= (AI126+AK126), AI126 = 0), "YA", "MAS")</f>
        <v>YA</v>
      </c>
      <c r="AM126" s="338">
        <f t="shared" ref="AM126:AM147" si="79">IF(AI126=0,0,AH126*AG126+AE126*AD126+AB126*AA126+Y126*X126)</f>
        <v>0</v>
      </c>
      <c r="AN126" s="785">
        <f t="shared" ref="AN126:AN147" si="80">AJ126-AM126</f>
        <v>0</v>
      </c>
      <c r="AO126" s="785"/>
    </row>
    <row r="127" spans="18:41" x14ac:dyDescent="0.25">
      <c r="R127" s="789" t="s">
        <v>455</v>
      </c>
      <c r="S127" s="789"/>
      <c r="T127" s="789"/>
      <c r="U127" s="789"/>
      <c r="V127" s="789"/>
      <c r="W127" s="370">
        <v>3</v>
      </c>
      <c r="X127" s="336">
        <v>3.97</v>
      </c>
      <c r="Y127" s="371">
        <f t="shared" si="74"/>
        <v>0</v>
      </c>
      <c r="Z127" s="370"/>
      <c r="AA127" s="336"/>
      <c r="AB127" s="371">
        <f t="shared" si="75"/>
        <v>0</v>
      </c>
      <c r="AC127" s="370"/>
      <c r="AD127" s="336"/>
      <c r="AE127" s="371">
        <f t="shared" si="76"/>
        <v>0</v>
      </c>
      <c r="AF127" s="370"/>
      <c r="AG127" s="336"/>
      <c r="AH127" s="371">
        <f t="shared" si="77"/>
        <v>0</v>
      </c>
      <c r="AI127" s="467"/>
      <c r="AJ127" s="467"/>
      <c r="AK127" s="467"/>
      <c r="AL127" s="344" t="str">
        <f t="shared" si="78"/>
        <v>YA</v>
      </c>
      <c r="AM127" s="338">
        <f t="shared" si="79"/>
        <v>0</v>
      </c>
      <c r="AN127" s="785">
        <f t="shared" si="80"/>
        <v>0</v>
      </c>
      <c r="AO127" s="785"/>
    </row>
    <row r="128" spans="18:41" x14ac:dyDescent="0.25">
      <c r="R128" s="789" t="s">
        <v>456</v>
      </c>
      <c r="S128" s="789"/>
      <c r="T128" s="789"/>
      <c r="U128" s="789"/>
      <c r="V128" s="789"/>
      <c r="W128" s="370">
        <v>9</v>
      </c>
      <c r="X128" s="334">
        <v>9.32</v>
      </c>
      <c r="Y128" s="371">
        <f t="shared" si="74"/>
        <v>0</v>
      </c>
      <c r="Z128" s="370">
        <v>8</v>
      </c>
      <c r="AA128" s="336">
        <v>9.48</v>
      </c>
      <c r="AB128" s="371">
        <f t="shared" si="75"/>
        <v>0</v>
      </c>
      <c r="AC128" s="370">
        <v>8</v>
      </c>
      <c r="AD128" s="336">
        <v>9.01</v>
      </c>
      <c r="AE128" s="371">
        <f t="shared" si="76"/>
        <v>2</v>
      </c>
      <c r="AF128" s="370"/>
      <c r="AG128" s="336"/>
      <c r="AH128" s="371">
        <f t="shared" si="77"/>
        <v>0</v>
      </c>
      <c r="AI128" s="467">
        <v>2</v>
      </c>
      <c r="AJ128" s="467">
        <v>26</v>
      </c>
      <c r="AK128" s="467"/>
      <c r="AL128" s="344" t="str">
        <f t="shared" si="78"/>
        <v>YA</v>
      </c>
      <c r="AM128" s="338">
        <f t="shared" si="79"/>
        <v>18.02</v>
      </c>
      <c r="AN128" s="785">
        <f t="shared" si="80"/>
        <v>7.98</v>
      </c>
      <c r="AO128" s="785"/>
    </row>
    <row r="129" spans="18:41" x14ac:dyDescent="0.25">
      <c r="R129" s="789" t="s">
        <v>457</v>
      </c>
      <c r="S129" s="789"/>
      <c r="T129" s="789"/>
      <c r="U129" s="789"/>
      <c r="V129" s="789"/>
      <c r="W129" s="370">
        <v>18</v>
      </c>
      <c r="X129" s="334">
        <v>3.66</v>
      </c>
      <c r="Y129" s="371">
        <f t="shared" si="74"/>
        <v>0</v>
      </c>
      <c r="Z129" s="370">
        <v>4</v>
      </c>
      <c r="AA129" s="336">
        <v>5</v>
      </c>
      <c r="AB129" s="371">
        <f t="shared" si="75"/>
        <v>0</v>
      </c>
      <c r="AC129" s="370">
        <v>36</v>
      </c>
      <c r="AD129" s="336">
        <v>3.25</v>
      </c>
      <c r="AE129" s="371">
        <f t="shared" si="76"/>
        <v>0</v>
      </c>
      <c r="AF129" s="370"/>
      <c r="AG129" s="336"/>
      <c r="AH129" s="371">
        <f t="shared" si="77"/>
        <v>0</v>
      </c>
      <c r="AI129" s="467"/>
      <c r="AJ129" s="467"/>
      <c r="AK129" s="467"/>
      <c r="AL129" s="403" t="str">
        <f t="shared" si="78"/>
        <v>YA</v>
      </c>
      <c r="AM129" s="338">
        <f t="shared" si="79"/>
        <v>0</v>
      </c>
      <c r="AN129" s="785">
        <f t="shared" si="80"/>
        <v>0</v>
      </c>
      <c r="AO129" s="785"/>
    </row>
    <row r="130" spans="18:41" x14ac:dyDescent="0.25">
      <c r="R130" s="789" t="s">
        <v>474</v>
      </c>
      <c r="S130" s="789"/>
      <c r="T130" s="789"/>
      <c r="U130" s="789"/>
      <c r="V130" s="789"/>
      <c r="W130" s="370">
        <v>48</v>
      </c>
      <c r="X130" s="334">
        <v>21</v>
      </c>
      <c r="Y130" s="371">
        <f t="shared" si="74"/>
        <v>1</v>
      </c>
      <c r="Z130" s="370"/>
      <c r="AA130" s="336"/>
      <c r="AB130" s="371">
        <f t="shared" si="75"/>
        <v>0</v>
      </c>
      <c r="AC130" s="370"/>
      <c r="AD130" s="335"/>
      <c r="AE130" s="371">
        <f t="shared" si="76"/>
        <v>0</v>
      </c>
      <c r="AF130" s="370"/>
      <c r="AG130" s="335"/>
      <c r="AH130" s="371">
        <f t="shared" si="77"/>
        <v>0</v>
      </c>
      <c r="AI130" s="467">
        <v>1</v>
      </c>
      <c r="AJ130" s="467">
        <v>28</v>
      </c>
      <c r="AK130" s="467">
        <v>15</v>
      </c>
      <c r="AL130" s="408" t="str">
        <f t="shared" si="78"/>
        <v>YA</v>
      </c>
      <c r="AM130" s="338">
        <f t="shared" si="79"/>
        <v>21</v>
      </c>
      <c r="AN130" s="785">
        <f t="shared" si="80"/>
        <v>7</v>
      </c>
      <c r="AO130" s="785"/>
    </row>
    <row r="131" spans="18:41" x14ac:dyDescent="0.25">
      <c r="R131" s="789" t="s">
        <v>486</v>
      </c>
      <c r="S131" s="789"/>
      <c r="T131" s="789"/>
      <c r="U131" s="789"/>
      <c r="V131" s="789"/>
      <c r="W131" s="370">
        <v>30</v>
      </c>
      <c r="X131" s="334">
        <v>1.35</v>
      </c>
      <c r="Y131" s="371">
        <f t="shared" si="74"/>
        <v>0</v>
      </c>
      <c r="Z131" s="370"/>
      <c r="AA131" s="336"/>
      <c r="AB131" s="371">
        <f t="shared" si="75"/>
        <v>0</v>
      </c>
      <c r="AC131" s="370"/>
      <c r="AD131" s="335"/>
      <c r="AE131" s="371">
        <f t="shared" si="76"/>
        <v>0</v>
      </c>
      <c r="AF131" s="370"/>
      <c r="AG131" s="335"/>
      <c r="AH131" s="371">
        <f t="shared" si="77"/>
        <v>0</v>
      </c>
      <c r="AI131" s="467"/>
      <c r="AJ131" s="467"/>
      <c r="AK131" s="467"/>
      <c r="AL131" s="408" t="str">
        <f t="shared" si="78"/>
        <v>YA</v>
      </c>
      <c r="AM131" s="338">
        <f t="shared" si="79"/>
        <v>0</v>
      </c>
      <c r="AN131" s="785">
        <f t="shared" si="80"/>
        <v>0</v>
      </c>
      <c r="AO131" s="785"/>
    </row>
    <row r="132" spans="18:41" x14ac:dyDescent="0.25">
      <c r="R132" s="789" t="s">
        <v>487</v>
      </c>
      <c r="S132" s="789"/>
      <c r="T132" s="789"/>
      <c r="U132" s="789"/>
      <c r="V132" s="789"/>
      <c r="W132" s="370">
        <v>6</v>
      </c>
      <c r="X132" s="334">
        <v>5.65</v>
      </c>
      <c r="Y132" s="371">
        <f t="shared" si="74"/>
        <v>0</v>
      </c>
      <c r="Z132" s="370"/>
      <c r="AA132" s="336"/>
      <c r="AB132" s="371">
        <f t="shared" si="75"/>
        <v>0</v>
      </c>
      <c r="AC132" s="370"/>
      <c r="AD132" s="335"/>
      <c r="AE132" s="371">
        <f t="shared" si="76"/>
        <v>0</v>
      </c>
      <c r="AF132" s="370"/>
      <c r="AG132" s="335"/>
      <c r="AH132" s="371">
        <f t="shared" si="77"/>
        <v>0</v>
      </c>
      <c r="AI132" s="467"/>
      <c r="AJ132" s="467"/>
      <c r="AK132" s="467"/>
      <c r="AL132" s="408" t="str">
        <f t="shared" si="78"/>
        <v>YA</v>
      </c>
      <c r="AM132" s="338">
        <f t="shared" si="79"/>
        <v>0</v>
      </c>
      <c r="AN132" s="785">
        <f t="shared" si="80"/>
        <v>0</v>
      </c>
      <c r="AO132" s="785"/>
    </row>
    <row r="133" spans="18:41" x14ac:dyDescent="0.25">
      <c r="R133" s="789" t="s">
        <v>488</v>
      </c>
      <c r="S133" s="789"/>
      <c r="T133" s="789"/>
      <c r="U133" s="789"/>
      <c r="V133" s="789"/>
      <c r="W133" s="370">
        <v>12</v>
      </c>
      <c r="X133" s="334">
        <v>1.97</v>
      </c>
      <c r="Y133" s="371">
        <f t="shared" si="74"/>
        <v>0</v>
      </c>
      <c r="Z133" s="370"/>
      <c r="AA133" s="336"/>
      <c r="AB133" s="371">
        <f t="shared" si="75"/>
        <v>0</v>
      </c>
      <c r="AC133" s="370"/>
      <c r="AD133" s="335"/>
      <c r="AE133" s="371">
        <f t="shared" si="76"/>
        <v>0</v>
      </c>
      <c r="AF133" s="370"/>
      <c r="AG133" s="335"/>
      <c r="AH133" s="371">
        <f t="shared" si="77"/>
        <v>0</v>
      </c>
      <c r="AI133" s="467"/>
      <c r="AJ133" s="467"/>
      <c r="AK133" s="467"/>
      <c r="AL133" s="408" t="str">
        <f t="shared" si="78"/>
        <v>YA</v>
      </c>
      <c r="AM133" s="338">
        <f t="shared" si="79"/>
        <v>0</v>
      </c>
      <c r="AN133" s="785">
        <f t="shared" si="80"/>
        <v>0</v>
      </c>
      <c r="AO133" s="785"/>
    </row>
    <row r="134" spans="18:41" x14ac:dyDescent="0.25">
      <c r="R134" s="789" t="s">
        <v>489</v>
      </c>
      <c r="S134" s="789"/>
      <c r="T134" s="789"/>
      <c r="U134" s="789"/>
      <c r="V134" s="789"/>
      <c r="W134" s="370">
        <v>12</v>
      </c>
      <c r="X134" s="334">
        <v>5.38</v>
      </c>
      <c r="Y134" s="371">
        <f t="shared" si="74"/>
        <v>1</v>
      </c>
      <c r="Z134" s="370"/>
      <c r="AA134" s="336"/>
      <c r="AB134" s="371">
        <f t="shared" si="75"/>
        <v>0</v>
      </c>
      <c r="AC134" s="370"/>
      <c r="AD134" s="335"/>
      <c r="AE134" s="371">
        <f t="shared" si="76"/>
        <v>0</v>
      </c>
      <c r="AF134" s="370"/>
      <c r="AG134" s="335"/>
      <c r="AH134" s="371">
        <f t="shared" si="77"/>
        <v>0</v>
      </c>
      <c r="AI134" s="467">
        <v>1</v>
      </c>
      <c r="AJ134" s="467">
        <v>7</v>
      </c>
      <c r="AK134" s="467"/>
      <c r="AL134" s="408" t="str">
        <f t="shared" si="78"/>
        <v>YA</v>
      </c>
      <c r="AM134" s="338">
        <f t="shared" si="79"/>
        <v>5.38</v>
      </c>
      <c r="AN134" s="785">
        <f t="shared" si="80"/>
        <v>1.62</v>
      </c>
      <c r="AO134" s="785"/>
    </row>
    <row r="135" spans="18:41" x14ac:dyDescent="0.25">
      <c r="R135" s="789" t="s">
        <v>490</v>
      </c>
      <c r="S135" s="789"/>
      <c r="T135" s="789"/>
      <c r="U135" s="789"/>
      <c r="V135" s="789"/>
      <c r="W135" s="370">
        <v>24</v>
      </c>
      <c r="X135" s="334">
        <v>0.71</v>
      </c>
      <c r="Y135" s="371">
        <f t="shared" si="74"/>
        <v>1</v>
      </c>
      <c r="Z135" s="370"/>
      <c r="AA135" s="336"/>
      <c r="AB135" s="371">
        <f t="shared" si="75"/>
        <v>0</v>
      </c>
      <c r="AC135" s="370"/>
      <c r="AD135" s="335"/>
      <c r="AE135" s="371">
        <f t="shared" si="76"/>
        <v>0</v>
      </c>
      <c r="AF135" s="370"/>
      <c r="AG135" s="335"/>
      <c r="AH135" s="371">
        <f t="shared" si="77"/>
        <v>0</v>
      </c>
      <c r="AI135" s="467">
        <v>1</v>
      </c>
      <c r="AJ135" s="467">
        <v>1</v>
      </c>
      <c r="AK135" s="467"/>
      <c r="AL135" s="408" t="str">
        <f t="shared" si="78"/>
        <v>YA</v>
      </c>
      <c r="AM135" s="338">
        <f t="shared" si="79"/>
        <v>0.71</v>
      </c>
      <c r="AN135" s="785">
        <f t="shared" si="80"/>
        <v>0.29000000000000004</v>
      </c>
      <c r="AO135" s="785"/>
    </row>
    <row r="136" spans="18:41" x14ac:dyDescent="0.25">
      <c r="R136" s="789" t="s">
        <v>491</v>
      </c>
      <c r="S136" s="789"/>
      <c r="T136" s="789"/>
      <c r="U136" s="789"/>
      <c r="V136" s="789"/>
      <c r="W136" s="370">
        <v>12</v>
      </c>
      <c r="X136" s="334">
        <v>1.7</v>
      </c>
      <c r="Y136" s="371">
        <f t="shared" si="74"/>
        <v>0</v>
      </c>
      <c r="Z136" s="370">
        <v>36</v>
      </c>
      <c r="AA136" s="336">
        <v>1.07</v>
      </c>
      <c r="AB136" s="371">
        <f t="shared" si="75"/>
        <v>0</v>
      </c>
      <c r="AC136" s="370"/>
      <c r="AD136" s="335"/>
      <c r="AE136" s="371">
        <f t="shared" si="76"/>
        <v>0</v>
      </c>
      <c r="AF136" s="370"/>
      <c r="AG136" s="335"/>
      <c r="AH136" s="371">
        <f t="shared" si="77"/>
        <v>0</v>
      </c>
      <c r="AI136" s="467"/>
      <c r="AJ136" s="467"/>
      <c r="AK136" s="467"/>
      <c r="AL136" s="408" t="str">
        <f t="shared" si="78"/>
        <v>YA</v>
      </c>
      <c r="AM136" s="338">
        <f t="shared" si="79"/>
        <v>0</v>
      </c>
      <c r="AN136" s="785">
        <f t="shared" si="80"/>
        <v>0</v>
      </c>
      <c r="AO136" s="785"/>
    </row>
    <row r="137" spans="18:41" x14ac:dyDescent="0.25">
      <c r="R137" s="789" t="s">
        <v>492</v>
      </c>
      <c r="S137" s="789"/>
      <c r="T137" s="789"/>
      <c r="U137" s="789"/>
      <c r="V137" s="789"/>
      <c r="W137" s="370">
        <v>50</v>
      </c>
      <c r="X137" s="334">
        <v>0.49</v>
      </c>
      <c r="Y137" s="371">
        <f t="shared" si="74"/>
        <v>0</v>
      </c>
      <c r="Z137" s="370"/>
      <c r="AA137" s="336"/>
      <c r="AB137" s="371">
        <f t="shared" si="75"/>
        <v>0</v>
      </c>
      <c r="AC137" s="370"/>
      <c r="AD137" s="335"/>
      <c r="AE137" s="371">
        <f t="shared" si="76"/>
        <v>0</v>
      </c>
      <c r="AF137" s="370"/>
      <c r="AG137" s="335"/>
      <c r="AH137" s="371">
        <f t="shared" si="77"/>
        <v>0</v>
      </c>
      <c r="AI137" s="467"/>
      <c r="AJ137" s="467"/>
      <c r="AK137" s="467"/>
      <c r="AL137" s="408" t="str">
        <f t="shared" si="78"/>
        <v>YA</v>
      </c>
      <c r="AM137" s="338">
        <f t="shared" si="79"/>
        <v>0</v>
      </c>
      <c r="AN137" s="785">
        <f t="shared" si="80"/>
        <v>0</v>
      </c>
      <c r="AO137" s="785"/>
    </row>
    <row r="138" spans="18:41" x14ac:dyDescent="0.25">
      <c r="R138" s="786" t="s">
        <v>599</v>
      </c>
      <c r="S138" s="787"/>
      <c r="T138" s="787"/>
      <c r="U138" s="787"/>
      <c r="V138" s="788"/>
      <c r="W138" s="370">
        <v>12</v>
      </c>
      <c r="X138" s="334">
        <v>2.23</v>
      </c>
      <c r="Y138" s="371">
        <f t="shared" si="74"/>
        <v>0</v>
      </c>
      <c r="Z138" s="370"/>
      <c r="AA138" s="336"/>
      <c r="AB138" s="371">
        <f t="shared" si="75"/>
        <v>0</v>
      </c>
      <c r="AC138" s="370"/>
      <c r="AD138" s="335"/>
      <c r="AE138" s="371">
        <f t="shared" si="76"/>
        <v>0</v>
      </c>
      <c r="AF138" s="370"/>
      <c r="AG138" s="335"/>
      <c r="AH138" s="371">
        <f t="shared" si="77"/>
        <v>0</v>
      </c>
      <c r="AI138" s="467"/>
      <c r="AJ138" s="467"/>
      <c r="AK138" s="467"/>
      <c r="AL138" s="483" t="str">
        <f t="shared" ref="AL138:AL140" si="81">IF(OR((W138+Z138+AC138+AF138) &gt;= (AI138+AK138), AI138 = 0), "YA", "MAS")</f>
        <v>YA</v>
      </c>
      <c r="AM138" s="338">
        <f t="shared" ref="AM138:AM140" si="82">IF(AI138=0,0,AH138*AG138+AE138*AD138+AB138*AA138+Y138*X138)</f>
        <v>0</v>
      </c>
      <c r="AN138" s="785">
        <f t="shared" ref="AN138" si="83">AJ138-AM138</f>
        <v>0</v>
      </c>
      <c r="AO138" s="785"/>
    </row>
    <row r="139" spans="18:41" x14ac:dyDescent="0.25">
      <c r="R139" s="789" t="s">
        <v>706</v>
      </c>
      <c r="S139" s="789"/>
      <c r="T139" s="789"/>
      <c r="U139" s="789"/>
      <c r="V139" s="789"/>
      <c r="W139" s="370">
        <v>28</v>
      </c>
      <c r="X139" s="334">
        <v>2.91</v>
      </c>
      <c r="Y139" s="371">
        <f t="shared" si="74"/>
        <v>0</v>
      </c>
      <c r="Z139" s="370"/>
      <c r="AA139" s="336"/>
      <c r="AB139" s="371">
        <f t="shared" si="75"/>
        <v>0</v>
      </c>
      <c r="AC139" s="370"/>
      <c r="AD139" s="335"/>
      <c r="AE139" s="371">
        <f t="shared" si="76"/>
        <v>0</v>
      </c>
      <c r="AF139" s="370"/>
      <c r="AG139" s="335"/>
      <c r="AH139" s="371">
        <f t="shared" si="77"/>
        <v>0</v>
      </c>
      <c r="AI139" s="467"/>
      <c r="AJ139" s="467"/>
      <c r="AK139" s="467"/>
      <c r="AL139" s="529" t="str">
        <f t="shared" si="81"/>
        <v>YA</v>
      </c>
      <c r="AM139" s="338">
        <f t="shared" si="82"/>
        <v>0</v>
      </c>
      <c r="AN139" s="785">
        <f t="shared" ref="AN139:AN140" si="84">AJ139-AM139</f>
        <v>0</v>
      </c>
      <c r="AO139" s="785"/>
    </row>
    <row r="140" spans="18:41" x14ac:dyDescent="0.25">
      <c r="R140" s="789" t="s">
        <v>707</v>
      </c>
      <c r="S140" s="789"/>
      <c r="T140" s="789"/>
      <c r="U140" s="789"/>
      <c r="V140" s="789"/>
      <c r="W140" s="370">
        <v>20</v>
      </c>
      <c r="X140" s="334">
        <v>2.91</v>
      </c>
      <c r="Y140" s="371">
        <f t="shared" si="74"/>
        <v>0</v>
      </c>
      <c r="Z140" s="370"/>
      <c r="AA140" s="336"/>
      <c r="AB140" s="371">
        <f t="shared" si="75"/>
        <v>0</v>
      </c>
      <c r="AC140" s="370"/>
      <c r="AD140" s="335"/>
      <c r="AE140" s="371">
        <f t="shared" si="76"/>
        <v>0</v>
      </c>
      <c r="AF140" s="370"/>
      <c r="AG140" s="335"/>
      <c r="AH140" s="371">
        <f t="shared" si="77"/>
        <v>0</v>
      </c>
      <c r="AI140" s="467"/>
      <c r="AJ140" s="467"/>
      <c r="AK140" s="467"/>
      <c r="AL140" s="529" t="str">
        <f t="shared" si="81"/>
        <v>YA</v>
      </c>
      <c r="AM140" s="338">
        <f t="shared" si="82"/>
        <v>0</v>
      </c>
      <c r="AN140" s="785">
        <f t="shared" si="84"/>
        <v>0</v>
      </c>
      <c r="AO140" s="785"/>
    </row>
    <row r="141" spans="18:41" x14ac:dyDescent="0.25">
      <c r="R141" s="786" t="s">
        <v>567</v>
      </c>
      <c r="S141" s="787"/>
      <c r="T141" s="787"/>
      <c r="U141" s="787"/>
      <c r="V141" s="788"/>
      <c r="W141" s="370">
        <v>6</v>
      </c>
      <c r="X141" s="334">
        <v>30.76</v>
      </c>
      <c r="Y141" s="371">
        <f t="shared" si="74"/>
        <v>0</v>
      </c>
      <c r="Z141" s="370"/>
      <c r="AA141" s="336"/>
      <c r="AB141" s="371">
        <f t="shared" si="75"/>
        <v>0</v>
      </c>
      <c r="AC141" s="370"/>
      <c r="AD141" s="335"/>
      <c r="AE141" s="371">
        <f t="shared" si="76"/>
        <v>0</v>
      </c>
      <c r="AF141" s="370"/>
      <c r="AG141" s="335"/>
      <c r="AH141" s="371">
        <f t="shared" si="77"/>
        <v>0</v>
      </c>
      <c r="AI141" s="467"/>
      <c r="AJ141" s="467"/>
      <c r="AK141" s="467"/>
      <c r="AL141" s="440" t="str">
        <f t="shared" si="78"/>
        <v>YA</v>
      </c>
      <c r="AM141" s="338">
        <f t="shared" si="79"/>
        <v>0</v>
      </c>
      <c r="AN141" s="785">
        <f t="shared" si="80"/>
        <v>0</v>
      </c>
      <c r="AO141" s="785"/>
    </row>
    <row r="142" spans="18:41" x14ac:dyDescent="0.25">
      <c r="R142" s="786" t="s">
        <v>715</v>
      </c>
      <c r="S142" s="787"/>
      <c r="T142" s="787"/>
      <c r="U142" s="787"/>
      <c r="V142" s="788"/>
      <c r="W142" s="370">
        <v>6</v>
      </c>
      <c r="X142" s="334">
        <v>6.98</v>
      </c>
      <c r="Y142" s="371">
        <f t="shared" ref="Y142:Y146" si="85">IF(AK142 &lt; AF142+AC142+Z142+W142, MIN(AC142+AF142+Z142+W142-AK142,AI142-AH142-AE142-AB142,W142),0)</f>
        <v>0</v>
      </c>
      <c r="Z142" s="370"/>
      <c r="AA142" s="336"/>
      <c r="AB142" s="371">
        <f t="shared" ref="AB142:AB146" si="86">IF(AK142 &lt; AF142+AC142+Z142, MIN(AC142+AF142+Z142-AK142,AI142-AH142-AE142,Z142),0)</f>
        <v>0</v>
      </c>
      <c r="AC142" s="370"/>
      <c r="AD142" s="335"/>
      <c r="AE142" s="371">
        <f t="shared" ref="AE142:AE146" si="87">IF(AK142 &lt; AF142+AC142, MIN(AC142+AF142-AK142,AI142-AH142,AC142),0)</f>
        <v>0</v>
      </c>
      <c r="AF142" s="370"/>
      <c r="AG142" s="335"/>
      <c r="AH142" s="371">
        <f t="shared" ref="AH142:AH146" si="88">IF(AK142 &lt;=AF142, MIN(AF142-AK142,AI142), 0)</f>
        <v>0</v>
      </c>
      <c r="AI142" s="467"/>
      <c r="AJ142" s="467"/>
      <c r="AK142" s="467"/>
      <c r="AL142" s="532" t="str">
        <f t="shared" ref="AL142:AL146" si="89">IF(OR((W142+Z142+AC142+AF142) &gt;= (AI142+AK142), AI142 = 0), "YA", "MAS")</f>
        <v>YA</v>
      </c>
      <c r="AM142" s="338">
        <f t="shared" ref="AM142:AM146" si="90">IF(AI142=0,0,AH142*AG142+AE142*AD142+AB142*AA142+Y142*X142)</f>
        <v>0</v>
      </c>
      <c r="AN142" s="785">
        <f t="shared" ref="AN142:AN146" si="91">AJ142-AM142</f>
        <v>0</v>
      </c>
      <c r="AO142" s="785"/>
    </row>
    <row r="143" spans="18:41" x14ac:dyDescent="0.25">
      <c r="R143" s="786" t="s">
        <v>716</v>
      </c>
      <c r="S143" s="787"/>
      <c r="T143" s="787"/>
      <c r="U143" s="787"/>
      <c r="V143" s="788"/>
      <c r="W143" s="370">
        <v>6</v>
      </c>
      <c r="X143" s="334">
        <v>9.31</v>
      </c>
      <c r="Y143" s="371">
        <f t="shared" si="85"/>
        <v>1</v>
      </c>
      <c r="Z143" s="370"/>
      <c r="AA143" s="336"/>
      <c r="AB143" s="371">
        <f t="shared" si="86"/>
        <v>0</v>
      </c>
      <c r="AC143" s="370"/>
      <c r="AD143" s="335"/>
      <c r="AE143" s="371">
        <f t="shared" si="87"/>
        <v>0</v>
      </c>
      <c r="AF143" s="370"/>
      <c r="AG143" s="335"/>
      <c r="AH143" s="371">
        <f t="shared" si="88"/>
        <v>0</v>
      </c>
      <c r="AI143" s="467">
        <v>1</v>
      </c>
      <c r="AJ143" s="467">
        <v>13</v>
      </c>
      <c r="AK143" s="467">
        <v>3</v>
      </c>
      <c r="AL143" s="532" t="str">
        <f t="shared" si="89"/>
        <v>YA</v>
      </c>
      <c r="AM143" s="338">
        <f t="shared" si="90"/>
        <v>9.31</v>
      </c>
      <c r="AN143" s="785">
        <f t="shared" si="91"/>
        <v>3.6899999999999995</v>
      </c>
      <c r="AO143" s="785"/>
    </row>
    <row r="144" spans="18:41" x14ac:dyDescent="0.25">
      <c r="R144" s="786" t="s">
        <v>717</v>
      </c>
      <c r="S144" s="787"/>
      <c r="T144" s="787"/>
      <c r="U144" s="787"/>
      <c r="V144" s="788"/>
      <c r="W144" s="370">
        <v>6</v>
      </c>
      <c r="X144" s="334">
        <v>8.7200000000000006</v>
      </c>
      <c r="Y144" s="371">
        <f t="shared" si="85"/>
        <v>0</v>
      </c>
      <c r="Z144" s="370"/>
      <c r="AA144" s="336"/>
      <c r="AB144" s="371">
        <f t="shared" si="86"/>
        <v>0</v>
      </c>
      <c r="AC144" s="370"/>
      <c r="AD144" s="335"/>
      <c r="AE144" s="371">
        <f t="shared" si="87"/>
        <v>0</v>
      </c>
      <c r="AF144" s="370"/>
      <c r="AG144" s="335"/>
      <c r="AH144" s="371">
        <f t="shared" si="88"/>
        <v>0</v>
      </c>
      <c r="AI144" s="467"/>
      <c r="AJ144" s="467"/>
      <c r="AK144" s="467"/>
      <c r="AL144" s="532" t="str">
        <f t="shared" si="89"/>
        <v>YA</v>
      </c>
      <c r="AM144" s="338">
        <f t="shared" si="90"/>
        <v>0</v>
      </c>
      <c r="AN144" s="785">
        <f t="shared" si="91"/>
        <v>0</v>
      </c>
      <c r="AO144" s="785"/>
    </row>
    <row r="145" spans="18:41" x14ac:dyDescent="0.25">
      <c r="R145" s="786" t="s">
        <v>718</v>
      </c>
      <c r="S145" s="787"/>
      <c r="T145" s="787"/>
      <c r="U145" s="787"/>
      <c r="V145" s="788"/>
      <c r="W145" s="370">
        <v>6</v>
      </c>
      <c r="X145" s="334">
        <v>12.69</v>
      </c>
      <c r="Y145" s="371">
        <f t="shared" si="85"/>
        <v>0</v>
      </c>
      <c r="Z145" s="370"/>
      <c r="AA145" s="336"/>
      <c r="AB145" s="371">
        <f t="shared" si="86"/>
        <v>0</v>
      </c>
      <c r="AC145" s="370"/>
      <c r="AD145" s="335"/>
      <c r="AE145" s="371">
        <f t="shared" si="87"/>
        <v>0</v>
      </c>
      <c r="AF145" s="370"/>
      <c r="AG145" s="335"/>
      <c r="AH145" s="371">
        <f t="shared" si="88"/>
        <v>0</v>
      </c>
      <c r="AI145" s="467"/>
      <c r="AJ145" s="467"/>
      <c r="AK145" s="467"/>
      <c r="AL145" s="532" t="str">
        <f t="shared" si="89"/>
        <v>YA</v>
      </c>
      <c r="AM145" s="338">
        <f t="shared" si="90"/>
        <v>0</v>
      </c>
      <c r="AN145" s="785">
        <f t="shared" si="91"/>
        <v>0</v>
      </c>
      <c r="AO145" s="785"/>
    </row>
    <row r="146" spans="18:41" x14ac:dyDescent="0.25">
      <c r="R146" s="786" t="s">
        <v>719</v>
      </c>
      <c r="S146" s="787"/>
      <c r="T146" s="787"/>
      <c r="U146" s="787"/>
      <c r="V146" s="788"/>
      <c r="W146" s="370">
        <v>6</v>
      </c>
      <c r="X146" s="334">
        <v>12.69</v>
      </c>
      <c r="Y146" s="371">
        <f t="shared" si="85"/>
        <v>0</v>
      </c>
      <c r="Z146" s="370"/>
      <c r="AA146" s="336"/>
      <c r="AB146" s="371">
        <f t="shared" si="86"/>
        <v>0</v>
      </c>
      <c r="AC146" s="370"/>
      <c r="AD146" s="335"/>
      <c r="AE146" s="371">
        <f t="shared" si="87"/>
        <v>0</v>
      </c>
      <c r="AF146" s="370"/>
      <c r="AG146" s="335"/>
      <c r="AH146" s="371">
        <f t="shared" si="88"/>
        <v>0</v>
      </c>
      <c r="AI146" s="467"/>
      <c r="AJ146" s="467"/>
      <c r="AK146" s="467"/>
      <c r="AL146" s="532" t="str">
        <f t="shared" si="89"/>
        <v>YA</v>
      </c>
      <c r="AM146" s="338">
        <f t="shared" si="90"/>
        <v>0</v>
      </c>
      <c r="AN146" s="785">
        <f t="shared" si="91"/>
        <v>0</v>
      </c>
      <c r="AO146" s="785"/>
    </row>
    <row r="147" spans="18:41" x14ac:dyDescent="0.25">
      <c r="R147" s="789" t="s">
        <v>493</v>
      </c>
      <c r="S147" s="789"/>
      <c r="T147" s="789"/>
      <c r="U147" s="789"/>
      <c r="V147" s="789"/>
      <c r="W147" s="370">
        <v>24</v>
      </c>
      <c r="X147" s="334">
        <v>1.03</v>
      </c>
      <c r="Y147" s="371">
        <f t="shared" si="74"/>
        <v>0</v>
      </c>
      <c r="Z147" s="370"/>
      <c r="AA147" s="336"/>
      <c r="AB147" s="371">
        <f t="shared" si="75"/>
        <v>0</v>
      </c>
      <c r="AC147" s="370"/>
      <c r="AD147" s="335"/>
      <c r="AE147" s="371">
        <f t="shared" si="76"/>
        <v>0</v>
      </c>
      <c r="AF147" s="370"/>
      <c r="AG147" s="335"/>
      <c r="AH147" s="371">
        <f t="shared" si="77"/>
        <v>0</v>
      </c>
      <c r="AI147" s="467"/>
      <c r="AJ147" s="467"/>
      <c r="AK147" s="467"/>
      <c r="AL147" s="408" t="str">
        <f t="shared" si="78"/>
        <v>YA</v>
      </c>
      <c r="AM147" s="338">
        <f t="shared" si="79"/>
        <v>0</v>
      </c>
      <c r="AN147" s="785">
        <f t="shared" si="80"/>
        <v>0</v>
      </c>
      <c r="AO147" s="785"/>
    </row>
    <row r="148" spans="18:41" ht="18.75" x14ac:dyDescent="0.3">
      <c r="R148" s="332"/>
      <c r="S148" s="332"/>
      <c r="T148" s="332"/>
      <c r="U148" s="332"/>
      <c r="V148" s="332"/>
      <c r="W148" s="333"/>
      <c r="X148" s="367"/>
      <c r="Y148" s="367"/>
      <c r="Z148" s="367"/>
      <c r="AA148" s="367"/>
      <c r="AB148" s="368"/>
      <c r="AC148" s="367"/>
      <c r="AD148" s="367"/>
      <c r="AE148" s="368"/>
      <c r="AF148" s="367"/>
      <c r="AG148" s="367"/>
      <c r="AH148" s="368"/>
      <c r="AJ148" s="374">
        <f>SUM(AJ126:AJ147)</f>
        <v>75</v>
      </c>
      <c r="AK148" s="339"/>
      <c r="AM148" s="374">
        <f>SUM(AM126:AM147)</f>
        <v>54.42</v>
      </c>
      <c r="AN148" s="377">
        <f>SUM(AN126:AN147)</f>
        <v>20.58</v>
      </c>
      <c r="AO148" s="378">
        <f>AN148/AM148</f>
        <v>0.37816979051819177</v>
      </c>
    </row>
    <row r="149" spans="18:41" ht="18.75" x14ac:dyDescent="0.3">
      <c r="R149" s="332"/>
      <c r="S149" s="332"/>
      <c r="T149" s="332"/>
      <c r="U149" s="332"/>
      <c r="V149" s="332"/>
      <c r="W149" s="333"/>
      <c r="X149" s="367"/>
      <c r="Y149" s="368"/>
      <c r="Z149" s="367"/>
      <c r="AA149" s="367"/>
      <c r="AB149" s="368"/>
      <c r="AC149" s="367"/>
      <c r="AD149" s="367"/>
      <c r="AE149" s="368"/>
      <c r="AF149" s="367"/>
      <c r="AG149" s="367"/>
      <c r="AH149" s="367"/>
      <c r="AK149" s="339"/>
      <c r="AM149" s="359"/>
      <c r="AN149" s="364"/>
      <c r="AO149" s="365"/>
    </row>
    <row r="150" spans="18:41" ht="31.5" x14ac:dyDescent="0.25">
      <c r="R150" s="795" t="s">
        <v>641</v>
      </c>
      <c r="S150" s="796"/>
      <c r="T150" s="796"/>
      <c r="U150" s="796"/>
      <c r="V150" s="796"/>
      <c r="W150" s="796"/>
      <c r="X150" s="796"/>
      <c r="Y150" s="796"/>
      <c r="Z150" s="796"/>
      <c r="AA150" s="796"/>
      <c r="AB150" s="796"/>
      <c r="AC150" s="796"/>
      <c r="AD150" s="796"/>
      <c r="AE150" s="796"/>
      <c r="AF150" s="796"/>
      <c r="AG150" s="796"/>
      <c r="AH150" s="796"/>
      <c r="AI150" s="796"/>
      <c r="AJ150" s="796"/>
      <c r="AK150" s="796"/>
      <c r="AL150" s="796"/>
      <c r="AM150" s="796"/>
      <c r="AN150" s="796"/>
      <c r="AO150" s="797"/>
    </row>
    <row r="151" spans="18:41" ht="18.75" x14ac:dyDescent="0.25">
      <c r="R151" s="792" t="s">
        <v>2</v>
      </c>
      <c r="S151" s="792"/>
      <c r="T151" s="792"/>
      <c r="U151" s="792"/>
      <c r="V151" s="792"/>
      <c r="W151" s="372" t="s">
        <v>378</v>
      </c>
      <c r="X151" s="513" t="s">
        <v>379</v>
      </c>
      <c r="Y151" s="373" t="s">
        <v>377</v>
      </c>
      <c r="Z151" s="372" t="s">
        <v>368</v>
      </c>
      <c r="AA151" s="513" t="s">
        <v>369</v>
      </c>
      <c r="AB151" s="373" t="s">
        <v>373</v>
      </c>
      <c r="AC151" s="372" t="s">
        <v>370</v>
      </c>
      <c r="AD151" s="513" t="s">
        <v>371</v>
      </c>
      <c r="AE151" s="373" t="s">
        <v>374</v>
      </c>
      <c r="AF151" s="372" t="s">
        <v>372</v>
      </c>
      <c r="AG151" s="513" t="s">
        <v>380</v>
      </c>
      <c r="AH151" s="373" t="s">
        <v>375</v>
      </c>
      <c r="AI151" s="382" t="s">
        <v>78</v>
      </c>
      <c r="AJ151" s="382" t="s">
        <v>382</v>
      </c>
      <c r="AK151" s="382" t="s">
        <v>376</v>
      </c>
      <c r="AL151" s="513" t="s">
        <v>383</v>
      </c>
      <c r="AM151" s="513" t="s">
        <v>381</v>
      </c>
      <c r="AN151" s="794" t="s">
        <v>384</v>
      </c>
      <c r="AO151" s="794"/>
    </row>
    <row r="152" spans="18:41" x14ac:dyDescent="0.25">
      <c r="R152" s="789" t="s">
        <v>642</v>
      </c>
      <c r="S152" s="789"/>
      <c r="T152" s="789"/>
      <c r="U152" s="789"/>
      <c r="V152" s="789"/>
      <c r="W152" s="370">
        <v>6</v>
      </c>
      <c r="X152" s="334">
        <v>5.82</v>
      </c>
      <c r="Y152" s="371">
        <f t="shared" ref="Y152:Y210" si="92">IF(AK152 &lt; AF152+AC152+Z152+W152, MIN(AC152+AF152+Z152+W152-AK152,AI152-AH152-AE152-AB152,W152),0)</f>
        <v>0</v>
      </c>
      <c r="Z152" s="370"/>
      <c r="AA152" s="336"/>
      <c r="AB152" s="371">
        <f t="shared" ref="AB152:AB210" si="93">IF(AK152 &lt; AF152+AC152+Z152, MIN(AC152+AF152+Z152-AK152,AI152-AH152-AE152,Z152),0)</f>
        <v>0</v>
      </c>
      <c r="AC152" s="370"/>
      <c r="AD152" s="336"/>
      <c r="AE152" s="371">
        <f t="shared" ref="AE152:AE210" si="94">IF(AK152 &lt; AF152+AC152, MIN(AC152+AF152-AK152,AI152-AH152,AC152),0)</f>
        <v>0</v>
      </c>
      <c r="AF152" s="370"/>
      <c r="AG152" s="336"/>
      <c r="AH152" s="371">
        <f t="shared" ref="AH152:AH210" si="95">IF(AK152 &lt;=AF152, MIN(AF152-AK152,AI152), 0)</f>
        <v>0</v>
      </c>
      <c r="AI152" s="467"/>
      <c r="AJ152" s="467"/>
      <c r="AK152" s="467"/>
      <c r="AL152" s="513" t="str">
        <f t="shared" ref="AL152:AL210" si="96">IF(OR((W152+Z152+AC152+AF152) &gt;= (AI152+AK152), AI152 = 0), "YA", "MAS")</f>
        <v>YA</v>
      </c>
      <c r="AM152" s="338">
        <f t="shared" ref="AM152:AM210" si="97">IF(AI152=0,0,AH152*AG152+AE152*AD152+AB152*AA152+Y152*X152)</f>
        <v>0</v>
      </c>
      <c r="AN152" s="785">
        <f t="shared" ref="AN152:AN210" si="98">AJ152-AM152</f>
        <v>0</v>
      </c>
      <c r="AO152" s="785"/>
    </row>
    <row r="153" spans="18:41" x14ac:dyDescent="0.25">
      <c r="R153" s="789" t="s">
        <v>643</v>
      </c>
      <c r="S153" s="789"/>
      <c r="T153" s="789"/>
      <c r="U153" s="789"/>
      <c r="V153" s="789"/>
      <c r="W153" s="370">
        <v>4</v>
      </c>
      <c r="X153" s="336">
        <v>20.010000000000002</v>
      </c>
      <c r="Y153" s="371">
        <f t="shared" si="92"/>
        <v>0</v>
      </c>
      <c r="Z153" s="370"/>
      <c r="AA153" s="336"/>
      <c r="AB153" s="371">
        <f t="shared" si="93"/>
        <v>0</v>
      </c>
      <c r="AC153" s="370"/>
      <c r="AD153" s="336"/>
      <c r="AE153" s="371">
        <f t="shared" si="94"/>
        <v>0</v>
      </c>
      <c r="AF153" s="370"/>
      <c r="AG153" s="336"/>
      <c r="AH153" s="371">
        <f t="shared" si="95"/>
        <v>0</v>
      </c>
      <c r="AI153" s="467"/>
      <c r="AJ153" s="467"/>
      <c r="AK153" s="467"/>
      <c r="AL153" s="513" t="str">
        <f t="shared" si="96"/>
        <v>YA</v>
      </c>
      <c r="AM153" s="338">
        <f t="shared" si="97"/>
        <v>0</v>
      </c>
      <c r="AN153" s="785">
        <f t="shared" si="98"/>
        <v>0</v>
      </c>
      <c r="AO153" s="785"/>
    </row>
    <row r="154" spans="18:41" ht="17.25" customHeight="1" x14ac:dyDescent="0.25">
      <c r="R154" s="789" t="s">
        <v>644</v>
      </c>
      <c r="S154" s="789"/>
      <c r="T154" s="789"/>
      <c r="U154" s="789"/>
      <c r="V154" s="789"/>
      <c r="W154" s="370">
        <v>4</v>
      </c>
      <c r="X154" s="334">
        <v>20.010000000000002</v>
      </c>
      <c r="Y154" s="371">
        <f t="shared" si="92"/>
        <v>0</v>
      </c>
      <c r="Z154" s="370"/>
      <c r="AA154" s="336"/>
      <c r="AB154" s="371">
        <f t="shared" si="93"/>
        <v>0</v>
      </c>
      <c r="AC154" s="370"/>
      <c r="AD154" s="336"/>
      <c r="AE154" s="371">
        <f t="shared" si="94"/>
        <v>0</v>
      </c>
      <c r="AF154" s="370"/>
      <c r="AG154" s="336"/>
      <c r="AH154" s="371">
        <f t="shared" si="95"/>
        <v>0</v>
      </c>
      <c r="AI154" s="467"/>
      <c r="AJ154" s="467"/>
      <c r="AK154" s="467"/>
      <c r="AL154" s="513" t="str">
        <f t="shared" si="96"/>
        <v>YA</v>
      </c>
      <c r="AM154" s="338">
        <f t="shared" si="97"/>
        <v>0</v>
      </c>
      <c r="AN154" s="785">
        <f t="shared" si="98"/>
        <v>0</v>
      </c>
      <c r="AO154" s="785"/>
    </row>
    <row r="155" spans="18:41" x14ac:dyDescent="0.25">
      <c r="R155" s="798" t="s">
        <v>645</v>
      </c>
      <c r="S155" s="798"/>
      <c r="T155" s="798"/>
      <c r="U155" s="798"/>
      <c r="V155" s="798"/>
      <c r="W155" s="370">
        <v>12</v>
      </c>
      <c r="X155" s="334">
        <v>19</v>
      </c>
      <c r="Y155" s="371">
        <f t="shared" si="92"/>
        <v>3</v>
      </c>
      <c r="Z155" s="370"/>
      <c r="AA155" s="336"/>
      <c r="AB155" s="371">
        <f t="shared" si="93"/>
        <v>0</v>
      </c>
      <c r="AC155" s="370"/>
      <c r="AD155" s="336"/>
      <c r="AE155" s="371">
        <f t="shared" si="94"/>
        <v>0</v>
      </c>
      <c r="AF155" s="370"/>
      <c r="AG155" s="336"/>
      <c r="AH155" s="371">
        <f t="shared" si="95"/>
        <v>0</v>
      </c>
      <c r="AI155" s="467">
        <v>3</v>
      </c>
      <c r="AJ155" s="467">
        <v>73</v>
      </c>
      <c r="AK155" s="467"/>
      <c r="AL155" s="513" t="str">
        <f t="shared" si="96"/>
        <v>YA</v>
      </c>
      <c r="AM155" s="338">
        <f t="shared" si="97"/>
        <v>57</v>
      </c>
      <c r="AN155" s="785">
        <f t="shared" si="98"/>
        <v>16</v>
      </c>
      <c r="AO155" s="785"/>
    </row>
    <row r="156" spans="18:41" x14ac:dyDescent="0.25">
      <c r="R156" s="789" t="s">
        <v>646</v>
      </c>
      <c r="S156" s="789"/>
      <c r="T156" s="789"/>
      <c r="U156" s="789"/>
      <c r="V156" s="789"/>
      <c r="W156" s="370">
        <v>4</v>
      </c>
      <c r="X156" s="334">
        <v>20.010000000000002</v>
      </c>
      <c r="Y156" s="371">
        <f t="shared" si="92"/>
        <v>0</v>
      </c>
      <c r="Z156" s="370"/>
      <c r="AA156" s="336"/>
      <c r="AB156" s="371">
        <f t="shared" si="93"/>
        <v>0</v>
      </c>
      <c r="AC156" s="370"/>
      <c r="AD156" s="335"/>
      <c r="AE156" s="371">
        <f t="shared" si="94"/>
        <v>0</v>
      </c>
      <c r="AF156" s="370"/>
      <c r="AG156" s="335"/>
      <c r="AH156" s="371">
        <f t="shared" si="95"/>
        <v>0</v>
      </c>
      <c r="AI156" s="467"/>
      <c r="AJ156" s="467"/>
      <c r="AK156" s="467"/>
      <c r="AL156" s="513" t="str">
        <f t="shared" si="96"/>
        <v>YA</v>
      </c>
      <c r="AM156" s="338">
        <f t="shared" si="97"/>
        <v>0</v>
      </c>
      <c r="AN156" s="785">
        <f t="shared" si="98"/>
        <v>0</v>
      </c>
      <c r="AO156" s="785"/>
    </row>
    <row r="157" spans="18:41" x14ac:dyDescent="0.25">
      <c r="R157" s="789" t="s">
        <v>647</v>
      </c>
      <c r="S157" s="789"/>
      <c r="T157" s="789"/>
      <c r="U157" s="789"/>
      <c r="V157" s="789"/>
      <c r="W157" s="370">
        <v>4</v>
      </c>
      <c r="X157" s="334">
        <v>18.510000000000002</v>
      </c>
      <c r="Y157" s="371">
        <f t="shared" si="92"/>
        <v>0</v>
      </c>
      <c r="Z157" s="370"/>
      <c r="AA157" s="336"/>
      <c r="AB157" s="371">
        <f t="shared" si="93"/>
        <v>0</v>
      </c>
      <c r="AC157" s="370"/>
      <c r="AD157" s="335"/>
      <c r="AE157" s="371">
        <f t="shared" si="94"/>
        <v>0</v>
      </c>
      <c r="AF157" s="370"/>
      <c r="AG157" s="335"/>
      <c r="AH157" s="371">
        <f t="shared" si="95"/>
        <v>0</v>
      </c>
      <c r="AI157" s="467"/>
      <c r="AJ157" s="467"/>
      <c r="AK157" s="467"/>
      <c r="AL157" s="513" t="str">
        <f t="shared" si="96"/>
        <v>YA</v>
      </c>
      <c r="AM157" s="338">
        <f t="shared" si="97"/>
        <v>0</v>
      </c>
      <c r="AN157" s="785">
        <f t="shared" si="98"/>
        <v>0</v>
      </c>
      <c r="AO157" s="785"/>
    </row>
    <row r="158" spans="18:41" x14ac:dyDescent="0.25">
      <c r="R158" s="789" t="s">
        <v>648</v>
      </c>
      <c r="S158" s="789"/>
      <c r="T158" s="789"/>
      <c r="U158" s="789"/>
      <c r="V158" s="789"/>
      <c r="W158" s="370">
        <v>4</v>
      </c>
      <c r="X158" s="334">
        <v>16.91</v>
      </c>
      <c r="Y158" s="371">
        <f t="shared" si="92"/>
        <v>0</v>
      </c>
      <c r="Z158" s="370"/>
      <c r="AA158" s="336"/>
      <c r="AB158" s="371">
        <f t="shared" si="93"/>
        <v>0</v>
      </c>
      <c r="AC158" s="370"/>
      <c r="AD158" s="335"/>
      <c r="AE158" s="371">
        <f t="shared" si="94"/>
        <v>0</v>
      </c>
      <c r="AF158" s="370"/>
      <c r="AG158" s="335"/>
      <c r="AH158" s="371">
        <f t="shared" si="95"/>
        <v>0</v>
      </c>
      <c r="AI158" s="467"/>
      <c r="AJ158" s="467"/>
      <c r="AK158" s="467"/>
      <c r="AL158" s="513" t="str">
        <f t="shared" si="96"/>
        <v>YA</v>
      </c>
      <c r="AM158" s="338">
        <f t="shared" si="97"/>
        <v>0</v>
      </c>
      <c r="AN158" s="785">
        <f t="shared" si="98"/>
        <v>0</v>
      </c>
      <c r="AO158" s="785"/>
    </row>
    <row r="159" spans="18:41" x14ac:dyDescent="0.25">
      <c r="R159" s="789" t="s">
        <v>649</v>
      </c>
      <c r="S159" s="789"/>
      <c r="T159" s="789"/>
      <c r="U159" s="789"/>
      <c r="V159" s="789"/>
      <c r="W159" s="370">
        <v>4</v>
      </c>
      <c r="X159" s="334">
        <v>56.5</v>
      </c>
      <c r="Y159" s="371">
        <f t="shared" si="92"/>
        <v>0</v>
      </c>
      <c r="Z159" s="370"/>
      <c r="AA159" s="336"/>
      <c r="AB159" s="371">
        <f t="shared" si="93"/>
        <v>0</v>
      </c>
      <c r="AC159" s="370"/>
      <c r="AD159" s="335"/>
      <c r="AE159" s="371">
        <f t="shared" si="94"/>
        <v>0</v>
      </c>
      <c r="AF159" s="370"/>
      <c r="AG159" s="335"/>
      <c r="AH159" s="371">
        <f t="shared" si="95"/>
        <v>0</v>
      </c>
      <c r="AI159" s="467"/>
      <c r="AJ159" s="467"/>
      <c r="AK159" s="467"/>
      <c r="AL159" s="513" t="str">
        <f t="shared" si="96"/>
        <v>YA</v>
      </c>
      <c r="AM159" s="338">
        <f t="shared" si="97"/>
        <v>0</v>
      </c>
      <c r="AN159" s="785">
        <f t="shared" si="98"/>
        <v>0</v>
      </c>
      <c r="AO159" s="785"/>
    </row>
    <row r="160" spans="18:41" x14ac:dyDescent="0.25">
      <c r="R160" s="798" t="s">
        <v>650</v>
      </c>
      <c r="S160" s="798"/>
      <c r="T160" s="798"/>
      <c r="U160" s="798"/>
      <c r="V160" s="798"/>
      <c r="W160" s="370">
        <v>20</v>
      </c>
      <c r="X160" s="334">
        <v>8.5</v>
      </c>
      <c r="Y160" s="371">
        <f t="shared" si="92"/>
        <v>3</v>
      </c>
      <c r="Z160" s="370"/>
      <c r="AA160" s="336"/>
      <c r="AB160" s="371">
        <f t="shared" si="93"/>
        <v>0</v>
      </c>
      <c r="AC160" s="370"/>
      <c r="AD160" s="335"/>
      <c r="AE160" s="371">
        <f t="shared" si="94"/>
        <v>0</v>
      </c>
      <c r="AF160" s="370"/>
      <c r="AG160" s="335"/>
      <c r="AH160" s="371">
        <f t="shared" si="95"/>
        <v>0</v>
      </c>
      <c r="AI160" s="467">
        <v>3</v>
      </c>
      <c r="AJ160" s="467">
        <v>33</v>
      </c>
      <c r="AK160" s="467"/>
      <c r="AL160" s="513" t="str">
        <f t="shared" si="96"/>
        <v>YA</v>
      </c>
      <c r="AM160" s="338">
        <f t="shared" si="97"/>
        <v>25.5</v>
      </c>
      <c r="AN160" s="785">
        <f t="shared" si="98"/>
        <v>7.5</v>
      </c>
      <c r="AO160" s="785"/>
    </row>
    <row r="161" spans="18:41" ht="18" customHeight="1" x14ac:dyDescent="0.25">
      <c r="R161" s="789" t="s">
        <v>651</v>
      </c>
      <c r="S161" s="789"/>
      <c r="T161" s="789"/>
      <c r="U161" s="789"/>
      <c r="V161" s="789"/>
      <c r="W161" s="370">
        <v>8</v>
      </c>
      <c r="X161" s="334">
        <v>8.23</v>
      </c>
      <c r="Y161" s="371">
        <f t="shared" si="92"/>
        <v>1</v>
      </c>
      <c r="Z161" s="370"/>
      <c r="AA161" s="336"/>
      <c r="AB161" s="371">
        <f t="shared" si="93"/>
        <v>0</v>
      </c>
      <c r="AC161" s="370"/>
      <c r="AD161" s="335"/>
      <c r="AE161" s="371">
        <f t="shared" si="94"/>
        <v>0</v>
      </c>
      <c r="AF161" s="370"/>
      <c r="AG161" s="335"/>
      <c r="AH161" s="371">
        <f t="shared" si="95"/>
        <v>0</v>
      </c>
      <c r="AI161" s="467">
        <v>1</v>
      </c>
      <c r="AJ161" s="467">
        <v>10</v>
      </c>
      <c r="AK161" s="467"/>
      <c r="AL161" s="513" t="str">
        <f t="shared" si="96"/>
        <v>YA</v>
      </c>
      <c r="AM161" s="338">
        <f t="shared" si="97"/>
        <v>8.23</v>
      </c>
      <c r="AN161" s="785">
        <f t="shared" si="98"/>
        <v>1.7699999999999996</v>
      </c>
      <c r="AO161" s="785"/>
    </row>
    <row r="162" spans="18:41" ht="17.25" customHeight="1" x14ac:dyDescent="0.25">
      <c r="R162" s="798" t="s">
        <v>652</v>
      </c>
      <c r="S162" s="798"/>
      <c r="T162" s="798"/>
      <c r="U162" s="798"/>
      <c r="V162" s="798"/>
      <c r="W162" s="370">
        <v>8</v>
      </c>
      <c r="X162" s="334">
        <v>10.14</v>
      </c>
      <c r="Y162" s="371">
        <f t="shared" si="92"/>
        <v>1</v>
      </c>
      <c r="Z162" s="370"/>
      <c r="AA162" s="336"/>
      <c r="AB162" s="371">
        <f t="shared" si="93"/>
        <v>0</v>
      </c>
      <c r="AC162" s="370"/>
      <c r="AD162" s="335"/>
      <c r="AE162" s="371">
        <f t="shared" si="94"/>
        <v>0</v>
      </c>
      <c r="AF162" s="370"/>
      <c r="AG162" s="335"/>
      <c r="AH162" s="371">
        <f t="shared" si="95"/>
        <v>0</v>
      </c>
      <c r="AI162" s="467">
        <v>1</v>
      </c>
      <c r="AJ162" s="467">
        <v>13</v>
      </c>
      <c r="AK162" s="467"/>
      <c r="AL162" s="513" t="str">
        <f t="shared" si="96"/>
        <v>YA</v>
      </c>
      <c r="AM162" s="338">
        <f t="shared" si="97"/>
        <v>10.14</v>
      </c>
      <c r="AN162" s="785">
        <f t="shared" si="98"/>
        <v>2.8599999999999994</v>
      </c>
      <c r="AO162" s="785"/>
    </row>
    <row r="163" spans="18:41" x14ac:dyDescent="0.25">
      <c r="R163" s="789" t="s">
        <v>653</v>
      </c>
      <c r="S163" s="789"/>
      <c r="T163" s="789"/>
      <c r="U163" s="789"/>
      <c r="V163" s="789"/>
      <c r="W163" s="370">
        <v>4</v>
      </c>
      <c r="X163" s="334">
        <v>11.14</v>
      </c>
      <c r="Y163" s="371">
        <f t="shared" si="92"/>
        <v>0</v>
      </c>
      <c r="Z163" s="370"/>
      <c r="AA163" s="336"/>
      <c r="AB163" s="371">
        <f t="shared" si="93"/>
        <v>0</v>
      </c>
      <c r="AC163" s="370"/>
      <c r="AD163" s="335"/>
      <c r="AE163" s="371">
        <f t="shared" si="94"/>
        <v>0</v>
      </c>
      <c r="AF163" s="370"/>
      <c r="AG163" s="335"/>
      <c r="AH163" s="371">
        <f t="shared" si="95"/>
        <v>0</v>
      </c>
      <c r="AI163" s="467"/>
      <c r="AJ163" s="467"/>
      <c r="AK163" s="467"/>
      <c r="AL163" s="513" t="str">
        <f t="shared" si="96"/>
        <v>YA</v>
      </c>
      <c r="AM163" s="338">
        <f t="shared" si="97"/>
        <v>0</v>
      </c>
      <c r="AN163" s="785">
        <f t="shared" si="98"/>
        <v>0</v>
      </c>
      <c r="AO163" s="785"/>
    </row>
    <row r="164" spans="18:41" x14ac:dyDescent="0.25">
      <c r="R164" s="626" t="s">
        <v>654</v>
      </c>
      <c r="S164" s="627"/>
      <c r="T164" s="627"/>
      <c r="U164" s="627"/>
      <c r="V164" s="628"/>
      <c r="W164" s="370">
        <v>4</v>
      </c>
      <c r="X164" s="334">
        <v>19.399999999999999</v>
      </c>
      <c r="Y164" s="371">
        <f t="shared" si="92"/>
        <v>0</v>
      </c>
      <c r="Z164" s="370"/>
      <c r="AA164" s="336"/>
      <c r="AB164" s="371">
        <f t="shared" si="93"/>
        <v>0</v>
      </c>
      <c r="AC164" s="370"/>
      <c r="AD164" s="335"/>
      <c r="AE164" s="371">
        <f t="shared" si="94"/>
        <v>0</v>
      </c>
      <c r="AF164" s="370"/>
      <c r="AG164" s="335"/>
      <c r="AH164" s="371">
        <f t="shared" si="95"/>
        <v>0</v>
      </c>
      <c r="AI164" s="467"/>
      <c r="AJ164" s="467"/>
      <c r="AK164" s="467"/>
      <c r="AL164" s="513" t="str">
        <f t="shared" si="96"/>
        <v>YA</v>
      </c>
      <c r="AM164" s="338">
        <f t="shared" si="97"/>
        <v>0</v>
      </c>
      <c r="AN164" s="785">
        <f t="shared" si="98"/>
        <v>0</v>
      </c>
      <c r="AO164" s="785"/>
    </row>
    <row r="165" spans="18:41" x14ac:dyDescent="0.25">
      <c r="R165" s="786" t="s">
        <v>655</v>
      </c>
      <c r="S165" s="787"/>
      <c r="T165" s="787"/>
      <c r="U165" s="787"/>
      <c r="V165" s="788"/>
      <c r="W165" s="370">
        <v>4</v>
      </c>
      <c r="X165" s="334">
        <v>20.34</v>
      </c>
      <c r="Y165" s="371">
        <f t="shared" si="92"/>
        <v>0</v>
      </c>
      <c r="Z165" s="370"/>
      <c r="AA165" s="336"/>
      <c r="AB165" s="371">
        <f t="shared" si="93"/>
        <v>0</v>
      </c>
      <c r="AC165" s="370"/>
      <c r="AD165" s="335"/>
      <c r="AE165" s="371">
        <f t="shared" si="94"/>
        <v>0</v>
      </c>
      <c r="AF165" s="370"/>
      <c r="AG165" s="335"/>
      <c r="AH165" s="371">
        <f t="shared" si="95"/>
        <v>0</v>
      </c>
      <c r="AI165" s="467"/>
      <c r="AJ165" s="467"/>
      <c r="AK165" s="467"/>
      <c r="AL165" s="513" t="str">
        <f t="shared" si="96"/>
        <v>YA</v>
      </c>
      <c r="AM165" s="338">
        <f t="shared" si="97"/>
        <v>0</v>
      </c>
      <c r="AN165" s="785">
        <f t="shared" si="98"/>
        <v>0</v>
      </c>
      <c r="AO165" s="785"/>
    </row>
    <row r="166" spans="18:41" x14ac:dyDescent="0.25">
      <c r="R166" s="626" t="s">
        <v>656</v>
      </c>
      <c r="S166" s="627"/>
      <c r="T166" s="627"/>
      <c r="U166" s="627"/>
      <c r="V166" s="628"/>
      <c r="W166" s="370">
        <v>32</v>
      </c>
      <c r="X166" s="334">
        <v>5.46</v>
      </c>
      <c r="Y166" s="371">
        <f t="shared" ref="Y166:Y209" si="99">IF(AK166 &lt; AF166+AC166+Z166+W166, MIN(AC166+AF166+Z166+W166-AK166,AI166-AH166-AE166-AB166,W166),0)</f>
        <v>24</v>
      </c>
      <c r="Z166" s="370"/>
      <c r="AA166" s="336"/>
      <c r="AB166" s="371">
        <f t="shared" ref="AB166:AB209" si="100">IF(AK166 &lt; AF166+AC166+Z166, MIN(AC166+AF166+Z166-AK166,AI166-AH166-AE166,Z166),0)</f>
        <v>0</v>
      </c>
      <c r="AC166" s="370"/>
      <c r="AD166" s="335"/>
      <c r="AE166" s="371">
        <f t="shared" ref="AE166:AE209" si="101">IF(AK166 &lt; AF166+AC166, MIN(AC166+AF166-AK166,AI166-AH166,AC166),0)</f>
        <v>0</v>
      </c>
      <c r="AF166" s="370"/>
      <c r="AG166" s="335"/>
      <c r="AH166" s="371">
        <f t="shared" ref="AH166:AH209" si="102">IF(AK166 &lt;=AF166, MIN(AF166-AK166,AI166), 0)</f>
        <v>0</v>
      </c>
      <c r="AI166" s="467">
        <v>24</v>
      </c>
      <c r="AJ166" s="467">
        <v>168</v>
      </c>
      <c r="AK166" s="467"/>
      <c r="AL166" s="513" t="str">
        <f t="shared" ref="AL166:AL209" si="103">IF(OR((W166+Z166+AC166+AF166) &gt;= (AI166+AK166), AI166 = 0), "YA", "MAS")</f>
        <v>YA</v>
      </c>
      <c r="AM166" s="338">
        <f t="shared" ref="AM166:AM209" si="104">IF(AI166=0,0,AH166*AG166+AE166*AD166+AB166*AA166+Y166*X166)</f>
        <v>131.04</v>
      </c>
      <c r="AN166" s="785">
        <f t="shared" ref="AN166:AN209" si="105">AJ166-AM166</f>
        <v>36.960000000000008</v>
      </c>
      <c r="AO166" s="785"/>
    </row>
    <row r="167" spans="18:41" x14ac:dyDescent="0.25">
      <c r="R167" s="786" t="s">
        <v>657</v>
      </c>
      <c r="S167" s="787"/>
      <c r="T167" s="787"/>
      <c r="U167" s="787"/>
      <c r="V167" s="788"/>
      <c r="W167" s="370">
        <v>8</v>
      </c>
      <c r="X167" s="334">
        <v>5.46</v>
      </c>
      <c r="Y167" s="371">
        <f t="shared" si="99"/>
        <v>0</v>
      </c>
      <c r="Z167" s="370"/>
      <c r="AA167" s="336"/>
      <c r="AB167" s="371">
        <f t="shared" si="100"/>
        <v>0</v>
      </c>
      <c r="AC167" s="370"/>
      <c r="AD167" s="335"/>
      <c r="AE167" s="371">
        <f t="shared" si="101"/>
        <v>0</v>
      </c>
      <c r="AF167" s="370"/>
      <c r="AG167" s="335"/>
      <c r="AH167" s="371">
        <f t="shared" si="102"/>
        <v>0</v>
      </c>
      <c r="AI167" s="467"/>
      <c r="AJ167" s="467"/>
      <c r="AK167" s="467"/>
      <c r="AL167" s="513" t="str">
        <f t="shared" si="103"/>
        <v>YA</v>
      </c>
      <c r="AM167" s="338">
        <f t="shared" si="104"/>
        <v>0</v>
      </c>
      <c r="AN167" s="785">
        <f t="shared" si="105"/>
        <v>0</v>
      </c>
      <c r="AO167" s="785"/>
    </row>
    <row r="168" spans="18:41" x14ac:dyDescent="0.25">
      <c r="R168" s="786" t="s">
        <v>658</v>
      </c>
      <c r="S168" s="787"/>
      <c r="T168" s="787"/>
      <c r="U168" s="787"/>
      <c r="V168" s="788"/>
      <c r="W168" s="370">
        <v>8</v>
      </c>
      <c r="X168" s="334">
        <v>5.46</v>
      </c>
      <c r="Y168" s="371">
        <f t="shared" si="99"/>
        <v>0</v>
      </c>
      <c r="Z168" s="370"/>
      <c r="AA168" s="336"/>
      <c r="AB168" s="371">
        <f t="shared" si="100"/>
        <v>0</v>
      </c>
      <c r="AC168" s="370"/>
      <c r="AD168" s="335"/>
      <c r="AE168" s="371">
        <f t="shared" si="101"/>
        <v>0</v>
      </c>
      <c r="AF168" s="370"/>
      <c r="AG168" s="335"/>
      <c r="AH168" s="371">
        <f t="shared" si="102"/>
        <v>0</v>
      </c>
      <c r="AI168" s="467"/>
      <c r="AJ168" s="467"/>
      <c r="AK168" s="467"/>
      <c r="AL168" s="513" t="str">
        <f t="shared" si="103"/>
        <v>YA</v>
      </c>
      <c r="AM168" s="338">
        <f t="shared" si="104"/>
        <v>0</v>
      </c>
      <c r="AN168" s="785">
        <f t="shared" si="105"/>
        <v>0</v>
      </c>
      <c r="AO168" s="785"/>
    </row>
    <row r="169" spans="18:41" x14ac:dyDescent="0.25">
      <c r="R169" s="786" t="s">
        <v>659</v>
      </c>
      <c r="S169" s="787"/>
      <c r="T169" s="787"/>
      <c r="U169" s="787"/>
      <c r="V169" s="788"/>
      <c r="W169" s="370">
        <v>4</v>
      </c>
      <c r="X169" s="334">
        <v>5.46</v>
      </c>
      <c r="Y169" s="371">
        <f t="shared" si="99"/>
        <v>0</v>
      </c>
      <c r="Z169" s="370"/>
      <c r="AA169" s="336"/>
      <c r="AB169" s="371">
        <f t="shared" si="100"/>
        <v>0</v>
      </c>
      <c r="AC169" s="370"/>
      <c r="AD169" s="335"/>
      <c r="AE169" s="371">
        <f t="shared" si="101"/>
        <v>0</v>
      </c>
      <c r="AF169" s="370"/>
      <c r="AG169" s="335"/>
      <c r="AH169" s="371">
        <f t="shared" si="102"/>
        <v>0</v>
      </c>
      <c r="AI169" s="467"/>
      <c r="AJ169" s="467"/>
      <c r="AK169" s="467"/>
      <c r="AL169" s="513" t="str">
        <f t="shared" si="103"/>
        <v>YA</v>
      </c>
      <c r="AM169" s="338">
        <f t="shared" si="104"/>
        <v>0</v>
      </c>
      <c r="AN169" s="785">
        <f t="shared" si="105"/>
        <v>0</v>
      </c>
      <c r="AO169" s="785"/>
    </row>
    <row r="170" spans="18:41" x14ac:dyDescent="0.25">
      <c r="R170" s="786" t="s">
        <v>660</v>
      </c>
      <c r="S170" s="787"/>
      <c r="T170" s="787"/>
      <c r="U170" s="787"/>
      <c r="V170" s="788"/>
      <c r="W170" s="370">
        <v>4</v>
      </c>
      <c r="X170" s="334">
        <v>5.46</v>
      </c>
      <c r="Y170" s="371">
        <f t="shared" si="99"/>
        <v>0</v>
      </c>
      <c r="Z170" s="370"/>
      <c r="AA170" s="336"/>
      <c r="AB170" s="371">
        <f t="shared" si="100"/>
        <v>0</v>
      </c>
      <c r="AC170" s="370"/>
      <c r="AD170" s="335"/>
      <c r="AE170" s="371">
        <f t="shared" si="101"/>
        <v>0</v>
      </c>
      <c r="AF170" s="370"/>
      <c r="AG170" s="335"/>
      <c r="AH170" s="371">
        <f t="shared" si="102"/>
        <v>0</v>
      </c>
      <c r="AI170" s="467"/>
      <c r="AJ170" s="467"/>
      <c r="AK170" s="467"/>
      <c r="AL170" s="513" t="str">
        <f t="shared" si="103"/>
        <v>YA</v>
      </c>
      <c r="AM170" s="338">
        <f t="shared" si="104"/>
        <v>0</v>
      </c>
      <c r="AN170" s="785">
        <f t="shared" si="105"/>
        <v>0</v>
      </c>
      <c r="AO170" s="785"/>
    </row>
    <row r="171" spans="18:41" x14ac:dyDescent="0.25">
      <c r="R171" s="786" t="s">
        <v>661</v>
      </c>
      <c r="S171" s="787"/>
      <c r="T171" s="787"/>
      <c r="U171" s="787"/>
      <c r="V171" s="788"/>
      <c r="W171" s="370">
        <v>4</v>
      </c>
      <c r="X171" s="334">
        <v>5.46</v>
      </c>
      <c r="Y171" s="371">
        <f t="shared" si="99"/>
        <v>0</v>
      </c>
      <c r="Z171" s="370"/>
      <c r="AA171" s="336"/>
      <c r="AB171" s="371">
        <f t="shared" si="100"/>
        <v>0</v>
      </c>
      <c r="AC171" s="370"/>
      <c r="AD171" s="335"/>
      <c r="AE171" s="371">
        <f t="shared" si="101"/>
        <v>0</v>
      </c>
      <c r="AF171" s="370"/>
      <c r="AG171" s="335"/>
      <c r="AH171" s="371">
        <f t="shared" si="102"/>
        <v>0</v>
      </c>
      <c r="AI171" s="467"/>
      <c r="AJ171" s="467"/>
      <c r="AK171" s="467"/>
      <c r="AL171" s="513" t="str">
        <f t="shared" si="103"/>
        <v>YA</v>
      </c>
      <c r="AM171" s="338">
        <f t="shared" si="104"/>
        <v>0</v>
      </c>
      <c r="AN171" s="785">
        <f t="shared" si="105"/>
        <v>0</v>
      </c>
      <c r="AO171" s="785"/>
    </row>
    <row r="172" spans="18:41" x14ac:dyDescent="0.25">
      <c r="R172" s="786" t="s">
        <v>662</v>
      </c>
      <c r="S172" s="787"/>
      <c r="T172" s="787"/>
      <c r="U172" s="787"/>
      <c r="V172" s="788"/>
      <c r="W172" s="370">
        <v>4</v>
      </c>
      <c r="X172" s="334">
        <v>5.46</v>
      </c>
      <c r="Y172" s="371">
        <f t="shared" si="99"/>
        <v>0</v>
      </c>
      <c r="Z172" s="370"/>
      <c r="AA172" s="336"/>
      <c r="AB172" s="371">
        <f t="shared" si="100"/>
        <v>0</v>
      </c>
      <c r="AC172" s="370"/>
      <c r="AD172" s="335"/>
      <c r="AE172" s="371">
        <f t="shared" si="101"/>
        <v>0</v>
      </c>
      <c r="AF172" s="370"/>
      <c r="AG172" s="335"/>
      <c r="AH172" s="371">
        <f t="shared" si="102"/>
        <v>0</v>
      </c>
      <c r="AI172" s="467"/>
      <c r="AJ172" s="467"/>
      <c r="AK172" s="467"/>
      <c r="AL172" s="513" t="str">
        <f t="shared" si="103"/>
        <v>YA</v>
      </c>
      <c r="AM172" s="338">
        <f t="shared" si="104"/>
        <v>0</v>
      </c>
      <c r="AN172" s="785">
        <f t="shared" si="105"/>
        <v>0</v>
      </c>
      <c r="AO172" s="785"/>
    </row>
    <row r="173" spans="18:41" x14ac:dyDescent="0.25">
      <c r="R173" s="786" t="s">
        <v>663</v>
      </c>
      <c r="S173" s="787"/>
      <c r="T173" s="787"/>
      <c r="U173" s="787"/>
      <c r="V173" s="788"/>
      <c r="W173" s="370">
        <v>4</v>
      </c>
      <c r="X173" s="334">
        <v>5.46</v>
      </c>
      <c r="Y173" s="371">
        <f t="shared" si="99"/>
        <v>0</v>
      </c>
      <c r="Z173" s="370"/>
      <c r="AA173" s="336"/>
      <c r="AB173" s="371">
        <f t="shared" si="100"/>
        <v>0</v>
      </c>
      <c r="AC173" s="370"/>
      <c r="AD173" s="335"/>
      <c r="AE173" s="371">
        <f t="shared" si="101"/>
        <v>0</v>
      </c>
      <c r="AF173" s="370"/>
      <c r="AG173" s="335"/>
      <c r="AH173" s="371">
        <f t="shared" si="102"/>
        <v>0</v>
      </c>
      <c r="AI173" s="467"/>
      <c r="AJ173" s="467"/>
      <c r="AK173" s="467"/>
      <c r="AL173" s="513" t="str">
        <f t="shared" si="103"/>
        <v>YA</v>
      </c>
      <c r="AM173" s="338">
        <f t="shared" si="104"/>
        <v>0</v>
      </c>
      <c r="AN173" s="785">
        <f t="shared" si="105"/>
        <v>0</v>
      </c>
      <c r="AO173" s="785"/>
    </row>
    <row r="174" spans="18:41" x14ac:dyDescent="0.25">
      <c r="R174" s="786" t="s">
        <v>664</v>
      </c>
      <c r="S174" s="787"/>
      <c r="T174" s="787"/>
      <c r="U174" s="787"/>
      <c r="V174" s="788"/>
      <c r="W174" s="370">
        <v>4</v>
      </c>
      <c r="X174" s="334">
        <v>5.46</v>
      </c>
      <c r="Y174" s="371">
        <f t="shared" si="99"/>
        <v>0</v>
      </c>
      <c r="Z174" s="370"/>
      <c r="AA174" s="336"/>
      <c r="AB174" s="371">
        <f t="shared" si="100"/>
        <v>0</v>
      </c>
      <c r="AC174" s="370"/>
      <c r="AD174" s="335"/>
      <c r="AE174" s="371">
        <f t="shared" si="101"/>
        <v>0</v>
      </c>
      <c r="AF174" s="370"/>
      <c r="AG174" s="335"/>
      <c r="AH174" s="371">
        <f t="shared" si="102"/>
        <v>0</v>
      </c>
      <c r="AI174" s="467"/>
      <c r="AJ174" s="467"/>
      <c r="AK174" s="467"/>
      <c r="AL174" s="513" t="str">
        <f t="shared" si="103"/>
        <v>YA</v>
      </c>
      <c r="AM174" s="338">
        <f t="shared" si="104"/>
        <v>0</v>
      </c>
      <c r="AN174" s="785">
        <f t="shared" si="105"/>
        <v>0</v>
      </c>
      <c r="AO174" s="785"/>
    </row>
    <row r="175" spans="18:41" x14ac:dyDescent="0.25">
      <c r="R175" s="786" t="s">
        <v>665</v>
      </c>
      <c r="S175" s="787"/>
      <c r="T175" s="787"/>
      <c r="U175" s="787"/>
      <c r="V175" s="788"/>
      <c r="W175" s="370">
        <v>4</v>
      </c>
      <c r="X175" s="334">
        <v>5.46</v>
      </c>
      <c r="Y175" s="371">
        <f t="shared" si="99"/>
        <v>0</v>
      </c>
      <c r="Z175" s="370"/>
      <c r="AA175" s="336"/>
      <c r="AB175" s="371">
        <f t="shared" si="100"/>
        <v>0</v>
      </c>
      <c r="AC175" s="370"/>
      <c r="AD175" s="335"/>
      <c r="AE175" s="371">
        <f t="shared" si="101"/>
        <v>0</v>
      </c>
      <c r="AF175" s="370"/>
      <c r="AG175" s="335"/>
      <c r="AH175" s="371">
        <f t="shared" si="102"/>
        <v>0</v>
      </c>
      <c r="AI175" s="467"/>
      <c r="AJ175" s="467"/>
      <c r="AK175" s="467"/>
      <c r="AL175" s="513" t="str">
        <f t="shared" si="103"/>
        <v>YA</v>
      </c>
      <c r="AM175" s="338">
        <f t="shared" si="104"/>
        <v>0</v>
      </c>
      <c r="AN175" s="785">
        <f t="shared" si="105"/>
        <v>0</v>
      </c>
      <c r="AO175" s="785"/>
    </row>
    <row r="176" spans="18:41" x14ac:dyDescent="0.25">
      <c r="R176" s="786" t="s">
        <v>666</v>
      </c>
      <c r="S176" s="787"/>
      <c r="T176" s="787"/>
      <c r="U176" s="787"/>
      <c r="V176" s="788"/>
      <c r="W176" s="370">
        <v>4</v>
      </c>
      <c r="X176" s="334">
        <v>5.46</v>
      </c>
      <c r="Y176" s="371">
        <f t="shared" si="99"/>
        <v>0</v>
      </c>
      <c r="Z176" s="370"/>
      <c r="AA176" s="336"/>
      <c r="AB176" s="371">
        <f t="shared" si="100"/>
        <v>0</v>
      </c>
      <c r="AC176" s="370"/>
      <c r="AD176" s="335"/>
      <c r="AE176" s="371">
        <f t="shared" si="101"/>
        <v>0</v>
      </c>
      <c r="AF176" s="370"/>
      <c r="AG176" s="335"/>
      <c r="AH176" s="371">
        <f t="shared" si="102"/>
        <v>0</v>
      </c>
      <c r="AI176" s="467"/>
      <c r="AJ176" s="467"/>
      <c r="AK176" s="467"/>
      <c r="AL176" s="513" t="str">
        <f t="shared" si="103"/>
        <v>YA</v>
      </c>
      <c r="AM176" s="338">
        <f t="shared" si="104"/>
        <v>0</v>
      </c>
      <c r="AN176" s="785">
        <f t="shared" si="105"/>
        <v>0</v>
      </c>
      <c r="AO176" s="785"/>
    </row>
    <row r="177" spans="18:41" x14ac:dyDescent="0.25">
      <c r="R177" s="786" t="s">
        <v>667</v>
      </c>
      <c r="S177" s="787"/>
      <c r="T177" s="787"/>
      <c r="U177" s="787"/>
      <c r="V177" s="788"/>
      <c r="W177" s="370">
        <v>4</v>
      </c>
      <c r="X177" s="334">
        <v>5.46</v>
      </c>
      <c r="Y177" s="371">
        <f t="shared" si="99"/>
        <v>0</v>
      </c>
      <c r="Z177" s="370"/>
      <c r="AA177" s="336"/>
      <c r="AB177" s="371">
        <f t="shared" si="100"/>
        <v>0</v>
      </c>
      <c r="AC177" s="370"/>
      <c r="AD177" s="335"/>
      <c r="AE177" s="371">
        <f t="shared" si="101"/>
        <v>0</v>
      </c>
      <c r="AF177" s="370"/>
      <c r="AG177" s="335"/>
      <c r="AH177" s="371">
        <f t="shared" si="102"/>
        <v>0</v>
      </c>
      <c r="AI177" s="467"/>
      <c r="AJ177" s="467"/>
      <c r="AK177" s="467"/>
      <c r="AL177" s="513" t="str">
        <f t="shared" si="103"/>
        <v>YA</v>
      </c>
      <c r="AM177" s="338">
        <f t="shared" si="104"/>
        <v>0</v>
      </c>
      <c r="AN177" s="785">
        <f t="shared" si="105"/>
        <v>0</v>
      </c>
      <c r="AO177" s="785"/>
    </row>
    <row r="178" spans="18:41" x14ac:dyDescent="0.25">
      <c r="R178" s="786" t="s">
        <v>668</v>
      </c>
      <c r="S178" s="787"/>
      <c r="T178" s="787"/>
      <c r="U178" s="787"/>
      <c r="V178" s="788"/>
      <c r="W178" s="370">
        <v>8</v>
      </c>
      <c r="X178" s="334">
        <v>5.46</v>
      </c>
      <c r="Y178" s="371">
        <f t="shared" si="99"/>
        <v>0</v>
      </c>
      <c r="Z178" s="370"/>
      <c r="AA178" s="336"/>
      <c r="AB178" s="371">
        <f t="shared" si="100"/>
        <v>0</v>
      </c>
      <c r="AC178" s="370"/>
      <c r="AD178" s="335"/>
      <c r="AE178" s="371">
        <f t="shared" si="101"/>
        <v>0</v>
      </c>
      <c r="AF178" s="370"/>
      <c r="AG178" s="335"/>
      <c r="AH178" s="371">
        <f t="shared" si="102"/>
        <v>0</v>
      </c>
      <c r="AI178" s="467"/>
      <c r="AJ178" s="467"/>
      <c r="AK178" s="467"/>
      <c r="AL178" s="513" t="str">
        <f t="shared" si="103"/>
        <v>YA</v>
      </c>
      <c r="AM178" s="338">
        <f t="shared" si="104"/>
        <v>0</v>
      </c>
      <c r="AN178" s="785">
        <f t="shared" si="105"/>
        <v>0</v>
      </c>
      <c r="AO178" s="785"/>
    </row>
    <row r="179" spans="18:41" x14ac:dyDescent="0.25">
      <c r="R179" s="786" t="s">
        <v>669</v>
      </c>
      <c r="S179" s="787"/>
      <c r="T179" s="787"/>
      <c r="U179" s="787"/>
      <c r="V179" s="788"/>
      <c r="W179" s="370">
        <v>4</v>
      </c>
      <c r="X179" s="334">
        <v>5.46</v>
      </c>
      <c r="Y179" s="371">
        <f t="shared" si="99"/>
        <v>0</v>
      </c>
      <c r="Z179" s="370"/>
      <c r="AA179" s="336"/>
      <c r="AB179" s="371">
        <f t="shared" si="100"/>
        <v>0</v>
      </c>
      <c r="AC179" s="370"/>
      <c r="AD179" s="335"/>
      <c r="AE179" s="371">
        <f t="shared" si="101"/>
        <v>0</v>
      </c>
      <c r="AF179" s="370"/>
      <c r="AG179" s="335"/>
      <c r="AH179" s="371">
        <f t="shared" si="102"/>
        <v>0</v>
      </c>
      <c r="AI179" s="467"/>
      <c r="AJ179" s="467"/>
      <c r="AK179" s="467"/>
      <c r="AL179" s="513" t="str">
        <f t="shared" si="103"/>
        <v>YA</v>
      </c>
      <c r="AM179" s="338">
        <f t="shared" si="104"/>
        <v>0</v>
      </c>
      <c r="AN179" s="785">
        <f t="shared" si="105"/>
        <v>0</v>
      </c>
      <c r="AO179" s="785"/>
    </row>
    <row r="180" spans="18:41" x14ac:dyDescent="0.25">
      <c r="R180" s="786" t="s">
        <v>670</v>
      </c>
      <c r="S180" s="787"/>
      <c r="T180" s="787"/>
      <c r="U180" s="787"/>
      <c r="V180" s="788"/>
      <c r="W180" s="370">
        <v>4</v>
      </c>
      <c r="X180" s="334">
        <v>5.46</v>
      </c>
      <c r="Y180" s="371">
        <f t="shared" si="99"/>
        <v>0</v>
      </c>
      <c r="Z180" s="370"/>
      <c r="AA180" s="336"/>
      <c r="AB180" s="371">
        <f t="shared" si="100"/>
        <v>0</v>
      </c>
      <c r="AC180" s="370"/>
      <c r="AD180" s="335"/>
      <c r="AE180" s="371">
        <f t="shared" si="101"/>
        <v>0</v>
      </c>
      <c r="AF180" s="370"/>
      <c r="AG180" s="335"/>
      <c r="AH180" s="371">
        <f t="shared" si="102"/>
        <v>0</v>
      </c>
      <c r="AI180" s="467"/>
      <c r="AJ180" s="467"/>
      <c r="AK180" s="467"/>
      <c r="AL180" s="513" t="str">
        <f t="shared" si="103"/>
        <v>YA</v>
      </c>
      <c r="AM180" s="338">
        <f t="shared" si="104"/>
        <v>0</v>
      </c>
      <c r="AN180" s="785">
        <f t="shared" si="105"/>
        <v>0</v>
      </c>
      <c r="AO180" s="785"/>
    </row>
    <row r="181" spans="18:41" x14ac:dyDescent="0.25">
      <c r="R181" s="786" t="s">
        <v>671</v>
      </c>
      <c r="S181" s="787"/>
      <c r="T181" s="787"/>
      <c r="U181" s="787"/>
      <c r="V181" s="788"/>
      <c r="W181" s="370">
        <v>4</v>
      </c>
      <c r="X181" s="334">
        <v>5.46</v>
      </c>
      <c r="Y181" s="371">
        <f t="shared" si="99"/>
        <v>0</v>
      </c>
      <c r="Z181" s="370"/>
      <c r="AA181" s="336"/>
      <c r="AB181" s="371">
        <f t="shared" si="100"/>
        <v>0</v>
      </c>
      <c r="AC181" s="370"/>
      <c r="AD181" s="335"/>
      <c r="AE181" s="371">
        <f t="shared" si="101"/>
        <v>0</v>
      </c>
      <c r="AF181" s="370"/>
      <c r="AG181" s="335"/>
      <c r="AH181" s="371">
        <f t="shared" si="102"/>
        <v>0</v>
      </c>
      <c r="AI181" s="467"/>
      <c r="AJ181" s="467"/>
      <c r="AK181" s="467"/>
      <c r="AL181" s="513" t="str">
        <f t="shared" si="103"/>
        <v>YA</v>
      </c>
      <c r="AM181" s="338">
        <f t="shared" si="104"/>
        <v>0</v>
      </c>
      <c r="AN181" s="785">
        <f t="shared" si="105"/>
        <v>0</v>
      </c>
      <c r="AO181" s="785"/>
    </row>
    <row r="182" spans="18:41" x14ac:dyDescent="0.25">
      <c r="R182" s="786" t="s">
        <v>672</v>
      </c>
      <c r="S182" s="787"/>
      <c r="T182" s="787"/>
      <c r="U182" s="787"/>
      <c r="V182" s="788"/>
      <c r="W182" s="370">
        <v>4</v>
      </c>
      <c r="X182" s="334">
        <v>5.46</v>
      </c>
      <c r="Y182" s="371">
        <f t="shared" si="99"/>
        <v>0</v>
      </c>
      <c r="Z182" s="370"/>
      <c r="AA182" s="336"/>
      <c r="AB182" s="371">
        <f t="shared" si="100"/>
        <v>0</v>
      </c>
      <c r="AC182" s="370"/>
      <c r="AD182" s="335"/>
      <c r="AE182" s="371">
        <f t="shared" si="101"/>
        <v>0</v>
      </c>
      <c r="AF182" s="370"/>
      <c r="AG182" s="335"/>
      <c r="AH182" s="371">
        <f t="shared" si="102"/>
        <v>0</v>
      </c>
      <c r="AI182" s="467"/>
      <c r="AJ182" s="467"/>
      <c r="AK182" s="467"/>
      <c r="AL182" s="513" t="str">
        <f t="shared" si="103"/>
        <v>YA</v>
      </c>
      <c r="AM182" s="338">
        <f t="shared" si="104"/>
        <v>0</v>
      </c>
      <c r="AN182" s="785">
        <f t="shared" si="105"/>
        <v>0</v>
      </c>
      <c r="AO182" s="785"/>
    </row>
    <row r="183" spans="18:41" x14ac:dyDescent="0.25">
      <c r="R183" s="786" t="s">
        <v>687</v>
      </c>
      <c r="S183" s="787"/>
      <c r="T183" s="787"/>
      <c r="U183" s="787"/>
      <c r="V183" s="788"/>
      <c r="W183" s="370">
        <v>8</v>
      </c>
      <c r="X183" s="334">
        <v>5.46</v>
      </c>
      <c r="Y183" s="371">
        <f t="shared" si="99"/>
        <v>0</v>
      </c>
      <c r="Z183" s="370"/>
      <c r="AA183" s="336"/>
      <c r="AB183" s="371">
        <f t="shared" si="100"/>
        <v>0</v>
      </c>
      <c r="AC183" s="370"/>
      <c r="AD183" s="335"/>
      <c r="AE183" s="371">
        <f t="shared" si="101"/>
        <v>0</v>
      </c>
      <c r="AF183" s="370"/>
      <c r="AG183" s="335"/>
      <c r="AH183" s="371">
        <f t="shared" si="102"/>
        <v>0</v>
      </c>
      <c r="AI183" s="467"/>
      <c r="AJ183" s="467"/>
      <c r="AK183" s="467"/>
      <c r="AL183" s="513" t="str">
        <f t="shared" si="103"/>
        <v>YA</v>
      </c>
      <c r="AM183" s="338">
        <f t="shared" si="104"/>
        <v>0</v>
      </c>
      <c r="AN183" s="785">
        <f t="shared" si="105"/>
        <v>0</v>
      </c>
      <c r="AO183" s="785"/>
    </row>
    <row r="184" spans="18:41" x14ac:dyDescent="0.25">
      <c r="R184" s="626" t="s">
        <v>673</v>
      </c>
      <c r="S184" s="627"/>
      <c r="T184" s="627"/>
      <c r="U184" s="627"/>
      <c r="V184" s="628"/>
      <c r="W184" s="370">
        <v>5</v>
      </c>
      <c r="X184" s="334">
        <v>19</v>
      </c>
      <c r="Y184" s="371">
        <f t="shared" ref="Y184:Y189" si="106">IF(AK184 &lt; AF184+AC184+Z184+W184, MIN(AC184+AF184+Z184+W184-AK184,AI184-AH184-AE184-AB184,W184),0)</f>
        <v>4</v>
      </c>
      <c r="Z184" s="370"/>
      <c r="AA184" s="336"/>
      <c r="AB184" s="371">
        <f t="shared" ref="AB184:AB189" si="107">IF(AK184 &lt; AF184+AC184+Z184, MIN(AC184+AF184+Z184-AK184,AI184-AH184-AE184,Z184),0)</f>
        <v>0</v>
      </c>
      <c r="AC184" s="370"/>
      <c r="AD184" s="335"/>
      <c r="AE184" s="371">
        <f t="shared" ref="AE184:AE189" si="108">IF(AK184 &lt; AF184+AC184, MIN(AC184+AF184-AK184,AI184-AH184,AC184),0)</f>
        <v>0</v>
      </c>
      <c r="AF184" s="370"/>
      <c r="AG184" s="335"/>
      <c r="AH184" s="371">
        <f t="shared" ref="AH184:AH189" si="109">IF(AK184 &lt;=AF184, MIN(AF184-AK184,AI184), 0)</f>
        <v>0</v>
      </c>
      <c r="AI184" s="467">
        <v>4</v>
      </c>
      <c r="AJ184" s="467">
        <v>96</v>
      </c>
      <c r="AK184" s="467"/>
      <c r="AL184" s="513" t="str">
        <f t="shared" ref="AL184:AL189" si="110">IF(OR((W184+Z184+AC184+AF184) &gt;= (AI184+AK184), AI184 = 0), "YA", "MAS")</f>
        <v>YA</v>
      </c>
      <c r="AM184" s="338">
        <f t="shared" ref="AM184:AM189" si="111">IF(AI184=0,0,AH184*AG184+AE184*AD184+AB184*AA184+Y184*X184)</f>
        <v>76</v>
      </c>
      <c r="AN184" s="785">
        <f t="shared" ref="AN184:AN189" si="112">AJ184-AM184</f>
        <v>20</v>
      </c>
      <c r="AO184" s="785"/>
    </row>
    <row r="185" spans="18:41" x14ac:dyDescent="0.25">
      <c r="R185" s="786" t="s">
        <v>674</v>
      </c>
      <c r="S185" s="787"/>
      <c r="T185" s="787"/>
      <c r="U185" s="787"/>
      <c r="V185" s="788"/>
      <c r="W185" s="370">
        <v>2</v>
      </c>
      <c r="X185" s="334">
        <v>19</v>
      </c>
      <c r="Y185" s="371">
        <f t="shared" si="106"/>
        <v>0</v>
      </c>
      <c r="Z185" s="370"/>
      <c r="AA185" s="336"/>
      <c r="AB185" s="371">
        <f t="shared" si="107"/>
        <v>0</v>
      </c>
      <c r="AC185" s="370"/>
      <c r="AD185" s="335"/>
      <c r="AE185" s="371">
        <f t="shared" si="108"/>
        <v>0</v>
      </c>
      <c r="AF185" s="370"/>
      <c r="AG185" s="335"/>
      <c r="AH185" s="371">
        <f t="shared" si="109"/>
        <v>0</v>
      </c>
      <c r="AI185" s="467"/>
      <c r="AJ185" s="467"/>
      <c r="AK185" s="467"/>
      <c r="AL185" s="513" t="str">
        <f t="shared" si="110"/>
        <v>YA</v>
      </c>
      <c r="AM185" s="338">
        <f t="shared" si="111"/>
        <v>0</v>
      </c>
      <c r="AN185" s="785">
        <f t="shared" si="112"/>
        <v>0</v>
      </c>
      <c r="AO185" s="785"/>
    </row>
    <row r="186" spans="18:41" x14ac:dyDescent="0.25">
      <c r="R186" s="786" t="s">
        <v>675</v>
      </c>
      <c r="S186" s="787"/>
      <c r="T186" s="787"/>
      <c r="U186" s="787"/>
      <c r="V186" s="788"/>
      <c r="W186" s="370">
        <v>4</v>
      </c>
      <c r="X186" s="334">
        <v>35.69</v>
      </c>
      <c r="Y186" s="371">
        <f t="shared" si="106"/>
        <v>0</v>
      </c>
      <c r="Z186" s="370"/>
      <c r="AA186" s="336"/>
      <c r="AB186" s="371">
        <f t="shared" si="107"/>
        <v>0</v>
      </c>
      <c r="AC186" s="370"/>
      <c r="AD186" s="335"/>
      <c r="AE186" s="371">
        <f t="shared" si="108"/>
        <v>0</v>
      </c>
      <c r="AF186" s="370"/>
      <c r="AG186" s="335"/>
      <c r="AH186" s="371">
        <f t="shared" si="109"/>
        <v>0</v>
      </c>
      <c r="AI186" s="467"/>
      <c r="AJ186" s="467"/>
      <c r="AK186" s="467"/>
      <c r="AL186" s="513" t="str">
        <f t="shared" si="110"/>
        <v>YA</v>
      </c>
      <c r="AM186" s="338">
        <f t="shared" si="111"/>
        <v>0</v>
      </c>
      <c r="AN186" s="785">
        <f t="shared" si="112"/>
        <v>0</v>
      </c>
      <c r="AO186" s="785"/>
    </row>
    <row r="187" spans="18:41" x14ac:dyDescent="0.25">
      <c r="R187" s="626" t="s">
        <v>676</v>
      </c>
      <c r="S187" s="627"/>
      <c r="T187" s="627"/>
      <c r="U187" s="627"/>
      <c r="V187" s="628"/>
      <c r="W187" s="370">
        <v>6</v>
      </c>
      <c r="X187" s="334">
        <v>5.67</v>
      </c>
      <c r="Y187" s="371">
        <f t="shared" si="106"/>
        <v>4</v>
      </c>
      <c r="Z187" s="370"/>
      <c r="AA187" s="336"/>
      <c r="AB187" s="371">
        <f t="shared" si="107"/>
        <v>0</v>
      </c>
      <c r="AC187" s="370"/>
      <c r="AD187" s="335"/>
      <c r="AE187" s="371">
        <f t="shared" si="108"/>
        <v>0</v>
      </c>
      <c r="AF187" s="370"/>
      <c r="AG187" s="335"/>
      <c r="AH187" s="371">
        <f t="shared" si="109"/>
        <v>0</v>
      </c>
      <c r="AI187" s="467">
        <v>4</v>
      </c>
      <c r="AJ187" s="467">
        <v>28</v>
      </c>
      <c r="AK187" s="467"/>
      <c r="AL187" s="513" t="str">
        <f t="shared" si="110"/>
        <v>YA</v>
      </c>
      <c r="AM187" s="338">
        <f t="shared" si="111"/>
        <v>22.68</v>
      </c>
      <c r="AN187" s="785">
        <f t="shared" si="112"/>
        <v>5.32</v>
      </c>
      <c r="AO187" s="785"/>
    </row>
    <row r="188" spans="18:41" x14ac:dyDescent="0.25">
      <c r="R188" s="786" t="s">
        <v>677</v>
      </c>
      <c r="S188" s="787"/>
      <c r="T188" s="787"/>
      <c r="U188" s="787"/>
      <c r="V188" s="788"/>
      <c r="W188" s="370">
        <v>6</v>
      </c>
      <c r="X188" s="334">
        <v>5.67</v>
      </c>
      <c r="Y188" s="371">
        <f t="shared" si="106"/>
        <v>0</v>
      </c>
      <c r="Z188" s="370"/>
      <c r="AA188" s="336"/>
      <c r="AB188" s="371">
        <f t="shared" si="107"/>
        <v>0</v>
      </c>
      <c r="AC188" s="370"/>
      <c r="AD188" s="335"/>
      <c r="AE188" s="371">
        <f t="shared" si="108"/>
        <v>0</v>
      </c>
      <c r="AF188" s="370"/>
      <c r="AG188" s="335"/>
      <c r="AH188" s="371">
        <f t="shared" si="109"/>
        <v>0</v>
      </c>
      <c r="AI188" s="467"/>
      <c r="AJ188" s="467"/>
      <c r="AK188" s="467"/>
      <c r="AL188" s="513" t="str">
        <f t="shared" si="110"/>
        <v>YA</v>
      </c>
      <c r="AM188" s="338">
        <f t="shared" si="111"/>
        <v>0</v>
      </c>
      <c r="AN188" s="785">
        <f t="shared" si="112"/>
        <v>0</v>
      </c>
      <c r="AO188" s="785"/>
    </row>
    <row r="189" spans="18:41" x14ac:dyDescent="0.25">
      <c r="R189" s="786" t="s">
        <v>678</v>
      </c>
      <c r="S189" s="787"/>
      <c r="T189" s="787"/>
      <c r="U189" s="787"/>
      <c r="V189" s="788"/>
      <c r="W189" s="370">
        <v>12</v>
      </c>
      <c r="X189" s="334">
        <v>5.67</v>
      </c>
      <c r="Y189" s="371">
        <f t="shared" si="106"/>
        <v>0</v>
      </c>
      <c r="Z189" s="370"/>
      <c r="AA189" s="336"/>
      <c r="AB189" s="371">
        <f t="shared" si="107"/>
        <v>0</v>
      </c>
      <c r="AC189" s="370"/>
      <c r="AD189" s="335"/>
      <c r="AE189" s="371">
        <f t="shared" si="108"/>
        <v>0</v>
      </c>
      <c r="AF189" s="370"/>
      <c r="AG189" s="335"/>
      <c r="AH189" s="371">
        <f t="shared" si="109"/>
        <v>0</v>
      </c>
      <c r="AI189" s="467"/>
      <c r="AJ189" s="467"/>
      <c r="AK189" s="467"/>
      <c r="AL189" s="513" t="str">
        <f t="shared" si="110"/>
        <v>YA</v>
      </c>
      <c r="AM189" s="338">
        <f t="shared" si="111"/>
        <v>0</v>
      </c>
      <c r="AN189" s="785">
        <f t="shared" si="112"/>
        <v>0</v>
      </c>
      <c r="AO189" s="785"/>
    </row>
    <row r="190" spans="18:41" x14ac:dyDescent="0.25">
      <c r="R190" s="786" t="s">
        <v>679</v>
      </c>
      <c r="S190" s="787"/>
      <c r="T190" s="787"/>
      <c r="U190" s="787"/>
      <c r="V190" s="788"/>
      <c r="W190" s="370">
        <v>6</v>
      </c>
      <c r="X190" s="334">
        <v>5.67</v>
      </c>
      <c r="Y190" s="371">
        <f t="shared" si="99"/>
        <v>0</v>
      </c>
      <c r="Z190" s="370"/>
      <c r="AA190" s="336"/>
      <c r="AB190" s="371">
        <f t="shared" si="100"/>
        <v>0</v>
      </c>
      <c r="AC190" s="370"/>
      <c r="AD190" s="335"/>
      <c r="AE190" s="371">
        <f t="shared" si="101"/>
        <v>0</v>
      </c>
      <c r="AF190" s="370"/>
      <c r="AG190" s="335"/>
      <c r="AH190" s="371">
        <f t="shared" si="102"/>
        <v>0</v>
      </c>
      <c r="AI190" s="467"/>
      <c r="AJ190" s="467"/>
      <c r="AK190" s="467"/>
      <c r="AL190" s="513" t="str">
        <f t="shared" si="103"/>
        <v>YA</v>
      </c>
      <c r="AM190" s="338">
        <f t="shared" si="104"/>
        <v>0</v>
      </c>
      <c r="AN190" s="785">
        <f t="shared" si="105"/>
        <v>0</v>
      </c>
      <c r="AO190" s="785"/>
    </row>
    <row r="191" spans="18:41" x14ac:dyDescent="0.25">
      <c r="R191" s="786" t="s">
        <v>680</v>
      </c>
      <c r="S191" s="787"/>
      <c r="T191" s="787"/>
      <c r="U191" s="787"/>
      <c r="V191" s="788"/>
      <c r="W191" s="370">
        <v>6</v>
      </c>
      <c r="X191" s="334">
        <v>5.67</v>
      </c>
      <c r="Y191" s="371">
        <f t="shared" si="99"/>
        <v>0</v>
      </c>
      <c r="Z191" s="370"/>
      <c r="AA191" s="336"/>
      <c r="AB191" s="371">
        <f t="shared" si="100"/>
        <v>0</v>
      </c>
      <c r="AC191" s="370"/>
      <c r="AD191" s="335"/>
      <c r="AE191" s="371">
        <f t="shared" si="101"/>
        <v>0</v>
      </c>
      <c r="AF191" s="370"/>
      <c r="AG191" s="335"/>
      <c r="AH191" s="371">
        <f t="shared" si="102"/>
        <v>0</v>
      </c>
      <c r="AI191" s="467"/>
      <c r="AJ191" s="467"/>
      <c r="AK191" s="467"/>
      <c r="AL191" s="513" t="str">
        <f t="shared" si="103"/>
        <v>YA</v>
      </c>
      <c r="AM191" s="338">
        <f t="shared" si="104"/>
        <v>0</v>
      </c>
      <c r="AN191" s="785">
        <f t="shared" si="105"/>
        <v>0</v>
      </c>
      <c r="AO191" s="785"/>
    </row>
    <row r="192" spans="18:41" x14ac:dyDescent="0.25">
      <c r="R192" s="786" t="s">
        <v>681</v>
      </c>
      <c r="S192" s="787"/>
      <c r="T192" s="787"/>
      <c r="U192" s="787"/>
      <c r="V192" s="788"/>
      <c r="W192" s="370">
        <v>6</v>
      </c>
      <c r="X192" s="334">
        <v>5.67</v>
      </c>
      <c r="Y192" s="371">
        <f t="shared" si="99"/>
        <v>0</v>
      </c>
      <c r="Z192" s="370"/>
      <c r="AA192" s="336"/>
      <c r="AB192" s="371">
        <f t="shared" si="100"/>
        <v>0</v>
      </c>
      <c r="AC192" s="370"/>
      <c r="AD192" s="335"/>
      <c r="AE192" s="371">
        <f t="shared" si="101"/>
        <v>0</v>
      </c>
      <c r="AF192" s="370"/>
      <c r="AG192" s="335"/>
      <c r="AH192" s="371">
        <f t="shared" si="102"/>
        <v>0</v>
      </c>
      <c r="AI192" s="467"/>
      <c r="AJ192" s="467"/>
      <c r="AK192" s="467"/>
      <c r="AL192" s="513" t="str">
        <f t="shared" si="103"/>
        <v>YA</v>
      </c>
      <c r="AM192" s="338">
        <f t="shared" si="104"/>
        <v>0</v>
      </c>
      <c r="AN192" s="785">
        <f t="shared" si="105"/>
        <v>0</v>
      </c>
      <c r="AO192" s="785"/>
    </row>
    <row r="193" spans="18:41" x14ac:dyDescent="0.25">
      <c r="R193" s="786" t="s">
        <v>682</v>
      </c>
      <c r="S193" s="787"/>
      <c r="T193" s="787"/>
      <c r="U193" s="787"/>
      <c r="V193" s="788"/>
      <c r="W193" s="370">
        <v>12</v>
      </c>
      <c r="X193" s="334">
        <v>5.67</v>
      </c>
      <c r="Y193" s="371">
        <f t="shared" si="99"/>
        <v>0</v>
      </c>
      <c r="Z193" s="370"/>
      <c r="AA193" s="336"/>
      <c r="AB193" s="371">
        <f t="shared" si="100"/>
        <v>0</v>
      </c>
      <c r="AC193" s="370"/>
      <c r="AD193" s="335"/>
      <c r="AE193" s="371">
        <f t="shared" si="101"/>
        <v>0</v>
      </c>
      <c r="AF193" s="370"/>
      <c r="AG193" s="335"/>
      <c r="AH193" s="371">
        <f t="shared" si="102"/>
        <v>0</v>
      </c>
      <c r="AI193" s="467"/>
      <c r="AJ193" s="467"/>
      <c r="AK193" s="467"/>
      <c r="AL193" s="513" t="str">
        <f t="shared" si="103"/>
        <v>YA</v>
      </c>
      <c r="AM193" s="338">
        <f t="shared" si="104"/>
        <v>0</v>
      </c>
      <c r="AN193" s="785">
        <f t="shared" si="105"/>
        <v>0</v>
      </c>
      <c r="AO193" s="785"/>
    </row>
    <row r="194" spans="18:41" x14ac:dyDescent="0.25">
      <c r="R194" s="786" t="s">
        <v>683</v>
      </c>
      <c r="S194" s="787"/>
      <c r="T194" s="787"/>
      <c r="U194" s="787"/>
      <c r="V194" s="788"/>
      <c r="W194" s="370">
        <v>12</v>
      </c>
      <c r="X194" s="334">
        <v>5.67</v>
      </c>
      <c r="Y194" s="371">
        <f t="shared" si="99"/>
        <v>0</v>
      </c>
      <c r="Z194" s="370"/>
      <c r="AA194" s="336"/>
      <c r="AB194" s="371">
        <f t="shared" si="100"/>
        <v>0</v>
      </c>
      <c r="AC194" s="370"/>
      <c r="AD194" s="335"/>
      <c r="AE194" s="371">
        <f t="shared" si="101"/>
        <v>0</v>
      </c>
      <c r="AF194" s="370"/>
      <c r="AG194" s="335"/>
      <c r="AH194" s="371">
        <f t="shared" si="102"/>
        <v>0</v>
      </c>
      <c r="AI194" s="467"/>
      <c r="AJ194" s="467"/>
      <c r="AK194" s="467"/>
      <c r="AL194" s="513" t="str">
        <f t="shared" si="103"/>
        <v>YA</v>
      </c>
      <c r="AM194" s="338">
        <f t="shared" si="104"/>
        <v>0</v>
      </c>
      <c r="AN194" s="785">
        <f t="shared" si="105"/>
        <v>0</v>
      </c>
      <c r="AO194" s="785"/>
    </row>
    <row r="195" spans="18:41" x14ac:dyDescent="0.25">
      <c r="R195" s="786" t="s">
        <v>684</v>
      </c>
      <c r="S195" s="787"/>
      <c r="T195" s="787"/>
      <c r="U195" s="787"/>
      <c r="V195" s="788"/>
      <c r="W195" s="370">
        <v>24</v>
      </c>
      <c r="X195" s="334">
        <v>5.67</v>
      </c>
      <c r="Y195" s="371">
        <f t="shared" ref="Y195:Y208" si="113">IF(AK195 &lt; AF195+AC195+Z195+W195, MIN(AC195+AF195+Z195+W195-AK195,AI195-AH195-AE195-AB195,W195),0)</f>
        <v>0</v>
      </c>
      <c r="Z195" s="370"/>
      <c r="AA195" s="336"/>
      <c r="AB195" s="371">
        <f t="shared" ref="AB195:AB208" si="114">IF(AK195 &lt; AF195+AC195+Z195, MIN(AC195+AF195+Z195-AK195,AI195-AH195-AE195,Z195),0)</f>
        <v>0</v>
      </c>
      <c r="AC195" s="370"/>
      <c r="AD195" s="335"/>
      <c r="AE195" s="371">
        <f t="shared" ref="AE195:AE208" si="115">IF(AK195 &lt; AF195+AC195, MIN(AC195+AF195-AK195,AI195-AH195,AC195),0)</f>
        <v>0</v>
      </c>
      <c r="AF195" s="370"/>
      <c r="AG195" s="335"/>
      <c r="AH195" s="371">
        <f t="shared" ref="AH195:AH208" si="116">IF(AK195 &lt;=AF195, MIN(AF195-AK195,AI195), 0)</f>
        <v>0</v>
      </c>
      <c r="AI195" s="467"/>
      <c r="AJ195" s="467"/>
      <c r="AK195" s="467"/>
      <c r="AL195" s="513" t="str">
        <f t="shared" ref="AL195:AL208" si="117">IF(OR((W195+Z195+AC195+AF195) &gt;= (AI195+AK195), AI195 = 0), "YA", "MAS")</f>
        <v>YA</v>
      </c>
      <c r="AM195" s="338">
        <f t="shared" ref="AM195:AM208" si="118">IF(AI195=0,0,AH195*AG195+AE195*AD195+AB195*AA195+Y195*X195)</f>
        <v>0</v>
      </c>
      <c r="AN195" s="785">
        <f t="shared" ref="AN195:AN208" si="119">AJ195-AM195</f>
        <v>0</v>
      </c>
      <c r="AO195" s="785"/>
    </row>
    <row r="196" spans="18:41" x14ac:dyDescent="0.25">
      <c r="R196" s="786" t="s">
        <v>685</v>
      </c>
      <c r="S196" s="787"/>
      <c r="T196" s="787"/>
      <c r="U196" s="787"/>
      <c r="V196" s="788"/>
      <c r="W196" s="370">
        <v>12</v>
      </c>
      <c r="X196" s="334">
        <v>6</v>
      </c>
      <c r="Y196" s="371">
        <f t="shared" si="113"/>
        <v>0</v>
      </c>
      <c r="Z196" s="370"/>
      <c r="AA196" s="336"/>
      <c r="AB196" s="371">
        <f t="shared" si="114"/>
        <v>0</v>
      </c>
      <c r="AC196" s="370"/>
      <c r="AD196" s="335"/>
      <c r="AE196" s="371">
        <f t="shared" si="115"/>
        <v>0</v>
      </c>
      <c r="AF196" s="370"/>
      <c r="AG196" s="335"/>
      <c r="AH196" s="371">
        <f t="shared" si="116"/>
        <v>0</v>
      </c>
      <c r="AI196" s="467"/>
      <c r="AJ196" s="467"/>
      <c r="AK196" s="467"/>
      <c r="AL196" s="513" t="str">
        <f t="shared" si="117"/>
        <v>YA</v>
      </c>
      <c r="AM196" s="338">
        <f t="shared" si="118"/>
        <v>0</v>
      </c>
      <c r="AN196" s="785">
        <f t="shared" si="119"/>
        <v>0</v>
      </c>
      <c r="AO196" s="785"/>
    </row>
    <row r="197" spans="18:41" x14ac:dyDescent="0.25">
      <c r="R197" s="786" t="s">
        <v>686</v>
      </c>
      <c r="S197" s="787"/>
      <c r="T197" s="787"/>
      <c r="U197" s="787"/>
      <c r="V197" s="788"/>
      <c r="W197" s="370">
        <v>12</v>
      </c>
      <c r="X197" s="334">
        <v>5.36</v>
      </c>
      <c r="Y197" s="371">
        <f t="shared" si="113"/>
        <v>0</v>
      </c>
      <c r="Z197" s="370"/>
      <c r="AA197" s="336"/>
      <c r="AB197" s="371">
        <f t="shared" si="114"/>
        <v>0</v>
      </c>
      <c r="AC197" s="370"/>
      <c r="AD197" s="335"/>
      <c r="AE197" s="371">
        <f t="shared" si="115"/>
        <v>0</v>
      </c>
      <c r="AF197" s="370"/>
      <c r="AG197" s="335"/>
      <c r="AH197" s="371">
        <f t="shared" si="116"/>
        <v>0</v>
      </c>
      <c r="AI197" s="467"/>
      <c r="AJ197" s="467"/>
      <c r="AK197" s="467"/>
      <c r="AL197" s="513" t="str">
        <f t="shared" si="117"/>
        <v>YA</v>
      </c>
      <c r="AM197" s="338">
        <f t="shared" si="118"/>
        <v>0</v>
      </c>
      <c r="AN197" s="785">
        <f t="shared" si="119"/>
        <v>0</v>
      </c>
      <c r="AO197" s="785"/>
    </row>
    <row r="198" spans="18:41" x14ac:dyDescent="0.25">
      <c r="R198" s="786" t="s">
        <v>647</v>
      </c>
      <c r="S198" s="787"/>
      <c r="T198" s="787"/>
      <c r="U198" s="787"/>
      <c r="V198" s="788"/>
      <c r="W198" s="370">
        <v>8</v>
      </c>
      <c r="X198" s="334">
        <v>18.510000000000002</v>
      </c>
      <c r="Y198" s="371">
        <f t="shared" si="113"/>
        <v>0</v>
      </c>
      <c r="Z198" s="370"/>
      <c r="AA198" s="336"/>
      <c r="AB198" s="371">
        <f t="shared" si="114"/>
        <v>0</v>
      </c>
      <c r="AC198" s="370"/>
      <c r="AD198" s="335"/>
      <c r="AE198" s="371">
        <f t="shared" si="115"/>
        <v>0</v>
      </c>
      <c r="AF198" s="370"/>
      <c r="AG198" s="335"/>
      <c r="AH198" s="371">
        <f t="shared" si="116"/>
        <v>0</v>
      </c>
      <c r="AI198" s="467"/>
      <c r="AJ198" s="467"/>
      <c r="AK198" s="467"/>
      <c r="AL198" s="513" t="str">
        <f t="shared" si="117"/>
        <v>YA</v>
      </c>
      <c r="AM198" s="338">
        <f t="shared" si="118"/>
        <v>0</v>
      </c>
      <c r="AN198" s="785">
        <f t="shared" si="119"/>
        <v>0</v>
      </c>
      <c r="AO198" s="785"/>
    </row>
    <row r="199" spans="18:41" x14ac:dyDescent="0.25">
      <c r="R199" s="786" t="s">
        <v>693</v>
      </c>
      <c r="S199" s="787"/>
      <c r="T199" s="787"/>
      <c r="U199" s="787"/>
      <c r="V199" s="788"/>
      <c r="W199" s="370">
        <v>18</v>
      </c>
      <c r="X199" s="334">
        <v>11.4</v>
      </c>
      <c r="Y199" s="371">
        <f t="shared" si="113"/>
        <v>3</v>
      </c>
      <c r="Z199" s="370"/>
      <c r="AA199" s="336"/>
      <c r="AB199" s="371">
        <f t="shared" si="114"/>
        <v>0</v>
      </c>
      <c r="AC199" s="370"/>
      <c r="AD199" s="335"/>
      <c r="AE199" s="371">
        <f t="shared" si="115"/>
        <v>0</v>
      </c>
      <c r="AF199" s="370"/>
      <c r="AG199" s="335"/>
      <c r="AH199" s="371">
        <f t="shared" si="116"/>
        <v>0</v>
      </c>
      <c r="AI199" s="467">
        <v>3</v>
      </c>
      <c r="AJ199" s="467">
        <v>45</v>
      </c>
      <c r="AK199" s="467"/>
      <c r="AL199" s="513" t="str">
        <f t="shared" si="117"/>
        <v>YA</v>
      </c>
      <c r="AM199" s="338">
        <f t="shared" si="118"/>
        <v>34.200000000000003</v>
      </c>
      <c r="AN199" s="785">
        <f t="shared" si="119"/>
        <v>10.799999999999997</v>
      </c>
      <c r="AO199" s="785"/>
    </row>
    <row r="200" spans="18:41" x14ac:dyDescent="0.25">
      <c r="R200" s="626" t="s">
        <v>701</v>
      </c>
      <c r="S200" s="627"/>
      <c r="T200" s="627"/>
      <c r="U200" s="627"/>
      <c r="V200" s="628"/>
      <c r="W200" s="370">
        <v>100</v>
      </c>
      <c r="X200" s="334">
        <v>19</v>
      </c>
      <c r="Y200" s="371">
        <f t="shared" si="113"/>
        <v>0</v>
      </c>
      <c r="Z200" s="370"/>
      <c r="AA200" s="336"/>
      <c r="AB200" s="371">
        <f t="shared" si="114"/>
        <v>0</v>
      </c>
      <c r="AC200" s="370"/>
      <c r="AD200" s="335"/>
      <c r="AE200" s="371">
        <f t="shared" si="115"/>
        <v>0</v>
      </c>
      <c r="AF200" s="370"/>
      <c r="AG200" s="335"/>
      <c r="AH200" s="371">
        <f t="shared" si="116"/>
        <v>0</v>
      </c>
      <c r="AI200" s="467"/>
      <c r="AJ200" s="467"/>
      <c r="AK200" s="467"/>
      <c r="AL200" s="513" t="str">
        <f t="shared" si="117"/>
        <v>YA</v>
      </c>
      <c r="AM200" s="338">
        <f t="shared" si="118"/>
        <v>0</v>
      </c>
      <c r="AN200" s="785">
        <f t="shared" si="119"/>
        <v>0</v>
      </c>
      <c r="AO200" s="785"/>
    </row>
    <row r="201" spans="18:41" x14ac:dyDescent="0.25">
      <c r="R201" s="786" t="s">
        <v>713</v>
      </c>
      <c r="S201" s="787"/>
      <c r="T201" s="787"/>
      <c r="U201" s="787"/>
      <c r="V201" s="788"/>
      <c r="W201" s="370">
        <v>4</v>
      </c>
      <c r="X201" s="334">
        <v>46.5</v>
      </c>
      <c r="Y201" s="371">
        <f t="shared" si="113"/>
        <v>0</v>
      </c>
      <c r="Z201" s="370"/>
      <c r="AA201" s="336"/>
      <c r="AB201" s="371">
        <f t="shared" si="114"/>
        <v>0</v>
      </c>
      <c r="AC201" s="370"/>
      <c r="AD201" s="335"/>
      <c r="AE201" s="371">
        <f t="shared" si="115"/>
        <v>0</v>
      </c>
      <c r="AF201" s="370"/>
      <c r="AG201" s="335"/>
      <c r="AH201" s="371">
        <f t="shared" si="116"/>
        <v>0</v>
      </c>
      <c r="AI201" s="467"/>
      <c r="AJ201" s="467"/>
      <c r="AK201" s="467"/>
      <c r="AL201" s="513" t="str">
        <f t="shared" si="117"/>
        <v>YA</v>
      </c>
      <c r="AM201" s="338">
        <f t="shared" si="118"/>
        <v>0</v>
      </c>
      <c r="AN201" s="785">
        <f t="shared" si="119"/>
        <v>0</v>
      </c>
      <c r="AO201" s="785"/>
    </row>
    <row r="202" spans="18:41" x14ac:dyDescent="0.25">
      <c r="R202" s="786" t="s">
        <v>714</v>
      </c>
      <c r="S202" s="787"/>
      <c r="T202" s="787"/>
      <c r="U202" s="787"/>
      <c r="V202" s="788"/>
      <c r="W202" s="370">
        <v>12</v>
      </c>
      <c r="X202" s="334">
        <v>4.8</v>
      </c>
      <c r="Y202" s="371">
        <f t="shared" si="113"/>
        <v>0</v>
      </c>
      <c r="Z202" s="370"/>
      <c r="AA202" s="336"/>
      <c r="AB202" s="371">
        <f t="shared" si="114"/>
        <v>0</v>
      </c>
      <c r="AC202" s="370"/>
      <c r="AD202" s="335"/>
      <c r="AE202" s="371">
        <f t="shared" si="115"/>
        <v>0</v>
      </c>
      <c r="AF202" s="370"/>
      <c r="AG202" s="335"/>
      <c r="AH202" s="371">
        <f t="shared" si="116"/>
        <v>0</v>
      </c>
      <c r="AI202" s="467"/>
      <c r="AJ202" s="467"/>
      <c r="AK202" s="467"/>
      <c r="AL202" s="513" t="str">
        <f t="shared" si="117"/>
        <v>YA</v>
      </c>
      <c r="AM202" s="338">
        <f t="shared" si="118"/>
        <v>0</v>
      </c>
      <c r="AN202" s="785">
        <f t="shared" si="119"/>
        <v>0</v>
      </c>
      <c r="AO202" s="785"/>
    </row>
    <row r="203" spans="18:41" x14ac:dyDescent="0.25">
      <c r="R203" s="786"/>
      <c r="S203" s="787"/>
      <c r="T203" s="787"/>
      <c r="U203" s="787"/>
      <c r="V203" s="788"/>
      <c r="W203" s="370"/>
      <c r="X203" s="334"/>
      <c r="Y203" s="371">
        <f t="shared" si="113"/>
        <v>0</v>
      </c>
      <c r="Z203" s="370"/>
      <c r="AA203" s="336"/>
      <c r="AB203" s="371">
        <f t="shared" si="114"/>
        <v>0</v>
      </c>
      <c r="AC203" s="370"/>
      <c r="AD203" s="335"/>
      <c r="AE203" s="371">
        <f t="shared" si="115"/>
        <v>0</v>
      </c>
      <c r="AF203" s="370"/>
      <c r="AG203" s="335"/>
      <c r="AH203" s="371">
        <f t="shared" si="116"/>
        <v>0</v>
      </c>
      <c r="AI203" s="467"/>
      <c r="AJ203" s="467"/>
      <c r="AK203" s="467"/>
      <c r="AL203" s="513" t="str">
        <f t="shared" si="117"/>
        <v>YA</v>
      </c>
      <c r="AM203" s="338">
        <f t="shared" si="118"/>
        <v>0</v>
      </c>
      <c r="AN203" s="785">
        <f t="shared" si="119"/>
        <v>0</v>
      </c>
      <c r="AO203" s="785"/>
    </row>
    <row r="204" spans="18:41" x14ac:dyDescent="0.25">
      <c r="R204" s="786"/>
      <c r="S204" s="787"/>
      <c r="T204" s="787"/>
      <c r="U204" s="787"/>
      <c r="V204" s="788"/>
      <c r="W204" s="370"/>
      <c r="X204" s="334"/>
      <c r="Y204" s="371">
        <f t="shared" si="113"/>
        <v>0</v>
      </c>
      <c r="Z204" s="370"/>
      <c r="AA204" s="336"/>
      <c r="AB204" s="371">
        <f t="shared" si="114"/>
        <v>0</v>
      </c>
      <c r="AC204" s="370"/>
      <c r="AD204" s="335"/>
      <c r="AE204" s="371">
        <f t="shared" si="115"/>
        <v>0</v>
      </c>
      <c r="AF204" s="370"/>
      <c r="AG204" s="335"/>
      <c r="AH204" s="371">
        <f t="shared" si="116"/>
        <v>0</v>
      </c>
      <c r="AI204" s="467"/>
      <c r="AJ204" s="467"/>
      <c r="AK204" s="467"/>
      <c r="AL204" s="513" t="str">
        <f t="shared" si="117"/>
        <v>YA</v>
      </c>
      <c r="AM204" s="338">
        <f t="shared" si="118"/>
        <v>0</v>
      </c>
      <c r="AN204" s="785">
        <f t="shared" si="119"/>
        <v>0</v>
      </c>
      <c r="AO204" s="785"/>
    </row>
    <row r="205" spans="18:41" x14ac:dyDescent="0.25">
      <c r="R205" s="786"/>
      <c r="S205" s="787"/>
      <c r="T205" s="787"/>
      <c r="U205" s="787"/>
      <c r="V205" s="788"/>
      <c r="W205" s="370"/>
      <c r="X205" s="334"/>
      <c r="Y205" s="371">
        <f t="shared" si="113"/>
        <v>0</v>
      </c>
      <c r="Z205" s="370"/>
      <c r="AA205" s="336"/>
      <c r="AB205" s="371">
        <f t="shared" si="114"/>
        <v>0</v>
      </c>
      <c r="AC205" s="370"/>
      <c r="AD205" s="335"/>
      <c r="AE205" s="371">
        <f t="shared" si="115"/>
        <v>0</v>
      </c>
      <c r="AF205" s="370"/>
      <c r="AG205" s="335"/>
      <c r="AH205" s="371">
        <f t="shared" si="116"/>
        <v>0</v>
      </c>
      <c r="AI205" s="467"/>
      <c r="AJ205" s="467"/>
      <c r="AK205" s="467"/>
      <c r="AL205" s="513" t="str">
        <f t="shared" si="117"/>
        <v>YA</v>
      </c>
      <c r="AM205" s="338">
        <f t="shared" si="118"/>
        <v>0</v>
      </c>
      <c r="AN205" s="785">
        <f t="shared" si="119"/>
        <v>0</v>
      </c>
      <c r="AO205" s="785"/>
    </row>
    <row r="206" spans="18:41" x14ac:dyDescent="0.25">
      <c r="R206" s="786"/>
      <c r="S206" s="787"/>
      <c r="T206" s="787"/>
      <c r="U206" s="787"/>
      <c r="V206" s="788"/>
      <c r="W206" s="370"/>
      <c r="X206" s="334"/>
      <c r="Y206" s="371">
        <f t="shared" si="113"/>
        <v>0</v>
      </c>
      <c r="Z206" s="370"/>
      <c r="AA206" s="336"/>
      <c r="AB206" s="371">
        <f t="shared" si="114"/>
        <v>0</v>
      </c>
      <c r="AC206" s="370"/>
      <c r="AD206" s="335"/>
      <c r="AE206" s="371">
        <f t="shared" si="115"/>
        <v>0</v>
      </c>
      <c r="AF206" s="370"/>
      <c r="AG206" s="335"/>
      <c r="AH206" s="371">
        <f t="shared" si="116"/>
        <v>0</v>
      </c>
      <c r="AI206" s="467"/>
      <c r="AJ206" s="467"/>
      <c r="AK206" s="467"/>
      <c r="AL206" s="513" t="str">
        <f t="shared" si="117"/>
        <v>YA</v>
      </c>
      <c r="AM206" s="338">
        <f t="shared" si="118"/>
        <v>0</v>
      </c>
      <c r="AN206" s="785">
        <f t="shared" si="119"/>
        <v>0</v>
      </c>
      <c r="AO206" s="785"/>
    </row>
    <row r="207" spans="18:41" x14ac:dyDescent="0.25">
      <c r="R207" s="786"/>
      <c r="S207" s="787"/>
      <c r="T207" s="787"/>
      <c r="U207" s="787"/>
      <c r="V207" s="788"/>
      <c r="W207" s="370"/>
      <c r="X207" s="334"/>
      <c r="Y207" s="371">
        <f t="shared" si="113"/>
        <v>0</v>
      </c>
      <c r="Z207" s="370"/>
      <c r="AA207" s="336"/>
      <c r="AB207" s="371">
        <f t="shared" si="114"/>
        <v>0</v>
      </c>
      <c r="AC207" s="370"/>
      <c r="AD207" s="335"/>
      <c r="AE207" s="371">
        <f t="shared" si="115"/>
        <v>0</v>
      </c>
      <c r="AF207" s="370"/>
      <c r="AG207" s="335"/>
      <c r="AH207" s="371">
        <f t="shared" si="116"/>
        <v>0</v>
      </c>
      <c r="AI207" s="467"/>
      <c r="AJ207" s="467"/>
      <c r="AK207" s="467"/>
      <c r="AL207" s="513" t="str">
        <f t="shared" si="117"/>
        <v>YA</v>
      </c>
      <c r="AM207" s="338">
        <f t="shared" si="118"/>
        <v>0</v>
      </c>
      <c r="AN207" s="785">
        <f t="shared" si="119"/>
        <v>0</v>
      </c>
      <c r="AO207" s="785"/>
    </row>
    <row r="208" spans="18:41" x14ac:dyDescent="0.25">
      <c r="R208" s="786"/>
      <c r="S208" s="787"/>
      <c r="T208" s="787"/>
      <c r="U208" s="787"/>
      <c r="V208" s="788"/>
      <c r="W208" s="370"/>
      <c r="X208" s="334"/>
      <c r="Y208" s="371">
        <f t="shared" si="113"/>
        <v>0</v>
      </c>
      <c r="Z208" s="370"/>
      <c r="AA208" s="336"/>
      <c r="AB208" s="371">
        <f t="shared" si="114"/>
        <v>0</v>
      </c>
      <c r="AC208" s="370"/>
      <c r="AD208" s="335"/>
      <c r="AE208" s="371">
        <f t="shared" si="115"/>
        <v>0</v>
      </c>
      <c r="AF208" s="370"/>
      <c r="AG208" s="335"/>
      <c r="AH208" s="371">
        <f t="shared" si="116"/>
        <v>0</v>
      </c>
      <c r="AI208" s="467"/>
      <c r="AJ208" s="467"/>
      <c r="AK208" s="467"/>
      <c r="AL208" s="513" t="str">
        <f t="shared" si="117"/>
        <v>YA</v>
      </c>
      <c r="AM208" s="338">
        <f t="shared" si="118"/>
        <v>0</v>
      </c>
      <c r="AN208" s="785">
        <f t="shared" si="119"/>
        <v>0</v>
      </c>
      <c r="AO208" s="785"/>
    </row>
    <row r="209" spans="18:41" x14ac:dyDescent="0.25">
      <c r="R209" s="786"/>
      <c r="S209" s="787"/>
      <c r="T209" s="787"/>
      <c r="U209" s="787"/>
      <c r="V209" s="788"/>
      <c r="W209" s="370"/>
      <c r="X209" s="334"/>
      <c r="Y209" s="371">
        <f t="shared" si="99"/>
        <v>0</v>
      </c>
      <c r="Z209" s="370"/>
      <c r="AA209" s="336"/>
      <c r="AB209" s="371">
        <f t="shared" si="100"/>
        <v>0</v>
      </c>
      <c r="AC209" s="370"/>
      <c r="AD209" s="335"/>
      <c r="AE209" s="371">
        <f t="shared" si="101"/>
        <v>0</v>
      </c>
      <c r="AF209" s="370"/>
      <c r="AG209" s="335"/>
      <c r="AH209" s="371">
        <f t="shared" si="102"/>
        <v>0</v>
      </c>
      <c r="AI209" s="467"/>
      <c r="AJ209" s="467"/>
      <c r="AK209" s="467"/>
      <c r="AL209" s="513" t="str">
        <f t="shared" si="103"/>
        <v>YA</v>
      </c>
      <c r="AM209" s="338">
        <f t="shared" si="104"/>
        <v>0</v>
      </c>
      <c r="AN209" s="785">
        <f t="shared" si="105"/>
        <v>0</v>
      </c>
      <c r="AO209" s="785"/>
    </row>
    <row r="210" spans="18:41" x14ac:dyDescent="0.25">
      <c r="R210" s="789"/>
      <c r="S210" s="789"/>
      <c r="T210" s="789"/>
      <c r="U210" s="789"/>
      <c r="V210" s="789"/>
      <c r="W210" s="370"/>
      <c r="X210" s="334"/>
      <c r="Y210" s="371">
        <f t="shared" si="92"/>
        <v>0</v>
      </c>
      <c r="Z210" s="370"/>
      <c r="AA210" s="336"/>
      <c r="AB210" s="371">
        <f t="shared" si="93"/>
        <v>0</v>
      </c>
      <c r="AC210" s="370"/>
      <c r="AD210" s="335"/>
      <c r="AE210" s="371">
        <f t="shared" si="94"/>
        <v>0</v>
      </c>
      <c r="AF210" s="370"/>
      <c r="AG210" s="335"/>
      <c r="AH210" s="371">
        <f t="shared" si="95"/>
        <v>0</v>
      </c>
      <c r="AI210" s="467"/>
      <c r="AJ210" s="467"/>
      <c r="AK210" s="467"/>
      <c r="AL210" s="513" t="str">
        <f t="shared" si="96"/>
        <v>YA</v>
      </c>
      <c r="AM210" s="338">
        <f t="shared" si="97"/>
        <v>0</v>
      </c>
      <c r="AN210" s="785">
        <f t="shared" si="98"/>
        <v>0</v>
      </c>
      <c r="AO210" s="785"/>
    </row>
    <row r="211" spans="18:41" ht="18.75" x14ac:dyDescent="0.3">
      <c r="R211" s="332"/>
      <c r="S211" s="332"/>
      <c r="T211" s="332"/>
      <c r="U211" s="332"/>
      <c r="V211" s="332"/>
      <c r="W211" s="333"/>
      <c r="X211" s="367"/>
      <c r="Y211" s="367"/>
      <c r="Z211" s="367"/>
      <c r="AA211" s="367"/>
      <c r="AB211" s="368"/>
      <c r="AC211" s="367"/>
      <c r="AD211" s="367"/>
      <c r="AE211" s="368"/>
      <c r="AF211" s="367"/>
      <c r="AG211" s="367"/>
      <c r="AH211" s="368"/>
      <c r="AJ211" s="374">
        <f>SUM(AJ152:AJ210)</f>
        <v>466</v>
      </c>
      <c r="AK211" s="339"/>
      <c r="AM211" s="374">
        <f>SUM(AM152:AM210)</f>
        <v>364.78999999999996</v>
      </c>
      <c r="AN211" s="377">
        <f>SUM(AN152:AN210)</f>
        <v>101.21</v>
      </c>
      <c r="AO211" s="378">
        <f>AN211/AM211</f>
        <v>0.27744729844568111</v>
      </c>
    </row>
    <row r="212" spans="18:41" ht="18.75" x14ac:dyDescent="0.3">
      <c r="R212" s="332"/>
      <c r="S212" s="332"/>
      <c r="T212" s="332"/>
      <c r="U212" s="332"/>
      <c r="V212" s="332"/>
      <c r="W212" s="333"/>
      <c r="X212" s="367"/>
      <c r="Y212" s="369"/>
      <c r="Z212" s="367"/>
      <c r="AA212" s="367"/>
      <c r="AB212" s="369"/>
      <c r="AC212" s="367"/>
      <c r="AD212" s="367"/>
      <c r="AE212" s="369"/>
      <c r="AF212" s="367"/>
      <c r="AG212" s="367"/>
      <c r="AH212" s="367"/>
      <c r="AK212" s="339"/>
      <c r="AM212" s="359"/>
      <c r="AN212" s="364"/>
      <c r="AO212" s="365"/>
    </row>
    <row r="213" spans="18:41" ht="19.5" thickBot="1" x14ac:dyDescent="0.35">
      <c r="R213" s="331"/>
      <c r="S213" s="331"/>
      <c r="T213" s="331"/>
      <c r="U213" s="331"/>
      <c r="W213" s="333"/>
      <c r="X213" s="367"/>
      <c r="Y213" s="367"/>
      <c r="Z213" s="367"/>
      <c r="AA213" s="367"/>
      <c r="AB213" s="367"/>
      <c r="AC213" s="367"/>
      <c r="AD213" s="367"/>
      <c r="AE213" s="367"/>
      <c r="AF213" s="367"/>
      <c r="AG213" s="367"/>
      <c r="AH213" s="367"/>
      <c r="AK213" s="339"/>
      <c r="AM213" s="359"/>
      <c r="AN213" s="364"/>
      <c r="AO213" s="365"/>
    </row>
    <row r="214" spans="18:41" ht="19.5" thickBot="1" x14ac:dyDescent="0.35">
      <c r="R214" s="801" t="s">
        <v>91</v>
      </c>
      <c r="S214" s="802"/>
      <c r="T214" s="802"/>
      <c r="U214" s="802"/>
      <c r="V214" s="803"/>
      <c r="W214" s="333"/>
      <c r="X214" s="331"/>
      <c r="Y214" s="331"/>
      <c r="Z214" s="331"/>
      <c r="AA214" s="331"/>
      <c r="AK214" s="339"/>
      <c r="AM214" s="359"/>
      <c r="AN214" s="364"/>
      <c r="AO214" s="365"/>
    </row>
    <row r="215" spans="18:41" ht="37.5" x14ac:dyDescent="0.25">
      <c r="R215" s="346"/>
      <c r="S215" s="347" t="s">
        <v>88</v>
      </c>
      <c r="T215" s="347" t="s">
        <v>87</v>
      </c>
      <c r="U215" s="348" t="s">
        <v>75</v>
      </c>
      <c r="V215" s="349" t="s">
        <v>92</v>
      </c>
      <c r="W215" s="333"/>
      <c r="AI215" s="383" t="s">
        <v>72</v>
      </c>
      <c r="AJ215" s="384" t="s">
        <v>80</v>
      </c>
      <c r="AK215" s="309" t="s">
        <v>82</v>
      </c>
      <c r="AL215" s="309" t="s">
        <v>420</v>
      </c>
      <c r="AM215" s="384" t="s">
        <v>444</v>
      </c>
      <c r="AN215" s="309" t="s">
        <v>453</v>
      </c>
      <c r="AO215" s="515" t="s">
        <v>641</v>
      </c>
    </row>
    <row r="216" spans="18:41" ht="37.5" x14ac:dyDescent="0.25">
      <c r="R216" s="350" t="s">
        <v>80</v>
      </c>
      <c r="S216" s="351">
        <f>AJ29</f>
        <v>2021.8999999999999</v>
      </c>
      <c r="T216" s="351">
        <f>AM29</f>
        <v>1453.9664814814814</v>
      </c>
      <c r="U216" s="352">
        <f>AN29</f>
        <v>567.93351851851867</v>
      </c>
      <c r="V216" s="353">
        <f>AO29</f>
        <v>0.39060977385107087</v>
      </c>
      <c r="W216" s="9"/>
      <c r="AI216" s="338">
        <f>U222</f>
        <v>874.65351851851881</v>
      </c>
      <c r="AJ216" s="338">
        <f>U216</f>
        <v>567.93351851851867</v>
      </c>
      <c r="AK216" s="338">
        <f>U217</f>
        <v>45.510000000000005</v>
      </c>
      <c r="AL216" s="338">
        <f>U218</f>
        <v>46.090000000000011</v>
      </c>
      <c r="AM216" s="338">
        <f>U219</f>
        <v>93.33</v>
      </c>
      <c r="AN216" s="338">
        <f>U220</f>
        <v>20.58</v>
      </c>
      <c r="AO216" s="516">
        <f>U221</f>
        <v>101.21</v>
      </c>
    </row>
    <row r="217" spans="18:41" ht="18.75" x14ac:dyDescent="0.25">
      <c r="R217" s="354" t="s">
        <v>82</v>
      </c>
      <c r="S217" s="355">
        <f>AJ71</f>
        <v>155</v>
      </c>
      <c r="T217" s="355">
        <f>AM71</f>
        <v>109.49</v>
      </c>
      <c r="U217" s="352">
        <f>AN71</f>
        <v>45.510000000000005</v>
      </c>
      <c r="V217" s="353">
        <f>AO71</f>
        <v>0.415654397661887</v>
      </c>
      <c r="AN217" s="366"/>
      <c r="AO217" s="366"/>
    </row>
    <row r="218" spans="18:41" ht="37.5" x14ac:dyDescent="0.25">
      <c r="R218" s="354" t="s">
        <v>420</v>
      </c>
      <c r="S218" s="355">
        <f>AJ105</f>
        <v>175.71</v>
      </c>
      <c r="T218" s="355">
        <f>AM105</f>
        <v>129.62</v>
      </c>
      <c r="U218" s="352">
        <f>AN105</f>
        <v>46.090000000000011</v>
      </c>
      <c r="V218" s="353">
        <f>AO105</f>
        <v>0.35557784292547451</v>
      </c>
    </row>
    <row r="219" spans="18:41" ht="37.5" x14ac:dyDescent="0.25">
      <c r="R219" s="350" t="s">
        <v>444</v>
      </c>
      <c r="S219" s="355">
        <f>AJ122</f>
        <v>603.33000000000004</v>
      </c>
      <c r="T219" s="355">
        <f>AM122</f>
        <v>510</v>
      </c>
      <c r="U219" s="352">
        <f>AN122</f>
        <v>93.33</v>
      </c>
      <c r="V219" s="353">
        <f>AO122</f>
        <v>0.183</v>
      </c>
    </row>
    <row r="220" spans="18:41" ht="37.5" x14ac:dyDescent="0.25">
      <c r="R220" s="354" t="s">
        <v>453</v>
      </c>
      <c r="S220" s="355">
        <f>AJ148</f>
        <v>75</v>
      </c>
      <c r="T220" s="355">
        <f>AM148</f>
        <v>54.42</v>
      </c>
      <c r="U220" s="352">
        <f>AN148</f>
        <v>20.58</v>
      </c>
      <c r="V220" s="353">
        <f>AO148</f>
        <v>0.37816979051819177</v>
      </c>
    </row>
    <row r="221" spans="18:41" ht="37.5" x14ac:dyDescent="0.25">
      <c r="R221" s="354" t="s">
        <v>641</v>
      </c>
      <c r="S221" s="355">
        <f>AJ211</f>
        <v>466</v>
      </c>
      <c r="T221" s="355">
        <f>AM211</f>
        <v>364.78999999999996</v>
      </c>
      <c r="U221" s="352">
        <f>AN211</f>
        <v>101.21</v>
      </c>
      <c r="V221" s="353">
        <f>AO211</f>
        <v>0.27744729844568111</v>
      </c>
    </row>
    <row r="222" spans="18:41" ht="18.75" x14ac:dyDescent="0.25">
      <c r="R222" s="356" t="s">
        <v>72</v>
      </c>
      <c r="S222" s="357">
        <f>SUM(S216:S221)</f>
        <v>3496.9399999999996</v>
      </c>
      <c r="T222" s="357">
        <f>SUM(T216:T221)</f>
        <v>2622.2864814814816</v>
      </c>
      <c r="U222" s="352">
        <f>SUM(U216:U221)</f>
        <v>874.65351851851881</v>
      </c>
      <c r="V222" s="358">
        <f>U222/T222</f>
        <v>0.3335461341448766</v>
      </c>
      <c r="AN222" s="331"/>
      <c r="AO222" s="331"/>
    </row>
    <row r="223" spans="18:41" ht="18.75" x14ac:dyDescent="0.25">
      <c r="R223" s="800"/>
      <c r="S223" s="800"/>
      <c r="AN223" s="331"/>
      <c r="AO223" s="331"/>
    </row>
    <row r="224" spans="18:41" x14ac:dyDescent="0.25">
      <c r="Z224" s="412"/>
      <c r="AA224" s="412"/>
      <c r="AN224" s="331"/>
      <c r="AO224" s="331"/>
    </row>
    <row r="225" spans="17:41" x14ac:dyDescent="0.25">
      <c r="Z225" s="412"/>
      <c r="AA225" s="412"/>
      <c r="AC225" s="405"/>
      <c r="AN225" s="318"/>
      <c r="AO225" s="318"/>
    </row>
    <row r="226" spans="17:41" x14ac:dyDescent="0.25">
      <c r="Z226" s="412"/>
      <c r="AA226" s="412"/>
      <c r="AC226" s="405"/>
      <c r="AN226" s="318"/>
      <c r="AO226" s="318"/>
    </row>
    <row r="227" spans="17:41" ht="27.75" customHeight="1" x14ac:dyDescent="0.25">
      <c r="Q227" s="548"/>
      <c r="R227" s="544">
        <v>62</v>
      </c>
      <c r="S227" s="523" t="s">
        <v>72</v>
      </c>
      <c r="Z227" s="412"/>
      <c r="AA227" s="412"/>
      <c r="AC227" s="405"/>
      <c r="AN227" s="426"/>
      <c r="AO227" s="426"/>
    </row>
    <row r="228" spans="17:41" ht="26.25" customHeight="1" thickBot="1" x14ac:dyDescent="0.3">
      <c r="Q228" s="547" t="s">
        <v>734</v>
      </c>
      <c r="R228" s="545">
        <v>200</v>
      </c>
      <c r="S228" s="524" t="s">
        <v>688</v>
      </c>
      <c r="Z228" s="412"/>
      <c r="AA228" s="412"/>
      <c r="AC228" s="405"/>
      <c r="AN228" s="426"/>
      <c r="AO228" s="426"/>
    </row>
    <row r="229" spans="17:41" ht="45" hidden="1" customHeight="1" x14ac:dyDescent="0.25">
      <c r="Q229" s="547" t="s">
        <v>336</v>
      </c>
      <c r="R229" s="545">
        <v>20</v>
      </c>
      <c r="S229" s="536" t="s">
        <v>788</v>
      </c>
      <c r="Y229" s="413"/>
      <c r="Z229" s="431"/>
      <c r="AA229" s="431"/>
      <c r="AC229" s="405"/>
      <c r="AN229" s="429"/>
      <c r="AO229" s="429"/>
    </row>
    <row r="230" spans="17:41" ht="45" hidden="1" customHeight="1" x14ac:dyDescent="0.25">
      <c r="Q230" s="547" t="s">
        <v>734</v>
      </c>
      <c r="R230" s="545">
        <v>34</v>
      </c>
      <c r="S230" s="536" t="s">
        <v>789</v>
      </c>
      <c r="Y230" s="413"/>
      <c r="Z230" s="528"/>
      <c r="AA230" s="528"/>
      <c r="AC230" s="405"/>
      <c r="AN230" s="429"/>
      <c r="AO230" s="429"/>
    </row>
    <row r="231" spans="17:41" ht="45" hidden="1" customHeight="1" x14ac:dyDescent="0.25">
      <c r="Q231" s="547" t="s">
        <v>336</v>
      </c>
      <c r="R231" s="545">
        <v>3</v>
      </c>
      <c r="S231" s="536" t="s">
        <v>749</v>
      </c>
      <c r="Y231" s="413"/>
      <c r="Z231" s="530"/>
      <c r="AA231" s="530"/>
      <c r="AC231" s="405"/>
      <c r="AN231" s="429"/>
      <c r="AO231" s="429"/>
    </row>
    <row r="232" spans="17:41" ht="45" hidden="1" customHeight="1" thickBot="1" x14ac:dyDescent="0.3">
      <c r="Q232" s="549" t="s">
        <v>734</v>
      </c>
      <c r="R232" s="546">
        <v>1</v>
      </c>
      <c r="S232" s="555" t="s">
        <v>790</v>
      </c>
      <c r="Y232" s="413"/>
      <c r="Z232" s="531"/>
      <c r="AA232" s="531"/>
      <c r="AC232" s="405"/>
      <c r="AN232" s="429"/>
      <c r="AO232" s="429"/>
    </row>
    <row r="233" spans="17:41" ht="42.75" hidden="1" thickBot="1" x14ac:dyDescent="0.3">
      <c r="Q233" s="549" t="s">
        <v>336</v>
      </c>
      <c r="R233" s="546">
        <v>60</v>
      </c>
      <c r="S233" s="567" t="s">
        <v>749</v>
      </c>
      <c r="Y233" s="331"/>
      <c r="Z233" s="331"/>
      <c r="AA233" s="331"/>
      <c r="AB233" s="331"/>
      <c r="AC233" s="331"/>
      <c r="AD233" s="331"/>
      <c r="AE233" s="331"/>
      <c r="AN233" s="426"/>
      <c r="AO233" s="426"/>
    </row>
    <row r="234" spans="17:41" ht="21.75" thickBot="1" x14ac:dyDescent="0.4">
      <c r="Q234" s="804">
        <v>262</v>
      </c>
      <c r="R234" s="805"/>
      <c r="S234" s="525" t="s">
        <v>689</v>
      </c>
      <c r="Y234" s="432"/>
      <c r="Z234" s="432"/>
      <c r="AA234" s="432"/>
      <c r="AB234" s="432"/>
      <c r="AC234" s="432"/>
      <c r="AD234" s="333"/>
      <c r="AE234" s="333"/>
      <c r="AN234" s="426"/>
      <c r="AO234" s="426"/>
    </row>
    <row r="235" spans="17:41" ht="23.25" x14ac:dyDescent="0.25">
      <c r="Q235" s="806">
        <v>74</v>
      </c>
      <c r="R235" s="806"/>
      <c r="S235" s="543" t="s">
        <v>641</v>
      </c>
      <c r="Y235" s="433"/>
      <c r="Z235" s="433"/>
      <c r="AA235" s="433"/>
      <c r="AB235" s="433"/>
      <c r="AC235" s="433"/>
      <c r="AD235" s="318"/>
      <c r="AE235" s="318"/>
      <c r="AN235" s="331"/>
      <c r="AO235" s="331"/>
    </row>
    <row r="236" spans="17:41" x14ac:dyDescent="0.25">
      <c r="R236" s="799"/>
      <c r="S236" s="799"/>
      <c r="Y236" s="433"/>
      <c r="Z236" s="433"/>
      <c r="AA236" s="433"/>
      <c r="AB236" s="433"/>
      <c r="AC236" s="433"/>
      <c r="AD236" s="318"/>
      <c r="AE236" s="318"/>
      <c r="AN236" s="331"/>
      <c r="AO236" s="331"/>
    </row>
    <row r="237" spans="17:41" x14ac:dyDescent="0.25">
      <c r="Y237" s="433"/>
      <c r="Z237" s="433"/>
      <c r="AA237" s="433"/>
      <c r="AB237" s="433"/>
      <c r="AC237" s="433"/>
      <c r="AD237" s="318"/>
      <c r="AE237" s="318"/>
      <c r="AN237" s="331"/>
      <c r="AO237" s="331"/>
    </row>
    <row r="238" spans="17:41" x14ac:dyDescent="0.25">
      <c r="Y238" s="433"/>
      <c r="Z238" s="433"/>
      <c r="AA238" s="433"/>
      <c r="AB238" s="433"/>
      <c r="AC238" s="433"/>
      <c r="AD238" s="318"/>
      <c r="AE238" s="318"/>
      <c r="AN238" s="331"/>
      <c r="AO238" s="331"/>
    </row>
    <row r="239" spans="17:41" x14ac:dyDescent="0.25">
      <c r="Y239" s="433"/>
      <c r="Z239" s="433"/>
      <c r="AA239" s="433"/>
      <c r="AB239" s="433"/>
      <c r="AC239" s="433"/>
      <c r="AD239" s="318"/>
      <c r="AE239" s="318"/>
      <c r="AN239" s="331"/>
      <c r="AO239" s="331"/>
    </row>
    <row r="240" spans="17:41" x14ac:dyDescent="0.25">
      <c r="Y240" s="433"/>
      <c r="Z240" s="433"/>
      <c r="AA240" s="433"/>
      <c r="AB240" s="433"/>
      <c r="AC240" s="433"/>
      <c r="AD240" s="318"/>
      <c r="AE240" s="318"/>
    </row>
    <row r="241" spans="25:31" x14ac:dyDescent="0.25">
      <c r="Y241" s="433"/>
      <c r="Z241" s="433"/>
      <c r="AA241" s="433"/>
      <c r="AB241" s="433"/>
      <c r="AC241" s="433"/>
      <c r="AD241" s="318"/>
      <c r="AE241" s="318"/>
    </row>
    <row r="242" spans="25:31" x14ac:dyDescent="0.25">
      <c r="Y242" s="433"/>
      <c r="Z242" s="433"/>
      <c r="AA242" s="433"/>
      <c r="AB242" s="433"/>
      <c r="AC242" s="433"/>
      <c r="AD242" s="318"/>
      <c r="AE242" s="318"/>
    </row>
    <row r="243" spans="25:31" x14ac:dyDescent="0.25">
      <c r="Y243" s="433"/>
      <c r="Z243" s="433"/>
      <c r="AA243" s="433"/>
      <c r="AB243" s="433"/>
      <c r="AC243" s="433"/>
      <c r="AD243" s="318"/>
      <c r="AE243" s="318"/>
    </row>
    <row r="244" spans="25:31" x14ac:dyDescent="0.25">
      <c r="Y244" s="433"/>
      <c r="Z244" s="433"/>
      <c r="AA244" s="433"/>
      <c r="AB244" s="433"/>
      <c r="AC244" s="433"/>
      <c r="AD244" s="318"/>
      <c r="AE244" s="318"/>
    </row>
    <row r="245" spans="25:31" x14ac:dyDescent="0.25">
      <c r="Y245" s="433"/>
      <c r="Z245" s="433"/>
      <c r="AA245" s="433"/>
      <c r="AB245" s="433"/>
      <c r="AC245" s="433"/>
      <c r="AD245" s="318"/>
      <c r="AE245" s="318"/>
    </row>
    <row r="246" spans="25:31" x14ac:dyDescent="0.25">
      <c r="Y246" s="433"/>
      <c r="Z246" s="433"/>
      <c r="AA246" s="433"/>
      <c r="AB246" s="433"/>
      <c r="AC246" s="433"/>
      <c r="AD246" s="318"/>
      <c r="AE246" s="318"/>
    </row>
    <row r="247" spans="25:31" x14ac:dyDescent="0.25">
      <c r="Y247" s="433"/>
      <c r="Z247" s="433"/>
      <c r="AA247" s="433"/>
      <c r="AB247" s="433"/>
      <c r="AC247" s="433"/>
      <c r="AD247" s="318"/>
      <c r="AE247" s="318"/>
    </row>
    <row r="248" spans="25:31" x14ac:dyDescent="0.25">
      <c r="Y248" s="433"/>
      <c r="Z248" s="433"/>
      <c r="AA248" s="433"/>
      <c r="AB248" s="433"/>
      <c r="AC248" s="433"/>
      <c r="AD248" s="318"/>
      <c r="AE248" s="318"/>
    </row>
    <row r="249" spans="25:31" x14ac:dyDescent="0.25">
      <c r="Y249" s="331"/>
      <c r="Z249" s="331"/>
      <c r="AA249" s="331"/>
      <c r="AB249" s="331"/>
      <c r="AC249" s="331"/>
      <c r="AD249" s="331"/>
      <c r="AE249" s="331"/>
    </row>
    <row r="250" spans="25:31" x14ac:dyDescent="0.25">
      <c r="Y250" s="331"/>
      <c r="Z250" s="331"/>
      <c r="AA250" s="331"/>
      <c r="AB250" s="331"/>
      <c r="AC250" s="331"/>
      <c r="AD250" s="331"/>
      <c r="AE250" s="331"/>
    </row>
    <row r="251" spans="25:31" x14ac:dyDescent="0.25">
      <c r="Y251" s="331"/>
      <c r="Z251" s="331"/>
      <c r="AA251" s="331"/>
      <c r="AB251" s="331"/>
      <c r="AC251" s="331"/>
      <c r="AD251" s="331"/>
      <c r="AE251" s="331"/>
    </row>
    <row r="252" spans="25:31" x14ac:dyDescent="0.25">
      <c r="Y252" s="331"/>
      <c r="Z252" s="331"/>
      <c r="AA252" s="331"/>
      <c r="AB252" s="331"/>
      <c r="AC252" s="331"/>
      <c r="AD252" s="331"/>
      <c r="AE252" s="331"/>
    </row>
  </sheetData>
  <mergeCells count="478">
    <mergeCell ref="R236:S236"/>
    <mergeCell ref="R207:V207"/>
    <mergeCell ref="AN207:AO207"/>
    <mergeCell ref="R208:V208"/>
    <mergeCell ref="AN208:AO208"/>
    <mergeCell ref="R202:V202"/>
    <mergeCell ref="AN202:AO202"/>
    <mergeCell ref="R203:V203"/>
    <mergeCell ref="AN203:AO203"/>
    <mergeCell ref="R204:V204"/>
    <mergeCell ref="AN204:AO204"/>
    <mergeCell ref="R205:V205"/>
    <mergeCell ref="AN205:AO205"/>
    <mergeCell ref="R206:V206"/>
    <mergeCell ref="AN206:AO206"/>
    <mergeCell ref="R223:S223"/>
    <mergeCell ref="R214:V214"/>
    <mergeCell ref="Q234:R234"/>
    <mergeCell ref="Q235:R235"/>
    <mergeCell ref="R197:V197"/>
    <mergeCell ref="AN197:AO197"/>
    <mergeCell ref="R198:V198"/>
    <mergeCell ref="AN198:AO198"/>
    <mergeCell ref="R199:V199"/>
    <mergeCell ref="AN199:AO199"/>
    <mergeCell ref="R200:V200"/>
    <mergeCell ref="AN200:AO200"/>
    <mergeCell ref="R201:V201"/>
    <mergeCell ref="AN201:AO201"/>
    <mergeCell ref="R192:V192"/>
    <mergeCell ref="AN192:AO192"/>
    <mergeCell ref="R193:V193"/>
    <mergeCell ref="AN193:AO193"/>
    <mergeCell ref="R194:V194"/>
    <mergeCell ref="AN194:AO194"/>
    <mergeCell ref="R209:V209"/>
    <mergeCell ref="AN209:AO209"/>
    <mergeCell ref="R184:V184"/>
    <mergeCell ref="AN184:AO184"/>
    <mergeCell ref="R185:V185"/>
    <mergeCell ref="AN185:AO185"/>
    <mergeCell ref="R186:V186"/>
    <mergeCell ref="AN186:AO186"/>
    <mergeCell ref="R187:V187"/>
    <mergeCell ref="AN187:AO187"/>
    <mergeCell ref="R188:V188"/>
    <mergeCell ref="AN188:AO188"/>
    <mergeCell ref="R189:V189"/>
    <mergeCell ref="AN189:AO189"/>
    <mergeCell ref="R195:V195"/>
    <mergeCell ref="AN195:AO195"/>
    <mergeCell ref="R196:V196"/>
    <mergeCell ref="AN196:AO196"/>
    <mergeCell ref="R181:V181"/>
    <mergeCell ref="AN181:AO181"/>
    <mergeCell ref="R182:V182"/>
    <mergeCell ref="AN182:AO182"/>
    <mergeCell ref="R183:V183"/>
    <mergeCell ref="AN183:AO183"/>
    <mergeCell ref="R190:V190"/>
    <mergeCell ref="AN190:AO190"/>
    <mergeCell ref="R191:V191"/>
    <mergeCell ref="AN191:AO191"/>
    <mergeCell ref="R176:V176"/>
    <mergeCell ref="AN176:AO176"/>
    <mergeCell ref="R177:V177"/>
    <mergeCell ref="AN177:AO177"/>
    <mergeCell ref="R178:V178"/>
    <mergeCell ref="AN178:AO178"/>
    <mergeCell ref="R179:V179"/>
    <mergeCell ref="AN179:AO179"/>
    <mergeCell ref="R180:V180"/>
    <mergeCell ref="AN180:AO180"/>
    <mergeCell ref="R165:V165"/>
    <mergeCell ref="AN165:AO165"/>
    <mergeCell ref="R210:V210"/>
    <mergeCell ref="AN210:AO210"/>
    <mergeCell ref="R166:V166"/>
    <mergeCell ref="AN166:AO166"/>
    <mergeCell ref="R167:V167"/>
    <mergeCell ref="AN167:AO167"/>
    <mergeCell ref="R168:V168"/>
    <mergeCell ref="AN168:AO168"/>
    <mergeCell ref="R169:V169"/>
    <mergeCell ref="AN169:AO169"/>
    <mergeCell ref="R170:V170"/>
    <mergeCell ref="AN170:AO170"/>
    <mergeCell ref="R171:V171"/>
    <mergeCell ref="AN171:AO171"/>
    <mergeCell ref="R172:V172"/>
    <mergeCell ref="AN172:AO172"/>
    <mergeCell ref="R173:V173"/>
    <mergeCell ref="AN173:AO173"/>
    <mergeCell ref="R174:V174"/>
    <mergeCell ref="AN174:AO174"/>
    <mergeCell ref="R175:V175"/>
    <mergeCell ref="AN175:AO175"/>
    <mergeCell ref="R160:V160"/>
    <mergeCell ref="AN160:AO160"/>
    <mergeCell ref="R161:V161"/>
    <mergeCell ref="AN161:AO161"/>
    <mergeCell ref="R162:V162"/>
    <mergeCell ref="AN162:AO162"/>
    <mergeCell ref="R163:V163"/>
    <mergeCell ref="AN163:AO163"/>
    <mergeCell ref="R164:V164"/>
    <mergeCell ref="AN164:AO164"/>
    <mergeCell ref="R155:V155"/>
    <mergeCell ref="AN155:AO155"/>
    <mergeCell ref="R156:V156"/>
    <mergeCell ref="AN156:AO156"/>
    <mergeCell ref="R157:V157"/>
    <mergeCell ref="AN157:AO157"/>
    <mergeCell ref="R158:V158"/>
    <mergeCell ref="AN158:AO158"/>
    <mergeCell ref="R159:V159"/>
    <mergeCell ref="AN159:AO159"/>
    <mergeCell ref="R150:AO150"/>
    <mergeCell ref="R151:V151"/>
    <mergeCell ref="AN151:AO151"/>
    <mergeCell ref="R152:V152"/>
    <mergeCell ref="AN152:AO152"/>
    <mergeCell ref="R153:V153"/>
    <mergeCell ref="AN153:AO153"/>
    <mergeCell ref="R154:V154"/>
    <mergeCell ref="AN154:AO154"/>
    <mergeCell ref="R127:V127"/>
    <mergeCell ref="AN127:AO127"/>
    <mergeCell ref="R128:V128"/>
    <mergeCell ref="AN128:AO128"/>
    <mergeCell ref="R111:V111"/>
    <mergeCell ref="AN111:AO111"/>
    <mergeCell ref="R125:V125"/>
    <mergeCell ref="AN125:AO125"/>
    <mergeCell ref="R126:V126"/>
    <mergeCell ref="AN126:AO126"/>
    <mergeCell ref="R120:V120"/>
    <mergeCell ref="AN120:AO120"/>
    <mergeCell ref="R114:V114"/>
    <mergeCell ref="AN114:AO114"/>
    <mergeCell ref="R115:V115"/>
    <mergeCell ref="AN115:AO115"/>
    <mergeCell ref="R116:V116"/>
    <mergeCell ref="AN116:AO116"/>
    <mergeCell ref="R124:AO124"/>
    <mergeCell ref="R119:V119"/>
    <mergeCell ref="AN119:AO119"/>
    <mergeCell ref="AN129:AO129"/>
    <mergeCell ref="R129:V129"/>
    <mergeCell ref="R147:V147"/>
    <mergeCell ref="AN147:AO147"/>
    <mergeCell ref="R134:V134"/>
    <mergeCell ref="AN134:AO134"/>
    <mergeCell ref="R135:V135"/>
    <mergeCell ref="AN135:AO135"/>
    <mergeCell ref="R130:V130"/>
    <mergeCell ref="AN130:AO130"/>
    <mergeCell ref="R131:V131"/>
    <mergeCell ref="AN131:AO131"/>
    <mergeCell ref="R132:V132"/>
    <mergeCell ref="R137:V137"/>
    <mergeCell ref="AN137:AO137"/>
    <mergeCell ref="R138:V138"/>
    <mergeCell ref="AN138:AO138"/>
    <mergeCell ref="R141:V141"/>
    <mergeCell ref="AN141:AO141"/>
    <mergeCell ref="R139:V139"/>
    <mergeCell ref="R140:V140"/>
    <mergeCell ref="AN139:AO139"/>
    <mergeCell ref="AN140:AO140"/>
    <mergeCell ref="R142:V142"/>
    <mergeCell ref="R110:V110"/>
    <mergeCell ref="AN110:AO110"/>
    <mergeCell ref="R112:V112"/>
    <mergeCell ref="AN112:AO112"/>
    <mergeCell ref="R113:V113"/>
    <mergeCell ref="AN113:AO113"/>
    <mergeCell ref="R117:V117"/>
    <mergeCell ref="R118:V118"/>
    <mergeCell ref="AN117:AO117"/>
    <mergeCell ref="AN118:AO118"/>
    <mergeCell ref="R107:AO107"/>
    <mergeCell ref="R108:V108"/>
    <mergeCell ref="AN108:AO108"/>
    <mergeCell ref="R109:V109"/>
    <mergeCell ref="AN109:AO109"/>
    <mergeCell ref="R96:V96"/>
    <mergeCell ref="AN96:AO96"/>
    <mergeCell ref="R104:V104"/>
    <mergeCell ref="AN104:AO104"/>
    <mergeCell ref="R98:V98"/>
    <mergeCell ref="AN98:AO98"/>
    <mergeCell ref="R101:V101"/>
    <mergeCell ref="AN101:AO101"/>
    <mergeCell ref="AN99:AO99"/>
    <mergeCell ref="AN100:AO100"/>
    <mergeCell ref="R99:V99"/>
    <mergeCell ref="R100:V100"/>
    <mergeCell ref="R97:V97"/>
    <mergeCell ref="AN97:AO97"/>
    <mergeCell ref="R102:V102"/>
    <mergeCell ref="AN102:AO102"/>
    <mergeCell ref="R103:V103"/>
    <mergeCell ref="AN103:AO103"/>
    <mergeCell ref="R93:V93"/>
    <mergeCell ref="AN93:AO93"/>
    <mergeCell ref="R94:V94"/>
    <mergeCell ref="AN94:AO94"/>
    <mergeCell ref="R95:V95"/>
    <mergeCell ref="AN95:AO95"/>
    <mergeCell ref="R90:V90"/>
    <mergeCell ref="AN90:AO90"/>
    <mergeCell ref="R91:V91"/>
    <mergeCell ref="AN91:AO91"/>
    <mergeCell ref="R92:V92"/>
    <mergeCell ref="AN92:AO92"/>
    <mergeCell ref="R87:V87"/>
    <mergeCell ref="AN87:AO87"/>
    <mergeCell ref="R88:V88"/>
    <mergeCell ref="AN88:AO88"/>
    <mergeCell ref="R89:V89"/>
    <mergeCell ref="AN89:AO89"/>
    <mergeCell ref="R84:V84"/>
    <mergeCell ref="AN84:AO84"/>
    <mergeCell ref="R85:V85"/>
    <mergeCell ref="AN85:AO85"/>
    <mergeCell ref="R86:V86"/>
    <mergeCell ref="AN86:AO86"/>
    <mergeCell ref="R83:V83"/>
    <mergeCell ref="AN83:AO83"/>
    <mergeCell ref="R78:V78"/>
    <mergeCell ref="AN78:AO78"/>
    <mergeCell ref="R79:V79"/>
    <mergeCell ref="AN79:AO79"/>
    <mergeCell ref="R80:V80"/>
    <mergeCell ref="AN80:AO80"/>
    <mergeCell ref="R76:V76"/>
    <mergeCell ref="AN76:AO76"/>
    <mergeCell ref="R77:V77"/>
    <mergeCell ref="AN77:AO77"/>
    <mergeCell ref="R68:V68"/>
    <mergeCell ref="R75:V75"/>
    <mergeCell ref="R69:V69"/>
    <mergeCell ref="AN69:AO69"/>
    <mergeCell ref="AN75:AO75"/>
    <mergeCell ref="R81:V81"/>
    <mergeCell ref="AN81:AO81"/>
    <mergeCell ref="R82:V82"/>
    <mergeCell ref="AN82:AO82"/>
    <mergeCell ref="AN70:AO70"/>
    <mergeCell ref="R73:AO73"/>
    <mergeCell ref="R74:V74"/>
    <mergeCell ref="AN74:AO74"/>
    <mergeCell ref="R70:V70"/>
    <mergeCell ref="AN53:AO53"/>
    <mergeCell ref="R54:V54"/>
    <mergeCell ref="AN54:AO54"/>
    <mergeCell ref="R55:V55"/>
    <mergeCell ref="AN65:AO65"/>
    <mergeCell ref="R60:V60"/>
    <mergeCell ref="AN66:AO66"/>
    <mergeCell ref="AN67:AO67"/>
    <mergeCell ref="AN68:AO68"/>
    <mergeCell ref="R61:V61"/>
    <mergeCell ref="R63:V63"/>
    <mergeCell ref="R64:V6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AN63:AO63"/>
    <mergeCell ref="AN64:AO64"/>
    <mergeCell ref="R56:V56"/>
    <mergeCell ref="R62:V62"/>
    <mergeCell ref="R2:AO2"/>
    <mergeCell ref="R31:AO31"/>
    <mergeCell ref="R32:V32"/>
    <mergeCell ref="AN32:AO32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AN18:AO18"/>
    <mergeCell ref="AN17:AO17"/>
    <mergeCell ref="AN16:AO16"/>
    <mergeCell ref="AN15:AO15"/>
    <mergeCell ref="AN14:AO14"/>
    <mergeCell ref="AN13:AO13"/>
    <mergeCell ref="R35:V35"/>
    <mergeCell ref="R36:V36"/>
    <mergeCell ref="R37:V37"/>
    <mergeCell ref="R33:V33"/>
    <mergeCell ref="R34:V34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6:AO36"/>
    <mergeCell ref="AN37:AO37"/>
    <mergeCell ref="R13:V13"/>
    <mergeCell ref="R14:V14"/>
    <mergeCell ref="R15:V15"/>
    <mergeCell ref="R16:V16"/>
    <mergeCell ref="R17:V17"/>
    <mergeCell ref="B12:F12"/>
    <mergeCell ref="B13:F13"/>
    <mergeCell ref="B14:F14"/>
    <mergeCell ref="B15:F15"/>
    <mergeCell ref="B16:F16"/>
    <mergeCell ref="B17:F17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B87:F87"/>
    <mergeCell ref="B88:F88"/>
    <mergeCell ref="B89:F89"/>
    <mergeCell ref="B90:F90"/>
    <mergeCell ref="B82:F82"/>
    <mergeCell ref="B83:F83"/>
    <mergeCell ref="B84:F84"/>
    <mergeCell ref="B85:F85"/>
    <mergeCell ref="B86:F86"/>
    <mergeCell ref="B77:F77"/>
    <mergeCell ref="B78:F78"/>
    <mergeCell ref="B79:F79"/>
    <mergeCell ref="B80:F80"/>
    <mergeCell ref="B81:F81"/>
    <mergeCell ref="B71:F71"/>
    <mergeCell ref="B73:F73"/>
    <mergeCell ref="B74:F74"/>
    <mergeCell ref="B75:F75"/>
    <mergeCell ref="B76:F76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B18:F18"/>
    <mergeCell ref="B19:F19"/>
    <mergeCell ref="B20:F20"/>
    <mergeCell ref="B21:F21"/>
    <mergeCell ref="B22:F22"/>
    <mergeCell ref="B23:F23"/>
    <mergeCell ref="B24:F24"/>
    <mergeCell ref="B25:F25"/>
    <mergeCell ref="B66:F66"/>
    <mergeCell ref="B34:F34"/>
    <mergeCell ref="B35:F35"/>
    <mergeCell ref="B36:F36"/>
    <mergeCell ref="B37:F37"/>
    <mergeCell ref="B38:F38"/>
    <mergeCell ref="B39:F39"/>
    <mergeCell ref="B40:F40"/>
    <mergeCell ref="B41:F41"/>
    <mergeCell ref="B27:F27"/>
    <mergeCell ref="B32:F32"/>
    <mergeCell ref="B31:F31"/>
    <mergeCell ref="B44:F44"/>
    <mergeCell ref="B45:F45"/>
    <mergeCell ref="B46:F46"/>
    <mergeCell ref="B47:F47"/>
    <mergeCell ref="AN52:AO52"/>
    <mergeCell ref="R47:V47"/>
    <mergeCell ref="AN47:AO47"/>
    <mergeCell ref="R48:V48"/>
    <mergeCell ref="B26:F26"/>
    <mergeCell ref="B48:F48"/>
    <mergeCell ref="B49:F49"/>
    <mergeCell ref="B42:F42"/>
    <mergeCell ref="B33:F33"/>
    <mergeCell ref="B50:F50"/>
    <mergeCell ref="B51:F51"/>
    <mergeCell ref="B52:F52"/>
    <mergeCell ref="AN48:AO48"/>
    <mergeCell ref="R49:V49"/>
    <mergeCell ref="AN49:AO49"/>
    <mergeCell ref="AN41:AO41"/>
    <mergeCell ref="R42:V42"/>
    <mergeCell ref="AN42:AO42"/>
    <mergeCell ref="AN43:AO43"/>
    <mergeCell ref="R43:V43"/>
    <mergeCell ref="R50:V50"/>
    <mergeCell ref="AN50:AO50"/>
    <mergeCell ref="R51:V51"/>
    <mergeCell ref="AN51:AO51"/>
    <mergeCell ref="B67:F67"/>
    <mergeCell ref="B68:F68"/>
    <mergeCell ref="B69:F69"/>
    <mergeCell ref="B70:F70"/>
    <mergeCell ref="B62:F62"/>
    <mergeCell ref="B63:F63"/>
    <mergeCell ref="B56:F56"/>
    <mergeCell ref="B57:F57"/>
    <mergeCell ref="R41:V41"/>
    <mergeCell ref="R52:V52"/>
    <mergeCell ref="B58:F58"/>
    <mergeCell ref="B59:F59"/>
    <mergeCell ref="B60:F60"/>
    <mergeCell ref="B61:F61"/>
    <mergeCell ref="B53:F53"/>
    <mergeCell ref="B54:F54"/>
    <mergeCell ref="B55:F55"/>
    <mergeCell ref="R53:V53"/>
    <mergeCell ref="R65:V65"/>
    <mergeCell ref="R66:V66"/>
    <mergeCell ref="R67:V67"/>
    <mergeCell ref="R57:V57"/>
    <mergeCell ref="R59:V59"/>
    <mergeCell ref="R58:V58"/>
    <mergeCell ref="R28:V28"/>
    <mergeCell ref="AN28:AO28"/>
    <mergeCell ref="R121:V121"/>
    <mergeCell ref="AN121:AO121"/>
    <mergeCell ref="AN132:AO132"/>
    <mergeCell ref="R133:V133"/>
    <mergeCell ref="AN133:AO133"/>
    <mergeCell ref="R136:V136"/>
    <mergeCell ref="AN136:AO136"/>
    <mergeCell ref="R38:V38"/>
    <mergeCell ref="AN38:AO38"/>
    <mergeCell ref="R39:V39"/>
    <mergeCell ref="AN39:AO39"/>
    <mergeCell ref="AN33:AO33"/>
    <mergeCell ref="AN34:AO34"/>
    <mergeCell ref="AN35:AO35"/>
    <mergeCell ref="R44:V44"/>
    <mergeCell ref="AN44:AO44"/>
    <mergeCell ref="R45:V45"/>
    <mergeCell ref="AN45:AO45"/>
    <mergeCell ref="R46:V46"/>
    <mergeCell ref="AN46:AO46"/>
    <mergeCell ref="R40:V40"/>
    <mergeCell ref="AN40:AO40"/>
    <mergeCell ref="AN142:AO142"/>
    <mergeCell ref="R143:V143"/>
    <mergeCell ref="AN143:AO143"/>
    <mergeCell ref="R144:V144"/>
    <mergeCell ref="AN144:AO144"/>
    <mergeCell ref="R145:V145"/>
    <mergeCell ref="AN145:AO145"/>
    <mergeCell ref="R146:V146"/>
    <mergeCell ref="AN146:AO146"/>
  </mergeCells>
  <pageMargins left="0" right="0" top="0" bottom="0" header="0" footer="0"/>
  <pageSetup scale="10" fitToHeight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911"/>
  <sheetViews>
    <sheetView zoomScale="85" zoomScaleNormal="85" workbookViewId="0">
      <pane ySplit="54" topLeftCell="A516" activePane="bottomLeft" state="frozen"/>
      <selection pane="bottomLeft" activeCell="L528" sqref="L528"/>
    </sheetView>
  </sheetViews>
  <sheetFormatPr baseColWidth="10" defaultRowHeight="15" x14ac:dyDescent="0.25"/>
  <cols>
    <col min="5" max="5" width="18" customWidth="1"/>
    <col min="6" max="6" width="11.5703125" customWidth="1"/>
    <col min="14" max="14" width="11.42578125" style="564"/>
    <col min="16" max="16" width="12" style="386" bestFit="1" customWidth="1"/>
    <col min="22" max="22" width="11.42578125" style="517"/>
    <col min="23" max="23" width="45.140625" customWidth="1"/>
  </cols>
  <sheetData>
    <row r="1" spans="1:22" ht="34.9" customHeight="1" x14ac:dyDescent="0.25">
      <c r="A1" s="90" t="s">
        <v>103</v>
      </c>
      <c r="B1" s="90" t="s">
        <v>104</v>
      </c>
      <c r="C1" s="90" t="s">
        <v>111</v>
      </c>
      <c r="D1" s="489" t="s">
        <v>602</v>
      </c>
      <c r="E1" s="816" t="s">
        <v>603</v>
      </c>
      <c r="F1" s="816"/>
      <c r="G1" s="90" t="s">
        <v>105</v>
      </c>
      <c r="H1" s="90" t="s">
        <v>106</v>
      </c>
      <c r="I1" s="90" t="s">
        <v>107</v>
      </c>
      <c r="J1" s="90" t="s">
        <v>102</v>
      </c>
      <c r="K1" s="90" t="s">
        <v>108</v>
      </c>
      <c r="L1" s="90" t="s">
        <v>109</v>
      </c>
      <c r="M1" s="90" t="s">
        <v>110</v>
      </c>
      <c r="N1" s="556" t="s">
        <v>747</v>
      </c>
      <c r="O1" s="90" t="s">
        <v>72</v>
      </c>
      <c r="P1" s="385" t="s">
        <v>468</v>
      </c>
      <c r="Q1" s="381" t="s">
        <v>463</v>
      </c>
      <c r="R1" s="381" t="s">
        <v>464</v>
      </c>
      <c r="S1" s="381" t="s">
        <v>465</v>
      </c>
      <c r="T1" s="381" t="s">
        <v>466</v>
      </c>
      <c r="U1" s="381" t="s">
        <v>467</v>
      </c>
      <c r="V1" s="381" t="s">
        <v>641</v>
      </c>
    </row>
    <row r="2" spans="1:22" ht="34.9" hidden="1" customHeight="1" x14ac:dyDescent="0.25">
      <c r="A2" s="13">
        <v>1</v>
      </c>
      <c r="B2" s="95">
        <v>44751</v>
      </c>
      <c r="C2" s="13"/>
      <c r="D2" s="488"/>
      <c r="E2" s="13"/>
      <c r="F2" s="13"/>
      <c r="G2" s="13"/>
      <c r="H2" s="13"/>
      <c r="I2" s="13">
        <v>15</v>
      </c>
      <c r="J2" s="13"/>
      <c r="K2" s="13"/>
      <c r="L2" s="13">
        <v>255</v>
      </c>
      <c r="M2" s="13">
        <v>60</v>
      </c>
      <c r="N2" s="557"/>
      <c r="O2" s="13" t="e">
        <f>SUM(C2+#REF!+F2+SUM(G2:N2))</f>
        <v>#REF!</v>
      </c>
    </row>
    <row r="3" spans="1:22" ht="34.9" hidden="1" customHeight="1" x14ac:dyDescent="0.25">
      <c r="A3" s="13">
        <v>2</v>
      </c>
      <c r="B3" s="95">
        <v>44753</v>
      </c>
      <c r="C3" s="13">
        <f>60+271</f>
        <v>331</v>
      </c>
      <c r="D3" s="488"/>
      <c r="E3" s="13"/>
      <c r="F3" s="13"/>
      <c r="G3" s="13"/>
      <c r="H3" s="13"/>
      <c r="I3" s="13"/>
      <c r="J3" s="13">
        <v>242</v>
      </c>
      <c r="K3" s="13"/>
      <c r="L3" s="13"/>
      <c r="M3" s="13">
        <f>15+483+139+30+27+40</f>
        <v>734</v>
      </c>
      <c r="N3" s="557"/>
      <c r="O3" s="13" t="e">
        <f>SUM(C3+#REF!+F3+SUM(G3:N3))</f>
        <v>#REF!</v>
      </c>
    </row>
    <row r="4" spans="1:22" ht="34.9" hidden="1" customHeight="1" x14ac:dyDescent="0.25">
      <c r="A4" s="13">
        <v>3</v>
      </c>
      <c r="B4" s="95">
        <v>44754</v>
      </c>
      <c r="C4" s="13"/>
      <c r="D4" s="488"/>
      <c r="E4" s="13"/>
      <c r="F4" s="13"/>
      <c r="G4" s="13"/>
      <c r="H4" s="13"/>
      <c r="I4" s="13">
        <v>7.5</v>
      </c>
      <c r="J4" s="13"/>
      <c r="K4" s="13"/>
      <c r="L4" s="13"/>
      <c r="M4" s="13">
        <v>196</v>
      </c>
      <c r="N4" s="557"/>
      <c r="O4" s="13" t="e">
        <f>SUM(C4+#REF!+F4+SUM(G4:N4))</f>
        <v>#REF!</v>
      </c>
    </row>
    <row r="5" spans="1:22" ht="34.9" hidden="1" customHeight="1" x14ac:dyDescent="0.25">
      <c r="A5" s="13">
        <v>4</v>
      </c>
      <c r="B5" s="95">
        <v>44755</v>
      </c>
      <c r="C5" s="13"/>
      <c r="D5" s="488"/>
      <c r="E5" s="13" t="s">
        <v>604</v>
      </c>
      <c r="F5" s="13"/>
      <c r="G5" s="13">
        <f>0.5</f>
        <v>0.5</v>
      </c>
      <c r="H5" s="13"/>
      <c r="I5" s="13"/>
      <c r="J5" s="13"/>
      <c r="K5" s="13"/>
      <c r="L5" s="13"/>
      <c r="M5" s="13">
        <f>30+46+10+33</f>
        <v>119</v>
      </c>
      <c r="N5" s="557"/>
      <c r="O5" s="13" t="e">
        <f>SUM(C5+#REF!+F5+SUM(G5:N5))</f>
        <v>#REF!</v>
      </c>
    </row>
    <row r="6" spans="1:22" ht="34.9" hidden="1" customHeight="1" x14ac:dyDescent="0.25">
      <c r="A6" s="13">
        <v>5</v>
      </c>
      <c r="B6" s="95">
        <v>44756</v>
      </c>
      <c r="C6" s="13"/>
      <c r="D6" s="488"/>
      <c r="E6" s="13"/>
      <c r="F6" s="13"/>
      <c r="G6" s="13"/>
      <c r="H6" s="13">
        <f>225</f>
        <v>225</v>
      </c>
      <c r="I6" s="13">
        <f>63</f>
        <v>63</v>
      </c>
      <c r="J6" s="13">
        <f>46</f>
        <v>46</v>
      </c>
      <c r="K6" s="13"/>
      <c r="L6" s="13"/>
      <c r="M6" s="13">
        <f>139+50</f>
        <v>189</v>
      </c>
      <c r="N6" s="557"/>
      <c r="O6" s="13" t="e">
        <f>SUM(C6+#REF!+F6+SUM(G6:N6))</f>
        <v>#REF!</v>
      </c>
    </row>
    <row r="7" spans="1:22" ht="34.9" hidden="1" customHeight="1" x14ac:dyDescent="0.25">
      <c r="A7" s="13">
        <v>6</v>
      </c>
      <c r="B7" s="95">
        <v>44757</v>
      </c>
      <c r="C7" s="13"/>
      <c r="D7" s="488"/>
      <c r="E7" s="90" t="s">
        <v>116</v>
      </c>
      <c r="F7" s="13">
        <v>30</v>
      </c>
      <c r="G7" s="13"/>
      <c r="H7" s="13"/>
      <c r="I7" s="13">
        <v>35</v>
      </c>
      <c r="J7" s="13">
        <v>300</v>
      </c>
      <c r="K7" s="13"/>
      <c r="L7" s="13">
        <v>20</v>
      </c>
      <c r="M7" s="13">
        <f>80+33+106+32+95+33</f>
        <v>379</v>
      </c>
      <c r="N7" s="557"/>
      <c r="O7" s="13" t="e">
        <f>SUM(C7+#REF!+F7+SUM(G7:N7))</f>
        <v>#REF!</v>
      </c>
    </row>
    <row r="8" spans="1:22" ht="34.9" hidden="1" customHeight="1" x14ac:dyDescent="0.25">
      <c r="A8" s="13">
        <v>7</v>
      </c>
      <c r="B8" s="95">
        <v>44758</v>
      </c>
      <c r="C8" s="13">
        <v>150</v>
      </c>
      <c r="D8" s="488"/>
      <c r="E8" s="13"/>
      <c r="F8" s="13"/>
      <c r="G8" s="13"/>
      <c r="H8" s="13"/>
      <c r="I8" s="13">
        <v>7.5</v>
      </c>
      <c r="J8" s="13"/>
      <c r="K8" s="13"/>
      <c r="L8" s="13"/>
      <c r="M8" s="13">
        <f>32+60</f>
        <v>92</v>
      </c>
      <c r="N8" s="557"/>
      <c r="O8" s="13" t="e">
        <f>SUM(C8+#REF!+F8+SUM(G8:N8))</f>
        <v>#REF!</v>
      </c>
    </row>
    <row r="9" spans="1:22" ht="34.9" hidden="1" customHeight="1" x14ac:dyDescent="0.25">
      <c r="A9" s="13">
        <v>8</v>
      </c>
      <c r="B9" s="95">
        <v>44759</v>
      </c>
      <c r="C9" s="13"/>
      <c r="D9" s="488"/>
      <c r="E9" s="13"/>
      <c r="F9" s="13"/>
      <c r="G9" s="13"/>
      <c r="H9" s="13"/>
      <c r="I9" s="13"/>
      <c r="J9" s="13"/>
      <c r="K9" s="13"/>
      <c r="L9" s="13"/>
      <c r="M9" s="13"/>
      <c r="N9" s="557"/>
      <c r="O9" s="13" t="e">
        <f>SUM(C9+#REF!+F9+SUM(G9:N9))</f>
        <v>#REF!</v>
      </c>
    </row>
    <row r="10" spans="1:22" ht="34.9" hidden="1" customHeight="1" x14ac:dyDescent="0.25">
      <c r="A10" s="13">
        <v>9</v>
      </c>
      <c r="B10" s="95">
        <v>44760</v>
      </c>
      <c r="C10" s="13"/>
      <c r="D10" s="488"/>
      <c r="E10" s="90" t="s">
        <v>183</v>
      </c>
      <c r="F10" s="13">
        <v>300</v>
      </c>
      <c r="G10" s="13"/>
      <c r="H10" s="13"/>
      <c r="I10" s="13"/>
      <c r="J10" s="13"/>
      <c r="K10" s="13"/>
      <c r="L10" s="13"/>
      <c r="M10" s="13">
        <f>54+60</f>
        <v>114</v>
      </c>
      <c r="N10" s="557"/>
      <c r="O10" s="13" t="e">
        <f>SUM(C10+#REF!+F10+SUM(G10:N10))</f>
        <v>#REF!</v>
      </c>
    </row>
    <row r="11" spans="1:22" ht="34.9" hidden="1" customHeight="1" x14ac:dyDescent="0.25">
      <c r="A11" s="13">
        <v>10</v>
      </c>
      <c r="B11" s="95">
        <v>44761</v>
      </c>
      <c r="C11" s="13">
        <f>120</f>
        <v>120</v>
      </c>
      <c r="D11" s="488"/>
      <c r="E11" s="13"/>
      <c r="F11" s="13"/>
      <c r="G11" s="13">
        <v>1</v>
      </c>
      <c r="H11" s="13"/>
      <c r="I11" s="13">
        <f>10.5+5</f>
        <v>15.5</v>
      </c>
      <c r="J11" s="13">
        <f>165</f>
        <v>165</v>
      </c>
      <c r="K11" s="13"/>
      <c r="L11" s="13"/>
      <c r="M11" s="13">
        <v>500</v>
      </c>
      <c r="N11" s="557"/>
      <c r="O11" s="13" t="e">
        <f>SUM(C11+#REF!+F11+SUM(G11:N11))</f>
        <v>#REF!</v>
      </c>
    </row>
    <row r="12" spans="1:22" ht="34.9" hidden="1" customHeight="1" x14ac:dyDescent="0.25">
      <c r="A12" s="13">
        <v>11</v>
      </c>
      <c r="B12" s="95">
        <v>44762</v>
      </c>
      <c r="C12" s="13">
        <v>120</v>
      </c>
      <c r="D12" s="488"/>
      <c r="E12" s="13"/>
      <c r="F12" s="13"/>
      <c r="G12" s="13"/>
      <c r="H12" s="13"/>
      <c r="I12" s="13"/>
      <c r="J12" s="13">
        <f>283.5</f>
        <v>283.5</v>
      </c>
      <c r="K12" s="13"/>
      <c r="L12" s="13"/>
      <c r="M12" s="13">
        <f>40+33+40+138+70</f>
        <v>321</v>
      </c>
      <c r="N12" s="557"/>
      <c r="O12" s="13" t="e">
        <f>SUM(C12+#REF!+F12+SUM(G12:N12))</f>
        <v>#REF!</v>
      </c>
    </row>
    <row r="13" spans="1:22" ht="34.9" hidden="1" customHeight="1" x14ac:dyDescent="0.25">
      <c r="A13" s="13">
        <v>12</v>
      </c>
      <c r="B13" s="95">
        <v>44763</v>
      </c>
      <c r="C13" s="13">
        <f>30</f>
        <v>30</v>
      </c>
      <c r="D13" s="488"/>
      <c r="E13" s="13"/>
      <c r="F13" s="13"/>
      <c r="G13" s="13"/>
      <c r="H13" s="13"/>
      <c r="I13" s="13">
        <f>54</f>
        <v>54</v>
      </c>
      <c r="J13" s="13">
        <f>135</f>
        <v>135</v>
      </c>
      <c r="K13" s="13"/>
      <c r="L13" s="13"/>
      <c r="M13" s="13">
        <f>290+30+8</f>
        <v>328</v>
      </c>
      <c r="N13" s="557"/>
      <c r="O13" s="13" t="e">
        <f>SUM(C13+#REF!+F13+SUM(G13:N13))</f>
        <v>#REF!</v>
      </c>
    </row>
    <row r="14" spans="1:22" ht="34.9" hidden="1" customHeight="1" x14ac:dyDescent="0.25">
      <c r="A14" s="13">
        <v>13</v>
      </c>
      <c r="B14" s="95">
        <v>44764</v>
      </c>
      <c r="C14" s="13"/>
      <c r="D14" s="488"/>
      <c r="E14" s="13"/>
      <c r="F14" s="13"/>
      <c r="G14" s="13"/>
      <c r="H14" s="13"/>
      <c r="I14" s="13"/>
      <c r="J14" s="13">
        <v>635</v>
      </c>
      <c r="K14" s="13"/>
      <c r="L14" s="13"/>
      <c r="M14" s="13"/>
      <c r="N14" s="557"/>
      <c r="O14" s="13" t="e">
        <f>SUM(C14+#REF!+F14+SUM(G14:N14))</f>
        <v>#REF!</v>
      </c>
    </row>
    <row r="15" spans="1:22" ht="34.9" hidden="1" customHeight="1" x14ac:dyDescent="0.25">
      <c r="A15" s="13">
        <v>14</v>
      </c>
      <c r="B15" s="95">
        <v>44765</v>
      </c>
      <c r="C15" s="13"/>
      <c r="D15" s="488"/>
      <c r="E15" s="90" t="s">
        <v>178</v>
      </c>
      <c r="F15" s="13">
        <v>132</v>
      </c>
      <c r="G15" s="13"/>
      <c r="H15" s="13"/>
      <c r="I15" s="13">
        <f>66</f>
        <v>66</v>
      </c>
      <c r="J15" s="13">
        <f>50+81</f>
        <v>131</v>
      </c>
      <c r="K15" s="13"/>
      <c r="L15" s="13">
        <f>61</f>
        <v>61</v>
      </c>
      <c r="M15" s="13">
        <f>100+20</f>
        <v>120</v>
      </c>
      <c r="N15" s="557"/>
      <c r="O15" s="13" t="e">
        <f>SUM(C15+#REF!+F15+SUM(G15:N15))</f>
        <v>#REF!</v>
      </c>
    </row>
    <row r="16" spans="1:22" ht="34.9" hidden="1" customHeight="1" x14ac:dyDescent="0.25">
      <c r="A16" s="13">
        <v>15</v>
      </c>
      <c r="B16" s="95">
        <v>44766</v>
      </c>
      <c r="C16" s="13"/>
      <c r="D16" s="488"/>
      <c r="E16" s="13"/>
      <c r="F16" s="13"/>
      <c r="G16" s="13"/>
      <c r="H16" s="13"/>
      <c r="I16" s="13"/>
      <c r="J16" s="13"/>
      <c r="K16" s="13"/>
      <c r="L16" s="13"/>
      <c r="M16" s="13"/>
      <c r="N16" s="557"/>
      <c r="O16" s="13" t="e">
        <f>SUM(C16+#REF!+F16+SUM(G16:N16))</f>
        <v>#REF!</v>
      </c>
    </row>
    <row r="17" spans="1:16" ht="34.9" hidden="1" customHeight="1" x14ac:dyDescent="0.25">
      <c r="A17" s="13">
        <v>16</v>
      </c>
      <c r="B17" s="95">
        <v>44767</v>
      </c>
      <c r="C17" s="13">
        <f>7.5+5.5</f>
        <v>13</v>
      </c>
      <c r="D17" s="488"/>
      <c r="E17" s="13"/>
      <c r="F17" s="13"/>
      <c r="G17" s="13"/>
      <c r="H17" s="13"/>
      <c r="I17" s="13"/>
      <c r="J17" s="13">
        <f>27+62</f>
        <v>89</v>
      </c>
      <c r="K17" s="13"/>
      <c r="L17" s="13"/>
      <c r="M17" s="13">
        <f>33</f>
        <v>33</v>
      </c>
      <c r="N17" s="557"/>
      <c r="O17" s="13" t="e">
        <f>SUM(C17+#REF!+F17+SUM(G17:N17))</f>
        <v>#REF!</v>
      </c>
      <c r="P17" s="387" t="s">
        <v>193</v>
      </c>
    </row>
    <row r="18" spans="1:16" ht="34.9" hidden="1" customHeight="1" x14ac:dyDescent="0.25">
      <c r="A18" s="13">
        <v>17</v>
      </c>
      <c r="B18" s="95">
        <v>44768</v>
      </c>
      <c r="C18" s="13"/>
      <c r="D18" s="488"/>
      <c r="E18" s="13"/>
      <c r="F18" s="13"/>
      <c r="G18" s="13"/>
      <c r="H18" s="13"/>
      <c r="I18" s="13">
        <f>20</f>
        <v>20</v>
      </c>
      <c r="J18" s="13">
        <f>52</f>
        <v>52</v>
      </c>
      <c r="K18" s="13"/>
      <c r="L18" s="13">
        <f>31</f>
        <v>31</v>
      </c>
      <c r="M18" s="13">
        <f>30+47+7</f>
        <v>84</v>
      </c>
      <c r="N18" s="557"/>
      <c r="O18" s="13" t="e">
        <f>SUM(C18+#REF!+F18+SUM(G18:N18))</f>
        <v>#REF!</v>
      </c>
    </row>
    <row r="19" spans="1:16" ht="34.9" hidden="1" customHeight="1" x14ac:dyDescent="0.25">
      <c r="A19" s="13">
        <v>18</v>
      </c>
      <c r="B19" s="95">
        <v>44769</v>
      </c>
      <c r="C19" s="13">
        <f>33</f>
        <v>33</v>
      </c>
      <c r="D19" s="488"/>
      <c r="E19" s="90" t="s">
        <v>183</v>
      </c>
      <c r="F19" s="13">
        <v>230</v>
      </c>
      <c r="G19" s="13"/>
      <c r="H19" s="13"/>
      <c r="I19" s="13">
        <v>99</v>
      </c>
      <c r="J19" s="13"/>
      <c r="K19" s="13"/>
      <c r="L19" s="13"/>
      <c r="M19" s="13">
        <f>100+106+100</f>
        <v>306</v>
      </c>
      <c r="N19" s="557"/>
      <c r="O19" s="13" t="e">
        <f>SUM(C19+#REF!+F19+SUM(G19:N19))</f>
        <v>#REF!</v>
      </c>
    </row>
    <row r="20" spans="1:16" ht="34.9" hidden="1" customHeight="1" x14ac:dyDescent="0.25">
      <c r="A20" s="13">
        <v>19</v>
      </c>
      <c r="B20" s="95">
        <v>44770</v>
      </c>
      <c r="C20" s="13">
        <f>80</f>
        <v>80</v>
      </c>
      <c r="D20" s="488"/>
      <c r="E20" s="13"/>
      <c r="F20" s="13"/>
      <c r="G20" s="13"/>
      <c r="H20" s="13"/>
      <c r="I20" s="13">
        <f>60</f>
        <v>60</v>
      </c>
      <c r="J20" s="13"/>
      <c r="K20" s="13"/>
      <c r="L20" s="13"/>
      <c r="M20" s="13">
        <v>100</v>
      </c>
      <c r="N20" s="557"/>
      <c r="O20" s="13" t="e">
        <f>SUM(C20+#REF!+F20+SUM(G20:N20))</f>
        <v>#REF!</v>
      </c>
    </row>
    <row r="21" spans="1:16" ht="34.9" hidden="1" customHeight="1" x14ac:dyDescent="0.25">
      <c r="A21" s="13">
        <v>20</v>
      </c>
      <c r="B21" s="95">
        <v>44771</v>
      </c>
      <c r="C21" s="13">
        <f>60+60</f>
        <v>120</v>
      </c>
      <c r="D21" s="488"/>
      <c r="E21" s="13"/>
      <c r="F21" s="13"/>
      <c r="G21" s="13"/>
      <c r="H21" s="13"/>
      <c r="I21" s="13"/>
      <c r="J21" s="13">
        <f>100</f>
        <v>100</v>
      </c>
      <c r="K21" s="13"/>
      <c r="L21" s="13">
        <f>33</f>
        <v>33</v>
      </c>
      <c r="M21" s="13"/>
      <c r="N21" s="557"/>
      <c r="O21" s="13" t="e">
        <f>SUM(C21+#REF!+F21+SUM(G21:N21))</f>
        <v>#REF!</v>
      </c>
    </row>
    <row r="22" spans="1:16" ht="34.9" hidden="1" customHeight="1" x14ac:dyDescent="0.25">
      <c r="A22" s="13">
        <v>21</v>
      </c>
      <c r="B22" s="95">
        <v>44772</v>
      </c>
      <c r="C22" s="13">
        <f>30</f>
        <v>30</v>
      </c>
      <c r="D22" s="488"/>
      <c r="E22" s="13"/>
      <c r="F22" s="13"/>
      <c r="G22" s="13"/>
      <c r="H22" s="13"/>
      <c r="I22" s="13"/>
      <c r="J22" s="13"/>
      <c r="K22" s="13"/>
      <c r="L22" s="13"/>
      <c r="M22" s="13">
        <f>300</f>
        <v>300</v>
      </c>
      <c r="N22" s="557"/>
      <c r="O22" s="13" t="e">
        <f>SUM(C22+#REF!+F22+SUM(G22:N22))</f>
        <v>#REF!</v>
      </c>
    </row>
    <row r="23" spans="1:16" ht="34.9" hidden="1" customHeight="1" x14ac:dyDescent="0.25">
      <c r="A23" s="39">
        <v>22</v>
      </c>
      <c r="B23" s="126">
        <v>44773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558"/>
      <c r="O23" s="39" t="e">
        <f>SUM(C23+#REF!+F23+SUM(G23:N23))</f>
        <v>#REF!</v>
      </c>
    </row>
    <row r="24" spans="1:16" ht="34.9" hidden="1" customHeight="1" x14ac:dyDescent="0.25">
      <c r="A24" s="13">
        <v>23</v>
      </c>
      <c r="B24" s="95">
        <v>44774</v>
      </c>
      <c r="C24" s="13">
        <f>106</f>
        <v>106</v>
      </c>
      <c r="D24" s="488"/>
      <c r="E24" s="13"/>
      <c r="F24" s="13"/>
      <c r="G24" s="13"/>
      <c r="H24" s="13"/>
      <c r="I24" s="13">
        <f>5.5+66</f>
        <v>71.5</v>
      </c>
      <c r="J24" s="13">
        <f>17</f>
        <v>17</v>
      </c>
      <c r="K24" s="13"/>
      <c r="L24" s="13"/>
      <c r="M24" s="13"/>
      <c r="N24" s="557"/>
      <c r="O24" s="13" t="e">
        <f>SUM(#REF!+F24+SUM(G24:N24))</f>
        <v>#REF!</v>
      </c>
    </row>
    <row r="25" spans="1:16" ht="34.9" hidden="1" customHeight="1" x14ac:dyDescent="0.25">
      <c r="A25" s="13">
        <v>24</v>
      </c>
      <c r="B25" s="95">
        <v>44775</v>
      </c>
      <c r="C25" s="13">
        <f>15</f>
        <v>15</v>
      </c>
      <c r="D25" s="488"/>
      <c r="E25" s="13"/>
      <c r="F25" s="13"/>
      <c r="G25" s="13"/>
      <c r="H25" s="13"/>
      <c r="I25" s="13">
        <f>15</f>
        <v>15</v>
      </c>
      <c r="J25" s="13"/>
      <c r="K25" s="13"/>
      <c r="L25" s="13"/>
      <c r="M25" s="13">
        <f>93+105</f>
        <v>198</v>
      </c>
      <c r="N25" s="557"/>
      <c r="O25" s="13" t="e">
        <f>SUM(#REF!+F25+SUM(G25:N25))</f>
        <v>#REF!</v>
      </c>
    </row>
    <row r="26" spans="1:16" ht="34.9" hidden="1" customHeight="1" x14ac:dyDescent="0.25">
      <c r="A26" s="13">
        <v>25</v>
      </c>
      <c r="B26" s="95">
        <v>44776</v>
      </c>
      <c r="C26" s="13">
        <f>150</f>
        <v>150</v>
      </c>
      <c r="D26" s="488"/>
      <c r="E26" s="13"/>
      <c r="F26" s="13"/>
      <c r="G26" s="13"/>
      <c r="H26" s="13"/>
      <c r="I26" s="13">
        <f>165+70</f>
        <v>235</v>
      </c>
      <c r="J26" s="13"/>
      <c r="K26" s="13"/>
      <c r="L26" s="13"/>
      <c r="M26" s="13"/>
      <c r="N26" s="557"/>
      <c r="O26" s="13" t="e">
        <f>SUM(#REF!+F26+SUM(G26:N26))</f>
        <v>#REF!</v>
      </c>
    </row>
    <row r="27" spans="1:16" ht="34.9" hidden="1" customHeight="1" x14ac:dyDescent="0.25">
      <c r="A27" s="13">
        <v>26</v>
      </c>
      <c r="B27" s="95">
        <v>44777</v>
      </c>
      <c r="C27" s="13"/>
      <c r="D27" s="488"/>
      <c r="E27" s="13"/>
      <c r="F27" s="13"/>
      <c r="G27" s="13"/>
      <c r="H27" s="13"/>
      <c r="I27" s="13"/>
      <c r="J27" s="13">
        <f>609</f>
        <v>609</v>
      </c>
      <c r="K27" s="13"/>
      <c r="L27" s="13"/>
      <c r="M27" s="13"/>
      <c r="N27" s="557"/>
      <c r="O27" s="13" t="e">
        <f>SUM(#REF!+F27+SUM(G27:N27))</f>
        <v>#REF!</v>
      </c>
    </row>
    <row r="28" spans="1:16" ht="34.9" hidden="1" customHeight="1" x14ac:dyDescent="0.25">
      <c r="A28" s="13">
        <v>27</v>
      </c>
      <c r="B28" s="95">
        <v>44778</v>
      </c>
      <c r="C28" s="13"/>
      <c r="D28" s="488"/>
      <c r="E28" s="13"/>
      <c r="F28" s="13"/>
      <c r="G28" s="13">
        <f>0.5</f>
        <v>0.5</v>
      </c>
      <c r="H28" s="13"/>
      <c r="I28" s="13"/>
      <c r="J28" s="13"/>
      <c r="K28" s="13"/>
      <c r="L28" s="13"/>
      <c r="M28" s="13">
        <f>15+100+90+7</f>
        <v>212</v>
      </c>
      <c r="N28" s="557"/>
      <c r="O28" s="13" t="e">
        <f>SUM(#REF!+F28+SUM(G28:N28))</f>
        <v>#REF!</v>
      </c>
      <c r="P28" s="387" t="s">
        <v>193</v>
      </c>
    </row>
    <row r="29" spans="1:16" ht="34.9" hidden="1" customHeight="1" x14ac:dyDescent="0.25">
      <c r="A29" s="13">
        <v>28</v>
      </c>
      <c r="B29" s="95">
        <v>44779</v>
      </c>
      <c r="C29" s="13">
        <f>6</f>
        <v>6</v>
      </c>
      <c r="D29" s="488"/>
      <c r="E29" s="90" t="s">
        <v>182</v>
      </c>
      <c r="F29" s="13">
        <v>238</v>
      </c>
      <c r="G29" s="13"/>
      <c r="H29" s="13"/>
      <c r="I29" s="13">
        <f>15+6</f>
        <v>21</v>
      </c>
      <c r="J29" s="13">
        <f>316</f>
        <v>316</v>
      </c>
      <c r="K29" s="13"/>
      <c r="L29" s="13">
        <f>6+14+15</f>
        <v>35</v>
      </c>
      <c r="M29" s="13">
        <f>114+54</f>
        <v>168</v>
      </c>
      <c r="N29" s="557"/>
      <c r="O29" s="13" t="e">
        <f>SUM(#REF!+F29+SUM(G29:N29))</f>
        <v>#REF!</v>
      </c>
    </row>
    <row r="30" spans="1:16" ht="34.9" hidden="1" customHeight="1" x14ac:dyDescent="0.25">
      <c r="A30" s="39">
        <v>29</v>
      </c>
      <c r="B30" s="126">
        <v>44780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558"/>
      <c r="O30" s="39" t="e">
        <f>SUM(#REF!+F30+SUM(G30:N30))</f>
        <v>#REF!</v>
      </c>
    </row>
    <row r="31" spans="1:16" ht="34.9" hidden="1" customHeight="1" x14ac:dyDescent="0.25">
      <c r="A31" s="13">
        <v>30</v>
      </c>
      <c r="B31" s="95">
        <v>44781</v>
      </c>
      <c r="C31" s="13">
        <f>99+27</f>
        <v>126</v>
      </c>
      <c r="D31" s="488"/>
      <c r="E31" s="13"/>
      <c r="F31" s="13"/>
      <c r="G31" s="13"/>
      <c r="H31" s="13"/>
      <c r="I31" s="13">
        <f>291+76+66</f>
        <v>433</v>
      </c>
      <c r="J31" s="13"/>
      <c r="K31" s="13"/>
      <c r="L31" s="13"/>
      <c r="M31" s="13">
        <f>48</f>
        <v>48</v>
      </c>
      <c r="N31" s="557"/>
      <c r="O31" s="13" t="e">
        <f>SUM(#REF!+F31+SUM(G31:N31))</f>
        <v>#REF!</v>
      </c>
    </row>
    <row r="32" spans="1:16" ht="47.45" hidden="1" customHeight="1" x14ac:dyDescent="0.25">
      <c r="A32" s="13">
        <v>31</v>
      </c>
      <c r="B32" s="95">
        <v>44782</v>
      </c>
      <c r="C32" s="13">
        <f>247.7</f>
        <v>247.7</v>
      </c>
      <c r="D32" s="488"/>
      <c r="E32" s="90" t="s">
        <v>188</v>
      </c>
      <c r="F32" s="13">
        <v>110</v>
      </c>
      <c r="G32" s="13">
        <f>15.9</f>
        <v>15.9</v>
      </c>
      <c r="H32" s="13"/>
      <c r="I32" s="13">
        <f>66+45.1+32</f>
        <v>143.1</v>
      </c>
      <c r="J32" s="13">
        <f>327+154</f>
        <v>481</v>
      </c>
      <c r="K32" s="13"/>
      <c r="L32" s="13"/>
      <c r="M32" s="13">
        <f>1+32+30</f>
        <v>63</v>
      </c>
      <c r="N32" s="557"/>
      <c r="O32" s="13" t="e">
        <f>SUM(#REF!+F32+SUM(G32:N32))</f>
        <v>#REF!</v>
      </c>
    </row>
    <row r="33" spans="1:22" ht="51" hidden="1" customHeight="1" x14ac:dyDescent="0.25">
      <c r="A33" s="13">
        <v>32</v>
      </c>
      <c r="B33" s="95">
        <v>44783</v>
      </c>
      <c r="C33" s="13">
        <f>33+15+90</f>
        <v>138</v>
      </c>
      <c r="D33" s="488"/>
      <c r="E33" s="90"/>
      <c r="F33" s="13"/>
      <c r="G33" s="13"/>
      <c r="H33" s="13"/>
      <c r="I33" s="13">
        <f>40</f>
        <v>40</v>
      </c>
      <c r="J33" s="13">
        <f>456+40</f>
        <v>496</v>
      </c>
      <c r="K33" s="13"/>
      <c r="L33" s="13"/>
      <c r="M33" s="13">
        <f>30+19.5+62+29+7.5</f>
        <v>148</v>
      </c>
      <c r="N33" s="557"/>
      <c r="O33" s="13" t="e">
        <f>SUM(#REF!+F33+SUM(G33:N33))</f>
        <v>#REF!</v>
      </c>
    </row>
    <row r="34" spans="1:22" ht="34.9" hidden="1" customHeight="1" x14ac:dyDescent="0.25">
      <c r="A34" s="13">
        <v>33</v>
      </c>
      <c r="B34" s="95">
        <v>44784</v>
      </c>
      <c r="C34" s="13">
        <f>106</f>
        <v>106</v>
      </c>
      <c r="D34" s="488"/>
      <c r="E34" s="13"/>
      <c r="F34" s="13"/>
      <c r="G34" s="13"/>
      <c r="H34" s="13"/>
      <c r="I34" s="13"/>
      <c r="J34" s="13"/>
      <c r="K34" s="13"/>
      <c r="L34" s="13"/>
      <c r="M34" s="13">
        <f>10+60</f>
        <v>70</v>
      </c>
      <c r="N34" s="557"/>
      <c r="O34" s="13" t="e">
        <f>SUM(#REF!+F34+SUM(G34:N34))</f>
        <v>#REF!</v>
      </c>
      <c r="P34" s="387" t="s">
        <v>193</v>
      </c>
    </row>
    <row r="35" spans="1:22" ht="34.9" hidden="1" customHeight="1" x14ac:dyDescent="0.25">
      <c r="A35" s="13">
        <v>34</v>
      </c>
      <c r="B35" s="95">
        <v>44785</v>
      </c>
      <c r="C35" s="13">
        <f>54</f>
        <v>54</v>
      </c>
      <c r="D35" s="488"/>
      <c r="E35" s="13"/>
      <c r="F35" s="13"/>
      <c r="G35" s="13"/>
      <c r="H35" s="13"/>
      <c r="I35" s="13">
        <f>160+206+62</f>
        <v>428</v>
      </c>
      <c r="J35" s="13">
        <f>46+62+14</f>
        <v>122</v>
      </c>
      <c r="K35" s="13"/>
      <c r="L35" s="13"/>
      <c r="M35" s="13">
        <f>30+108+30+62</f>
        <v>230</v>
      </c>
      <c r="N35" s="557"/>
      <c r="O35" s="13" t="e">
        <f>SUM(C35+#REF!+F35+SUM(G35:N35))</f>
        <v>#REF!</v>
      </c>
    </row>
    <row r="36" spans="1:22" ht="34.9" hidden="1" customHeight="1" x14ac:dyDescent="0.25">
      <c r="A36" s="13">
        <v>35</v>
      </c>
      <c r="B36" s="95">
        <v>44786</v>
      </c>
      <c r="C36" s="13"/>
      <c r="D36" s="488"/>
      <c r="E36" s="13"/>
      <c r="F36" s="13"/>
      <c r="G36" s="13"/>
      <c r="H36" s="13"/>
      <c r="I36" s="13">
        <f>40</f>
        <v>40</v>
      </c>
      <c r="J36" s="13"/>
      <c r="K36" s="13"/>
      <c r="L36" s="13"/>
      <c r="M36" s="13">
        <f>70+15</f>
        <v>85</v>
      </c>
      <c r="N36" s="557"/>
      <c r="O36" s="13" t="e">
        <f>SUM(C36+#REF!+F36+SUM(G36:N36))</f>
        <v>#REF!</v>
      </c>
    </row>
    <row r="37" spans="1:22" ht="34.9" hidden="1" customHeight="1" x14ac:dyDescent="0.25">
      <c r="A37" s="39">
        <v>36</v>
      </c>
      <c r="B37" s="126">
        <v>44787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558"/>
      <c r="O37" s="39" t="e">
        <f>SUM(C37+#REF!+F37+SUM(G37:N37))</f>
        <v>#REF!</v>
      </c>
    </row>
    <row r="38" spans="1:22" ht="34.9" hidden="1" customHeight="1" x14ac:dyDescent="0.25">
      <c r="A38" s="13">
        <v>37</v>
      </c>
      <c r="B38" s="95">
        <v>44788</v>
      </c>
      <c r="C38" s="13"/>
      <c r="D38" s="488"/>
      <c r="E38" s="13"/>
      <c r="F38" s="13"/>
      <c r="G38" s="13"/>
      <c r="H38" s="13"/>
      <c r="I38" s="13">
        <f>25</f>
        <v>25</v>
      </c>
      <c r="J38" s="13">
        <f>211+99+109+1</f>
        <v>420</v>
      </c>
      <c r="K38" s="13"/>
      <c r="L38" s="13"/>
      <c r="M38" s="13">
        <f>25+27+10+6.5+2.5</f>
        <v>71</v>
      </c>
      <c r="N38" s="557"/>
      <c r="O38" s="13" t="e">
        <f>SUM(C38+#REF!+F38+SUM(G38:N38))</f>
        <v>#REF!</v>
      </c>
      <c r="P38" s="388" t="s">
        <v>190</v>
      </c>
    </row>
    <row r="39" spans="1:22" ht="34.9" hidden="1" customHeight="1" x14ac:dyDescent="0.25">
      <c r="A39" s="13">
        <v>38</v>
      </c>
      <c r="B39" s="95">
        <v>44789</v>
      </c>
      <c r="C39" s="13">
        <f>491</f>
        <v>491</v>
      </c>
      <c r="D39" s="488"/>
      <c r="E39" s="13"/>
      <c r="F39" s="13"/>
      <c r="G39" s="13"/>
      <c r="H39" s="13">
        <f>190</f>
        <v>190</v>
      </c>
      <c r="I39" s="13"/>
      <c r="J39" s="13"/>
      <c r="K39" s="13"/>
      <c r="L39" s="13">
        <f>15</f>
        <v>15</v>
      </c>
      <c r="M39" s="13">
        <f>216+48+30+30</f>
        <v>324</v>
      </c>
      <c r="N39" s="557"/>
      <c r="O39" s="13" t="e">
        <f>SUM(G39:N39)+F39+#REF!</f>
        <v>#REF!</v>
      </c>
      <c r="P39" s="817" t="s">
        <v>196</v>
      </c>
      <c r="Q39" s="818"/>
      <c r="R39" s="818"/>
      <c r="S39" s="818"/>
      <c r="T39" s="818"/>
      <c r="U39" s="818"/>
      <c r="V39" s="818"/>
    </row>
    <row r="40" spans="1:22" ht="34.9" hidden="1" customHeight="1" x14ac:dyDescent="0.25">
      <c r="A40" s="13">
        <v>39</v>
      </c>
      <c r="B40" s="95">
        <v>44790</v>
      </c>
      <c r="C40" s="13">
        <v>150</v>
      </c>
      <c r="D40" s="488"/>
      <c r="E40" s="13"/>
      <c r="F40" s="13"/>
      <c r="G40" s="13"/>
      <c r="H40" s="13"/>
      <c r="I40" s="13">
        <f>25</f>
        <v>25</v>
      </c>
      <c r="J40" s="13">
        <f>15</f>
        <v>15</v>
      </c>
      <c r="K40" s="13"/>
      <c r="L40" s="13"/>
      <c r="M40" s="13">
        <f>85+166</f>
        <v>251</v>
      </c>
      <c r="N40" s="557"/>
      <c r="O40" s="13" t="e">
        <f>SUM(G40:N40)+F40+#REF!</f>
        <v>#REF!</v>
      </c>
    </row>
    <row r="41" spans="1:22" ht="34.9" hidden="1" customHeight="1" x14ac:dyDescent="0.25">
      <c r="A41" s="13">
        <v>40</v>
      </c>
      <c r="B41" s="95">
        <v>44791</v>
      </c>
      <c r="C41" s="13"/>
      <c r="D41" s="488"/>
      <c r="E41" s="13"/>
      <c r="F41" s="13"/>
      <c r="G41" s="13"/>
      <c r="H41" s="13"/>
      <c r="I41" s="13">
        <f>95+100+100+33+61+95+2</f>
        <v>486</v>
      </c>
      <c r="J41" s="13">
        <f>32+8</f>
        <v>40</v>
      </c>
      <c r="K41" s="13"/>
      <c r="L41" s="13">
        <f>100</f>
        <v>100</v>
      </c>
      <c r="M41" s="13">
        <f>27+15+15+255+30+15+80</f>
        <v>437</v>
      </c>
      <c r="N41" s="557"/>
      <c r="O41" s="13" t="e">
        <f>SUM(G41:N41)+F41+#REF!</f>
        <v>#REF!</v>
      </c>
    </row>
    <row r="42" spans="1:22" ht="34.9" hidden="1" customHeight="1" x14ac:dyDescent="0.25">
      <c r="A42" s="13">
        <v>41</v>
      </c>
      <c r="B42" s="95">
        <v>44792</v>
      </c>
      <c r="C42" s="13">
        <f>130</f>
        <v>130</v>
      </c>
      <c r="D42" s="488"/>
      <c r="E42" s="13"/>
      <c r="F42" s="13"/>
      <c r="G42" s="13"/>
      <c r="H42" s="13"/>
      <c r="I42" s="13">
        <f>224+30</f>
        <v>254</v>
      </c>
      <c r="J42" s="13">
        <f>102</f>
        <v>102</v>
      </c>
      <c r="K42" s="13"/>
      <c r="L42" s="13">
        <f>48+34+1</f>
        <v>83</v>
      </c>
      <c r="M42" s="13">
        <f>13</f>
        <v>13</v>
      </c>
      <c r="N42" s="557"/>
      <c r="O42" s="13" t="e">
        <f>SUM(G42:N42)+F42+#REF!</f>
        <v>#REF!</v>
      </c>
    </row>
    <row r="43" spans="1:22" ht="34.9" hidden="1" customHeight="1" x14ac:dyDescent="0.25">
      <c r="A43" s="13">
        <v>42</v>
      </c>
      <c r="B43" s="95">
        <v>44793</v>
      </c>
      <c r="C43" s="13"/>
      <c r="D43" s="488"/>
      <c r="E43" s="13"/>
      <c r="F43" s="13"/>
      <c r="G43" s="13"/>
      <c r="H43" s="13"/>
      <c r="I43" s="13">
        <f>10+20</f>
        <v>30</v>
      </c>
      <c r="J43" s="13"/>
      <c r="K43" s="13"/>
      <c r="L43" s="13"/>
      <c r="M43" s="13">
        <f>212+15+15-20</f>
        <v>222</v>
      </c>
      <c r="N43" s="557"/>
      <c r="O43" s="13" t="e">
        <f>SUM(G43:N43)+F43+#REF!</f>
        <v>#REF!</v>
      </c>
      <c r="P43" s="386" t="s">
        <v>197</v>
      </c>
    </row>
    <row r="44" spans="1:22" ht="34.9" hidden="1" customHeight="1" x14ac:dyDescent="0.25">
      <c r="A44" s="39">
        <v>43</v>
      </c>
      <c r="B44" s="126">
        <v>44794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558"/>
      <c r="O44" s="39" t="e">
        <f>SUM(G44:N44)+F44+#REF!</f>
        <v>#REF!</v>
      </c>
    </row>
    <row r="45" spans="1:22" ht="34.9" hidden="1" customHeight="1" x14ac:dyDescent="0.25">
      <c r="A45" s="13">
        <v>44</v>
      </c>
      <c r="B45" s="95">
        <v>44795</v>
      </c>
      <c r="C45" s="13"/>
      <c r="D45" s="488"/>
      <c r="E45" s="13"/>
      <c r="F45" s="13"/>
      <c r="G45" s="13"/>
      <c r="H45" s="13"/>
      <c r="I45" s="13"/>
      <c r="J45" s="13">
        <f>358</f>
        <v>358</v>
      </c>
      <c r="K45" s="13"/>
      <c r="L45" s="13">
        <f>34+6+100</f>
        <v>140</v>
      </c>
      <c r="M45" s="13">
        <f>12+100</f>
        <v>112</v>
      </c>
      <c r="N45" s="557"/>
      <c r="O45" s="13" t="e">
        <f>SUM(G45:N45)+F45+#REF!</f>
        <v>#REF!</v>
      </c>
    </row>
    <row r="46" spans="1:22" ht="34.9" hidden="1" customHeight="1" x14ac:dyDescent="0.25">
      <c r="A46" s="13">
        <v>45</v>
      </c>
      <c r="B46" s="95">
        <v>44796</v>
      </c>
      <c r="C46" s="13">
        <f>6</f>
        <v>6</v>
      </c>
      <c r="D46" s="488"/>
      <c r="E46" s="13"/>
      <c r="F46" s="13"/>
      <c r="G46" s="13"/>
      <c r="H46" s="13"/>
      <c r="I46" s="13">
        <f>40.8</f>
        <v>40.799999999999997</v>
      </c>
      <c r="J46" s="13"/>
      <c r="K46" s="13"/>
      <c r="L46" s="13">
        <f>30</f>
        <v>30</v>
      </c>
      <c r="M46" s="13">
        <f>106+30</f>
        <v>136</v>
      </c>
      <c r="N46" s="557"/>
      <c r="O46" s="13" t="e">
        <f>SUM(G46:N46)+F46+#REF!</f>
        <v>#REF!</v>
      </c>
      <c r="P46" s="386" t="s">
        <v>198</v>
      </c>
    </row>
    <row r="47" spans="1:22" ht="34.9" hidden="1" customHeight="1" x14ac:dyDescent="0.25">
      <c r="A47" s="13">
        <v>46</v>
      </c>
      <c r="B47" s="95">
        <v>44797</v>
      </c>
      <c r="C47" s="13">
        <f>8</f>
        <v>8</v>
      </c>
      <c r="D47" s="488"/>
      <c r="E47" s="13"/>
      <c r="F47" s="13"/>
      <c r="G47" s="13"/>
      <c r="H47" s="13"/>
      <c r="I47" s="13">
        <f>54</f>
        <v>54</v>
      </c>
      <c r="J47" s="13">
        <f>60+241</f>
        <v>301</v>
      </c>
      <c r="K47" s="13"/>
      <c r="L47" s="13">
        <f>30</f>
        <v>30</v>
      </c>
      <c r="M47" s="13">
        <f>30+105</f>
        <v>135</v>
      </c>
      <c r="N47" s="557"/>
      <c r="O47" s="13" t="e">
        <f>SUM(G47:N47)+F47+#REF!</f>
        <v>#REF!</v>
      </c>
    </row>
    <row r="48" spans="1:22" ht="72" hidden="1" customHeight="1" x14ac:dyDescent="0.25">
      <c r="A48" s="13">
        <v>47</v>
      </c>
      <c r="B48" s="95">
        <v>44798</v>
      </c>
      <c r="C48" s="13">
        <f>12</f>
        <v>12</v>
      </c>
      <c r="D48" s="488"/>
      <c r="E48" s="90" t="s">
        <v>208</v>
      </c>
      <c r="F48" s="13">
        <f>540+32</f>
        <v>572</v>
      </c>
      <c r="G48" s="13"/>
      <c r="H48" s="13"/>
      <c r="I48" s="13"/>
      <c r="J48" s="13">
        <f>40</f>
        <v>40</v>
      </c>
      <c r="K48" s="13"/>
      <c r="L48" s="13"/>
      <c r="M48" s="13">
        <f>46+60+32</f>
        <v>138</v>
      </c>
      <c r="N48" s="557"/>
      <c r="O48" s="13" t="e">
        <f>SUM(G48:N48)+F48+#REF!</f>
        <v>#REF!</v>
      </c>
    </row>
    <row r="49" spans="1:22" ht="61.15" hidden="1" customHeight="1" x14ac:dyDescent="0.25">
      <c r="A49" s="13">
        <v>48</v>
      </c>
      <c r="B49" s="95">
        <v>44799</v>
      </c>
      <c r="C49" s="13">
        <f>56</f>
        <v>56</v>
      </c>
      <c r="D49" s="488"/>
      <c r="E49" s="90" t="s">
        <v>207</v>
      </c>
      <c r="F49" s="13">
        <f>40+343</f>
        <v>383</v>
      </c>
      <c r="G49" s="13"/>
      <c r="H49" s="13"/>
      <c r="I49" s="13"/>
      <c r="J49" s="13"/>
      <c r="K49" s="13"/>
      <c r="L49" s="13"/>
      <c r="M49" s="13">
        <f>100+45+34</f>
        <v>179</v>
      </c>
      <c r="N49" s="557"/>
      <c r="O49" s="13" t="e">
        <f>SUM(G49:N49)+F49+#REF!</f>
        <v>#REF!</v>
      </c>
    </row>
    <row r="50" spans="1:22" ht="34.9" hidden="1" customHeight="1" x14ac:dyDescent="0.25">
      <c r="A50" s="13">
        <v>49</v>
      </c>
      <c r="B50" s="95">
        <v>44800</v>
      </c>
      <c r="C50" s="13">
        <f>288+12</f>
        <v>300</v>
      </c>
      <c r="D50" s="488"/>
      <c r="E50" s="13"/>
      <c r="F50" s="13"/>
      <c r="G50" s="13"/>
      <c r="H50" s="13"/>
      <c r="I50" s="13"/>
      <c r="J50" s="13">
        <f>20</f>
        <v>20</v>
      </c>
      <c r="K50" s="13"/>
      <c r="L50" s="13">
        <f>5</f>
        <v>5</v>
      </c>
      <c r="M50" s="13">
        <f>46</f>
        <v>46</v>
      </c>
      <c r="N50" s="557"/>
      <c r="O50" s="13" t="e">
        <f>SUM(G50:N50)+F50+#REF!</f>
        <v>#REF!</v>
      </c>
    </row>
    <row r="51" spans="1:22" ht="34.9" hidden="1" customHeight="1" x14ac:dyDescent="0.25">
      <c r="A51" s="39">
        <v>50</v>
      </c>
      <c r="B51" s="126">
        <v>44801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558"/>
      <c r="O51" s="39" t="e">
        <f>SUM(G51:N51)+F51+#REF!</f>
        <v>#REF!</v>
      </c>
    </row>
    <row r="52" spans="1:22" ht="34.9" hidden="1" customHeight="1" x14ac:dyDescent="0.25">
      <c r="A52" s="13">
        <v>51</v>
      </c>
      <c r="B52" s="95">
        <v>44802</v>
      </c>
      <c r="C52" s="13">
        <f>48+1693.5+90+30</f>
        <v>1861.5</v>
      </c>
      <c r="D52" s="488"/>
      <c r="E52" s="13" t="s">
        <v>218</v>
      </c>
      <c r="F52" s="13">
        <f>400</f>
        <v>400</v>
      </c>
      <c r="G52" s="13"/>
      <c r="H52" s="13"/>
      <c r="I52" s="13"/>
      <c r="J52" s="13"/>
      <c r="K52" s="13"/>
      <c r="L52" s="13">
        <f>8</f>
        <v>8</v>
      </c>
      <c r="M52" s="13">
        <f>130+45+30+100</f>
        <v>305</v>
      </c>
      <c r="N52" s="557"/>
      <c r="O52" s="13" t="e">
        <f>SUM(G52:N52)+F52+#REF!</f>
        <v>#REF!</v>
      </c>
    </row>
    <row r="53" spans="1:22" ht="34.9" hidden="1" customHeight="1" x14ac:dyDescent="0.25">
      <c r="A53" s="13">
        <v>52</v>
      </c>
      <c r="B53" s="95">
        <v>44803</v>
      </c>
      <c r="C53" s="13">
        <f>72</f>
        <v>72</v>
      </c>
      <c r="D53" s="488"/>
      <c r="E53" s="13" t="s">
        <v>220</v>
      </c>
      <c r="F53" s="13">
        <v>100</v>
      </c>
      <c r="G53" s="13"/>
      <c r="H53" s="13"/>
      <c r="I53" s="13"/>
      <c r="J53" s="13"/>
      <c r="K53" s="13"/>
      <c r="L53" s="13">
        <f>20</f>
        <v>20</v>
      </c>
      <c r="M53" s="13">
        <f>18+73</f>
        <v>91</v>
      </c>
      <c r="N53" s="557"/>
      <c r="O53" s="13" t="e">
        <f>SUM(G53:N53)+F53+#REF!</f>
        <v>#REF!</v>
      </c>
    </row>
    <row r="54" spans="1:22" ht="34.9" hidden="1" customHeight="1" x14ac:dyDescent="0.25">
      <c r="A54" s="13">
        <v>53</v>
      </c>
      <c r="B54" s="95">
        <v>44804</v>
      </c>
      <c r="C54" s="13">
        <f>30</f>
        <v>30</v>
      </c>
      <c r="D54" s="488"/>
      <c r="E54" s="13"/>
      <c r="F54" s="13"/>
      <c r="G54" s="13">
        <f>21.64+3</f>
        <v>24.64</v>
      </c>
      <c r="H54" s="13"/>
      <c r="I54" s="13">
        <f>4+2+16+25.36</f>
        <v>47.36</v>
      </c>
      <c r="J54" s="13">
        <f>266</f>
        <v>266</v>
      </c>
      <c r="K54" s="13"/>
      <c r="L54" s="13"/>
      <c r="M54" s="13">
        <f>470+30+3+100+30</f>
        <v>633</v>
      </c>
      <c r="N54" s="557"/>
      <c r="O54" s="13" t="e">
        <f>SUM(G54:N54)+F54+#REF!</f>
        <v>#REF!</v>
      </c>
    </row>
    <row r="55" spans="1:22" ht="34.9" customHeight="1" x14ac:dyDescent="0.25">
      <c r="A55" s="13">
        <v>54</v>
      </c>
      <c r="B55" s="95">
        <v>44805</v>
      </c>
      <c r="C55" s="13"/>
      <c r="D55" s="488"/>
      <c r="E55" s="13" t="s">
        <v>226</v>
      </c>
      <c r="F55" s="13">
        <v>14</v>
      </c>
      <c r="G55" s="90"/>
      <c r="H55" s="13"/>
      <c r="I55" s="13"/>
      <c r="J55" s="13">
        <f>576</f>
        <v>576</v>
      </c>
      <c r="K55" s="13"/>
      <c r="L55" s="13"/>
      <c r="M55" s="13">
        <f>45+90</f>
        <v>135</v>
      </c>
      <c r="N55" s="557"/>
      <c r="O55" s="13">
        <f>SUM(G55:N55)+F55+D55</f>
        <v>725</v>
      </c>
      <c r="P55" s="389"/>
      <c r="Q55" s="390"/>
      <c r="R55" s="391"/>
      <c r="S55" s="391"/>
      <c r="T55" s="391"/>
      <c r="U55" s="390"/>
      <c r="V55" s="518"/>
    </row>
    <row r="56" spans="1:22" ht="34.9" customHeight="1" x14ac:dyDescent="0.25">
      <c r="A56" s="13">
        <v>55</v>
      </c>
      <c r="B56" s="95">
        <v>44806</v>
      </c>
      <c r="C56" s="13">
        <f>55+35</f>
        <v>90</v>
      </c>
      <c r="D56" s="488"/>
      <c r="E56" s="13" t="s">
        <v>220</v>
      </c>
      <c r="F56" s="13">
        <v>20</v>
      </c>
      <c r="G56" s="13"/>
      <c r="H56" s="13"/>
      <c r="I56" s="13"/>
      <c r="J56" s="13"/>
      <c r="K56" s="13"/>
      <c r="L56" s="13"/>
      <c r="M56" s="13">
        <f>40+577.5</f>
        <v>617.5</v>
      </c>
      <c r="N56" s="557"/>
      <c r="O56" s="488">
        <f t="shared" ref="O56:O119" si="0">SUM(G56:N56)+F56+D56</f>
        <v>637.5</v>
      </c>
      <c r="P56" s="389"/>
      <c r="Q56" s="391"/>
      <c r="R56" s="391"/>
      <c r="S56" s="391"/>
      <c r="T56" s="391"/>
      <c r="U56" s="391"/>
      <c r="V56" s="518"/>
    </row>
    <row r="57" spans="1:22" ht="34.9" customHeight="1" x14ac:dyDescent="0.25">
      <c r="A57" s="13">
        <v>56</v>
      </c>
      <c r="B57" s="95">
        <v>44807</v>
      </c>
      <c r="C57" s="13"/>
      <c r="D57" s="488"/>
      <c r="E57" s="13"/>
      <c r="F57" s="13"/>
      <c r="G57" s="13"/>
      <c r="H57" s="13"/>
      <c r="I57" s="13">
        <f>35+37</f>
        <v>72</v>
      </c>
      <c r="J57" s="13">
        <f>300</f>
        <v>300</v>
      </c>
      <c r="K57" s="13"/>
      <c r="L57" s="13"/>
      <c r="M57" s="13">
        <f>328+15+53</f>
        <v>396</v>
      </c>
      <c r="N57" s="557"/>
      <c r="O57" s="488">
        <f t="shared" si="0"/>
        <v>768</v>
      </c>
      <c r="P57" s="389"/>
      <c r="Q57" s="391"/>
      <c r="R57" s="391"/>
      <c r="S57" s="391"/>
      <c r="T57" s="391"/>
      <c r="U57" s="391"/>
      <c r="V57" s="518"/>
    </row>
    <row r="58" spans="1:22" ht="34.9" customHeight="1" x14ac:dyDescent="0.25">
      <c r="A58" s="190">
        <v>57</v>
      </c>
      <c r="B58" s="191">
        <v>44808</v>
      </c>
      <c r="C58" s="190"/>
      <c r="D58" s="190"/>
      <c r="E58" s="190"/>
      <c r="F58" s="190"/>
      <c r="G58" s="190"/>
      <c r="H58" s="190"/>
      <c r="I58" s="190"/>
      <c r="J58" s="190"/>
      <c r="K58" s="190"/>
      <c r="L58" s="190"/>
      <c r="M58" s="190"/>
      <c r="N58" s="559"/>
      <c r="O58" s="488">
        <f t="shared" si="0"/>
        <v>0</v>
      </c>
      <c r="P58" s="394"/>
      <c r="Q58" s="395"/>
      <c r="R58" s="395"/>
      <c r="S58" s="395"/>
      <c r="T58" s="395"/>
      <c r="U58" s="395"/>
      <c r="V58" s="518"/>
    </row>
    <row r="59" spans="1:22" ht="34.9" customHeight="1" x14ac:dyDescent="0.25">
      <c r="A59" s="13">
        <v>58</v>
      </c>
      <c r="B59" s="95">
        <v>44809</v>
      </c>
      <c r="C59" s="13">
        <f>474</f>
        <v>474</v>
      </c>
      <c r="D59" s="488"/>
      <c r="E59" s="13" t="s">
        <v>228</v>
      </c>
      <c r="F59" s="13">
        <v>30</v>
      </c>
      <c r="G59" s="13"/>
      <c r="H59" s="13"/>
      <c r="I59" s="13">
        <f>182+84</f>
        <v>266</v>
      </c>
      <c r="J59" s="13">
        <f>200</f>
        <v>200</v>
      </c>
      <c r="K59" s="13"/>
      <c r="L59" s="13"/>
      <c r="M59" s="13">
        <f>68+100</f>
        <v>168</v>
      </c>
      <c r="N59" s="557"/>
      <c r="O59" s="488">
        <f t="shared" si="0"/>
        <v>664</v>
      </c>
      <c r="P59" s="389"/>
      <c r="Q59" s="391"/>
      <c r="R59" s="391"/>
      <c r="S59" s="391"/>
      <c r="T59" s="391"/>
      <c r="U59" s="391"/>
      <c r="V59" s="518"/>
    </row>
    <row r="60" spans="1:22" ht="34.9" customHeight="1" x14ac:dyDescent="0.25">
      <c r="A60" s="13">
        <v>59</v>
      </c>
      <c r="B60" s="95">
        <v>44810</v>
      </c>
      <c r="C60" s="13">
        <f>7</f>
        <v>7</v>
      </c>
      <c r="D60" s="488"/>
      <c r="E60" s="13"/>
      <c r="F60" s="13"/>
      <c r="G60" s="13"/>
      <c r="H60" s="13"/>
      <c r="I60" s="13">
        <f>21+100+96+34</f>
        <v>251</v>
      </c>
      <c r="J60" s="13"/>
      <c r="K60" s="13"/>
      <c r="L60" s="13"/>
      <c r="M60" s="13">
        <f>37+118+100</f>
        <v>255</v>
      </c>
      <c r="N60" s="557"/>
      <c r="O60" s="488">
        <f t="shared" si="0"/>
        <v>506</v>
      </c>
      <c r="P60" s="389"/>
      <c r="Q60" s="391"/>
      <c r="R60" s="391"/>
      <c r="S60" s="391"/>
      <c r="T60" s="391"/>
      <c r="U60" s="391"/>
      <c r="V60" s="518"/>
    </row>
    <row r="61" spans="1:22" ht="34.9" customHeight="1" x14ac:dyDescent="0.25">
      <c r="A61" s="13">
        <v>60</v>
      </c>
      <c r="B61" s="95">
        <v>44811</v>
      </c>
      <c r="C61" s="13">
        <f>48</f>
        <v>48</v>
      </c>
      <c r="D61" s="488"/>
      <c r="E61" s="13"/>
      <c r="F61" s="13"/>
      <c r="G61" s="13"/>
      <c r="H61" s="13">
        <f>37</f>
        <v>37</v>
      </c>
      <c r="I61" s="13">
        <f>65</f>
        <v>65</v>
      </c>
      <c r="J61" s="13">
        <f>42</f>
        <v>42</v>
      </c>
      <c r="K61" s="13"/>
      <c r="L61" s="13">
        <f>113+141</f>
        <v>254</v>
      </c>
      <c r="M61" s="13">
        <f>100+15+9+70</f>
        <v>194</v>
      </c>
      <c r="N61" s="557"/>
      <c r="O61" s="488">
        <f t="shared" si="0"/>
        <v>592</v>
      </c>
      <c r="P61" s="389"/>
      <c r="Q61" s="391"/>
      <c r="R61" s="391"/>
      <c r="S61" s="391"/>
      <c r="T61" s="391"/>
      <c r="U61" s="391"/>
      <c r="V61" s="518"/>
    </row>
    <row r="62" spans="1:22" ht="34.9" customHeight="1" x14ac:dyDescent="0.25">
      <c r="A62" s="13">
        <v>61</v>
      </c>
      <c r="B62" s="95">
        <v>44812</v>
      </c>
      <c r="C62" s="13">
        <f>148</f>
        <v>148</v>
      </c>
      <c r="D62" s="488"/>
      <c r="E62" s="13"/>
      <c r="F62" s="13"/>
      <c r="G62" s="13"/>
      <c r="H62" s="13" t="s">
        <v>225</v>
      </c>
      <c r="I62" s="13">
        <f>53</f>
        <v>53</v>
      </c>
      <c r="J62" s="13"/>
      <c r="K62" s="13"/>
      <c r="L62" s="13"/>
      <c r="M62" s="13">
        <f>84+90+74-3</f>
        <v>245</v>
      </c>
      <c r="N62" s="557"/>
      <c r="O62" s="488">
        <f t="shared" si="0"/>
        <v>298</v>
      </c>
      <c r="P62" s="389"/>
      <c r="Q62" s="391"/>
      <c r="R62" s="391"/>
      <c r="S62" s="391"/>
      <c r="T62" s="391"/>
      <c r="U62" s="391"/>
      <c r="V62" s="518"/>
    </row>
    <row r="63" spans="1:22" ht="34.9" customHeight="1" x14ac:dyDescent="0.25">
      <c r="A63" s="13">
        <v>62</v>
      </c>
      <c r="B63" s="95">
        <v>44813</v>
      </c>
      <c r="C63" s="13">
        <f>113</f>
        <v>113</v>
      </c>
      <c r="D63" s="488"/>
      <c r="E63" s="13" t="s">
        <v>229</v>
      </c>
      <c r="F63" s="13">
        <v>550</v>
      </c>
      <c r="G63" s="13"/>
      <c r="H63" s="13"/>
      <c r="I63" s="13">
        <f>37+217+15+34+12</f>
        <v>315</v>
      </c>
      <c r="J63" s="13"/>
      <c r="K63" s="13"/>
      <c r="L63" s="13"/>
      <c r="M63" s="13">
        <f>20+307</f>
        <v>327</v>
      </c>
      <c r="N63" s="557"/>
      <c r="O63" s="488">
        <f t="shared" si="0"/>
        <v>1192</v>
      </c>
      <c r="P63" s="389"/>
      <c r="Q63" s="391"/>
      <c r="R63" s="391"/>
      <c r="S63" s="391"/>
      <c r="T63" s="391"/>
      <c r="U63" s="391"/>
      <c r="V63" s="518"/>
    </row>
    <row r="64" spans="1:22" ht="34.9" customHeight="1" x14ac:dyDescent="0.25">
      <c r="A64" s="13">
        <v>63</v>
      </c>
      <c r="B64" s="95">
        <v>44814</v>
      </c>
      <c r="C64" s="13">
        <v>44</v>
      </c>
      <c r="D64" s="488"/>
      <c r="E64" s="13"/>
      <c r="F64" s="13"/>
      <c r="G64" s="13"/>
      <c r="H64" s="13"/>
      <c r="I64" s="13"/>
      <c r="J64" s="13"/>
      <c r="K64" s="13"/>
      <c r="L64" s="13"/>
      <c r="M64" s="13">
        <v>275</v>
      </c>
      <c r="N64" s="557"/>
      <c r="O64" s="488">
        <f t="shared" si="0"/>
        <v>275</v>
      </c>
      <c r="P64" s="389"/>
      <c r="Q64" s="391"/>
      <c r="R64" s="391"/>
      <c r="S64" s="391"/>
      <c r="T64" s="391"/>
      <c r="U64" s="391"/>
      <c r="V64" s="518"/>
    </row>
    <row r="65" spans="1:22" ht="34.9" customHeight="1" x14ac:dyDescent="0.25">
      <c r="A65" s="13">
        <v>64</v>
      </c>
      <c r="B65" s="95">
        <v>44815</v>
      </c>
      <c r="C65" s="13"/>
      <c r="D65" s="488"/>
      <c r="E65" s="13"/>
      <c r="F65" s="13"/>
      <c r="G65" s="13"/>
      <c r="H65" s="13"/>
      <c r="I65" s="13"/>
      <c r="J65" s="13"/>
      <c r="K65" s="13"/>
      <c r="L65" s="13"/>
      <c r="M65" s="13"/>
      <c r="N65" s="557"/>
      <c r="O65" s="488">
        <f t="shared" si="0"/>
        <v>0</v>
      </c>
      <c r="P65" s="389"/>
      <c r="Q65" s="391"/>
      <c r="R65" s="391"/>
      <c r="S65" s="391"/>
      <c r="T65" s="391"/>
      <c r="U65" s="391"/>
      <c r="V65" s="518"/>
    </row>
    <row r="66" spans="1:22" ht="34.9" customHeight="1" x14ac:dyDescent="0.25">
      <c r="A66" s="13">
        <v>65</v>
      </c>
      <c r="B66" s="95">
        <v>44816</v>
      </c>
      <c r="C66" s="13"/>
      <c r="D66" s="488"/>
      <c r="E66" s="90" t="s">
        <v>231</v>
      </c>
      <c r="F66" s="13">
        <v>9</v>
      </c>
      <c r="G66" s="13"/>
      <c r="H66" s="13"/>
      <c r="I66" s="13"/>
      <c r="J66" s="13"/>
      <c r="K66" s="13"/>
      <c r="L66" s="13"/>
      <c r="M66" s="13"/>
      <c r="N66" s="557"/>
      <c r="O66" s="488">
        <f t="shared" si="0"/>
        <v>9</v>
      </c>
      <c r="P66" s="389"/>
      <c r="Q66" s="391"/>
      <c r="R66" s="391"/>
      <c r="S66" s="391"/>
      <c r="T66" s="391"/>
      <c r="U66" s="391"/>
      <c r="V66" s="518"/>
    </row>
    <row r="67" spans="1:22" ht="34.9" customHeight="1" x14ac:dyDescent="0.25">
      <c r="A67" s="13">
        <v>66</v>
      </c>
      <c r="B67" s="95">
        <v>44817</v>
      </c>
      <c r="C67" s="13">
        <f>51</f>
        <v>51</v>
      </c>
      <c r="D67" s="488"/>
      <c r="E67" s="13" t="s">
        <v>233</v>
      </c>
      <c r="F67" s="13">
        <v>500</v>
      </c>
      <c r="G67" s="13"/>
      <c r="H67" s="13">
        <f>251</f>
        <v>251</v>
      </c>
      <c r="I67" s="13">
        <f>69</f>
        <v>69</v>
      </c>
      <c r="J67" s="13"/>
      <c r="K67" s="13"/>
      <c r="L67" s="13">
        <f>116+2</f>
        <v>118</v>
      </c>
      <c r="M67" s="13">
        <f>47</f>
        <v>47</v>
      </c>
      <c r="N67" s="557"/>
      <c r="O67" s="488">
        <f t="shared" si="0"/>
        <v>985</v>
      </c>
      <c r="P67" s="389"/>
      <c r="Q67" s="391"/>
      <c r="R67" s="391"/>
      <c r="S67" s="391"/>
      <c r="T67" s="391"/>
      <c r="U67" s="391"/>
      <c r="V67" s="518"/>
    </row>
    <row r="68" spans="1:22" ht="34.9" customHeight="1" x14ac:dyDescent="0.25">
      <c r="A68" s="13">
        <v>67</v>
      </c>
      <c r="B68" s="95">
        <v>44818</v>
      </c>
      <c r="C68" s="13"/>
      <c r="D68" s="488"/>
      <c r="E68" s="13" t="s">
        <v>236</v>
      </c>
      <c r="F68" s="13">
        <v>5</v>
      </c>
      <c r="G68" s="13"/>
      <c r="H68" s="13"/>
      <c r="I68" s="13">
        <f>105+116+100</f>
        <v>321</v>
      </c>
      <c r="J68" s="13"/>
      <c r="K68" s="13"/>
      <c r="L68" s="13">
        <f>74</f>
        <v>74</v>
      </c>
      <c r="M68" s="13">
        <f>32+193+49+53+11+212</f>
        <v>550</v>
      </c>
      <c r="N68" s="557"/>
      <c r="O68" s="488">
        <f t="shared" si="0"/>
        <v>950</v>
      </c>
      <c r="P68" s="389"/>
      <c r="Q68" s="391"/>
      <c r="R68" s="391"/>
      <c r="S68" s="391"/>
      <c r="T68" s="391"/>
      <c r="U68" s="391"/>
      <c r="V68" s="518"/>
    </row>
    <row r="69" spans="1:22" ht="34.9" customHeight="1" x14ac:dyDescent="0.25">
      <c r="A69" s="13">
        <v>68</v>
      </c>
      <c r="B69" s="95">
        <v>44819</v>
      </c>
      <c r="C69" s="13">
        <f>37</f>
        <v>37</v>
      </c>
      <c r="D69" s="488"/>
      <c r="E69" s="90" t="s">
        <v>238</v>
      </c>
      <c r="F69" s="13">
        <f>100+100</f>
        <v>200</v>
      </c>
      <c r="G69" s="13"/>
      <c r="H69" s="13"/>
      <c r="I69" s="13"/>
      <c r="J69" s="13"/>
      <c r="K69" s="13"/>
      <c r="L69" s="13"/>
      <c r="M69" s="13">
        <f>177+49+42+53+219+177</f>
        <v>717</v>
      </c>
      <c r="N69" s="557"/>
      <c r="O69" s="488">
        <f t="shared" si="0"/>
        <v>917</v>
      </c>
      <c r="P69" s="389"/>
      <c r="Q69" s="391"/>
      <c r="R69" s="391"/>
      <c r="S69" s="391"/>
      <c r="T69" s="391"/>
      <c r="U69" s="391"/>
      <c r="V69" s="518"/>
    </row>
    <row r="70" spans="1:22" ht="34.9" customHeight="1" x14ac:dyDescent="0.25">
      <c r="A70" s="13">
        <v>69</v>
      </c>
      <c r="B70" s="95">
        <v>44820</v>
      </c>
      <c r="C70" s="13"/>
      <c r="D70" s="488"/>
      <c r="E70" s="13"/>
      <c r="F70" s="13"/>
      <c r="G70" s="13">
        <f>3+5.5</f>
        <v>8.5</v>
      </c>
      <c r="H70" s="13"/>
      <c r="I70" s="13"/>
      <c r="J70" s="13"/>
      <c r="K70" s="13"/>
      <c r="L70" s="13"/>
      <c r="M70" s="13">
        <f>12+35+55+90</f>
        <v>192</v>
      </c>
      <c r="N70" s="557"/>
      <c r="O70" s="488">
        <f t="shared" si="0"/>
        <v>200.5</v>
      </c>
      <c r="P70" s="389"/>
      <c r="Q70" s="391"/>
      <c r="R70" s="391"/>
      <c r="S70" s="391"/>
      <c r="T70" s="391"/>
      <c r="U70" s="391"/>
      <c r="V70" s="518"/>
    </row>
    <row r="71" spans="1:22" ht="34.9" customHeight="1" x14ac:dyDescent="0.25">
      <c r="A71" s="13">
        <v>70</v>
      </c>
      <c r="B71" s="95">
        <v>44821</v>
      </c>
      <c r="C71" s="13">
        <f>225</f>
        <v>225</v>
      </c>
      <c r="D71" s="488"/>
      <c r="E71" s="13"/>
      <c r="F71" s="13"/>
      <c r="G71" s="13"/>
      <c r="H71" s="13"/>
      <c r="I71" s="13">
        <f>28</f>
        <v>28</v>
      </c>
      <c r="J71" s="13"/>
      <c r="K71" s="13"/>
      <c r="L71" s="13">
        <f>70</f>
        <v>70</v>
      </c>
      <c r="M71" s="13">
        <f>90</f>
        <v>90</v>
      </c>
      <c r="N71" s="557"/>
      <c r="O71" s="488">
        <f t="shared" si="0"/>
        <v>188</v>
      </c>
      <c r="P71" s="389"/>
      <c r="Q71" s="391"/>
      <c r="R71" s="391"/>
      <c r="S71" s="391"/>
      <c r="T71" s="391"/>
      <c r="U71" s="391"/>
      <c r="V71" s="518"/>
    </row>
    <row r="72" spans="1:22" ht="34.9" customHeight="1" x14ac:dyDescent="0.25">
      <c r="A72" s="190">
        <v>71</v>
      </c>
      <c r="B72" s="191">
        <v>44822</v>
      </c>
      <c r="C72" s="190"/>
      <c r="D72" s="190"/>
      <c r="E72" s="190"/>
      <c r="F72" s="190"/>
      <c r="G72" s="190"/>
      <c r="H72" s="190"/>
      <c r="I72" s="190"/>
      <c r="J72" s="190"/>
      <c r="K72" s="190"/>
      <c r="L72" s="190"/>
      <c r="M72" s="190"/>
      <c r="N72" s="559"/>
      <c r="O72" s="488">
        <f t="shared" si="0"/>
        <v>0</v>
      </c>
      <c r="P72" s="394"/>
      <c r="Q72" s="395"/>
      <c r="R72" s="395"/>
      <c r="S72" s="395"/>
      <c r="T72" s="395"/>
      <c r="U72" s="395"/>
      <c r="V72" s="518"/>
    </row>
    <row r="73" spans="1:22" ht="34.9" customHeight="1" x14ac:dyDescent="0.25">
      <c r="A73" s="13">
        <v>72</v>
      </c>
      <c r="B73" s="95">
        <v>44823</v>
      </c>
      <c r="C73" s="13">
        <f>8+128</f>
        <v>136</v>
      </c>
      <c r="D73" s="488"/>
      <c r="E73" s="13"/>
      <c r="F73" s="13"/>
      <c r="G73" s="13">
        <f>69-3.48-45</f>
        <v>20.519999999999996</v>
      </c>
      <c r="H73" s="13"/>
      <c r="I73" s="13">
        <f>3.48</f>
        <v>3.48</v>
      </c>
      <c r="J73" s="13">
        <f>350+28</f>
        <v>378</v>
      </c>
      <c r="K73" s="13"/>
      <c r="L73" s="13">
        <f>2+43</f>
        <v>45</v>
      </c>
      <c r="M73" s="13">
        <f>220+330+50</f>
        <v>600</v>
      </c>
      <c r="N73" s="557"/>
      <c r="O73" s="488">
        <f t="shared" si="0"/>
        <v>1047</v>
      </c>
      <c r="P73" s="389"/>
      <c r="Q73" s="391"/>
      <c r="R73" s="391"/>
      <c r="S73" s="391"/>
      <c r="T73" s="391"/>
      <c r="U73" s="391"/>
      <c r="V73" s="518"/>
    </row>
    <row r="74" spans="1:22" ht="34.9" customHeight="1" x14ac:dyDescent="0.25">
      <c r="A74" s="13">
        <v>73</v>
      </c>
      <c r="B74" s="95">
        <v>44824</v>
      </c>
      <c r="C74" s="13">
        <f>103</f>
        <v>103</v>
      </c>
      <c r="D74" s="488"/>
      <c r="E74" s="90" t="s">
        <v>240</v>
      </c>
      <c r="F74" s="13">
        <v>7.5</v>
      </c>
      <c r="G74" s="13">
        <f>11+0.6-5-5</f>
        <v>1.5999999999999996</v>
      </c>
      <c r="H74" s="13"/>
      <c r="I74" s="13">
        <f>168+81</f>
        <v>249</v>
      </c>
      <c r="J74" s="13"/>
      <c r="K74" s="13"/>
      <c r="L74" s="13">
        <f>15</f>
        <v>15</v>
      </c>
      <c r="M74" s="13">
        <f>40+20+45+34+15+51</f>
        <v>205</v>
      </c>
      <c r="N74" s="557"/>
      <c r="O74" s="488">
        <f t="shared" si="0"/>
        <v>478.1</v>
      </c>
      <c r="P74" s="389"/>
      <c r="Q74" s="391"/>
      <c r="R74" s="391"/>
      <c r="S74" s="391"/>
      <c r="T74" s="391"/>
      <c r="U74" s="391"/>
      <c r="V74" s="518"/>
    </row>
    <row r="75" spans="1:22" ht="34.9" customHeight="1" x14ac:dyDescent="0.25">
      <c r="A75" s="13">
        <v>74</v>
      </c>
      <c r="B75" s="95">
        <v>44825</v>
      </c>
      <c r="C75" s="13">
        <f>122</f>
        <v>122</v>
      </c>
      <c r="D75" s="488"/>
      <c r="E75" s="13"/>
      <c r="F75" s="13"/>
      <c r="G75" s="13"/>
      <c r="H75" s="13"/>
      <c r="I75" s="13">
        <f>84+15+28+79+15</f>
        <v>221</v>
      </c>
      <c r="J75" s="13">
        <f>100</f>
        <v>100</v>
      </c>
      <c r="K75" s="13"/>
      <c r="L75" s="13">
        <f>-2+1+2</f>
        <v>1</v>
      </c>
      <c r="M75" s="13">
        <f>32+126+15+68+327+10+64+96+84-3</f>
        <v>819</v>
      </c>
      <c r="N75" s="557"/>
      <c r="O75" s="488">
        <f t="shared" si="0"/>
        <v>1141</v>
      </c>
      <c r="P75" s="389"/>
      <c r="Q75" s="391"/>
      <c r="R75" s="391"/>
      <c r="S75" s="391"/>
      <c r="T75" s="391"/>
      <c r="U75" s="391"/>
      <c r="V75" s="518"/>
    </row>
    <row r="76" spans="1:22" ht="34.9" customHeight="1" x14ac:dyDescent="0.25">
      <c r="A76" s="13">
        <v>75</v>
      </c>
      <c r="B76" s="95">
        <v>44826</v>
      </c>
      <c r="C76" s="13">
        <f>32</f>
        <v>32</v>
      </c>
      <c r="D76" s="488"/>
      <c r="E76" s="13"/>
      <c r="F76" s="13"/>
      <c r="G76" s="13"/>
      <c r="H76" s="13"/>
      <c r="I76" s="13">
        <f>32+6</f>
        <v>38</v>
      </c>
      <c r="J76" s="13">
        <f>48</f>
        <v>48</v>
      </c>
      <c r="K76" s="13"/>
      <c r="L76" s="13"/>
      <c r="M76" s="13">
        <f>56+100+15+113+259+90+15+270</f>
        <v>918</v>
      </c>
      <c r="N76" s="557"/>
      <c r="O76" s="488">
        <f t="shared" si="0"/>
        <v>1004</v>
      </c>
      <c r="P76" s="389"/>
      <c r="Q76" s="391"/>
      <c r="R76" s="391"/>
      <c r="S76" s="391"/>
      <c r="T76" s="391"/>
      <c r="U76" s="391"/>
      <c r="V76" s="518"/>
    </row>
    <row r="77" spans="1:22" ht="34.9" customHeight="1" x14ac:dyDescent="0.25">
      <c r="A77" s="13">
        <v>76</v>
      </c>
      <c r="B77" s="95">
        <v>44827</v>
      </c>
      <c r="C77" s="13">
        <f>272</f>
        <v>272</v>
      </c>
      <c r="D77" s="488"/>
      <c r="E77" s="90" t="s">
        <v>244</v>
      </c>
      <c r="F77" s="13">
        <f>8</f>
        <v>8</v>
      </c>
      <c r="G77" s="13"/>
      <c r="H77" s="13"/>
      <c r="I77" s="13">
        <f>15+15+56</f>
        <v>86</v>
      </c>
      <c r="J77" s="13">
        <f>532+42</f>
        <v>574</v>
      </c>
      <c r="K77" s="13"/>
      <c r="L77" s="13">
        <f>204</f>
        <v>204</v>
      </c>
      <c r="M77" s="13">
        <f>8+32+53+15+50</f>
        <v>158</v>
      </c>
      <c r="N77" s="557"/>
      <c r="O77" s="488">
        <f t="shared" si="0"/>
        <v>1030</v>
      </c>
      <c r="P77" s="389"/>
      <c r="Q77" s="391"/>
      <c r="R77" s="391"/>
      <c r="S77" s="391"/>
      <c r="T77" s="391"/>
      <c r="U77" s="391"/>
      <c r="V77" s="518"/>
    </row>
    <row r="78" spans="1:22" ht="34.9" customHeight="1" x14ac:dyDescent="0.25">
      <c r="A78" s="13">
        <v>77</v>
      </c>
      <c r="B78" s="95">
        <v>44828</v>
      </c>
      <c r="C78" s="13"/>
      <c r="D78" s="488"/>
      <c r="E78" s="13"/>
      <c r="F78" s="13"/>
      <c r="G78" s="13"/>
      <c r="H78" s="13"/>
      <c r="I78" s="13">
        <f>15+1+11+135</f>
        <v>162</v>
      </c>
      <c r="J78" s="13">
        <f>56+11+82+48+90</f>
        <v>287</v>
      </c>
      <c r="K78" s="13"/>
      <c r="L78" s="13">
        <f>63</f>
        <v>63</v>
      </c>
      <c r="M78" s="13">
        <f>7+100+238+100+15+31+437+20+13+47+34+8+46+40+1210+10</f>
        <v>2356</v>
      </c>
      <c r="N78" s="557"/>
      <c r="O78" s="488">
        <f t="shared" si="0"/>
        <v>2868</v>
      </c>
      <c r="P78" s="389"/>
      <c r="Q78" s="391"/>
      <c r="R78" s="391"/>
      <c r="S78" s="391"/>
      <c r="T78" s="391"/>
      <c r="U78" s="391"/>
      <c r="V78" s="518"/>
    </row>
    <row r="79" spans="1:22" ht="34.9" customHeight="1" x14ac:dyDescent="0.25">
      <c r="A79" s="190">
        <v>78</v>
      </c>
      <c r="B79" s="191">
        <v>44829</v>
      </c>
      <c r="C79" s="190"/>
      <c r="D79" s="190"/>
      <c r="E79" s="190"/>
      <c r="F79" s="190"/>
      <c r="G79" s="190"/>
      <c r="H79" s="190"/>
      <c r="I79" s="190"/>
      <c r="J79" s="190"/>
      <c r="K79" s="190"/>
      <c r="L79" s="190"/>
      <c r="M79" s="190"/>
      <c r="N79" s="559"/>
      <c r="O79" s="488">
        <f t="shared" si="0"/>
        <v>0</v>
      </c>
      <c r="P79" s="394"/>
      <c r="Q79" s="395" t="s">
        <v>225</v>
      </c>
      <c r="R79" s="395"/>
      <c r="S79" s="395"/>
      <c r="T79" s="395"/>
      <c r="U79" s="395"/>
      <c r="V79" s="518"/>
    </row>
    <row r="80" spans="1:22" ht="34.9" customHeight="1" x14ac:dyDescent="0.25">
      <c r="A80" s="13">
        <v>79</v>
      </c>
      <c r="B80" s="95">
        <v>44830</v>
      </c>
      <c r="C80" s="13">
        <f>194</f>
        <v>194</v>
      </c>
      <c r="D80" s="488"/>
      <c r="E80" s="13"/>
      <c r="F80" s="13"/>
      <c r="G80" s="13"/>
      <c r="H80" s="13">
        <f>8</f>
        <v>8</v>
      </c>
      <c r="I80" s="13">
        <f>53+28+14</f>
        <v>95</v>
      </c>
      <c r="J80" s="13">
        <f>90</f>
        <v>90</v>
      </c>
      <c r="K80" s="13"/>
      <c r="L80" s="13">
        <f>40</f>
        <v>40</v>
      </c>
      <c r="M80" s="13">
        <f>6+162+134+102+300</f>
        <v>704</v>
      </c>
      <c r="N80" s="557"/>
      <c r="O80" s="488">
        <f t="shared" si="0"/>
        <v>937</v>
      </c>
      <c r="P80" s="389"/>
      <c r="Q80" s="391"/>
      <c r="R80" s="391"/>
      <c r="S80" s="391"/>
      <c r="T80" s="391"/>
      <c r="U80" s="391"/>
      <c r="V80" s="518"/>
    </row>
    <row r="81" spans="1:22" ht="34.9" customHeight="1" x14ac:dyDescent="0.25">
      <c r="A81" s="13">
        <v>80</v>
      </c>
      <c r="B81" s="95">
        <v>44831</v>
      </c>
      <c r="C81" s="13"/>
      <c r="D81" s="488"/>
      <c r="E81" s="13"/>
      <c r="F81" s="13"/>
      <c r="G81" s="13">
        <f>10</f>
        <v>10</v>
      </c>
      <c r="H81" s="13"/>
      <c r="I81" s="13">
        <f>32+2</f>
        <v>34</v>
      </c>
      <c r="J81" s="13"/>
      <c r="K81" s="13"/>
      <c r="L81" s="13"/>
      <c r="M81" s="13">
        <f>35+370+60+50+406</f>
        <v>921</v>
      </c>
      <c r="N81" s="557"/>
      <c r="O81" s="488">
        <f t="shared" si="0"/>
        <v>965</v>
      </c>
      <c r="P81" s="389"/>
      <c r="Q81" s="391"/>
      <c r="R81" s="391"/>
      <c r="S81" s="391"/>
      <c r="T81" s="391"/>
      <c r="U81" s="391"/>
      <c r="V81" s="518"/>
    </row>
    <row r="82" spans="1:22" ht="34.9" customHeight="1" x14ac:dyDescent="0.25">
      <c r="A82" s="13">
        <v>81</v>
      </c>
      <c r="B82" s="95">
        <v>44832</v>
      </c>
      <c r="C82" s="13">
        <f>151</f>
        <v>151</v>
      </c>
      <c r="D82" s="488"/>
      <c r="E82" s="13"/>
      <c r="F82" s="13"/>
      <c r="G82" s="13">
        <f>1</f>
        <v>1</v>
      </c>
      <c r="H82" s="13"/>
      <c r="I82" s="13">
        <f>100+0.91+41+26</f>
        <v>167.91</v>
      </c>
      <c r="J82" s="13">
        <f>150</f>
        <v>150</v>
      </c>
      <c r="K82" s="13"/>
      <c r="L82" s="13">
        <f>75+6+13-7-9</f>
        <v>78</v>
      </c>
      <c r="M82" s="13">
        <f>30+57+88+26+361+6+49+20+20+131+113+136+7+9</f>
        <v>1053</v>
      </c>
      <c r="N82" s="557"/>
      <c r="O82" s="488">
        <f t="shared" si="0"/>
        <v>1449.9099999999999</v>
      </c>
      <c r="P82" s="389"/>
      <c r="Q82" s="391"/>
      <c r="R82" s="391"/>
      <c r="S82" s="391"/>
      <c r="T82" s="391"/>
      <c r="U82" s="391"/>
      <c r="V82" s="518"/>
    </row>
    <row r="83" spans="1:22" ht="34.9" customHeight="1" x14ac:dyDescent="0.25">
      <c r="A83" s="13">
        <v>82</v>
      </c>
      <c r="B83" s="95">
        <v>44833</v>
      </c>
      <c r="C83" s="13"/>
      <c r="D83" s="488"/>
      <c r="E83" s="13" t="s">
        <v>261</v>
      </c>
      <c r="F83" s="105">
        <f>297-15</f>
        <v>282</v>
      </c>
      <c r="G83" s="13"/>
      <c r="H83" s="13">
        <f>52</f>
        <v>52</v>
      </c>
      <c r="I83" s="13">
        <f>50+39+16+34+34+28</f>
        <v>201</v>
      </c>
      <c r="J83" s="13">
        <f>95+20</f>
        <v>115</v>
      </c>
      <c r="K83" s="13"/>
      <c r="L83" s="13"/>
      <c r="M83" s="13">
        <f>20+300+15+11+10+100+70+50+14+45</f>
        <v>635</v>
      </c>
      <c r="N83" s="557"/>
      <c r="O83" s="488">
        <f t="shared" si="0"/>
        <v>1285</v>
      </c>
      <c r="P83" s="389"/>
      <c r="Q83" s="391"/>
      <c r="R83" s="391"/>
      <c r="S83" s="391"/>
      <c r="T83" s="391"/>
      <c r="U83" s="391"/>
      <c r="V83" s="518"/>
    </row>
    <row r="84" spans="1:22" ht="34.9" customHeight="1" x14ac:dyDescent="0.25">
      <c r="A84" s="13">
        <v>83</v>
      </c>
      <c r="B84" s="95">
        <v>44834</v>
      </c>
      <c r="C84" s="13">
        <f>80</f>
        <v>80</v>
      </c>
      <c r="D84" s="488"/>
      <c r="E84" s="13"/>
      <c r="F84" s="13"/>
      <c r="G84" s="13"/>
      <c r="H84" s="13"/>
      <c r="I84" s="13">
        <f>1+8</f>
        <v>9</v>
      </c>
      <c r="J84" s="13"/>
      <c r="K84" s="13"/>
      <c r="L84" s="13">
        <f>-9</f>
        <v>-9</v>
      </c>
      <c r="M84" s="13">
        <f>14+45+26+53+40+100+124+33+15+277+31+20</f>
        <v>778</v>
      </c>
      <c r="N84" s="557"/>
      <c r="O84" s="488">
        <f t="shared" si="0"/>
        <v>778</v>
      </c>
      <c r="P84" s="389"/>
      <c r="Q84" s="391"/>
      <c r="R84" s="391"/>
      <c r="S84" s="391"/>
      <c r="T84" s="391"/>
      <c r="U84" s="391"/>
      <c r="V84" s="518"/>
    </row>
    <row r="85" spans="1:22" ht="34.9" customHeight="1" x14ac:dyDescent="0.25">
      <c r="A85" s="13">
        <v>84</v>
      </c>
      <c r="B85" s="95">
        <v>44835</v>
      </c>
      <c r="C85" s="13"/>
      <c r="D85" s="488"/>
      <c r="E85" s="13"/>
      <c r="F85" s="13"/>
      <c r="G85" s="13">
        <f>-2-1</f>
        <v>-3</v>
      </c>
      <c r="H85" s="13"/>
      <c r="I85" s="13">
        <f>2+26+10+10</f>
        <v>48</v>
      </c>
      <c r="J85" s="13">
        <f>34</f>
        <v>34</v>
      </c>
      <c r="K85" s="13"/>
      <c r="L85" s="13">
        <f>-4</f>
        <v>-4</v>
      </c>
      <c r="M85" s="13">
        <f>60+73+95+30+667+136+103+31+80+50+100</f>
        <v>1425</v>
      </c>
      <c r="N85" s="557"/>
      <c r="O85" s="488">
        <f t="shared" si="0"/>
        <v>1500</v>
      </c>
      <c r="P85" s="389"/>
      <c r="Q85" s="391"/>
      <c r="R85" s="391"/>
      <c r="S85" s="391"/>
      <c r="T85" s="391"/>
      <c r="U85" s="391"/>
      <c r="V85" s="518"/>
    </row>
    <row r="86" spans="1:22" ht="34.9" customHeight="1" x14ac:dyDescent="0.25">
      <c r="A86" s="190">
        <v>85</v>
      </c>
      <c r="B86" s="191">
        <v>44836</v>
      </c>
      <c r="C86" s="190"/>
      <c r="D86" s="190"/>
      <c r="E86" s="190"/>
      <c r="F86" s="190"/>
      <c r="G86" s="190"/>
      <c r="H86" s="190"/>
      <c r="I86" s="190"/>
      <c r="J86" s="190"/>
      <c r="K86" s="190"/>
      <c r="L86" s="190"/>
      <c r="M86" s="190"/>
      <c r="N86" s="559"/>
      <c r="O86" s="488">
        <f t="shared" si="0"/>
        <v>0</v>
      </c>
      <c r="P86" s="394"/>
      <c r="Q86" s="395"/>
      <c r="R86" s="395"/>
      <c r="S86" s="395"/>
      <c r="T86" s="395"/>
      <c r="U86" s="395"/>
      <c r="V86" s="518"/>
    </row>
    <row r="87" spans="1:22" ht="34.9" customHeight="1" x14ac:dyDescent="0.25">
      <c r="A87" s="13">
        <v>86</v>
      </c>
      <c r="B87" s="95">
        <v>44837</v>
      </c>
      <c r="C87" s="13"/>
      <c r="D87" s="488"/>
      <c r="E87" s="13"/>
      <c r="F87" s="13"/>
      <c r="G87" s="13"/>
      <c r="H87" s="13"/>
      <c r="I87" s="13">
        <f>7+35+318+48</f>
        <v>408</v>
      </c>
      <c r="J87" s="13">
        <f>206+191</f>
        <v>397</v>
      </c>
      <c r="K87" s="13"/>
      <c r="L87" s="13"/>
      <c r="M87" s="13">
        <f>100+100+15+135+34</f>
        <v>384</v>
      </c>
      <c r="N87" s="557"/>
      <c r="O87" s="488">
        <f t="shared" si="0"/>
        <v>1189</v>
      </c>
      <c r="P87" s="389"/>
      <c r="Q87" s="391"/>
      <c r="R87" s="391"/>
      <c r="S87" s="391"/>
      <c r="T87" s="391"/>
      <c r="U87" s="391"/>
      <c r="V87" s="518"/>
    </row>
    <row r="88" spans="1:22" ht="34.9" customHeight="1" x14ac:dyDescent="0.25">
      <c r="A88" s="13">
        <v>87</v>
      </c>
      <c r="B88" s="95">
        <v>44838</v>
      </c>
      <c r="C88" s="13"/>
      <c r="D88" s="488"/>
      <c r="E88" s="13"/>
      <c r="F88" s="13"/>
      <c r="G88" s="13"/>
      <c r="H88" s="13"/>
      <c r="I88" s="13">
        <f>11+15+48+34</f>
        <v>108</v>
      </c>
      <c r="J88" s="13"/>
      <c r="K88" s="13"/>
      <c r="L88" s="13"/>
      <c r="M88" s="13">
        <f>85+13+106+26+20+39+34+68+340</f>
        <v>731</v>
      </c>
      <c r="N88" s="557"/>
      <c r="O88" s="488">
        <f t="shared" si="0"/>
        <v>839</v>
      </c>
      <c r="P88" s="389"/>
      <c r="Q88" s="391"/>
      <c r="R88" s="391"/>
      <c r="S88" s="391"/>
      <c r="T88" s="391"/>
      <c r="U88" s="391"/>
      <c r="V88" s="518"/>
    </row>
    <row r="89" spans="1:22" ht="34.9" customHeight="1" x14ac:dyDescent="0.25">
      <c r="A89" s="13">
        <v>88</v>
      </c>
      <c r="B89" s="95">
        <v>44839</v>
      </c>
      <c r="C89" s="13"/>
      <c r="D89" s="488"/>
      <c r="E89" s="13" t="s">
        <v>266</v>
      </c>
      <c r="F89" s="13">
        <v>7</v>
      </c>
      <c r="G89" s="13">
        <f>15-5-5-1</f>
        <v>4</v>
      </c>
      <c r="H89" s="13"/>
      <c r="I89" s="13">
        <f>204+8+12+30+107+34</f>
        <v>395</v>
      </c>
      <c r="J89" s="13">
        <f>750</f>
        <v>750</v>
      </c>
      <c r="K89" s="13"/>
      <c r="L89" s="13">
        <f>-4</f>
        <v>-4</v>
      </c>
      <c r="M89" s="13">
        <f>30+20+20+180+400+30+15+15</f>
        <v>710</v>
      </c>
      <c r="N89" s="557"/>
      <c r="O89" s="488">
        <f t="shared" si="0"/>
        <v>1862</v>
      </c>
      <c r="P89" s="389"/>
      <c r="Q89" s="391"/>
      <c r="R89" s="391"/>
      <c r="S89" s="391"/>
      <c r="T89" s="391"/>
      <c r="U89" s="391"/>
      <c r="V89" s="518"/>
    </row>
    <row r="90" spans="1:22" ht="34.9" customHeight="1" x14ac:dyDescent="0.25">
      <c r="A90" s="13">
        <v>89</v>
      </c>
      <c r="B90" s="95">
        <v>44840</v>
      </c>
      <c r="C90" s="13"/>
      <c r="D90" s="488"/>
      <c r="E90" s="13"/>
      <c r="F90" s="13"/>
      <c r="G90" s="13"/>
      <c r="H90" s="13">
        <f>39</f>
        <v>39</v>
      </c>
      <c r="I90" s="13">
        <f>88+270+64+204+136</f>
        <v>762</v>
      </c>
      <c r="J90" s="13"/>
      <c r="K90" s="13"/>
      <c r="L90" s="13">
        <f>19</f>
        <v>19</v>
      </c>
      <c r="M90" s="13">
        <f>121+20+850+64+150</f>
        <v>1205</v>
      </c>
      <c r="N90" s="557">
        <f>136</f>
        <v>136</v>
      </c>
      <c r="O90" s="488">
        <f t="shared" si="0"/>
        <v>2161</v>
      </c>
      <c r="P90" s="392"/>
      <c r="Q90" s="393"/>
      <c r="R90" s="391"/>
      <c r="S90" s="391"/>
      <c r="T90" s="391"/>
      <c r="U90" s="391"/>
      <c r="V90" s="518"/>
    </row>
    <row r="91" spans="1:22" ht="34.9" customHeight="1" x14ac:dyDescent="0.25">
      <c r="A91" s="13">
        <v>90</v>
      </c>
      <c r="B91" s="95">
        <v>44841</v>
      </c>
      <c r="C91" s="13"/>
      <c r="D91" s="488"/>
      <c r="E91" s="13"/>
      <c r="F91" s="13"/>
      <c r="G91" s="13"/>
      <c r="H91" s="13">
        <f>26+391</f>
        <v>417</v>
      </c>
      <c r="I91" s="13">
        <f>34+15+15+30+170+26+30+26+8+4+2+15+136+68+234+82+60+94</f>
        <v>1049</v>
      </c>
      <c r="J91" s="13">
        <f>183+34+64</f>
        <v>281</v>
      </c>
      <c r="K91" s="13">
        <f>150</f>
        <v>150</v>
      </c>
      <c r="L91" s="13">
        <f>-5</f>
        <v>-5</v>
      </c>
      <c r="M91" s="13">
        <f>168+100+20+15+20+100+130+30+14+26</f>
        <v>623</v>
      </c>
      <c r="N91" s="557">
        <f>-10</f>
        <v>-10</v>
      </c>
      <c r="O91" s="488">
        <f t="shared" si="0"/>
        <v>2505</v>
      </c>
      <c r="P91" s="389"/>
      <c r="Q91" s="391"/>
      <c r="R91" s="391"/>
      <c r="S91" s="391"/>
      <c r="T91" s="391"/>
      <c r="U91" s="391"/>
      <c r="V91" s="518"/>
    </row>
    <row r="92" spans="1:22" ht="34.9" customHeight="1" x14ac:dyDescent="0.25">
      <c r="A92" s="13">
        <v>91</v>
      </c>
      <c r="B92" s="95">
        <v>44842</v>
      </c>
      <c r="C92" s="13"/>
      <c r="D92" s="488"/>
      <c r="E92" s="13"/>
      <c r="F92" s="13"/>
      <c r="G92" s="13">
        <f>1</f>
        <v>1</v>
      </c>
      <c r="H92" s="13">
        <f>50</f>
        <v>50</v>
      </c>
      <c r="I92" s="13">
        <f>154+40+15+100+26+34+30+8+102+26+102+19+26</f>
        <v>682</v>
      </c>
      <c r="J92" s="13">
        <f>22+201+264+407.5</f>
        <v>894.5</v>
      </c>
      <c r="K92" s="13"/>
      <c r="L92" s="13">
        <f>34-2+26</f>
        <v>58</v>
      </c>
      <c r="M92" s="13">
        <f>15+26+60+30+52+60+25+68+15+39+20+70+15+30</f>
        <v>525</v>
      </c>
      <c r="N92" s="557"/>
      <c r="O92" s="488">
        <f t="shared" si="0"/>
        <v>2210.5</v>
      </c>
      <c r="P92" s="389"/>
      <c r="Q92" s="391"/>
      <c r="R92" s="391"/>
      <c r="S92" s="391"/>
      <c r="T92" s="391"/>
      <c r="U92" s="391"/>
      <c r="V92" s="518"/>
    </row>
    <row r="93" spans="1:22" ht="34.9" customHeight="1" x14ac:dyDescent="0.25">
      <c r="A93" s="13">
        <v>92</v>
      </c>
      <c r="B93" s="95">
        <v>44843</v>
      </c>
      <c r="C93" s="13"/>
      <c r="D93" s="488"/>
      <c r="E93" s="13"/>
      <c r="F93" s="13"/>
      <c r="G93" s="13"/>
      <c r="H93" s="13"/>
      <c r="I93" s="13"/>
      <c r="J93" s="13"/>
      <c r="K93" s="13"/>
      <c r="L93" s="13"/>
      <c r="M93" s="13"/>
      <c r="N93" s="557"/>
      <c r="O93" s="488">
        <f t="shared" si="0"/>
        <v>0</v>
      </c>
      <c r="P93" s="389"/>
      <c r="Q93" s="391"/>
      <c r="R93" s="391"/>
      <c r="S93" s="391"/>
      <c r="T93" s="391"/>
      <c r="U93" s="391"/>
      <c r="V93" s="518"/>
    </row>
    <row r="94" spans="1:22" ht="34.9" customHeight="1" x14ac:dyDescent="0.25">
      <c r="A94" s="13">
        <v>93</v>
      </c>
      <c r="B94" s="95">
        <v>44844</v>
      </c>
      <c r="C94" s="13">
        <f>1657+10-170</f>
        <v>1497</v>
      </c>
      <c r="D94" s="488"/>
      <c r="E94" s="13"/>
      <c r="F94" s="13"/>
      <c r="G94" s="13">
        <f>2</f>
        <v>2</v>
      </c>
      <c r="H94" s="13">
        <f>258</f>
        <v>258</v>
      </c>
      <c r="I94" s="13">
        <f>56+14+19+15+20+15+34+49+13+306+60+55.68+52+6+136+50+15+60</f>
        <v>975.68</v>
      </c>
      <c r="J94" s="13">
        <f>208+78+1633+46+40</f>
        <v>2005</v>
      </c>
      <c r="K94" s="13"/>
      <c r="L94" s="13">
        <f>34+1-10-7+40</f>
        <v>58</v>
      </c>
      <c r="M94" s="13">
        <f>80+20+15-5+34+135+50+39+15+39+270+50+200+30+189+100+189+68+11+90+130+50+15+39+15+98+20+15+18+39+49+34+15+100+200+90-20</f>
        <v>2526</v>
      </c>
      <c r="N94" s="557">
        <f>-7.68</f>
        <v>-7.68</v>
      </c>
      <c r="O94" s="488">
        <f t="shared" si="0"/>
        <v>5817</v>
      </c>
      <c r="P94" s="389"/>
      <c r="Q94" s="391"/>
      <c r="R94" s="391"/>
      <c r="S94" s="391"/>
      <c r="T94" s="391"/>
      <c r="U94" s="391"/>
      <c r="V94" s="518"/>
    </row>
    <row r="95" spans="1:22" ht="34.9" customHeight="1" x14ac:dyDescent="0.25">
      <c r="A95" s="13">
        <v>94</v>
      </c>
      <c r="B95" s="95">
        <v>44845</v>
      </c>
      <c r="C95" s="13">
        <f>269</f>
        <v>269</v>
      </c>
      <c r="D95" s="488"/>
      <c r="E95" s="13" t="s">
        <v>267</v>
      </c>
      <c r="F95" s="13">
        <v>561</v>
      </c>
      <c r="G95" s="13">
        <f>2</f>
        <v>2</v>
      </c>
      <c r="H95" s="13"/>
      <c r="I95" s="13">
        <f>61+91+139+39+68+166+39+30+5+30+39+15+61</f>
        <v>783</v>
      </c>
      <c r="J95" s="13">
        <f>113+121+100+198+35+33+135</f>
        <v>735</v>
      </c>
      <c r="K95" s="13"/>
      <c r="L95" s="13">
        <f>114+15-1-7-6</f>
        <v>115</v>
      </c>
      <c r="M95" s="13">
        <f>305+378+80+33+100+69+30+150+10+15+106+104+136+50+260+100+76+15+78+40+730+100+76+50+280+15+120+239</f>
        <v>3745</v>
      </c>
      <c r="N95" s="557">
        <f>-5+2+9.76+14.56</f>
        <v>21.32</v>
      </c>
      <c r="O95" s="488">
        <f t="shared" si="0"/>
        <v>5962.32</v>
      </c>
      <c r="P95" s="389"/>
      <c r="Q95" s="391"/>
      <c r="R95" s="391"/>
      <c r="S95" s="391"/>
      <c r="T95" s="391"/>
      <c r="U95" s="391"/>
      <c r="V95" s="518"/>
    </row>
    <row r="96" spans="1:22" ht="34.9" customHeight="1" x14ac:dyDescent="0.25">
      <c r="A96" s="13">
        <v>95</v>
      </c>
      <c r="B96" s="95">
        <v>44846</v>
      </c>
      <c r="C96" s="13"/>
      <c r="D96" s="488"/>
      <c r="E96" s="90" t="s">
        <v>268</v>
      </c>
      <c r="F96" s="13">
        <v>61</v>
      </c>
      <c r="G96" s="13">
        <f>-0.5</f>
        <v>-0.5</v>
      </c>
      <c r="H96" s="13"/>
      <c r="I96" s="13">
        <f>68+45.24+30</f>
        <v>143.24</v>
      </c>
      <c r="J96" s="13">
        <f>-102</f>
        <v>-102</v>
      </c>
      <c r="K96" s="13"/>
      <c r="L96" s="13">
        <f>236+30</f>
        <v>266</v>
      </c>
      <c r="M96" s="13">
        <f>39+70+102+30+39+14+9+510-336-29</f>
        <v>448</v>
      </c>
      <c r="N96" s="557">
        <f>39-45.24</f>
        <v>-6.240000000000002</v>
      </c>
      <c r="O96" s="488">
        <f t="shared" si="0"/>
        <v>809.5</v>
      </c>
      <c r="P96" s="389"/>
      <c r="Q96" s="391"/>
      <c r="R96" s="391"/>
      <c r="S96" s="391"/>
      <c r="T96" s="391"/>
      <c r="U96" s="391"/>
      <c r="V96" s="518"/>
    </row>
    <row r="97" spans="1:22" ht="34.9" customHeight="1" x14ac:dyDescent="0.25">
      <c r="A97" s="13">
        <v>96</v>
      </c>
      <c r="B97" s="95">
        <v>44847</v>
      </c>
      <c r="C97" s="13"/>
      <c r="D97" s="488"/>
      <c r="E97" s="13"/>
      <c r="F97" s="13">
        <f>-25.76</f>
        <v>-25.76</v>
      </c>
      <c r="G97" s="13"/>
      <c r="H97" s="13"/>
      <c r="I97" s="13">
        <f>39+122+30+6+30+8+78+1+8+31+270</f>
        <v>623</v>
      </c>
      <c r="J97" s="13"/>
      <c r="K97" s="13"/>
      <c r="L97" s="13"/>
      <c r="M97" s="13">
        <f>14+90+30+60+357+90+30+98+77+22+53+60+78+100+31+30</f>
        <v>1220</v>
      </c>
      <c r="N97" s="557">
        <f>25.76</f>
        <v>25.76</v>
      </c>
      <c r="O97" s="488">
        <f t="shared" si="0"/>
        <v>1843</v>
      </c>
      <c r="P97" s="389"/>
      <c r="Q97" s="391"/>
      <c r="R97" s="391"/>
      <c r="S97" s="391"/>
      <c r="T97" s="391"/>
      <c r="U97" s="391"/>
      <c r="V97" s="518"/>
    </row>
    <row r="98" spans="1:22" ht="34.9" customHeight="1" x14ac:dyDescent="0.25">
      <c r="A98" s="13">
        <v>97</v>
      </c>
      <c r="B98" s="95">
        <v>44848</v>
      </c>
      <c r="C98" s="13">
        <f>27+23</f>
        <v>50</v>
      </c>
      <c r="D98" s="488"/>
      <c r="E98" s="90" t="s">
        <v>270</v>
      </c>
      <c r="F98" s="13">
        <f>18.16+302.5+5</f>
        <v>325.66000000000003</v>
      </c>
      <c r="G98" s="13"/>
      <c r="H98" s="13">
        <f>184+71</f>
        <v>255</v>
      </c>
      <c r="I98" s="13">
        <f>5+107+68+68</f>
        <v>248</v>
      </c>
      <c r="J98" s="13">
        <f>268+341+131</f>
        <v>740</v>
      </c>
      <c r="K98" s="13"/>
      <c r="L98" s="13"/>
      <c r="M98" s="13">
        <f>17+68+102+17+68+90</f>
        <v>362</v>
      </c>
      <c r="N98" s="557"/>
      <c r="O98" s="488">
        <f t="shared" si="0"/>
        <v>1930.66</v>
      </c>
      <c r="P98" s="389"/>
      <c r="Q98" s="391"/>
      <c r="R98" s="391"/>
      <c r="S98" s="391"/>
      <c r="T98" s="391"/>
      <c r="U98" s="391"/>
      <c r="V98" s="518"/>
    </row>
    <row r="99" spans="1:22" ht="34.9" customHeight="1" x14ac:dyDescent="0.25">
      <c r="A99" s="13">
        <v>98</v>
      </c>
      <c r="B99" s="95">
        <v>44849</v>
      </c>
      <c r="C99" s="13">
        <v>218</v>
      </c>
      <c r="D99" s="488"/>
      <c r="E99" s="13"/>
      <c r="F99" s="13"/>
      <c r="G99" s="13">
        <f>3-2</f>
        <v>1</v>
      </c>
      <c r="H99" s="13"/>
      <c r="I99" s="13">
        <f>77+13+34+204.82+50+39+68+34+63+94+8+69+15</f>
        <v>768.81999999999994</v>
      </c>
      <c r="J99" s="13">
        <f>35.18</f>
        <v>35.18</v>
      </c>
      <c r="K99" s="13"/>
      <c r="L99" s="13">
        <f>6+1+9+26</f>
        <v>42</v>
      </c>
      <c r="M99" s="13">
        <f>132+135+39+20+198+60+10+10+34+65+83+34+30+15+39+44+175+100+2</f>
        <v>1225</v>
      </c>
      <c r="N99" s="557"/>
      <c r="O99" s="488">
        <f t="shared" si="0"/>
        <v>2072</v>
      </c>
      <c r="P99" s="389"/>
      <c r="Q99" s="391"/>
      <c r="R99" s="391"/>
      <c r="S99" s="391"/>
      <c r="T99" s="391"/>
      <c r="U99" s="391"/>
      <c r="V99" s="518"/>
    </row>
    <row r="100" spans="1:22" ht="34.9" customHeight="1" x14ac:dyDescent="0.25">
      <c r="A100" s="190">
        <v>99</v>
      </c>
      <c r="B100" s="191">
        <v>44850</v>
      </c>
      <c r="C100" s="190"/>
      <c r="D100" s="190"/>
      <c r="E100" s="190"/>
      <c r="F100" s="190"/>
      <c r="G100" s="190"/>
      <c r="H100" s="190"/>
      <c r="I100" s="190"/>
      <c r="J100" s="190"/>
      <c r="K100" s="190"/>
      <c r="L100" s="190"/>
      <c r="M100" s="190"/>
      <c r="N100" s="559"/>
      <c r="O100" s="488">
        <f t="shared" si="0"/>
        <v>0</v>
      </c>
      <c r="P100" s="394"/>
      <c r="Q100" s="395"/>
      <c r="R100" s="395"/>
      <c r="S100" s="395"/>
      <c r="T100" s="395"/>
      <c r="U100" s="395"/>
      <c r="V100" s="518"/>
    </row>
    <row r="101" spans="1:22" ht="34.9" customHeight="1" x14ac:dyDescent="0.25">
      <c r="A101" s="13">
        <v>100</v>
      </c>
      <c r="B101" s="95">
        <v>44851</v>
      </c>
      <c r="C101" s="13">
        <f>373</f>
        <v>373</v>
      </c>
      <c r="D101" s="488"/>
      <c r="E101" s="90" t="s">
        <v>272</v>
      </c>
      <c r="F101" s="13">
        <f>350+5+244</f>
        <v>599</v>
      </c>
      <c r="G101" s="13"/>
      <c r="H101" s="13">
        <f>98</f>
        <v>98</v>
      </c>
      <c r="I101" s="13">
        <f>59+2</f>
        <v>61</v>
      </c>
      <c r="J101" s="13">
        <f>235+68+48+20</f>
        <v>371</v>
      </c>
      <c r="K101" s="13"/>
      <c r="L101" s="13"/>
      <c r="M101" s="13">
        <f>10+100+60+26+30+39+60+165+100+34+67+39+75+98</f>
        <v>903</v>
      </c>
      <c r="N101" s="557">
        <f>11+26+984+2-51.2</f>
        <v>971.8</v>
      </c>
      <c r="O101" s="488">
        <f t="shared" si="0"/>
        <v>3003.8</v>
      </c>
      <c r="P101" s="389"/>
      <c r="Q101" s="391"/>
      <c r="R101" s="391"/>
      <c r="S101" s="391"/>
      <c r="T101" s="391"/>
      <c r="U101" s="391"/>
      <c r="V101" s="518"/>
    </row>
    <row r="102" spans="1:22" ht="34.9" customHeight="1" x14ac:dyDescent="0.25">
      <c r="A102" s="13">
        <v>101</v>
      </c>
      <c r="B102" s="95">
        <v>44852</v>
      </c>
      <c r="C102" s="13"/>
      <c r="D102" s="488"/>
      <c r="E102" s="90" t="s">
        <v>273</v>
      </c>
      <c r="F102" s="13">
        <f>11.84</f>
        <v>11.84</v>
      </c>
      <c r="G102" s="13"/>
      <c r="H102" s="13"/>
      <c r="I102" s="13">
        <f>26+50+30+35+8</f>
        <v>149</v>
      </c>
      <c r="J102" s="13">
        <f>163+35</f>
        <v>198</v>
      </c>
      <c r="K102" s="13"/>
      <c r="L102" s="13">
        <f>10</f>
        <v>10</v>
      </c>
      <c r="M102" s="13">
        <f>15+60+61+316-102</f>
        <v>350</v>
      </c>
      <c r="N102" s="557"/>
      <c r="O102" s="488">
        <f t="shared" si="0"/>
        <v>718.84</v>
      </c>
      <c r="P102" s="389"/>
      <c r="Q102" s="391"/>
      <c r="R102" s="391"/>
      <c r="S102" s="391"/>
      <c r="T102" s="391"/>
      <c r="U102" s="391"/>
      <c r="V102" s="518"/>
    </row>
    <row r="103" spans="1:22" ht="34.9" customHeight="1" x14ac:dyDescent="0.25">
      <c r="A103" s="13">
        <v>102</v>
      </c>
      <c r="B103" s="95">
        <v>44853</v>
      </c>
      <c r="C103" s="13">
        <v>366</v>
      </c>
      <c r="D103" s="488"/>
      <c r="E103" s="90"/>
      <c r="F103" s="13"/>
      <c r="G103" s="13"/>
      <c r="H103" s="13"/>
      <c r="I103" s="13">
        <f>45+30+46+30+39</f>
        <v>190</v>
      </c>
      <c r="J103" s="13">
        <f>46+27+305+493+114</f>
        <v>985</v>
      </c>
      <c r="K103" s="13"/>
      <c r="L103" s="13"/>
      <c r="M103" s="13">
        <f>29+30+30+39+14+39</f>
        <v>181</v>
      </c>
      <c r="N103" s="557"/>
      <c r="O103" s="488">
        <f t="shared" si="0"/>
        <v>1356</v>
      </c>
      <c r="P103" s="389"/>
      <c r="Q103" s="391"/>
      <c r="R103" s="391"/>
      <c r="S103" s="391"/>
      <c r="T103" s="391"/>
      <c r="U103" s="391"/>
      <c r="V103" s="518"/>
    </row>
    <row r="104" spans="1:22" ht="34.9" customHeight="1" x14ac:dyDescent="0.25">
      <c r="A104" s="13">
        <v>103</v>
      </c>
      <c r="B104" s="95">
        <v>44854</v>
      </c>
      <c r="C104" s="13"/>
      <c r="D104" s="488"/>
      <c r="E104" s="90"/>
      <c r="F104" s="13"/>
      <c r="G104" s="13"/>
      <c r="H104" s="13"/>
      <c r="I104" s="13">
        <f>26+1+26+130+106</f>
        <v>289</v>
      </c>
      <c r="J104" s="13"/>
      <c r="K104" s="13"/>
      <c r="L104" s="13"/>
      <c r="M104" s="13">
        <f>105+78+15+39+78+30+138+40+140+26+30</f>
        <v>719</v>
      </c>
      <c r="N104" s="557"/>
      <c r="O104" s="488">
        <f t="shared" si="0"/>
        <v>1008</v>
      </c>
      <c r="P104" s="389"/>
      <c r="Q104" s="391"/>
      <c r="R104" s="391"/>
      <c r="S104" s="391"/>
      <c r="T104" s="391"/>
      <c r="U104" s="391"/>
      <c r="V104" s="518"/>
    </row>
    <row r="105" spans="1:22" ht="34.9" customHeight="1" x14ac:dyDescent="0.25">
      <c r="A105" s="13">
        <v>104</v>
      </c>
      <c r="B105" s="95">
        <v>44855</v>
      </c>
      <c r="C105" s="13"/>
      <c r="D105" s="488"/>
      <c r="E105" s="90"/>
      <c r="F105" s="13"/>
      <c r="G105" s="13"/>
      <c r="H105" s="13"/>
      <c r="I105" s="13">
        <f>34+34+48+19+2+30+6+10+15+15+22.85</f>
        <v>235.85</v>
      </c>
      <c r="J105" s="13">
        <v>30</v>
      </c>
      <c r="K105" s="13"/>
      <c r="L105" s="13"/>
      <c r="M105" s="13">
        <f>60-2+52+120+212+100+26+8+7+29</f>
        <v>612</v>
      </c>
      <c r="N105" s="557"/>
      <c r="O105" s="488">
        <f t="shared" si="0"/>
        <v>877.85</v>
      </c>
      <c r="P105" s="389"/>
      <c r="Q105" s="391"/>
      <c r="R105" s="391"/>
      <c r="S105" s="391"/>
      <c r="T105" s="391"/>
      <c r="U105" s="391"/>
      <c r="V105" s="518"/>
    </row>
    <row r="106" spans="1:22" ht="34.9" customHeight="1" x14ac:dyDescent="0.25">
      <c r="A106" s="13">
        <v>105</v>
      </c>
      <c r="B106" s="95">
        <v>44856</v>
      </c>
      <c r="C106" s="13">
        <f>402</f>
        <v>402</v>
      </c>
      <c r="D106" s="488"/>
      <c r="E106" s="90"/>
      <c r="F106" s="13"/>
      <c r="G106" s="13">
        <f>0.1</f>
        <v>0.1</v>
      </c>
      <c r="H106" s="13"/>
      <c r="I106" s="13">
        <f>34+30+50+280+8+4+31+309.9+2+35+34+34</f>
        <v>851.9</v>
      </c>
      <c r="J106" s="13">
        <f>50+76+646</f>
        <v>772</v>
      </c>
      <c r="K106" s="13"/>
      <c r="L106" s="13">
        <f>548</f>
        <v>548</v>
      </c>
      <c r="M106" s="13">
        <f>45+100+102+34+238+30+214+49+75+100+75</f>
        <v>1062</v>
      </c>
      <c r="N106" s="557"/>
      <c r="O106" s="488">
        <f t="shared" si="0"/>
        <v>3234</v>
      </c>
      <c r="P106" s="389"/>
      <c r="Q106" s="391"/>
      <c r="R106" s="391"/>
      <c r="S106" s="391"/>
      <c r="T106" s="391"/>
      <c r="U106" s="391"/>
      <c r="V106" s="518"/>
    </row>
    <row r="107" spans="1:22" ht="34.9" customHeight="1" x14ac:dyDescent="0.25">
      <c r="A107" s="190">
        <v>106</v>
      </c>
      <c r="B107" s="191">
        <v>44857</v>
      </c>
      <c r="C107" s="190"/>
      <c r="D107" s="190"/>
      <c r="E107" s="250"/>
      <c r="F107" s="190"/>
      <c r="G107" s="190"/>
      <c r="H107" s="190"/>
      <c r="I107" s="190"/>
      <c r="J107" s="190"/>
      <c r="K107" s="190"/>
      <c r="L107" s="190"/>
      <c r="M107" s="190"/>
      <c r="N107" s="559"/>
      <c r="O107" s="488">
        <f t="shared" si="0"/>
        <v>0</v>
      </c>
      <c r="P107" s="394"/>
      <c r="Q107" s="395"/>
      <c r="R107" s="395"/>
      <c r="S107" s="395"/>
      <c r="T107" s="395"/>
      <c r="U107" s="395"/>
      <c r="V107" s="518"/>
    </row>
    <row r="108" spans="1:22" ht="34.9" customHeight="1" x14ac:dyDescent="0.25">
      <c r="A108" s="13">
        <v>107</v>
      </c>
      <c r="B108" s="95">
        <v>44858</v>
      </c>
      <c r="C108" s="13"/>
      <c r="D108" s="488"/>
      <c r="E108" s="90"/>
      <c r="F108" s="13"/>
      <c r="G108" s="13">
        <v>10</v>
      </c>
      <c r="H108" s="13"/>
      <c r="I108" s="13">
        <f>31+26+1+50+62+14+78+31</f>
        <v>293</v>
      </c>
      <c r="J108" s="13">
        <f>14+250+78+100</f>
        <v>442</v>
      </c>
      <c r="K108" s="13"/>
      <c r="L108" s="13">
        <f>15</f>
        <v>15</v>
      </c>
      <c r="M108" s="13">
        <f>87+15+90+78+30+30+272+100+35+50</f>
        <v>787</v>
      </c>
      <c r="N108" s="557">
        <f>-107</f>
        <v>-107</v>
      </c>
      <c r="O108" s="488">
        <f t="shared" si="0"/>
        <v>1440</v>
      </c>
      <c r="P108" s="389"/>
      <c r="Q108" s="391"/>
      <c r="R108" s="391"/>
      <c r="S108" s="391"/>
      <c r="T108" s="391"/>
      <c r="U108" s="391"/>
      <c r="V108" s="518"/>
    </row>
    <row r="109" spans="1:22" ht="34.9" customHeight="1" x14ac:dyDescent="0.25">
      <c r="A109" s="13">
        <v>108</v>
      </c>
      <c r="B109" s="95">
        <v>44859</v>
      </c>
      <c r="C109" s="13">
        <f>298</f>
        <v>298</v>
      </c>
      <c r="D109" s="488"/>
      <c r="E109" s="90"/>
      <c r="F109" s="13"/>
      <c r="G109" s="13"/>
      <c r="H109" s="13"/>
      <c r="I109" s="13">
        <f>50+30+31+1+50+25+20</f>
        <v>207</v>
      </c>
      <c r="J109" s="13">
        <f>57+31+112</f>
        <v>200</v>
      </c>
      <c r="K109" s="13"/>
      <c r="L109" s="13">
        <f>100</f>
        <v>100</v>
      </c>
      <c r="M109" s="13">
        <f>20+45+280+104+100+106+30+31+11+248</f>
        <v>975</v>
      </c>
      <c r="N109" s="557">
        <f>46</f>
        <v>46</v>
      </c>
      <c r="O109" s="488">
        <f t="shared" si="0"/>
        <v>1528</v>
      </c>
      <c r="P109" s="389"/>
      <c r="Q109" s="391"/>
      <c r="R109" s="391"/>
      <c r="S109" s="391"/>
      <c r="T109" s="391"/>
      <c r="U109" s="391"/>
      <c r="V109" s="518"/>
    </row>
    <row r="110" spans="1:22" ht="34.9" customHeight="1" x14ac:dyDescent="0.25">
      <c r="A110" s="13">
        <v>109</v>
      </c>
      <c r="B110" s="95">
        <v>44860</v>
      </c>
      <c r="C110" s="13"/>
      <c r="D110" s="488"/>
      <c r="E110" s="90"/>
      <c r="F110" s="13"/>
      <c r="G110" s="13"/>
      <c r="H110" s="13"/>
      <c r="I110" s="13">
        <f>14+13</f>
        <v>27</v>
      </c>
      <c r="J110" s="13">
        <f>250+132+200+300</f>
        <v>882</v>
      </c>
      <c r="K110" s="13"/>
      <c r="L110" s="13"/>
      <c r="M110" s="13">
        <f>6+116</f>
        <v>122</v>
      </c>
      <c r="N110" s="557">
        <f>-170-200-9</f>
        <v>-379</v>
      </c>
      <c r="O110" s="488">
        <f t="shared" si="0"/>
        <v>652</v>
      </c>
      <c r="P110" s="392"/>
      <c r="Q110" s="391"/>
      <c r="R110" s="391"/>
      <c r="S110" s="391"/>
      <c r="T110" s="391"/>
      <c r="U110" s="391"/>
      <c r="V110" s="518"/>
    </row>
    <row r="111" spans="1:22" ht="34.9" customHeight="1" x14ac:dyDescent="0.25">
      <c r="A111" s="13">
        <v>110</v>
      </c>
      <c r="B111" s="95">
        <v>44861</v>
      </c>
      <c r="C111" s="13">
        <v>220</v>
      </c>
      <c r="D111" s="488"/>
      <c r="E111" s="90"/>
      <c r="F111" s="13"/>
      <c r="G111" s="13"/>
      <c r="H111" s="13">
        <f>145</f>
        <v>145</v>
      </c>
      <c r="I111" s="13">
        <f>34+2+15+7+14+15+6+77+2</f>
        <v>172</v>
      </c>
      <c r="J111" s="13">
        <f>100+100+221+174+53.36</f>
        <v>648.36</v>
      </c>
      <c r="K111" s="13"/>
      <c r="L111" s="13"/>
      <c r="M111" s="13">
        <f>50+10+50+34+15+60+93+153+30+43+100+39+26+145+15+59-9</f>
        <v>913</v>
      </c>
      <c r="N111" s="557">
        <f>46-53.36+9</f>
        <v>1.6400000000000006</v>
      </c>
      <c r="O111" s="488">
        <f t="shared" si="0"/>
        <v>1880.0000000000002</v>
      </c>
      <c r="P111" s="389"/>
      <c r="Q111" s="391"/>
      <c r="R111" s="391"/>
      <c r="S111" s="391"/>
      <c r="T111" s="391"/>
      <c r="U111" s="391"/>
      <c r="V111" s="518"/>
    </row>
    <row r="112" spans="1:22" ht="34.9" customHeight="1" x14ac:dyDescent="0.25">
      <c r="A112" s="13">
        <v>111</v>
      </c>
      <c r="B112" s="95">
        <v>44862</v>
      </c>
      <c r="C112" s="13"/>
      <c r="D112" s="488"/>
      <c r="E112" s="90"/>
      <c r="F112" s="13"/>
      <c r="G112" s="13">
        <f>1+9</f>
        <v>10</v>
      </c>
      <c r="H112" s="13"/>
      <c r="I112" s="13">
        <f>100+6+110+26+26+136+100+8+22+8+13+3</f>
        <v>558</v>
      </c>
      <c r="J112" s="13">
        <f>82+68+104</f>
        <v>254</v>
      </c>
      <c r="K112" s="13"/>
      <c r="L112" s="13">
        <f>13+34+164+8-4</f>
        <v>215</v>
      </c>
      <c r="M112" s="13">
        <f>68+30+11+46+34+50+30+50+13+10+38+30+10+20+30</f>
        <v>470</v>
      </c>
      <c r="N112" s="557"/>
      <c r="O112" s="488">
        <f t="shared" si="0"/>
        <v>1507</v>
      </c>
      <c r="P112" s="389"/>
      <c r="Q112" s="391"/>
      <c r="R112" s="391"/>
      <c r="S112" s="391"/>
      <c r="T112" s="391"/>
      <c r="U112" s="391"/>
      <c r="V112" s="518"/>
    </row>
    <row r="113" spans="1:22" ht="34.9" customHeight="1" x14ac:dyDescent="0.25">
      <c r="A113" s="13">
        <v>112</v>
      </c>
      <c r="B113" s="95">
        <v>44863</v>
      </c>
      <c r="C113" s="13">
        <f>372+283</f>
        <v>655</v>
      </c>
      <c r="D113" s="488"/>
      <c r="E113" s="90"/>
      <c r="F113" s="13"/>
      <c r="G113" s="13">
        <f>2+25</f>
        <v>27</v>
      </c>
      <c r="H113" s="13"/>
      <c r="I113" s="13">
        <f>31+96+39+10+8+26+8+114.84+8+8+39</f>
        <v>387.84000000000003</v>
      </c>
      <c r="J113" s="13">
        <f>400</f>
        <v>400</v>
      </c>
      <c r="K113" s="13"/>
      <c r="L113" s="13">
        <f>14+39+26+8-4</f>
        <v>83</v>
      </c>
      <c r="M113" s="13">
        <f>480+14+34+135+60+60+100+139+26+350+133+124+68+34+40</f>
        <v>1797</v>
      </c>
      <c r="N113" s="557">
        <f>-15.84</f>
        <v>-15.84</v>
      </c>
      <c r="O113" s="488">
        <f t="shared" si="0"/>
        <v>2679</v>
      </c>
      <c r="P113" s="389"/>
      <c r="Q113" s="391"/>
      <c r="R113" s="391"/>
      <c r="S113" s="391"/>
      <c r="T113" s="391"/>
      <c r="U113" s="391"/>
      <c r="V113" s="518"/>
    </row>
    <row r="114" spans="1:22" ht="34.9" customHeight="1" x14ac:dyDescent="0.25">
      <c r="A114" s="190">
        <v>113</v>
      </c>
      <c r="B114" s="191">
        <v>44864</v>
      </c>
      <c r="C114" s="190"/>
      <c r="D114" s="190"/>
      <c r="E114" s="250"/>
      <c r="F114" s="190"/>
      <c r="G114" s="190"/>
      <c r="H114" s="190"/>
      <c r="I114" s="190"/>
      <c r="J114" s="190"/>
      <c r="K114" s="190"/>
      <c r="L114" s="190"/>
      <c r="M114" s="190"/>
      <c r="N114" s="559"/>
      <c r="O114" s="488">
        <f t="shared" si="0"/>
        <v>0</v>
      </c>
      <c r="P114" s="394"/>
      <c r="Q114" s="395"/>
      <c r="R114" s="395"/>
      <c r="S114" s="395"/>
      <c r="T114" s="395"/>
      <c r="U114" s="395"/>
      <c r="V114" s="518"/>
    </row>
    <row r="115" spans="1:22" ht="34.9" customHeight="1" x14ac:dyDescent="0.25">
      <c r="A115" s="13">
        <v>114</v>
      </c>
      <c r="B115" s="95">
        <v>44865</v>
      </c>
      <c r="C115" s="13">
        <f>476+94</f>
        <v>570</v>
      </c>
      <c r="D115" s="488"/>
      <c r="E115" s="90"/>
      <c r="F115" s="13"/>
      <c r="G115" s="13"/>
      <c r="H115" s="13">
        <f>139</f>
        <v>139</v>
      </c>
      <c r="I115" s="13">
        <f>34+48+50+102+26+39+130+212+4+52+352+50+34+6+14+14+349</f>
        <v>1516</v>
      </c>
      <c r="J115" s="13">
        <f>102+102+48+40</f>
        <v>292</v>
      </c>
      <c r="K115" s="13"/>
      <c r="L115" s="13">
        <f>68+48+50</f>
        <v>166</v>
      </c>
      <c r="M115" s="13">
        <f>50+68+8+98+260+39+39+100+100+130+34+8+150+30+39+73+30+90+90+34+30+178+100+73+34+39+5</f>
        <v>1929</v>
      </c>
      <c r="N115" s="557"/>
      <c r="O115" s="488">
        <f t="shared" si="0"/>
        <v>4042</v>
      </c>
      <c r="P115" s="389"/>
      <c r="Q115" s="391"/>
      <c r="R115" s="391"/>
      <c r="S115" s="391"/>
      <c r="T115" s="391"/>
      <c r="U115" s="391"/>
      <c r="V115" s="518"/>
    </row>
    <row r="116" spans="1:22" ht="34.9" customHeight="1" x14ac:dyDescent="0.25">
      <c r="A116" s="13">
        <v>115</v>
      </c>
      <c r="B116" s="95">
        <v>44866</v>
      </c>
      <c r="C116" s="13"/>
      <c r="D116" s="488"/>
      <c r="E116" s="90"/>
      <c r="F116" s="13"/>
      <c r="G116" s="13">
        <f>3+3-3-3</f>
        <v>0</v>
      </c>
      <c r="H116" s="13">
        <f>130</f>
        <v>130</v>
      </c>
      <c r="I116" s="13">
        <f>20+48+48+30+50+52+14+20.54+360+100</f>
        <v>742.54</v>
      </c>
      <c r="J116" s="13">
        <f>987+381.64+78+100+34+61.3+60</f>
        <v>1701.9399999999998</v>
      </c>
      <c r="K116" s="13"/>
      <c r="L116" s="13">
        <f>39+212+5</f>
        <v>256</v>
      </c>
      <c r="M116" s="13">
        <f>34+102+46+26+68+13+34+50+100+50+140+100+40+130+50+130+32+135+8+8+8+100+14+155-2-10+130-2+90+100+3+30+138+120</f>
        <v>2170</v>
      </c>
      <c r="N116" s="557">
        <f>-2.54-52.64-2.3</f>
        <v>-57.48</v>
      </c>
      <c r="O116" s="488">
        <f t="shared" si="0"/>
        <v>4943</v>
      </c>
      <c r="P116" s="389"/>
      <c r="Q116" s="391"/>
      <c r="R116" s="391"/>
      <c r="S116" s="391"/>
      <c r="T116" s="391"/>
      <c r="U116" s="391"/>
      <c r="V116" s="518"/>
    </row>
    <row r="117" spans="1:22" ht="34.9" customHeight="1" x14ac:dyDescent="0.25">
      <c r="A117" s="13">
        <v>116</v>
      </c>
      <c r="B117" s="95">
        <v>44867</v>
      </c>
      <c r="C117" s="13"/>
      <c r="D117" s="488"/>
      <c r="E117" s="90" t="s">
        <v>289</v>
      </c>
      <c r="F117" s="13">
        <f>10+5+1039</f>
        <v>1054</v>
      </c>
      <c r="G117" s="13"/>
      <c r="H117" s="13"/>
      <c r="I117" s="13">
        <f>424+130+8+8+60+39</f>
        <v>669</v>
      </c>
      <c r="J117" s="13">
        <f>592</f>
        <v>592</v>
      </c>
      <c r="K117" s="13"/>
      <c r="L117" s="13">
        <f>-3</f>
        <v>-3</v>
      </c>
      <c r="M117" s="13">
        <f>15+115+8+230+11+57+130+254+115+8+32+90+130+13+120+60+11+10</f>
        <v>1409</v>
      </c>
      <c r="N117" s="557"/>
      <c r="O117" s="488">
        <f t="shared" si="0"/>
        <v>3721</v>
      </c>
      <c r="P117" s="389"/>
      <c r="Q117" s="391"/>
      <c r="R117" s="391"/>
      <c r="S117" s="391"/>
      <c r="T117" s="391"/>
      <c r="U117" s="391"/>
      <c r="V117" s="518"/>
    </row>
    <row r="118" spans="1:22" ht="34.9" customHeight="1" x14ac:dyDescent="0.25">
      <c r="A118" s="13">
        <v>117</v>
      </c>
      <c r="B118" s="95">
        <v>44868</v>
      </c>
      <c r="C118" s="13">
        <f>39</f>
        <v>39</v>
      </c>
      <c r="D118" s="488"/>
      <c r="E118" s="90" t="s">
        <v>290</v>
      </c>
      <c r="F118" s="13">
        <v>439.25</v>
      </c>
      <c r="G118" s="13"/>
      <c r="H118" s="13"/>
      <c r="I118" s="13">
        <f>136+31+9+189+34+106+5+106</f>
        <v>616</v>
      </c>
      <c r="J118" s="13">
        <f>34</f>
        <v>34</v>
      </c>
      <c r="K118" s="13"/>
      <c r="L118" s="13">
        <f>106+30</f>
        <v>136</v>
      </c>
      <c r="M118" s="13">
        <f>8+13+19+228+9+98</f>
        <v>375</v>
      </c>
      <c r="N118" s="557">
        <f>-439.25</f>
        <v>-439.25</v>
      </c>
      <c r="O118" s="488">
        <f t="shared" si="0"/>
        <v>1161</v>
      </c>
      <c r="P118" s="389"/>
      <c r="Q118" s="391"/>
      <c r="R118" s="391"/>
      <c r="S118" s="391"/>
      <c r="T118" s="391"/>
      <c r="U118" s="391"/>
      <c r="V118" s="518"/>
    </row>
    <row r="119" spans="1:22" ht="34.9" customHeight="1" x14ac:dyDescent="0.25">
      <c r="A119" s="13">
        <v>118</v>
      </c>
      <c r="B119" s="95">
        <v>44869</v>
      </c>
      <c r="C119" s="13">
        <f>726</f>
        <v>726</v>
      </c>
      <c r="D119" s="488"/>
      <c r="E119" s="90"/>
      <c r="F119" s="13"/>
      <c r="G119" s="13"/>
      <c r="H119" s="13"/>
      <c r="I119" s="13">
        <f>39.44+5+130+26+102+4+64+30+11+1</f>
        <v>412.44</v>
      </c>
      <c r="J119" s="13">
        <f>715.5+95</f>
        <v>810.5</v>
      </c>
      <c r="K119" s="13"/>
      <c r="L119" s="13"/>
      <c r="M119" s="13">
        <f>120+22+48+90+17+30+39+13+90+321+408+30+148+68-5+30+132+68+30</f>
        <v>1699</v>
      </c>
      <c r="N119" s="557">
        <f>-5.44-5-4</f>
        <v>-14.440000000000001</v>
      </c>
      <c r="O119" s="488">
        <f t="shared" si="0"/>
        <v>2907.5</v>
      </c>
      <c r="P119" s="389"/>
      <c r="Q119" s="391"/>
      <c r="R119" s="391"/>
      <c r="S119" s="391"/>
      <c r="T119" s="391"/>
      <c r="U119" s="391"/>
      <c r="V119" s="518"/>
    </row>
    <row r="120" spans="1:22" ht="34.9" customHeight="1" x14ac:dyDescent="0.25">
      <c r="A120" s="13">
        <v>119</v>
      </c>
      <c r="B120" s="95">
        <v>44870</v>
      </c>
      <c r="C120" s="13"/>
      <c r="D120" s="488"/>
      <c r="E120" s="90"/>
      <c r="F120" s="13"/>
      <c r="G120" s="13"/>
      <c r="H120" s="13"/>
      <c r="I120" s="13">
        <f>102+68+14</f>
        <v>184</v>
      </c>
      <c r="J120" s="13">
        <f>438+78+481+136+45</f>
        <v>1178</v>
      </c>
      <c r="K120" s="13"/>
      <c r="L120" s="13">
        <v>200</v>
      </c>
      <c r="M120" s="13">
        <f>30+212+8+11+30+39+39+60+18+30+11</f>
        <v>488</v>
      </c>
      <c r="N120" s="557"/>
      <c r="O120" s="488">
        <f t="shared" ref="O120:O183" si="1">SUM(G120:N120)+F120+D120</f>
        <v>2050</v>
      </c>
      <c r="P120" s="389"/>
      <c r="Q120" s="391"/>
      <c r="R120" s="391"/>
      <c r="S120" s="391"/>
      <c r="T120" s="391"/>
      <c r="U120" s="391"/>
      <c r="V120" s="518"/>
    </row>
    <row r="121" spans="1:22" ht="34.9" customHeight="1" x14ac:dyDescent="0.25">
      <c r="A121" s="190">
        <v>120</v>
      </c>
      <c r="B121" s="191">
        <v>44871</v>
      </c>
      <c r="C121" s="190"/>
      <c r="D121" s="190"/>
      <c r="E121" s="250"/>
      <c r="F121" s="190"/>
      <c r="G121" s="190"/>
      <c r="H121" s="190"/>
      <c r="I121" s="190"/>
      <c r="J121" s="190"/>
      <c r="K121" s="190"/>
      <c r="L121" s="190"/>
      <c r="M121" s="190"/>
      <c r="N121" s="559"/>
      <c r="O121" s="488">
        <f t="shared" si="1"/>
        <v>0</v>
      </c>
      <c r="P121" s="394"/>
      <c r="Q121" s="395"/>
      <c r="R121" s="395"/>
      <c r="S121" s="395"/>
      <c r="T121" s="395"/>
      <c r="U121" s="395"/>
      <c r="V121" s="518"/>
    </row>
    <row r="122" spans="1:22" ht="34.9" customHeight="1" x14ac:dyDescent="0.25">
      <c r="A122" s="13">
        <v>121</v>
      </c>
      <c r="B122" s="95">
        <v>44872</v>
      </c>
      <c r="C122" s="13"/>
      <c r="D122" s="488"/>
      <c r="E122" s="90" t="s">
        <v>294</v>
      </c>
      <c r="F122" s="13">
        <v>215</v>
      </c>
      <c r="G122" s="13"/>
      <c r="H122" s="13"/>
      <c r="I122" s="13"/>
      <c r="J122" s="13"/>
      <c r="K122" s="13"/>
      <c r="L122" s="13"/>
      <c r="M122" s="13"/>
      <c r="N122" s="557"/>
      <c r="O122" s="488">
        <f t="shared" si="1"/>
        <v>215</v>
      </c>
      <c r="P122" s="389"/>
      <c r="Q122" s="391"/>
      <c r="R122" s="391"/>
      <c r="S122" s="391"/>
      <c r="T122" s="391"/>
      <c r="U122" s="391"/>
      <c r="V122" s="518"/>
    </row>
    <row r="123" spans="1:22" ht="34.9" customHeight="1" x14ac:dyDescent="0.25">
      <c r="A123" s="13">
        <v>122</v>
      </c>
      <c r="B123" s="95">
        <v>44873</v>
      </c>
      <c r="C123" s="13"/>
      <c r="D123" s="488"/>
      <c r="E123" s="90"/>
      <c r="F123" s="13"/>
      <c r="G123" s="13"/>
      <c r="H123" s="13"/>
      <c r="I123" s="13"/>
      <c r="J123" s="13"/>
      <c r="K123" s="13"/>
      <c r="L123" s="13"/>
      <c r="M123" s="13"/>
      <c r="N123" s="557"/>
      <c r="O123" s="488">
        <f t="shared" si="1"/>
        <v>0</v>
      </c>
      <c r="P123" s="389"/>
      <c r="Q123" s="391"/>
      <c r="R123" s="391"/>
      <c r="S123" s="391"/>
      <c r="T123" s="391"/>
      <c r="U123" s="391"/>
      <c r="V123" s="518"/>
    </row>
    <row r="124" spans="1:22" ht="34.9" customHeight="1" x14ac:dyDescent="0.25">
      <c r="A124" s="13">
        <v>123</v>
      </c>
      <c r="B124" s="95">
        <v>44874</v>
      </c>
      <c r="C124" s="13">
        <f>193</f>
        <v>193</v>
      </c>
      <c r="D124" s="488"/>
      <c r="E124" s="90"/>
      <c r="F124" s="13"/>
      <c r="G124" s="13"/>
      <c r="H124" s="13"/>
      <c r="I124" s="13">
        <f>31</f>
        <v>31</v>
      </c>
      <c r="J124" s="13">
        <f>92</f>
        <v>92</v>
      </c>
      <c r="K124" s="13"/>
      <c r="L124" s="13">
        <f>39</f>
        <v>39</v>
      </c>
      <c r="M124" s="13">
        <f>558</f>
        <v>558</v>
      </c>
      <c r="N124" s="557">
        <f>9+3.7</f>
        <v>12.7</v>
      </c>
      <c r="O124" s="488">
        <f t="shared" si="1"/>
        <v>732.7</v>
      </c>
      <c r="P124" s="389"/>
      <c r="Q124" s="391"/>
      <c r="R124" s="391"/>
      <c r="S124" s="391"/>
      <c r="T124" s="391"/>
      <c r="U124" s="391"/>
      <c r="V124" s="518"/>
    </row>
    <row r="125" spans="1:22" ht="34.9" customHeight="1" x14ac:dyDescent="0.25">
      <c r="A125" s="302">
        <v>124</v>
      </c>
      <c r="B125" s="303">
        <v>44875</v>
      </c>
      <c r="C125" s="302">
        <f>130</f>
        <v>130</v>
      </c>
      <c r="D125" s="302"/>
      <c r="E125" s="304" t="s">
        <v>293</v>
      </c>
      <c r="F125" s="302">
        <v>630</v>
      </c>
      <c r="G125" s="302"/>
      <c r="H125" s="302"/>
      <c r="I125" s="302">
        <f>60</f>
        <v>60</v>
      </c>
      <c r="J125" s="302">
        <f>289</f>
        <v>289</v>
      </c>
      <c r="K125" s="302"/>
      <c r="L125" s="302">
        <f>39</f>
        <v>39</v>
      </c>
      <c r="M125" s="302">
        <v>797</v>
      </c>
      <c r="N125" s="302">
        <f>39</f>
        <v>39</v>
      </c>
      <c r="O125" s="488">
        <f t="shared" si="1"/>
        <v>1854</v>
      </c>
      <c r="P125" s="389"/>
      <c r="Q125" s="391"/>
      <c r="R125" s="391"/>
      <c r="S125" s="391"/>
      <c r="T125" s="391"/>
      <c r="U125" s="391"/>
      <c r="V125" s="518"/>
    </row>
    <row r="126" spans="1:22" ht="34.9" customHeight="1" x14ac:dyDescent="0.25">
      <c r="A126" s="13">
        <v>125</v>
      </c>
      <c r="B126" s="95">
        <v>44876</v>
      </c>
      <c r="C126" s="13"/>
      <c r="D126" s="488"/>
      <c r="E126" s="90"/>
      <c r="F126" s="13"/>
      <c r="G126" s="13"/>
      <c r="H126" s="13"/>
      <c r="I126" s="13"/>
      <c r="J126" s="13">
        <f>518</f>
        <v>518</v>
      </c>
      <c r="K126" s="13"/>
      <c r="L126" s="13">
        <f>10</f>
        <v>10</v>
      </c>
      <c r="M126" s="13">
        <f>1775</f>
        <v>1775</v>
      </c>
      <c r="N126" s="557"/>
      <c r="O126" s="488">
        <f t="shared" si="1"/>
        <v>2303</v>
      </c>
      <c r="P126" s="389"/>
      <c r="Q126" s="391"/>
      <c r="R126" s="391"/>
      <c r="S126" s="391"/>
      <c r="T126" s="391"/>
      <c r="U126" s="391"/>
      <c r="V126" s="518"/>
    </row>
    <row r="127" spans="1:22" ht="34.9" customHeight="1" x14ac:dyDescent="0.25">
      <c r="A127" s="13">
        <v>126</v>
      </c>
      <c r="B127" s="95">
        <v>44877</v>
      </c>
      <c r="C127" s="13">
        <f>18+60</f>
        <v>78</v>
      </c>
      <c r="D127" s="488"/>
      <c r="E127" s="90"/>
      <c r="F127" s="13"/>
      <c r="G127" s="13"/>
      <c r="H127" s="13"/>
      <c r="I127" s="13">
        <f>190</f>
        <v>190</v>
      </c>
      <c r="J127" s="13">
        <f>626</f>
        <v>626</v>
      </c>
      <c r="K127" s="13"/>
      <c r="L127" s="13"/>
      <c r="M127" s="13">
        <f>628</f>
        <v>628</v>
      </c>
      <c r="N127" s="557"/>
      <c r="O127" s="488">
        <f t="shared" si="1"/>
        <v>1444</v>
      </c>
      <c r="P127" s="389"/>
      <c r="Q127" s="391"/>
      <c r="R127" s="391"/>
      <c r="S127" s="391"/>
      <c r="T127" s="391"/>
      <c r="U127" s="391"/>
      <c r="V127" s="518"/>
    </row>
    <row r="128" spans="1:22" ht="34.9" customHeight="1" x14ac:dyDescent="0.25">
      <c r="A128" s="190">
        <v>127</v>
      </c>
      <c r="B128" s="191">
        <v>44878</v>
      </c>
      <c r="C128" s="190"/>
      <c r="D128" s="190"/>
      <c r="E128" s="250"/>
      <c r="F128" s="190"/>
      <c r="G128" s="190"/>
      <c r="H128" s="190"/>
      <c r="I128" s="190"/>
      <c r="J128" s="190"/>
      <c r="K128" s="190"/>
      <c r="L128" s="190"/>
      <c r="M128" s="190"/>
      <c r="N128" s="559"/>
      <c r="O128" s="488">
        <f t="shared" si="1"/>
        <v>0</v>
      </c>
      <c r="P128" s="394"/>
      <c r="Q128" s="395"/>
      <c r="R128" s="395"/>
      <c r="S128" s="395"/>
      <c r="T128" s="395"/>
      <c r="U128" s="395"/>
      <c r="V128" s="518"/>
    </row>
    <row r="129" spans="1:22" ht="34.9" customHeight="1" x14ac:dyDescent="0.25">
      <c r="A129" s="13">
        <v>128</v>
      </c>
      <c r="B129" s="95">
        <v>44879</v>
      </c>
      <c r="C129" s="13">
        <f>125</f>
        <v>125</v>
      </c>
      <c r="D129" s="488"/>
      <c r="E129" s="90"/>
      <c r="F129" s="13"/>
      <c r="G129" s="13"/>
      <c r="H129" s="13">
        <f>374</f>
        <v>374</v>
      </c>
      <c r="I129" s="13">
        <f>365</f>
        <v>365</v>
      </c>
      <c r="J129" s="13">
        <f>547</f>
        <v>547</v>
      </c>
      <c r="K129" s="13"/>
      <c r="L129" s="13"/>
      <c r="M129" s="13">
        <f>868</f>
        <v>868</v>
      </c>
      <c r="N129" s="557"/>
      <c r="O129" s="488">
        <f t="shared" si="1"/>
        <v>2154</v>
      </c>
      <c r="P129" s="389"/>
      <c r="Q129" s="391"/>
      <c r="R129" s="391"/>
      <c r="S129" s="391"/>
      <c r="T129" s="391"/>
      <c r="U129" s="391"/>
      <c r="V129" s="518"/>
    </row>
    <row r="130" spans="1:22" ht="34.9" customHeight="1" x14ac:dyDescent="0.25">
      <c r="A130" s="13">
        <v>129</v>
      </c>
      <c r="B130" s="95">
        <v>44880</v>
      </c>
      <c r="C130" s="13">
        <f>127</f>
        <v>127</v>
      </c>
      <c r="D130" s="488"/>
      <c r="E130" s="90"/>
      <c r="F130" s="13"/>
      <c r="G130" s="13"/>
      <c r="H130" s="13"/>
      <c r="I130" s="13">
        <f>207</f>
        <v>207</v>
      </c>
      <c r="J130" s="13">
        <f>324</f>
        <v>324</v>
      </c>
      <c r="K130" s="13"/>
      <c r="L130" s="13">
        <f>10</f>
        <v>10</v>
      </c>
      <c r="M130" s="13">
        <f>2256</f>
        <v>2256</v>
      </c>
      <c r="N130" s="557"/>
      <c r="O130" s="488">
        <f t="shared" si="1"/>
        <v>2797</v>
      </c>
      <c r="P130" s="389"/>
      <c r="Q130" s="391"/>
      <c r="R130" s="391"/>
      <c r="S130" s="391"/>
      <c r="T130" s="391"/>
      <c r="U130" s="391"/>
      <c r="V130" s="518"/>
    </row>
    <row r="131" spans="1:22" ht="34.9" customHeight="1" x14ac:dyDescent="0.25">
      <c r="A131" s="13">
        <v>130</v>
      </c>
      <c r="B131" s="95">
        <v>44881</v>
      </c>
      <c r="C131" s="13">
        <f>130</f>
        <v>130</v>
      </c>
      <c r="D131" s="488"/>
      <c r="E131" s="90"/>
      <c r="F131" s="13"/>
      <c r="G131" s="13"/>
      <c r="H131" s="13"/>
      <c r="I131" s="13">
        <f>75</f>
        <v>75</v>
      </c>
      <c r="J131" s="13">
        <f>185</f>
        <v>185</v>
      </c>
      <c r="K131" s="13">
        <v>87</v>
      </c>
      <c r="L131" s="13">
        <f>118</f>
        <v>118</v>
      </c>
      <c r="M131" s="13">
        <f>814.5</f>
        <v>814.5</v>
      </c>
      <c r="N131" s="557"/>
      <c r="O131" s="488">
        <f t="shared" si="1"/>
        <v>1279.5</v>
      </c>
      <c r="P131" s="389"/>
      <c r="Q131" s="391"/>
      <c r="R131" s="391"/>
      <c r="S131" s="391"/>
      <c r="T131" s="391"/>
      <c r="U131" s="391"/>
      <c r="V131" s="518"/>
    </row>
    <row r="132" spans="1:22" ht="34.9" customHeight="1" x14ac:dyDescent="0.25">
      <c r="A132" s="13">
        <v>131</v>
      </c>
      <c r="B132" s="95">
        <v>44882</v>
      </c>
      <c r="C132" s="13"/>
      <c r="D132" s="488"/>
      <c r="E132" s="90"/>
      <c r="F132" s="13"/>
      <c r="G132" s="13"/>
      <c r="H132" s="13"/>
      <c r="I132" s="13">
        <f>127</f>
        <v>127</v>
      </c>
      <c r="J132" s="13">
        <f>229</f>
        <v>229</v>
      </c>
      <c r="K132" s="13"/>
      <c r="L132" s="13">
        <f>39</f>
        <v>39</v>
      </c>
      <c r="M132" s="13">
        <f>1151-17</f>
        <v>1134</v>
      </c>
      <c r="N132" s="557">
        <v>49</v>
      </c>
      <c r="O132" s="488">
        <f t="shared" si="1"/>
        <v>1578</v>
      </c>
      <c r="P132" s="389"/>
      <c r="Q132" s="391"/>
      <c r="R132" s="391"/>
      <c r="S132" s="391"/>
      <c r="T132" s="391"/>
      <c r="U132" s="391"/>
      <c r="V132" s="518"/>
    </row>
    <row r="133" spans="1:22" ht="34.9" customHeight="1" x14ac:dyDescent="0.25">
      <c r="A133" s="190">
        <v>132</v>
      </c>
      <c r="B133" s="191">
        <v>44883</v>
      </c>
      <c r="C133" s="190"/>
      <c r="D133" s="190"/>
      <c r="E133" s="250"/>
      <c r="F133" s="190"/>
      <c r="G133" s="190"/>
      <c r="H133" s="190"/>
      <c r="I133" s="190"/>
      <c r="J133" s="190"/>
      <c r="K133" s="190"/>
      <c r="L133" s="190"/>
      <c r="M133" s="190"/>
      <c r="N133" s="559"/>
      <c r="O133" s="488">
        <f t="shared" si="1"/>
        <v>0</v>
      </c>
      <c r="P133" s="394"/>
      <c r="Q133" s="395"/>
      <c r="R133" s="395"/>
      <c r="S133" s="395"/>
      <c r="T133" s="395"/>
      <c r="U133" s="395"/>
      <c r="V133" s="518"/>
    </row>
    <row r="134" spans="1:22" ht="34.9" customHeight="1" x14ac:dyDescent="0.25">
      <c r="A134" s="13">
        <v>133</v>
      </c>
      <c r="B134" s="95">
        <v>44884</v>
      </c>
      <c r="C134" s="13">
        <f>9</f>
        <v>9</v>
      </c>
      <c r="D134" s="488"/>
      <c r="E134" s="90" t="s">
        <v>295</v>
      </c>
      <c r="F134" s="13">
        <f>303</f>
        <v>303</v>
      </c>
      <c r="G134" s="13"/>
      <c r="H134" s="13"/>
      <c r="I134" s="13"/>
      <c r="J134" s="13">
        <v>581</v>
      </c>
      <c r="K134" s="13"/>
      <c r="L134" s="13"/>
      <c r="M134" s="13">
        <f>501</f>
        <v>501</v>
      </c>
      <c r="N134" s="557"/>
      <c r="O134" s="488">
        <f t="shared" si="1"/>
        <v>1385</v>
      </c>
      <c r="P134" s="389"/>
      <c r="Q134" s="391"/>
      <c r="R134" s="391"/>
      <c r="S134" s="391"/>
      <c r="T134" s="391"/>
      <c r="U134" s="391"/>
      <c r="V134" s="518"/>
    </row>
    <row r="135" spans="1:22" ht="34.9" customHeight="1" x14ac:dyDescent="0.25">
      <c r="A135" s="190">
        <v>134</v>
      </c>
      <c r="B135" s="191">
        <v>44885</v>
      </c>
      <c r="C135" s="190"/>
      <c r="D135" s="190"/>
      <c r="E135" s="250"/>
      <c r="F135" s="190"/>
      <c r="G135" s="190"/>
      <c r="H135" s="190"/>
      <c r="I135" s="190"/>
      <c r="J135" s="190"/>
      <c r="K135" s="190"/>
      <c r="L135" s="190"/>
      <c r="M135" s="190"/>
      <c r="N135" s="559"/>
      <c r="O135" s="488">
        <f t="shared" si="1"/>
        <v>0</v>
      </c>
      <c r="P135" s="394"/>
      <c r="Q135" s="395"/>
      <c r="R135" s="395"/>
      <c r="S135" s="395"/>
      <c r="T135" s="395"/>
      <c r="U135" s="395"/>
      <c r="V135" s="518"/>
    </row>
    <row r="136" spans="1:22" ht="34.9" customHeight="1" x14ac:dyDescent="0.25">
      <c r="A136" s="13">
        <v>135</v>
      </c>
      <c r="B136" s="95">
        <v>44886</v>
      </c>
      <c r="C136" s="13">
        <v>112</v>
      </c>
      <c r="D136" s="488"/>
      <c r="E136" s="90" t="s">
        <v>295</v>
      </c>
      <c r="F136" s="13">
        <v>30</v>
      </c>
      <c r="G136" s="13"/>
      <c r="H136" s="13"/>
      <c r="I136" s="13">
        <v>30</v>
      </c>
      <c r="J136" s="13">
        <v>702</v>
      </c>
      <c r="K136" s="13"/>
      <c r="L136" s="13">
        <v>20</v>
      </c>
      <c r="M136" s="13">
        <v>447</v>
      </c>
      <c r="N136" s="557"/>
      <c r="O136" s="488">
        <f t="shared" si="1"/>
        <v>1229</v>
      </c>
      <c r="P136" s="389"/>
      <c r="Q136" s="391"/>
      <c r="R136" s="391"/>
      <c r="S136" s="391"/>
      <c r="T136" s="391"/>
      <c r="U136" s="391"/>
      <c r="V136" s="518"/>
    </row>
    <row r="137" spans="1:22" ht="34.9" customHeight="1" x14ac:dyDescent="0.25">
      <c r="A137" s="13">
        <v>136</v>
      </c>
      <c r="B137" s="95">
        <v>44887</v>
      </c>
      <c r="C137" s="13"/>
      <c r="D137" s="488"/>
      <c r="E137" s="90" t="s">
        <v>316</v>
      </c>
      <c r="F137" s="13">
        <f>150+54.13+62</f>
        <v>266.13</v>
      </c>
      <c r="G137" s="13">
        <v>1.92</v>
      </c>
      <c r="H137" s="13"/>
      <c r="I137" s="13">
        <v>183</v>
      </c>
      <c r="J137" s="13">
        <v>513</v>
      </c>
      <c r="K137" s="13"/>
      <c r="L137" s="13"/>
      <c r="M137" s="13">
        <v>886</v>
      </c>
      <c r="N137" s="557"/>
      <c r="O137" s="488">
        <f t="shared" si="1"/>
        <v>1850.0500000000002</v>
      </c>
      <c r="P137" s="389"/>
      <c r="Q137" s="391"/>
      <c r="R137" s="391"/>
      <c r="S137" s="391"/>
      <c r="T137" s="391"/>
      <c r="U137" s="391"/>
      <c r="V137" s="518"/>
    </row>
    <row r="138" spans="1:22" ht="34.9" customHeight="1" x14ac:dyDescent="0.25">
      <c r="A138" s="13">
        <v>137</v>
      </c>
      <c r="B138" s="95">
        <v>44888</v>
      </c>
      <c r="C138" s="13"/>
      <c r="D138" s="488"/>
      <c r="E138" s="90" t="s">
        <v>318</v>
      </c>
      <c r="F138" s="13">
        <f>200+25</f>
        <v>225</v>
      </c>
      <c r="G138" s="13"/>
      <c r="H138" s="13"/>
      <c r="I138" s="13">
        <v>111</v>
      </c>
      <c r="J138" s="13">
        <v>26</v>
      </c>
      <c r="K138" s="13"/>
      <c r="L138" s="13"/>
      <c r="M138" s="13">
        <v>1452</v>
      </c>
      <c r="N138" s="557"/>
      <c r="O138" s="488">
        <f t="shared" si="1"/>
        <v>1814</v>
      </c>
      <c r="P138" s="389"/>
      <c r="Q138" s="391"/>
      <c r="R138" s="391"/>
      <c r="S138" s="391"/>
      <c r="T138" s="391"/>
      <c r="U138" s="391"/>
      <c r="V138" s="518"/>
    </row>
    <row r="139" spans="1:22" ht="34.9" customHeight="1" x14ac:dyDescent="0.25">
      <c r="A139" s="13">
        <v>138</v>
      </c>
      <c r="B139" s="95">
        <v>44889</v>
      </c>
      <c r="C139" s="13">
        <v>118</v>
      </c>
      <c r="D139" s="488"/>
      <c r="E139" s="90" t="s">
        <v>324</v>
      </c>
      <c r="F139" s="13">
        <f>26+25</f>
        <v>51</v>
      </c>
      <c r="G139" s="13"/>
      <c r="H139" s="13"/>
      <c r="I139" s="13">
        <v>772</v>
      </c>
      <c r="J139" s="13">
        <v>366</v>
      </c>
      <c r="K139" s="13">
        <v>100</v>
      </c>
      <c r="L139" s="13"/>
      <c r="M139" s="13">
        <v>2145</v>
      </c>
      <c r="N139" s="557"/>
      <c r="O139" s="488">
        <f t="shared" si="1"/>
        <v>3434</v>
      </c>
      <c r="P139" s="389"/>
      <c r="Q139" s="391"/>
      <c r="R139" s="391"/>
      <c r="S139" s="391"/>
      <c r="T139" s="391"/>
      <c r="U139" s="391"/>
      <c r="V139" s="518"/>
    </row>
    <row r="140" spans="1:22" ht="34.9" customHeight="1" x14ac:dyDescent="0.25">
      <c r="A140" s="13">
        <v>139</v>
      </c>
      <c r="B140" s="95">
        <v>44890</v>
      </c>
      <c r="C140" s="13">
        <v>877</v>
      </c>
      <c r="D140" s="488"/>
      <c r="E140" s="90"/>
      <c r="F140" s="13"/>
      <c r="G140" s="13"/>
      <c r="H140" s="13"/>
      <c r="I140" s="13">
        <v>97</v>
      </c>
      <c r="J140" s="13">
        <v>305</v>
      </c>
      <c r="K140" s="13"/>
      <c r="L140" s="13"/>
      <c r="M140" s="13">
        <v>648</v>
      </c>
      <c r="N140" s="557"/>
      <c r="O140" s="488">
        <f t="shared" si="1"/>
        <v>1050</v>
      </c>
      <c r="P140" s="389"/>
      <c r="Q140" s="391"/>
      <c r="R140" s="391"/>
      <c r="S140" s="391"/>
      <c r="T140" s="391"/>
      <c r="U140" s="391"/>
      <c r="V140" s="518"/>
    </row>
    <row r="141" spans="1:22" ht="34.9" customHeight="1" x14ac:dyDescent="0.25">
      <c r="A141" s="13">
        <v>140</v>
      </c>
      <c r="B141" s="95">
        <v>44891</v>
      </c>
      <c r="C141" s="13"/>
      <c r="D141" s="488"/>
      <c r="E141" s="90" t="s">
        <v>326</v>
      </c>
      <c r="F141" s="13">
        <f>70+120</f>
        <v>190</v>
      </c>
      <c r="G141" s="13"/>
      <c r="H141" s="13"/>
      <c r="I141" s="13">
        <v>18</v>
      </c>
      <c r="J141" s="13">
        <v>110</v>
      </c>
      <c r="K141" s="13"/>
      <c r="L141" s="13"/>
      <c r="M141" s="13">
        <v>1508</v>
      </c>
      <c r="N141" s="557">
        <v>93</v>
      </c>
      <c r="O141" s="488">
        <f t="shared" si="1"/>
        <v>1919</v>
      </c>
      <c r="P141" s="389"/>
      <c r="Q141" s="391"/>
      <c r="R141" s="391"/>
      <c r="S141" s="391"/>
      <c r="T141" s="391"/>
      <c r="U141" s="391"/>
      <c r="V141" s="518"/>
    </row>
    <row r="142" spans="1:22" ht="34.9" customHeight="1" x14ac:dyDescent="0.25">
      <c r="A142" s="190">
        <v>141</v>
      </c>
      <c r="B142" s="191">
        <v>44892</v>
      </c>
      <c r="C142" s="190">
        <v>46</v>
      </c>
      <c r="D142" s="190"/>
      <c r="E142" s="250"/>
      <c r="F142" s="190"/>
      <c r="G142" s="190"/>
      <c r="H142" s="190"/>
      <c r="I142" s="190">
        <v>16</v>
      </c>
      <c r="J142" s="190">
        <v>39</v>
      </c>
      <c r="K142" s="190"/>
      <c r="L142" s="190"/>
      <c r="M142" s="190">
        <v>115</v>
      </c>
      <c r="N142" s="559"/>
      <c r="O142" s="488">
        <f t="shared" si="1"/>
        <v>170</v>
      </c>
      <c r="P142" s="394"/>
      <c r="Q142" s="395"/>
      <c r="R142" s="395"/>
      <c r="S142" s="395"/>
      <c r="T142" s="395"/>
      <c r="U142" s="395"/>
      <c r="V142" s="518"/>
    </row>
    <row r="143" spans="1:22" ht="34.9" customHeight="1" x14ac:dyDescent="0.25">
      <c r="A143" s="13">
        <v>142</v>
      </c>
      <c r="B143" s="95">
        <v>44893</v>
      </c>
      <c r="C143" s="13">
        <v>52</v>
      </c>
      <c r="D143" s="488"/>
      <c r="E143" s="90"/>
      <c r="F143" s="13"/>
      <c r="G143" s="13"/>
      <c r="H143" s="13"/>
      <c r="I143" s="13">
        <v>46</v>
      </c>
      <c r="J143" s="13">
        <v>944</v>
      </c>
      <c r="K143" s="13"/>
      <c r="L143" s="13"/>
      <c r="M143" s="13">
        <v>838</v>
      </c>
      <c r="N143" s="557"/>
      <c r="O143" s="488">
        <f t="shared" si="1"/>
        <v>1828</v>
      </c>
      <c r="P143" s="389"/>
      <c r="Q143" s="391"/>
      <c r="R143" s="391"/>
      <c r="S143" s="391"/>
      <c r="T143" s="391"/>
      <c r="U143" s="391"/>
      <c r="V143" s="518"/>
    </row>
    <row r="144" spans="1:22" ht="34.9" customHeight="1" x14ac:dyDescent="0.25">
      <c r="A144" s="13">
        <v>143</v>
      </c>
      <c r="B144" s="95">
        <v>44894</v>
      </c>
      <c r="C144" s="13">
        <v>0</v>
      </c>
      <c r="D144" s="488"/>
      <c r="E144" s="90" t="s">
        <v>327</v>
      </c>
      <c r="F144" s="13">
        <f>40</f>
        <v>40</v>
      </c>
      <c r="G144" s="13">
        <v>14.36</v>
      </c>
      <c r="H144" s="13"/>
      <c r="I144" s="13">
        <v>111.64</v>
      </c>
      <c r="J144" s="13">
        <v>325</v>
      </c>
      <c r="K144" s="13"/>
      <c r="L144" s="13"/>
      <c r="M144" s="13">
        <v>2432</v>
      </c>
      <c r="N144" s="557"/>
      <c r="O144" s="488">
        <f t="shared" si="1"/>
        <v>2923</v>
      </c>
      <c r="P144" s="389"/>
      <c r="Q144" s="391"/>
      <c r="R144" s="391"/>
      <c r="S144" s="391"/>
      <c r="T144" s="391"/>
      <c r="U144" s="391"/>
      <c r="V144" s="518"/>
    </row>
    <row r="145" spans="1:22" ht="34.9" customHeight="1" x14ac:dyDescent="0.25">
      <c r="A145" s="13">
        <v>144</v>
      </c>
      <c r="B145" s="95">
        <v>44895</v>
      </c>
      <c r="C145" s="13">
        <v>24</v>
      </c>
      <c r="D145" s="488"/>
      <c r="E145" s="90" t="s">
        <v>328</v>
      </c>
      <c r="F145" s="13">
        <f>211+748</f>
        <v>959</v>
      </c>
      <c r="G145" s="13"/>
      <c r="H145" s="13"/>
      <c r="I145" s="13">
        <v>25</v>
      </c>
      <c r="J145" s="13">
        <v>579</v>
      </c>
      <c r="K145" s="13"/>
      <c r="L145" s="13">
        <v>62</v>
      </c>
      <c r="M145" s="13">
        <v>247</v>
      </c>
      <c r="N145" s="557"/>
      <c r="O145" s="488">
        <f t="shared" si="1"/>
        <v>1872</v>
      </c>
      <c r="P145" s="392"/>
      <c r="Q145" s="391"/>
      <c r="R145" s="391"/>
      <c r="S145" s="391"/>
      <c r="T145" s="391"/>
      <c r="U145" s="391"/>
      <c r="V145" s="518"/>
    </row>
    <row r="146" spans="1:22" ht="34.9" customHeight="1" x14ac:dyDescent="0.25">
      <c r="A146" s="13">
        <v>145</v>
      </c>
      <c r="B146" s="95">
        <v>44896</v>
      </c>
      <c r="C146" s="13"/>
      <c r="D146" s="488"/>
      <c r="E146" s="90" t="s">
        <v>329</v>
      </c>
      <c r="F146" s="13">
        <v>100</v>
      </c>
      <c r="G146" s="13"/>
      <c r="H146" s="13"/>
      <c r="I146" s="13">
        <v>416</v>
      </c>
      <c r="J146" s="13">
        <v>371</v>
      </c>
      <c r="K146" s="13"/>
      <c r="L146" s="13">
        <v>25</v>
      </c>
      <c r="M146" s="13">
        <v>574</v>
      </c>
      <c r="N146" s="557"/>
      <c r="O146" s="488">
        <f t="shared" si="1"/>
        <v>1486</v>
      </c>
      <c r="P146" s="389"/>
      <c r="Q146" s="391"/>
      <c r="R146" s="391"/>
      <c r="S146" s="391"/>
      <c r="T146" s="391"/>
      <c r="U146" s="391"/>
      <c r="V146" s="518"/>
    </row>
    <row r="147" spans="1:22" ht="34.9" customHeight="1" x14ac:dyDescent="0.25">
      <c r="A147" s="13">
        <v>146</v>
      </c>
      <c r="B147" s="95">
        <v>44897</v>
      </c>
      <c r="C147" s="300">
        <v>248</v>
      </c>
      <c r="D147" s="488"/>
      <c r="E147" s="300" t="s">
        <v>334</v>
      </c>
      <c r="F147" s="300">
        <v>5</v>
      </c>
      <c r="G147" s="300"/>
      <c r="H147" s="300"/>
      <c r="I147" s="300">
        <v>21</v>
      </c>
      <c r="J147" s="300"/>
      <c r="K147" s="300"/>
      <c r="L147" s="300">
        <v>297</v>
      </c>
      <c r="M147" s="300">
        <v>1173</v>
      </c>
      <c r="N147" s="557"/>
      <c r="O147" s="488">
        <f t="shared" si="1"/>
        <v>1496</v>
      </c>
      <c r="P147" s="392"/>
      <c r="Q147" s="391"/>
      <c r="R147" s="391"/>
      <c r="S147" s="391"/>
      <c r="T147" s="391"/>
      <c r="U147" s="391"/>
      <c r="V147" s="518"/>
    </row>
    <row r="148" spans="1:22" ht="34.9" customHeight="1" x14ac:dyDescent="0.25">
      <c r="A148" s="13">
        <v>147</v>
      </c>
      <c r="B148" s="95">
        <v>44898</v>
      </c>
      <c r="C148" s="300">
        <v>194</v>
      </c>
      <c r="D148" s="488"/>
      <c r="E148" s="300"/>
      <c r="F148" s="300"/>
      <c r="G148" s="300"/>
      <c r="H148" s="300"/>
      <c r="I148" s="300">
        <v>45</v>
      </c>
      <c r="J148" s="300">
        <v>121</v>
      </c>
      <c r="K148" s="300"/>
      <c r="L148" s="300">
        <v>15</v>
      </c>
      <c r="M148" s="300">
        <v>289</v>
      </c>
      <c r="N148" s="557"/>
      <c r="O148" s="488">
        <f t="shared" si="1"/>
        <v>470</v>
      </c>
      <c r="P148" s="389"/>
      <c r="Q148" s="391"/>
      <c r="R148" s="391"/>
      <c r="S148" s="391"/>
      <c r="T148" s="391"/>
      <c r="U148" s="391"/>
      <c r="V148" s="518"/>
    </row>
    <row r="149" spans="1:22" ht="34.9" customHeight="1" x14ac:dyDescent="0.25">
      <c r="A149" s="190">
        <v>148</v>
      </c>
      <c r="B149" s="191">
        <v>44899</v>
      </c>
      <c r="C149" s="190"/>
      <c r="D149" s="190"/>
      <c r="E149" s="250" t="s">
        <v>329</v>
      </c>
      <c r="F149" s="190">
        <v>100</v>
      </c>
      <c r="G149" s="190"/>
      <c r="H149" s="190"/>
      <c r="I149" s="190"/>
      <c r="J149" s="190"/>
      <c r="K149" s="190"/>
      <c r="L149" s="190"/>
      <c r="M149" s="190"/>
      <c r="N149" s="559"/>
      <c r="O149" s="488">
        <f t="shared" si="1"/>
        <v>100</v>
      </c>
      <c r="P149" s="394"/>
      <c r="Q149" s="395"/>
      <c r="R149" s="395"/>
      <c r="S149" s="395"/>
      <c r="T149" s="395"/>
      <c r="U149" s="395"/>
      <c r="V149" s="518"/>
    </row>
    <row r="150" spans="1:22" ht="34.9" customHeight="1" x14ac:dyDescent="0.25">
      <c r="A150" s="13">
        <v>149</v>
      </c>
      <c r="B150" s="95">
        <v>44900</v>
      </c>
      <c r="C150" s="300">
        <v>5</v>
      </c>
      <c r="D150" s="488"/>
      <c r="E150" s="301"/>
      <c r="F150" s="300"/>
      <c r="G150" s="300"/>
      <c r="H150" s="300"/>
      <c r="I150" s="300">
        <v>136</v>
      </c>
      <c r="J150" s="300">
        <v>377</v>
      </c>
      <c r="K150" s="300"/>
      <c r="L150" s="300"/>
      <c r="M150" s="300">
        <v>936</v>
      </c>
      <c r="N150" s="557"/>
      <c r="O150" s="488">
        <f t="shared" si="1"/>
        <v>1449</v>
      </c>
      <c r="P150" s="389"/>
      <c r="Q150" s="391"/>
      <c r="R150" s="391"/>
      <c r="S150" s="391"/>
      <c r="T150" s="391"/>
      <c r="U150" s="391"/>
      <c r="V150" s="518"/>
    </row>
    <row r="151" spans="1:22" ht="34.9" customHeight="1" x14ac:dyDescent="0.25">
      <c r="A151" s="13">
        <v>150</v>
      </c>
      <c r="B151" s="95">
        <v>44901</v>
      </c>
      <c r="C151" s="300"/>
      <c r="D151" s="488"/>
      <c r="E151" s="301" t="s">
        <v>330</v>
      </c>
      <c r="F151" s="300">
        <v>1300</v>
      </c>
      <c r="G151" s="300"/>
      <c r="H151" s="300">
        <v>5</v>
      </c>
      <c r="I151" s="300">
        <v>114</v>
      </c>
      <c r="J151" s="300">
        <v>76</v>
      </c>
      <c r="K151" s="300"/>
      <c r="L151" s="300"/>
      <c r="M151" s="300">
        <v>749</v>
      </c>
      <c r="N151" s="557"/>
      <c r="O151" s="488">
        <f t="shared" si="1"/>
        <v>2244</v>
      </c>
      <c r="P151" s="389"/>
      <c r="Q151" s="391"/>
      <c r="R151" s="391"/>
      <c r="S151" s="391"/>
      <c r="T151" s="391"/>
      <c r="U151" s="391"/>
      <c r="V151" s="518"/>
    </row>
    <row r="152" spans="1:22" ht="34.9" customHeight="1" x14ac:dyDescent="0.25">
      <c r="A152" s="13">
        <v>151</v>
      </c>
      <c r="B152" s="95">
        <v>44902</v>
      </c>
      <c r="C152" s="300">
        <v>86</v>
      </c>
      <c r="D152" s="488"/>
      <c r="E152" s="301" t="s">
        <v>331</v>
      </c>
      <c r="F152" s="300">
        <v>40</v>
      </c>
      <c r="G152" s="300"/>
      <c r="H152" s="300"/>
      <c r="I152" s="300">
        <v>184</v>
      </c>
      <c r="J152" s="300">
        <v>375</v>
      </c>
      <c r="K152" s="300"/>
      <c r="L152" s="300">
        <v>25</v>
      </c>
      <c r="M152" s="300">
        <v>857</v>
      </c>
      <c r="N152" s="557"/>
      <c r="O152" s="488">
        <f t="shared" si="1"/>
        <v>1481</v>
      </c>
      <c r="P152" s="389"/>
      <c r="Q152" s="391"/>
      <c r="R152" s="391"/>
      <c r="S152" s="391"/>
      <c r="T152" s="391"/>
      <c r="U152" s="391"/>
      <c r="V152" s="518"/>
    </row>
    <row r="153" spans="1:22" ht="34.9" customHeight="1" x14ac:dyDescent="0.25">
      <c r="A153" s="13">
        <v>152</v>
      </c>
      <c r="B153" s="95">
        <v>44903</v>
      </c>
      <c r="C153" s="300"/>
      <c r="D153" s="488"/>
      <c r="E153" s="301"/>
      <c r="F153" s="300"/>
      <c r="G153" s="300"/>
      <c r="H153" s="300"/>
      <c r="I153" s="300"/>
      <c r="J153" s="300">
        <v>60</v>
      </c>
      <c r="K153" s="300"/>
      <c r="L153" s="300"/>
      <c r="M153" s="300">
        <v>511</v>
      </c>
      <c r="N153" s="557"/>
      <c r="O153" s="488">
        <f t="shared" si="1"/>
        <v>571</v>
      </c>
      <c r="P153" s="389"/>
      <c r="Q153" s="391"/>
      <c r="R153" s="391"/>
      <c r="S153" s="391"/>
      <c r="T153" s="391"/>
      <c r="U153" s="391"/>
      <c r="V153" s="518"/>
    </row>
    <row r="154" spans="1:22" ht="34.9" customHeight="1" x14ac:dyDescent="0.25">
      <c r="A154" s="13">
        <v>153</v>
      </c>
      <c r="B154" s="95">
        <v>44904</v>
      </c>
      <c r="C154" s="300">
        <v>130</v>
      </c>
      <c r="D154" s="488"/>
      <c r="E154" s="301"/>
      <c r="F154" s="300"/>
      <c r="G154" s="300"/>
      <c r="H154" s="300">
        <v>13</v>
      </c>
      <c r="I154" s="300">
        <v>34</v>
      </c>
      <c r="J154" s="300">
        <v>532</v>
      </c>
      <c r="K154" s="300"/>
      <c r="L154" s="300"/>
      <c r="M154" s="300">
        <v>156</v>
      </c>
      <c r="N154" s="557"/>
      <c r="O154" s="488">
        <f t="shared" si="1"/>
        <v>735</v>
      </c>
      <c r="P154" s="389"/>
      <c r="Q154" s="391"/>
      <c r="R154" s="391"/>
      <c r="S154" s="391"/>
      <c r="T154" s="391"/>
      <c r="U154" s="391"/>
      <c r="V154" s="518"/>
    </row>
    <row r="155" spans="1:22" ht="34.9" customHeight="1" x14ac:dyDescent="0.25">
      <c r="A155" s="13">
        <v>154</v>
      </c>
      <c r="B155" s="95">
        <v>44905</v>
      </c>
      <c r="C155" s="300"/>
      <c r="D155" s="488"/>
      <c r="E155" s="301" t="s">
        <v>333</v>
      </c>
      <c r="F155" s="300">
        <v>100</v>
      </c>
      <c r="G155" s="300"/>
      <c r="H155" s="300"/>
      <c r="I155" s="300"/>
      <c r="J155" s="300"/>
      <c r="K155" s="300"/>
      <c r="L155" s="300"/>
      <c r="M155" s="300">
        <v>236</v>
      </c>
      <c r="N155" s="557"/>
      <c r="O155" s="488">
        <f t="shared" si="1"/>
        <v>336</v>
      </c>
      <c r="P155" s="389"/>
      <c r="Q155" s="391"/>
      <c r="R155" s="391"/>
      <c r="S155" s="391"/>
      <c r="T155" s="391"/>
      <c r="U155" s="391"/>
      <c r="V155" s="518"/>
    </row>
    <row r="156" spans="1:22" ht="34.9" customHeight="1" x14ac:dyDescent="0.25">
      <c r="A156" s="305">
        <v>155</v>
      </c>
      <c r="B156" s="306">
        <v>44906</v>
      </c>
      <c r="C156" s="305"/>
      <c r="D156" s="305"/>
      <c r="E156" s="307"/>
      <c r="F156" s="305"/>
      <c r="G156" s="305"/>
      <c r="H156" s="305"/>
      <c r="I156" s="305"/>
      <c r="J156" s="305"/>
      <c r="K156" s="305"/>
      <c r="L156" s="305"/>
      <c r="M156" s="305"/>
      <c r="N156" s="305"/>
      <c r="O156" s="488">
        <f t="shared" si="1"/>
        <v>0</v>
      </c>
      <c r="P156" s="394"/>
      <c r="Q156" s="395"/>
      <c r="R156" s="395"/>
      <c r="S156" s="395"/>
      <c r="T156" s="395"/>
      <c r="U156" s="395"/>
      <c r="V156" s="518"/>
    </row>
    <row r="157" spans="1:22" ht="34.9" customHeight="1" x14ac:dyDescent="0.25">
      <c r="A157" s="13">
        <v>156</v>
      </c>
      <c r="B157" s="95">
        <v>44907</v>
      </c>
      <c r="C157" s="300">
        <v>18</v>
      </c>
      <c r="D157" s="488"/>
      <c r="E157" s="301"/>
      <c r="F157" s="300"/>
      <c r="G157" s="300"/>
      <c r="H157" s="300"/>
      <c r="I157" s="300">
        <v>121</v>
      </c>
      <c r="J157" s="300">
        <v>212</v>
      </c>
      <c r="K157" s="300"/>
      <c r="L157" s="300"/>
      <c r="M157" s="300">
        <v>621</v>
      </c>
      <c r="N157" s="557"/>
      <c r="O157" s="488">
        <f t="shared" si="1"/>
        <v>954</v>
      </c>
      <c r="P157" s="389"/>
      <c r="Q157" s="391"/>
      <c r="R157" s="391"/>
      <c r="S157" s="391"/>
      <c r="T157" s="391"/>
      <c r="U157" s="391"/>
      <c r="V157" s="518"/>
    </row>
    <row r="158" spans="1:22" ht="34.9" customHeight="1" x14ac:dyDescent="0.25">
      <c r="A158" s="13">
        <v>157</v>
      </c>
      <c r="B158" s="95">
        <v>44908</v>
      </c>
      <c r="C158" s="300">
        <v>187</v>
      </c>
      <c r="D158" s="488"/>
      <c r="E158" s="301"/>
      <c r="F158" s="300"/>
      <c r="G158" s="300"/>
      <c r="H158" s="300"/>
      <c r="I158" s="300">
        <v>86</v>
      </c>
      <c r="J158" s="300"/>
      <c r="K158" s="300"/>
      <c r="L158" s="300"/>
      <c r="M158" s="300">
        <v>275</v>
      </c>
      <c r="N158" s="557"/>
      <c r="O158" s="488">
        <f t="shared" si="1"/>
        <v>361</v>
      </c>
      <c r="P158" s="389"/>
      <c r="Q158" s="391"/>
      <c r="R158" s="391"/>
      <c r="S158" s="391"/>
      <c r="T158" s="391"/>
      <c r="U158" s="391"/>
      <c r="V158" s="518"/>
    </row>
    <row r="159" spans="1:22" ht="34.9" customHeight="1" x14ac:dyDescent="0.25">
      <c r="A159" s="13">
        <v>158</v>
      </c>
      <c r="B159" s="95">
        <v>44909</v>
      </c>
      <c r="C159" s="13">
        <v>90</v>
      </c>
      <c r="D159" s="488"/>
      <c r="E159" s="90"/>
      <c r="F159" s="13"/>
      <c r="G159" s="13"/>
      <c r="H159" s="13"/>
      <c r="I159" s="13">
        <v>145</v>
      </c>
      <c r="J159" s="13">
        <v>73</v>
      </c>
      <c r="K159" s="13"/>
      <c r="L159" s="13"/>
      <c r="M159" s="13">
        <v>730</v>
      </c>
      <c r="N159" s="557"/>
      <c r="O159" s="488">
        <f t="shared" si="1"/>
        <v>948</v>
      </c>
      <c r="P159" s="389"/>
      <c r="Q159" s="391"/>
      <c r="R159" s="391"/>
      <c r="S159" s="391"/>
      <c r="T159" s="391"/>
      <c r="U159" s="391"/>
      <c r="V159" s="518"/>
    </row>
    <row r="160" spans="1:22" ht="34.9" customHeight="1" x14ac:dyDescent="0.25">
      <c r="A160" s="13">
        <v>159</v>
      </c>
      <c r="B160" s="95">
        <v>44910</v>
      </c>
      <c r="C160" s="13"/>
      <c r="D160" s="488"/>
      <c r="E160" s="90"/>
      <c r="F160" s="13"/>
      <c r="G160" s="13"/>
      <c r="H160" s="13">
        <v>639</v>
      </c>
      <c r="I160" s="13"/>
      <c r="J160" s="13">
        <v>319</v>
      </c>
      <c r="K160" s="13"/>
      <c r="L160" s="13"/>
      <c r="M160" s="13">
        <v>379</v>
      </c>
      <c r="N160" s="557"/>
      <c r="O160" s="488">
        <f t="shared" si="1"/>
        <v>1337</v>
      </c>
      <c r="P160" s="389"/>
      <c r="Q160" s="391"/>
      <c r="R160" s="391"/>
      <c r="S160" s="391"/>
      <c r="T160" s="391"/>
      <c r="U160" s="391"/>
      <c r="V160" s="518"/>
    </row>
    <row r="161" spans="1:22" ht="34.9" customHeight="1" x14ac:dyDescent="0.25">
      <c r="A161" s="13">
        <v>160</v>
      </c>
      <c r="B161" s="95">
        <v>44911</v>
      </c>
      <c r="C161" s="13">
        <v>75</v>
      </c>
      <c r="D161" s="488"/>
      <c r="E161" s="90" t="s">
        <v>335</v>
      </c>
      <c r="F161" s="13">
        <v>581</v>
      </c>
      <c r="G161" s="13"/>
      <c r="H161" s="13">
        <v>52</v>
      </c>
      <c r="I161" s="13">
        <v>11</v>
      </c>
      <c r="J161" s="13"/>
      <c r="K161" s="13"/>
      <c r="L161" s="13"/>
      <c r="M161" s="13">
        <v>563</v>
      </c>
      <c r="N161" s="557"/>
      <c r="O161" s="488">
        <f t="shared" si="1"/>
        <v>1207</v>
      </c>
      <c r="P161" s="389"/>
      <c r="Q161" s="391"/>
      <c r="R161" s="391"/>
      <c r="S161" s="391"/>
      <c r="T161" s="391"/>
      <c r="U161" s="391"/>
      <c r="V161" s="518"/>
    </row>
    <row r="162" spans="1:22" ht="34.9" customHeight="1" x14ac:dyDescent="0.25">
      <c r="A162" s="13">
        <v>161</v>
      </c>
      <c r="B162" s="95">
        <v>44912</v>
      </c>
      <c r="C162" s="13"/>
      <c r="D162" s="488"/>
      <c r="E162" s="90"/>
      <c r="F162" s="13"/>
      <c r="G162" s="13"/>
      <c r="H162" s="13"/>
      <c r="I162" s="13">
        <v>1</v>
      </c>
      <c r="J162" s="13"/>
      <c r="K162" s="13"/>
      <c r="L162" s="13"/>
      <c r="M162" s="13">
        <v>312</v>
      </c>
      <c r="N162" s="557"/>
      <c r="O162" s="488">
        <f t="shared" si="1"/>
        <v>313</v>
      </c>
      <c r="P162" s="389"/>
      <c r="Q162" s="391"/>
      <c r="R162" s="391"/>
      <c r="S162" s="391"/>
      <c r="T162" s="391"/>
      <c r="U162" s="391"/>
      <c r="V162" s="518"/>
    </row>
    <row r="163" spans="1:22" ht="34.9" customHeight="1" x14ac:dyDescent="0.25">
      <c r="A163" s="305">
        <v>162</v>
      </c>
      <c r="B163" s="306">
        <v>44913</v>
      </c>
      <c r="C163" s="305"/>
      <c r="D163" s="305"/>
      <c r="E163" s="307"/>
      <c r="F163" s="305"/>
      <c r="G163" s="305"/>
      <c r="H163" s="305"/>
      <c r="I163" s="305"/>
      <c r="J163" s="305"/>
      <c r="K163" s="305"/>
      <c r="L163" s="305"/>
      <c r="M163" s="305"/>
      <c r="N163" s="305"/>
      <c r="O163" s="488">
        <f t="shared" si="1"/>
        <v>0</v>
      </c>
      <c r="P163" s="394"/>
      <c r="Q163" s="395"/>
      <c r="R163" s="395"/>
      <c r="S163" s="395"/>
      <c r="T163" s="395"/>
      <c r="U163" s="395"/>
      <c r="V163" s="518"/>
    </row>
    <row r="164" spans="1:22" ht="34.9" customHeight="1" x14ac:dyDescent="0.25">
      <c r="A164" s="13">
        <v>163</v>
      </c>
      <c r="B164" s="95">
        <v>44914</v>
      </c>
      <c r="C164" s="13">
        <v>18</v>
      </c>
      <c r="D164" s="488"/>
      <c r="E164" s="90" t="s">
        <v>341</v>
      </c>
      <c r="F164" s="13">
        <v>20</v>
      </c>
      <c r="G164" s="13"/>
      <c r="H164" s="13"/>
      <c r="I164" s="13"/>
      <c r="J164" s="13">
        <v>728</v>
      </c>
      <c r="K164" s="13">
        <v>408</v>
      </c>
      <c r="L164" s="13"/>
      <c r="M164" s="13">
        <v>1156</v>
      </c>
      <c r="N164" s="557"/>
      <c r="O164" s="488">
        <f t="shared" si="1"/>
        <v>2312</v>
      </c>
      <c r="P164" s="389"/>
      <c r="Q164" s="391"/>
      <c r="R164" s="391"/>
      <c r="S164" s="391"/>
      <c r="T164" s="391"/>
      <c r="U164" s="391"/>
      <c r="V164" s="518"/>
    </row>
    <row r="165" spans="1:22" ht="34.9" customHeight="1" x14ac:dyDescent="0.25">
      <c r="A165" s="13">
        <v>164</v>
      </c>
      <c r="B165" s="95">
        <v>44915</v>
      </c>
      <c r="C165" s="13">
        <v>168</v>
      </c>
      <c r="D165" s="488"/>
      <c r="E165" s="90"/>
      <c r="F165" s="13"/>
      <c r="G165" s="13"/>
      <c r="H165" s="13"/>
      <c r="I165" s="13">
        <v>20</v>
      </c>
      <c r="J165" s="13">
        <v>245.92</v>
      </c>
      <c r="K165" s="13"/>
      <c r="L165" s="13">
        <v>8</v>
      </c>
      <c r="M165" s="13">
        <v>510</v>
      </c>
      <c r="N165" s="557"/>
      <c r="O165" s="488">
        <f t="shared" si="1"/>
        <v>783.92</v>
      </c>
      <c r="P165" s="389"/>
      <c r="Q165" s="391"/>
      <c r="R165" s="391"/>
      <c r="S165" s="391"/>
      <c r="T165" s="391"/>
      <c r="U165" s="391"/>
      <c r="V165" s="518"/>
    </row>
    <row r="166" spans="1:22" ht="34.9" customHeight="1" x14ac:dyDescent="0.25">
      <c r="A166" s="13">
        <v>165</v>
      </c>
      <c r="B166" s="95">
        <v>44916</v>
      </c>
      <c r="C166" s="13"/>
      <c r="D166" s="488"/>
      <c r="E166" s="90"/>
      <c r="F166" s="13"/>
      <c r="G166" s="13"/>
      <c r="H166" s="13"/>
      <c r="I166" s="13">
        <v>162</v>
      </c>
      <c r="J166" s="13">
        <v>145</v>
      </c>
      <c r="K166" s="13"/>
      <c r="L166" s="13">
        <v>20</v>
      </c>
      <c r="M166" s="13">
        <v>448</v>
      </c>
      <c r="N166" s="557"/>
      <c r="O166" s="488">
        <f t="shared" si="1"/>
        <v>775</v>
      </c>
      <c r="P166" s="389"/>
      <c r="Q166" s="391"/>
      <c r="R166" s="391"/>
      <c r="S166" s="391"/>
      <c r="T166" s="391"/>
      <c r="U166" s="391"/>
      <c r="V166" s="518"/>
    </row>
    <row r="167" spans="1:22" ht="34.9" customHeight="1" x14ac:dyDescent="0.25">
      <c r="A167" s="13">
        <v>166</v>
      </c>
      <c r="B167" s="95">
        <v>44917</v>
      </c>
      <c r="C167" s="13"/>
      <c r="D167" s="488"/>
      <c r="E167" s="90" t="s">
        <v>342</v>
      </c>
      <c r="F167" s="13">
        <v>90</v>
      </c>
      <c r="G167" s="13"/>
      <c r="H167" s="13"/>
      <c r="I167" s="13">
        <v>107</v>
      </c>
      <c r="J167" s="13">
        <v>10</v>
      </c>
      <c r="K167" s="13"/>
      <c r="L167" s="13"/>
      <c r="M167" s="13">
        <v>145</v>
      </c>
      <c r="N167" s="557"/>
      <c r="O167" s="488">
        <f t="shared" si="1"/>
        <v>352</v>
      </c>
      <c r="P167" s="389"/>
      <c r="Q167" s="391"/>
      <c r="R167" s="391"/>
      <c r="S167" s="391"/>
      <c r="T167" s="391"/>
      <c r="U167" s="391"/>
      <c r="V167" s="518"/>
    </row>
    <row r="168" spans="1:22" ht="34.9" customHeight="1" x14ac:dyDescent="0.25">
      <c r="A168" s="13">
        <v>167</v>
      </c>
      <c r="B168" s="95">
        <v>44918</v>
      </c>
      <c r="C168" s="13"/>
      <c r="D168" s="488"/>
      <c r="E168" s="90"/>
      <c r="F168" s="13"/>
      <c r="G168" s="13"/>
      <c r="H168" s="13"/>
      <c r="I168" s="13"/>
      <c r="J168" s="13">
        <v>130</v>
      </c>
      <c r="K168" s="13"/>
      <c r="L168" s="13"/>
      <c r="M168" s="13">
        <v>114</v>
      </c>
      <c r="N168" s="557"/>
      <c r="O168" s="488">
        <f t="shared" si="1"/>
        <v>244</v>
      </c>
      <c r="P168" s="389"/>
      <c r="Q168" s="391"/>
      <c r="R168" s="391"/>
      <c r="S168" s="391"/>
      <c r="T168" s="391"/>
      <c r="U168" s="391"/>
      <c r="V168" s="518"/>
    </row>
    <row r="169" spans="1:22" ht="34.9" customHeight="1" x14ac:dyDescent="0.25">
      <c r="A169" s="13">
        <v>168</v>
      </c>
      <c r="B169" s="95">
        <v>44919</v>
      </c>
      <c r="C169" s="13">
        <v>57</v>
      </c>
      <c r="D169" s="488"/>
      <c r="E169" s="90"/>
      <c r="F169" s="13"/>
      <c r="G169" s="13"/>
      <c r="H169" s="13"/>
      <c r="I169" s="13"/>
      <c r="J169" s="13">
        <v>213</v>
      </c>
      <c r="K169" s="13"/>
      <c r="L169" s="13"/>
      <c r="M169" s="13">
        <v>80</v>
      </c>
      <c r="N169" s="557"/>
      <c r="O169" s="488">
        <f t="shared" si="1"/>
        <v>293</v>
      </c>
      <c r="P169" s="389"/>
      <c r="Q169" s="391"/>
      <c r="R169" s="391"/>
      <c r="S169" s="391"/>
      <c r="T169" s="391"/>
      <c r="U169" s="391"/>
      <c r="V169" s="518"/>
    </row>
    <row r="170" spans="1:22" ht="34.9" customHeight="1" x14ac:dyDescent="0.25">
      <c r="A170" s="190">
        <v>169</v>
      </c>
      <c r="B170" s="191">
        <v>44920</v>
      </c>
      <c r="C170" s="190"/>
      <c r="D170" s="190"/>
      <c r="E170" s="250"/>
      <c r="F170" s="190"/>
      <c r="G170" s="190"/>
      <c r="H170" s="190"/>
      <c r="I170" s="190"/>
      <c r="J170" s="190"/>
      <c r="K170" s="190"/>
      <c r="L170" s="190"/>
      <c r="M170" s="190"/>
      <c r="N170" s="559"/>
      <c r="O170" s="488">
        <f t="shared" si="1"/>
        <v>0</v>
      </c>
      <c r="P170" s="394"/>
      <c r="Q170" s="395"/>
      <c r="R170" s="395"/>
      <c r="S170" s="395"/>
      <c r="T170" s="395"/>
      <c r="U170" s="395"/>
      <c r="V170" s="518"/>
    </row>
    <row r="171" spans="1:22" ht="34.9" customHeight="1" x14ac:dyDescent="0.25">
      <c r="A171" s="13">
        <v>170</v>
      </c>
      <c r="B171" s="95">
        <v>44921</v>
      </c>
      <c r="C171" s="13">
        <v>268</v>
      </c>
      <c r="D171" s="488"/>
      <c r="E171" s="90"/>
      <c r="F171" s="13"/>
      <c r="G171" s="13"/>
      <c r="H171" s="13"/>
      <c r="I171" s="13">
        <v>145</v>
      </c>
      <c r="J171" s="13">
        <v>212</v>
      </c>
      <c r="K171" s="13"/>
      <c r="L171" s="13"/>
      <c r="M171" s="13">
        <v>100</v>
      </c>
      <c r="N171" s="557"/>
      <c r="O171" s="488">
        <f t="shared" si="1"/>
        <v>457</v>
      </c>
      <c r="P171" s="389"/>
      <c r="Q171" s="391"/>
      <c r="R171" s="391"/>
      <c r="S171" s="391"/>
      <c r="T171" s="391"/>
      <c r="U171" s="391"/>
      <c r="V171" s="518"/>
    </row>
    <row r="172" spans="1:22" ht="34.9" customHeight="1" x14ac:dyDescent="0.25">
      <c r="A172" s="13">
        <v>171</v>
      </c>
      <c r="B172" s="95">
        <v>44922</v>
      </c>
      <c r="C172" s="13"/>
      <c r="D172" s="488"/>
      <c r="E172" s="90"/>
      <c r="F172" s="13"/>
      <c r="G172" s="13">
        <v>10.87</v>
      </c>
      <c r="H172" s="13"/>
      <c r="I172" s="13">
        <v>2</v>
      </c>
      <c r="J172" s="13"/>
      <c r="K172" s="13"/>
      <c r="L172" s="13"/>
      <c r="M172" s="13">
        <v>507</v>
      </c>
      <c r="N172" s="557"/>
      <c r="O172" s="488">
        <f t="shared" si="1"/>
        <v>519.87</v>
      </c>
      <c r="P172" s="389"/>
      <c r="Q172" s="391"/>
      <c r="R172" s="391"/>
      <c r="S172" s="391"/>
      <c r="T172" s="391"/>
      <c r="U172" s="391"/>
      <c r="V172" s="518"/>
    </row>
    <row r="173" spans="1:22" ht="34.9" customHeight="1" x14ac:dyDescent="0.25">
      <c r="A173" s="13">
        <v>172</v>
      </c>
      <c r="B173" s="95">
        <v>44923</v>
      </c>
      <c r="C173" s="13"/>
      <c r="D173" s="488"/>
      <c r="E173" s="90"/>
      <c r="F173" s="13"/>
      <c r="G173" s="13"/>
      <c r="H173" s="13"/>
      <c r="I173" s="13"/>
      <c r="J173" s="13"/>
      <c r="K173" s="13"/>
      <c r="L173" s="13"/>
      <c r="M173" s="13">
        <v>277</v>
      </c>
      <c r="N173" s="557"/>
      <c r="O173" s="488">
        <f t="shared" si="1"/>
        <v>277</v>
      </c>
      <c r="P173" s="389"/>
      <c r="Q173" s="391"/>
      <c r="R173" s="391"/>
      <c r="S173" s="391"/>
      <c r="T173" s="391"/>
      <c r="U173" s="391"/>
      <c r="V173" s="518"/>
    </row>
    <row r="174" spans="1:22" ht="34.9" customHeight="1" x14ac:dyDescent="0.25">
      <c r="A174" s="13">
        <v>173</v>
      </c>
      <c r="B174" s="95">
        <v>44924</v>
      </c>
      <c r="C174" s="13">
        <v>454</v>
      </c>
      <c r="D174" s="488"/>
      <c r="E174" s="90"/>
      <c r="F174" s="13"/>
      <c r="G174" s="13"/>
      <c r="H174" s="13"/>
      <c r="I174" s="13"/>
      <c r="J174" s="13">
        <v>200</v>
      </c>
      <c r="K174" s="13"/>
      <c r="L174" s="13"/>
      <c r="M174" s="13">
        <v>28</v>
      </c>
      <c r="N174" s="557"/>
      <c r="O174" s="488">
        <f t="shared" si="1"/>
        <v>228</v>
      </c>
      <c r="P174" s="389"/>
      <c r="Q174" s="391"/>
      <c r="R174" s="391"/>
      <c r="S174" s="391"/>
      <c r="T174" s="391"/>
      <c r="U174" s="391"/>
      <c r="V174" s="518"/>
    </row>
    <row r="175" spans="1:22" ht="34.9" customHeight="1" x14ac:dyDescent="0.25">
      <c r="A175" s="13">
        <v>174</v>
      </c>
      <c r="B175" s="95">
        <v>44925</v>
      </c>
      <c r="C175" s="13"/>
      <c r="D175" s="488"/>
      <c r="E175" s="90"/>
      <c r="F175" s="13"/>
      <c r="G175" s="13"/>
      <c r="H175" s="13"/>
      <c r="I175" s="13"/>
      <c r="J175" s="13"/>
      <c r="K175" s="13"/>
      <c r="L175" s="13"/>
      <c r="M175" s="13">
        <v>117</v>
      </c>
      <c r="N175" s="557"/>
      <c r="O175" s="488">
        <f t="shared" si="1"/>
        <v>117</v>
      </c>
      <c r="P175" s="389"/>
      <c r="Q175" s="391"/>
      <c r="R175" s="391"/>
      <c r="S175" s="391"/>
      <c r="T175" s="391"/>
      <c r="U175" s="391"/>
      <c r="V175" s="518"/>
    </row>
    <row r="176" spans="1:22" ht="34.9" customHeight="1" x14ac:dyDescent="0.25">
      <c r="A176" s="190">
        <v>175</v>
      </c>
      <c r="B176" s="191">
        <v>44926</v>
      </c>
      <c r="C176" s="190"/>
      <c r="D176" s="190"/>
      <c r="E176" s="250"/>
      <c r="F176" s="190"/>
      <c r="G176" s="190"/>
      <c r="H176" s="190"/>
      <c r="I176" s="190"/>
      <c r="J176" s="190"/>
      <c r="K176" s="190"/>
      <c r="L176" s="190"/>
      <c r="M176" s="190"/>
      <c r="N176" s="559"/>
      <c r="O176" s="488">
        <f t="shared" si="1"/>
        <v>0</v>
      </c>
      <c r="P176" s="394"/>
      <c r="Q176" s="395"/>
      <c r="R176" s="395"/>
      <c r="S176" s="395"/>
      <c r="T176" s="395"/>
      <c r="U176" s="395"/>
      <c r="V176" s="518"/>
    </row>
    <row r="177" spans="1:22" ht="34.9" customHeight="1" x14ac:dyDescent="0.25">
      <c r="A177" s="190">
        <v>176</v>
      </c>
      <c r="B177" s="191">
        <v>44927</v>
      </c>
      <c r="C177" s="190"/>
      <c r="D177" s="190"/>
      <c r="E177" s="250"/>
      <c r="F177" s="190"/>
      <c r="G177" s="190"/>
      <c r="H177" s="190"/>
      <c r="I177" s="190"/>
      <c r="J177" s="190"/>
      <c r="K177" s="190"/>
      <c r="L177" s="190"/>
      <c r="M177" s="190"/>
      <c r="N177" s="559"/>
      <c r="O177" s="488">
        <f t="shared" si="1"/>
        <v>0</v>
      </c>
      <c r="P177" s="394"/>
      <c r="Q177" s="395"/>
      <c r="R177" s="395"/>
      <c r="S177" s="395"/>
      <c r="T177" s="395"/>
      <c r="U177" s="395"/>
      <c r="V177" s="518"/>
    </row>
    <row r="178" spans="1:22" ht="34.9" customHeight="1" x14ac:dyDescent="0.25">
      <c r="A178" s="190">
        <v>177</v>
      </c>
      <c r="B178" s="191">
        <v>44928</v>
      </c>
      <c r="C178" s="190"/>
      <c r="D178" s="190"/>
      <c r="E178" s="250"/>
      <c r="F178" s="190"/>
      <c r="G178" s="190"/>
      <c r="H178" s="190"/>
      <c r="I178" s="190"/>
      <c r="J178" s="190"/>
      <c r="K178" s="190"/>
      <c r="L178" s="190"/>
      <c r="M178" s="190"/>
      <c r="N178" s="559"/>
      <c r="O178" s="488">
        <f t="shared" si="1"/>
        <v>0</v>
      </c>
      <c r="P178" s="394"/>
      <c r="Q178" s="395"/>
      <c r="R178" s="395"/>
      <c r="S178" s="395"/>
      <c r="T178" s="395"/>
      <c r="U178" s="395"/>
      <c r="V178" s="518"/>
    </row>
    <row r="179" spans="1:22" ht="34.9" customHeight="1" x14ac:dyDescent="0.25">
      <c r="A179" s="190">
        <v>178</v>
      </c>
      <c r="B179" s="191">
        <v>44929</v>
      </c>
      <c r="C179" s="190"/>
      <c r="D179" s="190"/>
      <c r="E179" s="250"/>
      <c r="F179" s="190"/>
      <c r="G179" s="190"/>
      <c r="H179" s="190"/>
      <c r="I179" s="190"/>
      <c r="J179" s="190"/>
      <c r="K179" s="190"/>
      <c r="L179" s="190"/>
      <c r="M179" s="190"/>
      <c r="N179" s="559"/>
      <c r="O179" s="488">
        <f t="shared" si="1"/>
        <v>0</v>
      </c>
      <c r="P179" s="394"/>
      <c r="Q179" s="395"/>
      <c r="R179" s="395"/>
      <c r="S179" s="395"/>
      <c r="T179" s="395"/>
      <c r="U179" s="395"/>
      <c r="V179" s="518"/>
    </row>
    <row r="180" spans="1:22" ht="34.9" customHeight="1" x14ac:dyDescent="0.25">
      <c r="A180" s="190">
        <v>179</v>
      </c>
      <c r="B180" s="191">
        <v>44930</v>
      </c>
      <c r="C180" s="190"/>
      <c r="D180" s="190"/>
      <c r="E180" s="250"/>
      <c r="F180" s="190"/>
      <c r="G180" s="190"/>
      <c r="H180" s="190"/>
      <c r="I180" s="190"/>
      <c r="J180" s="190"/>
      <c r="K180" s="190"/>
      <c r="L180" s="190"/>
      <c r="M180" s="190"/>
      <c r="N180" s="559"/>
      <c r="O180" s="488">
        <f t="shared" si="1"/>
        <v>0</v>
      </c>
      <c r="P180" s="394"/>
      <c r="Q180" s="395"/>
      <c r="R180" s="395"/>
      <c r="S180" s="395"/>
      <c r="T180" s="395"/>
      <c r="U180" s="395"/>
      <c r="V180" s="518"/>
    </row>
    <row r="181" spans="1:22" ht="34.9" customHeight="1" x14ac:dyDescent="0.25">
      <c r="A181" s="190">
        <v>180</v>
      </c>
      <c r="B181" s="191">
        <v>44931</v>
      </c>
      <c r="C181" s="190"/>
      <c r="D181" s="190"/>
      <c r="E181" s="250"/>
      <c r="F181" s="190"/>
      <c r="G181" s="190"/>
      <c r="H181" s="190"/>
      <c r="I181" s="190"/>
      <c r="J181" s="190"/>
      <c r="K181" s="190"/>
      <c r="L181" s="190"/>
      <c r="M181" s="190"/>
      <c r="N181" s="559"/>
      <c r="O181" s="488">
        <f t="shared" si="1"/>
        <v>0</v>
      </c>
      <c r="P181" s="394"/>
      <c r="Q181" s="395"/>
      <c r="R181" s="395"/>
      <c r="S181" s="395"/>
      <c r="T181" s="395"/>
      <c r="U181" s="395"/>
      <c r="V181" s="518"/>
    </row>
    <row r="182" spans="1:22" ht="34.9" customHeight="1" x14ac:dyDescent="0.25">
      <c r="A182" s="190">
        <v>181</v>
      </c>
      <c r="B182" s="191">
        <v>44932</v>
      </c>
      <c r="C182" s="190"/>
      <c r="D182" s="190"/>
      <c r="E182" s="250"/>
      <c r="F182" s="190"/>
      <c r="G182" s="190"/>
      <c r="H182" s="190"/>
      <c r="I182" s="190"/>
      <c r="J182" s="190"/>
      <c r="K182" s="190"/>
      <c r="L182" s="190"/>
      <c r="M182" s="190"/>
      <c r="N182" s="559"/>
      <c r="O182" s="488">
        <f t="shared" si="1"/>
        <v>0</v>
      </c>
      <c r="P182" s="394"/>
      <c r="Q182" s="395"/>
      <c r="R182" s="395"/>
      <c r="S182" s="395"/>
      <c r="T182" s="395"/>
      <c r="U182" s="395"/>
      <c r="V182" s="518"/>
    </row>
    <row r="183" spans="1:22" ht="34.9" customHeight="1" x14ac:dyDescent="0.25">
      <c r="A183" s="190">
        <v>182</v>
      </c>
      <c r="B183" s="191">
        <v>44933</v>
      </c>
      <c r="C183" s="190"/>
      <c r="D183" s="190"/>
      <c r="E183" s="250"/>
      <c r="F183" s="190"/>
      <c r="G183" s="190"/>
      <c r="H183" s="190"/>
      <c r="I183" s="190"/>
      <c r="J183" s="190"/>
      <c r="K183" s="190"/>
      <c r="L183" s="190"/>
      <c r="M183" s="190"/>
      <c r="N183" s="559"/>
      <c r="O183" s="488">
        <f t="shared" si="1"/>
        <v>0</v>
      </c>
      <c r="P183" s="394"/>
      <c r="Q183" s="395"/>
      <c r="R183" s="395"/>
      <c r="S183" s="395"/>
      <c r="T183" s="395"/>
      <c r="U183" s="395"/>
      <c r="V183" s="518"/>
    </row>
    <row r="184" spans="1:22" ht="34.9" customHeight="1" x14ac:dyDescent="0.25">
      <c r="A184" s="190">
        <v>183</v>
      </c>
      <c r="B184" s="191">
        <v>44934</v>
      </c>
      <c r="C184" s="190"/>
      <c r="D184" s="190"/>
      <c r="E184" s="250"/>
      <c r="F184" s="190"/>
      <c r="G184" s="190"/>
      <c r="H184" s="190"/>
      <c r="I184" s="190"/>
      <c r="J184" s="190"/>
      <c r="K184" s="190"/>
      <c r="L184" s="190"/>
      <c r="M184" s="190"/>
      <c r="N184" s="559"/>
      <c r="O184" s="488">
        <f t="shared" ref="O184:O247" si="2">SUM(G184:N184)+F184+D184</f>
        <v>0</v>
      </c>
      <c r="P184" s="394"/>
      <c r="Q184" s="395"/>
      <c r="R184" s="395"/>
      <c r="S184" s="395"/>
      <c r="T184" s="395"/>
      <c r="U184" s="395"/>
      <c r="V184" s="518"/>
    </row>
    <row r="185" spans="1:22" ht="34.9" customHeight="1" x14ac:dyDescent="0.25">
      <c r="A185" s="13">
        <v>184</v>
      </c>
      <c r="B185" s="95">
        <v>44935</v>
      </c>
      <c r="C185" s="13">
        <v>168</v>
      </c>
      <c r="D185" s="488"/>
      <c r="E185" s="90"/>
      <c r="F185" s="13"/>
      <c r="G185" s="13"/>
      <c r="H185" s="13"/>
      <c r="I185" s="13">
        <v>15</v>
      </c>
      <c r="J185" s="13">
        <v>604</v>
      </c>
      <c r="K185" s="13"/>
      <c r="L185" s="13"/>
      <c r="M185" s="13">
        <v>214</v>
      </c>
      <c r="N185" s="557"/>
      <c r="O185" s="488">
        <f t="shared" si="2"/>
        <v>833</v>
      </c>
      <c r="P185" s="389"/>
      <c r="Q185" s="391"/>
      <c r="R185" s="391"/>
      <c r="S185" s="391"/>
      <c r="T185" s="391"/>
      <c r="U185" s="391"/>
      <c r="V185" s="518"/>
    </row>
    <row r="186" spans="1:22" ht="34.9" customHeight="1" x14ac:dyDescent="0.25">
      <c r="A186" s="13">
        <v>185</v>
      </c>
      <c r="B186" s="95">
        <v>44936</v>
      </c>
      <c r="C186" s="13">
        <v>95</v>
      </c>
      <c r="D186" s="488"/>
      <c r="E186" s="312" t="s">
        <v>343</v>
      </c>
      <c r="F186" s="311">
        <v>10.75</v>
      </c>
      <c r="G186" s="13"/>
      <c r="H186" s="13"/>
      <c r="I186" s="13"/>
      <c r="J186" s="13"/>
      <c r="K186" s="13"/>
      <c r="L186" s="13">
        <v>60</v>
      </c>
      <c r="M186" s="13"/>
      <c r="N186" s="557"/>
      <c r="O186" s="488">
        <f t="shared" si="2"/>
        <v>70.75</v>
      </c>
      <c r="P186" s="389"/>
      <c r="Q186" s="391"/>
      <c r="R186" s="391"/>
      <c r="S186" s="391"/>
      <c r="T186" s="391"/>
      <c r="U186" s="391"/>
      <c r="V186" s="518"/>
    </row>
    <row r="187" spans="1:22" ht="34.9" customHeight="1" x14ac:dyDescent="0.25">
      <c r="A187" s="13">
        <v>186</v>
      </c>
      <c r="B187" s="95">
        <v>44937</v>
      </c>
      <c r="C187" s="13"/>
      <c r="D187" s="488"/>
      <c r="E187" s="90"/>
      <c r="F187" s="13"/>
      <c r="G187" s="13"/>
      <c r="H187" s="13"/>
      <c r="I187" s="13">
        <v>183.9</v>
      </c>
      <c r="J187" s="13"/>
      <c r="K187" s="13"/>
      <c r="L187" s="13"/>
      <c r="M187" s="13">
        <v>15</v>
      </c>
      <c r="N187" s="557"/>
      <c r="O187" s="488">
        <f t="shared" si="2"/>
        <v>198.9</v>
      </c>
      <c r="P187" s="389"/>
      <c r="Q187" s="391"/>
      <c r="R187" s="391"/>
      <c r="S187" s="391"/>
      <c r="T187" s="391"/>
      <c r="U187" s="391"/>
      <c r="V187" s="518"/>
    </row>
    <row r="188" spans="1:22" ht="34.9" customHeight="1" x14ac:dyDescent="0.25">
      <c r="A188" s="13">
        <v>187</v>
      </c>
      <c r="B188" s="95">
        <v>44938</v>
      </c>
      <c r="C188" s="13"/>
      <c r="D188" s="488"/>
      <c r="E188" s="90"/>
      <c r="F188" s="13"/>
      <c r="G188" s="13"/>
      <c r="H188" s="13"/>
      <c r="I188" s="13">
        <v>107</v>
      </c>
      <c r="J188" s="13">
        <v>204</v>
      </c>
      <c r="K188" s="13"/>
      <c r="L188" s="13"/>
      <c r="M188" s="13">
        <v>105</v>
      </c>
      <c r="N188" s="557"/>
      <c r="O188" s="488">
        <f t="shared" si="2"/>
        <v>416</v>
      </c>
      <c r="P188" s="389"/>
      <c r="Q188" s="391"/>
      <c r="R188" s="391"/>
      <c r="S188" s="391"/>
      <c r="T188" s="391"/>
      <c r="U188" s="391"/>
      <c r="V188" s="518"/>
    </row>
    <row r="189" spans="1:22" ht="34.9" customHeight="1" x14ac:dyDescent="0.25">
      <c r="A189" s="13">
        <v>188</v>
      </c>
      <c r="B189" s="95">
        <v>44939</v>
      </c>
      <c r="C189" s="13"/>
      <c r="D189" s="488"/>
      <c r="E189" s="90"/>
      <c r="F189" s="13"/>
      <c r="G189" s="13">
        <v>46.7</v>
      </c>
      <c r="H189" s="13"/>
      <c r="I189" s="13"/>
      <c r="J189" s="13">
        <v>298</v>
      </c>
      <c r="K189" s="13"/>
      <c r="L189" s="13"/>
      <c r="M189" s="13">
        <v>353</v>
      </c>
      <c r="N189" s="557"/>
      <c r="O189" s="488">
        <f t="shared" si="2"/>
        <v>697.7</v>
      </c>
      <c r="P189" s="389"/>
      <c r="Q189" s="391"/>
      <c r="R189" s="391"/>
      <c r="S189" s="391"/>
      <c r="T189" s="391"/>
      <c r="U189" s="391"/>
      <c r="V189" s="518"/>
    </row>
    <row r="190" spans="1:22" ht="34.9" customHeight="1" x14ac:dyDescent="0.25">
      <c r="A190" s="13">
        <v>189</v>
      </c>
      <c r="B190" s="95">
        <v>44940</v>
      </c>
      <c r="C190" s="13"/>
      <c r="D190" s="488"/>
      <c r="E190" s="90" t="s">
        <v>348</v>
      </c>
      <c r="F190" s="13">
        <v>5</v>
      </c>
      <c r="G190" s="13"/>
      <c r="H190" s="13"/>
      <c r="I190" s="13"/>
      <c r="J190" s="13"/>
      <c r="K190" s="13"/>
      <c r="L190" s="13">
        <v>10</v>
      </c>
      <c r="M190" s="13">
        <v>325</v>
      </c>
      <c r="N190" s="557"/>
      <c r="O190" s="488">
        <f t="shared" si="2"/>
        <v>340</v>
      </c>
      <c r="P190" s="389"/>
      <c r="Q190" s="391"/>
      <c r="R190" s="391"/>
      <c r="S190" s="391"/>
      <c r="T190" s="391"/>
      <c r="U190" s="391"/>
      <c r="V190" s="518"/>
    </row>
    <row r="191" spans="1:22" ht="34.9" customHeight="1" x14ac:dyDescent="0.25">
      <c r="A191" s="190">
        <v>190</v>
      </c>
      <c r="B191" s="191">
        <v>44941</v>
      </c>
      <c r="C191" s="190"/>
      <c r="D191" s="190"/>
      <c r="E191" s="250"/>
      <c r="F191" s="190"/>
      <c r="G191" s="190"/>
      <c r="H191" s="190"/>
      <c r="I191" s="190"/>
      <c r="J191" s="190"/>
      <c r="K191" s="190"/>
      <c r="L191" s="190"/>
      <c r="M191" s="190"/>
      <c r="N191" s="559"/>
      <c r="O191" s="488">
        <f t="shared" si="2"/>
        <v>0</v>
      </c>
      <c r="P191" s="394"/>
      <c r="Q191" s="395"/>
      <c r="R191" s="395"/>
      <c r="S191" s="395"/>
      <c r="T191" s="395"/>
      <c r="U191" s="395"/>
      <c r="V191" s="518"/>
    </row>
    <row r="192" spans="1:22" ht="34.9" customHeight="1" x14ac:dyDescent="0.25">
      <c r="A192" s="13">
        <v>191</v>
      </c>
      <c r="B192" s="95">
        <v>44942</v>
      </c>
      <c r="C192" s="315">
        <v>286</v>
      </c>
      <c r="D192" s="488"/>
      <c r="E192" s="316"/>
      <c r="F192" s="315"/>
      <c r="G192" s="315"/>
      <c r="H192" s="315"/>
      <c r="I192" s="315">
        <v>106</v>
      </c>
      <c r="J192" s="315">
        <v>213</v>
      </c>
      <c r="K192" s="315"/>
      <c r="L192" s="315">
        <v>26</v>
      </c>
      <c r="M192" s="315">
        <v>941</v>
      </c>
      <c r="N192" s="557"/>
      <c r="O192" s="488">
        <f t="shared" si="2"/>
        <v>1286</v>
      </c>
      <c r="P192" s="389"/>
      <c r="Q192" s="391"/>
      <c r="R192" s="391"/>
      <c r="S192" s="391"/>
      <c r="T192" s="391"/>
      <c r="U192" s="391"/>
      <c r="V192" s="518"/>
    </row>
    <row r="193" spans="1:22" ht="34.9" customHeight="1" x14ac:dyDescent="0.25">
      <c r="A193" s="13">
        <v>192</v>
      </c>
      <c r="B193" s="95">
        <v>44943</v>
      </c>
      <c r="C193" s="315"/>
      <c r="D193" s="488"/>
      <c r="E193" s="316"/>
      <c r="F193" s="315"/>
      <c r="G193" s="315"/>
      <c r="H193" s="315"/>
      <c r="I193" s="315"/>
      <c r="J193" s="315">
        <v>182</v>
      </c>
      <c r="K193" s="315"/>
      <c r="L193" s="315"/>
      <c r="M193" s="315">
        <v>972</v>
      </c>
      <c r="N193" s="557"/>
      <c r="O193" s="488">
        <f t="shared" si="2"/>
        <v>1154</v>
      </c>
      <c r="P193" s="389"/>
      <c r="Q193" s="391"/>
      <c r="R193" s="391"/>
      <c r="S193" s="391"/>
      <c r="T193" s="391"/>
      <c r="U193" s="391"/>
      <c r="V193" s="518"/>
    </row>
    <row r="194" spans="1:22" ht="127.5" customHeight="1" x14ac:dyDescent="0.25">
      <c r="A194" s="13">
        <v>193</v>
      </c>
      <c r="B194" s="95">
        <v>44944</v>
      </c>
      <c r="C194" s="13"/>
      <c r="D194" s="488"/>
      <c r="E194" s="90" t="s">
        <v>344</v>
      </c>
      <c r="F194" s="13">
        <f>345+710+100+106+100+40</f>
        <v>1401</v>
      </c>
      <c r="G194" s="13"/>
      <c r="H194" s="13"/>
      <c r="I194" s="13"/>
      <c r="J194" s="13">
        <v>832</v>
      </c>
      <c r="K194" s="13"/>
      <c r="L194" s="13"/>
      <c r="M194" s="13">
        <v>284</v>
      </c>
      <c r="N194" s="557"/>
      <c r="O194" s="488">
        <f t="shared" si="2"/>
        <v>2517</v>
      </c>
      <c r="P194" s="389"/>
      <c r="Q194" s="391"/>
      <c r="R194" s="391"/>
      <c r="S194" s="391"/>
      <c r="T194" s="391"/>
      <c r="U194" s="391"/>
      <c r="V194" s="518"/>
    </row>
    <row r="195" spans="1:22" ht="34.9" customHeight="1" x14ac:dyDescent="0.25">
      <c r="A195" s="13">
        <v>194</v>
      </c>
      <c r="B195" s="95">
        <v>44945</v>
      </c>
      <c r="C195" s="13"/>
      <c r="D195" s="488"/>
      <c r="E195" s="90" t="s">
        <v>330</v>
      </c>
      <c r="F195" s="13">
        <v>150</v>
      </c>
      <c r="G195" s="13"/>
      <c r="H195" s="13"/>
      <c r="I195" s="13">
        <v>1</v>
      </c>
      <c r="J195" s="13">
        <v>469</v>
      </c>
      <c r="K195" s="13"/>
      <c r="L195" s="13"/>
      <c r="M195" s="13">
        <v>398</v>
      </c>
      <c r="N195" s="557"/>
      <c r="O195" s="488">
        <f t="shared" si="2"/>
        <v>1018</v>
      </c>
      <c r="P195" s="389"/>
      <c r="Q195" s="391"/>
      <c r="R195" s="391"/>
      <c r="S195" s="391"/>
      <c r="T195" s="391"/>
      <c r="U195" s="391"/>
      <c r="V195" s="518"/>
    </row>
    <row r="196" spans="1:22" ht="34.9" customHeight="1" x14ac:dyDescent="0.25">
      <c r="A196" s="13">
        <v>195</v>
      </c>
      <c r="B196" s="95">
        <v>44946</v>
      </c>
      <c r="C196" s="13"/>
      <c r="D196" s="488"/>
      <c r="E196" s="90" t="s">
        <v>346</v>
      </c>
      <c r="F196" s="13">
        <v>5.49</v>
      </c>
      <c r="G196" s="13"/>
      <c r="H196" s="13"/>
      <c r="I196" s="13"/>
      <c r="J196" s="13">
        <v>83</v>
      </c>
      <c r="K196" s="13"/>
      <c r="L196" s="13"/>
      <c r="M196" s="13">
        <v>164</v>
      </c>
      <c r="N196" s="557"/>
      <c r="O196" s="488">
        <f t="shared" si="2"/>
        <v>252.49</v>
      </c>
      <c r="P196" s="389"/>
      <c r="Q196" s="391"/>
      <c r="R196" s="391"/>
      <c r="S196" s="391"/>
      <c r="T196" s="391"/>
      <c r="U196" s="391"/>
      <c r="V196" s="518"/>
    </row>
    <row r="197" spans="1:22" ht="34.9" customHeight="1" x14ac:dyDescent="0.25">
      <c r="A197" s="13">
        <v>196</v>
      </c>
      <c r="B197" s="95">
        <v>44947</v>
      </c>
      <c r="C197" s="13">
        <v>73</v>
      </c>
      <c r="D197" s="488"/>
      <c r="E197" s="90"/>
      <c r="F197" s="13"/>
      <c r="G197" s="13">
        <v>71</v>
      </c>
      <c r="H197" s="13"/>
      <c r="I197" s="13">
        <v>1.8</v>
      </c>
      <c r="J197" s="13"/>
      <c r="K197" s="13"/>
      <c r="L197" s="13">
        <v>10.199999999999999</v>
      </c>
      <c r="M197" s="13">
        <v>188</v>
      </c>
      <c r="N197" s="557"/>
      <c r="O197" s="488">
        <f t="shared" si="2"/>
        <v>271</v>
      </c>
      <c r="P197" s="389"/>
      <c r="Q197" s="391"/>
      <c r="R197" s="391"/>
      <c r="S197" s="391"/>
      <c r="T197" s="391"/>
      <c r="U197" s="391"/>
      <c r="V197" s="518"/>
    </row>
    <row r="198" spans="1:22" ht="34.9" customHeight="1" x14ac:dyDescent="0.25">
      <c r="A198" s="190">
        <v>197</v>
      </c>
      <c r="B198" s="191">
        <v>44948</v>
      </c>
      <c r="C198" s="190"/>
      <c r="D198" s="190"/>
      <c r="E198" s="250"/>
      <c r="F198" s="190"/>
      <c r="G198" s="190"/>
      <c r="H198" s="190"/>
      <c r="I198" s="190"/>
      <c r="J198" s="190"/>
      <c r="K198" s="190"/>
      <c r="L198" s="190"/>
      <c r="M198" s="190"/>
      <c r="N198" s="559"/>
      <c r="O198" s="488">
        <f t="shared" si="2"/>
        <v>0</v>
      </c>
      <c r="P198" s="394"/>
      <c r="Q198" s="395"/>
      <c r="R198" s="395"/>
      <c r="S198" s="395"/>
      <c r="T198" s="395"/>
      <c r="U198" s="395"/>
      <c r="V198" s="518"/>
    </row>
    <row r="199" spans="1:22" ht="34.9" customHeight="1" x14ac:dyDescent="0.25">
      <c r="A199" s="13">
        <v>198</v>
      </c>
      <c r="B199" s="95">
        <v>44949</v>
      </c>
      <c r="C199" s="13"/>
      <c r="D199" s="488"/>
      <c r="E199" s="90"/>
      <c r="F199" s="13"/>
      <c r="G199" s="13"/>
      <c r="H199" s="13"/>
      <c r="I199" s="13">
        <v>30</v>
      </c>
      <c r="J199" s="13">
        <v>1117</v>
      </c>
      <c r="K199" s="13"/>
      <c r="L199" s="13"/>
      <c r="M199" s="13">
        <v>270</v>
      </c>
      <c r="N199" s="557"/>
      <c r="O199" s="488">
        <f t="shared" si="2"/>
        <v>1417</v>
      </c>
      <c r="P199" s="389"/>
      <c r="Q199" s="391"/>
      <c r="R199" s="391"/>
      <c r="S199" s="391"/>
      <c r="T199" s="391"/>
      <c r="U199" s="391"/>
      <c r="V199" s="518"/>
    </row>
    <row r="200" spans="1:22" ht="34.9" customHeight="1" x14ac:dyDescent="0.25">
      <c r="A200" s="13">
        <v>199</v>
      </c>
      <c r="B200" s="95">
        <v>44950</v>
      </c>
      <c r="C200" s="13">
        <v>97</v>
      </c>
      <c r="D200" s="488"/>
      <c r="E200" s="90" t="s">
        <v>347</v>
      </c>
      <c r="F200" s="13">
        <v>370</v>
      </c>
      <c r="G200" s="13"/>
      <c r="H200" s="13"/>
      <c r="I200" s="13">
        <v>154</v>
      </c>
      <c r="J200" s="13">
        <v>34</v>
      </c>
      <c r="K200" s="13"/>
      <c r="L200" s="13"/>
      <c r="M200" s="13">
        <v>391</v>
      </c>
      <c r="N200" s="557">
        <v>10</v>
      </c>
      <c r="O200" s="488">
        <f t="shared" si="2"/>
        <v>959</v>
      </c>
      <c r="P200" s="389"/>
      <c r="Q200" s="391"/>
      <c r="R200" s="391"/>
      <c r="S200" s="391"/>
      <c r="T200" s="391"/>
      <c r="U200" s="391"/>
      <c r="V200" s="518"/>
    </row>
    <row r="201" spans="1:22" ht="34.9" customHeight="1" x14ac:dyDescent="0.25">
      <c r="A201" s="13">
        <v>200</v>
      </c>
      <c r="B201" s="95">
        <v>44951</v>
      </c>
      <c r="C201" s="13">
        <v>263</v>
      </c>
      <c r="D201" s="488"/>
      <c r="E201" s="90"/>
      <c r="F201" s="13"/>
      <c r="G201" s="13"/>
      <c r="H201" s="13"/>
      <c r="I201" s="13">
        <v>15</v>
      </c>
      <c r="J201" s="13">
        <v>11</v>
      </c>
      <c r="K201" s="13"/>
      <c r="L201" s="13"/>
      <c r="M201" s="13">
        <v>255</v>
      </c>
      <c r="N201" s="557"/>
      <c r="O201" s="488">
        <f t="shared" si="2"/>
        <v>281</v>
      </c>
      <c r="P201" s="389"/>
      <c r="Q201" s="391"/>
      <c r="R201" s="391"/>
      <c r="S201" s="391"/>
      <c r="T201" s="391"/>
      <c r="U201" s="391"/>
      <c r="V201" s="518"/>
    </row>
    <row r="202" spans="1:22" ht="34.9" customHeight="1" x14ac:dyDescent="0.25">
      <c r="A202" s="13">
        <v>201</v>
      </c>
      <c r="B202" s="95">
        <v>44952</v>
      </c>
      <c r="C202" s="13">
        <v>5</v>
      </c>
      <c r="D202" s="488"/>
      <c r="E202" s="90"/>
      <c r="F202" s="13"/>
      <c r="G202" s="13"/>
      <c r="H202" s="13"/>
      <c r="I202" s="13">
        <v>1</v>
      </c>
      <c r="J202" s="13"/>
      <c r="K202" s="13"/>
      <c r="L202" s="13"/>
      <c r="M202" s="13">
        <v>816</v>
      </c>
      <c r="N202" s="557"/>
      <c r="O202" s="488">
        <f t="shared" si="2"/>
        <v>817</v>
      </c>
      <c r="P202" s="389"/>
      <c r="Q202" s="391"/>
      <c r="R202" s="391"/>
      <c r="S202" s="391"/>
      <c r="T202" s="391"/>
      <c r="U202" s="391"/>
      <c r="V202" s="518"/>
    </row>
    <row r="203" spans="1:22" ht="34.9" customHeight="1" x14ac:dyDescent="0.25">
      <c r="A203" s="13">
        <v>202</v>
      </c>
      <c r="B203" s="95">
        <v>44953</v>
      </c>
      <c r="C203" s="13"/>
      <c r="D203" s="488"/>
      <c r="E203" s="90"/>
      <c r="F203" s="13"/>
      <c r="G203" s="13"/>
      <c r="H203" s="13"/>
      <c r="I203" s="13"/>
      <c r="J203" s="13">
        <v>291</v>
      </c>
      <c r="K203" s="13"/>
      <c r="L203" s="13"/>
      <c r="M203" s="13">
        <v>574</v>
      </c>
      <c r="N203" s="557"/>
      <c r="O203" s="488">
        <f t="shared" si="2"/>
        <v>865</v>
      </c>
      <c r="P203" s="389"/>
      <c r="Q203" s="391"/>
      <c r="R203" s="391"/>
      <c r="S203" s="391"/>
      <c r="T203" s="391"/>
      <c r="U203" s="391"/>
      <c r="V203" s="518"/>
    </row>
    <row r="204" spans="1:22" ht="34.9" customHeight="1" x14ac:dyDescent="0.25">
      <c r="A204" s="13">
        <v>203</v>
      </c>
      <c r="B204" s="95">
        <v>44954</v>
      </c>
      <c r="C204" s="13"/>
      <c r="D204" s="488"/>
      <c r="E204" s="90"/>
      <c r="F204" s="13"/>
      <c r="G204" s="13"/>
      <c r="H204" s="13"/>
      <c r="I204" s="13">
        <v>126</v>
      </c>
      <c r="J204" s="13"/>
      <c r="K204" s="13"/>
      <c r="L204" s="13"/>
      <c r="M204" s="13">
        <v>149</v>
      </c>
      <c r="N204" s="557"/>
      <c r="O204" s="488">
        <f t="shared" si="2"/>
        <v>275</v>
      </c>
      <c r="P204" s="389"/>
      <c r="Q204" s="391"/>
      <c r="R204" s="391"/>
      <c r="S204" s="391"/>
      <c r="T204" s="391"/>
      <c r="U204" s="391"/>
      <c r="V204" s="518"/>
    </row>
    <row r="205" spans="1:22" ht="34.9" customHeight="1" x14ac:dyDescent="0.25">
      <c r="A205" s="190">
        <v>204</v>
      </c>
      <c r="B205" s="191">
        <v>44955</v>
      </c>
      <c r="C205" s="190"/>
      <c r="D205" s="190"/>
      <c r="E205" s="250"/>
      <c r="F205" s="190"/>
      <c r="G205" s="190"/>
      <c r="H205" s="190"/>
      <c r="I205" s="190"/>
      <c r="J205" s="190"/>
      <c r="K205" s="190"/>
      <c r="L205" s="190"/>
      <c r="M205" s="190"/>
      <c r="N205" s="559"/>
      <c r="O205" s="488">
        <f t="shared" si="2"/>
        <v>0</v>
      </c>
      <c r="P205" s="394"/>
      <c r="Q205" s="395"/>
      <c r="R205" s="395"/>
      <c r="S205" s="395"/>
      <c r="T205" s="395"/>
      <c r="U205" s="395"/>
      <c r="V205" s="518"/>
    </row>
    <row r="206" spans="1:22" ht="34.9" customHeight="1" x14ac:dyDescent="0.25">
      <c r="A206" s="13">
        <v>205</v>
      </c>
      <c r="B206" s="95">
        <v>44956</v>
      </c>
      <c r="C206" s="13">
        <f>159-26</f>
        <v>133</v>
      </c>
      <c r="D206" s="488"/>
      <c r="E206" s="90" t="s">
        <v>350</v>
      </c>
      <c r="F206" s="13">
        <v>40</v>
      </c>
      <c r="G206" s="13">
        <v>1</v>
      </c>
      <c r="H206" s="13"/>
      <c r="I206" s="13"/>
      <c r="J206" s="13">
        <v>95</v>
      </c>
      <c r="K206" s="13"/>
      <c r="L206" s="13"/>
      <c r="M206" s="13">
        <v>665</v>
      </c>
      <c r="N206" s="557"/>
      <c r="O206" s="488">
        <f t="shared" si="2"/>
        <v>801</v>
      </c>
      <c r="P206" s="389"/>
      <c r="Q206" s="391"/>
      <c r="R206" s="391"/>
      <c r="S206" s="391"/>
      <c r="T206" s="391"/>
      <c r="U206" s="391"/>
      <c r="V206" s="518"/>
    </row>
    <row r="207" spans="1:22" ht="34.9" customHeight="1" x14ac:dyDescent="0.25">
      <c r="A207" s="13">
        <v>206</v>
      </c>
      <c r="B207" s="95">
        <v>44957</v>
      </c>
      <c r="C207" s="13"/>
      <c r="D207" s="488"/>
      <c r="E207" s="90" t="s">
        <v>349</v>
      </c>
      <c r="F207" s="13">
        <v>26</v>
      </c>
      <c r="G207" s="13"/>
      <c r="H207" s="13"/>
      <c r="I207" s="13">
        <v>104</v>
      </c>
      <c r="J207" s="13">
        <v>138</v>
      </c>
      <c r="K207" s="13"/>
      <c r="L207" s="13"/>
      <c r="M207" s="13">
        <v>9</v>
      </c>
      <c r="N207" s="557"/>
      <c r="O207" s="488">
        <f t="shared" si="2"/>
        <v>277</v>
      </c>
      <c r="P207" s="389"/>
      <c r="Q207" s="391"/>
      <c r="R207" s="391"/>
      <c r="S207" s="391"/>
      <c r="T207" s="391"/>
      <c r="U207" s="391"/>
      <c r="V207" s="518"/>
    </row>
    <row r="208" spans="1:22" ht="34.9" customHeight="1" x14ac:dyDescent="0.25">
      <c r="A208" s="13">
        <v>207</v>
      </c>
      <c r="B208" s="95">
        <v>44958</v>
      </c>
      <c r="C208" s="13">
        <v>46</v>
      </c>
      <c r="D208" s="488"/>
      <c r="E208" s="90"/>
      <c r="F208" s="13"/>
      <c r="G208" s="13"/>
      <c r="H208" s="13">
        <v>132</v>
      </c>
      <c r="I208" s="13"/>
      <c r="J208" s="13">
        <v>144</v>
      </c>
      <c r="K208" s="13"/>
      <c r="L208" s="13"/>
      <c r="M208" s="13">
        <v>23</v>
      </c>
      <c r="N208" s="557"/>
      <c r="O208" s="488">
        <f t="shared" si="2"/>
        <v>299</v>
      </c>
      <c r="P208" s="389"/>
      <c r="Q208" s="391"/>
      <c r="R208" s="391"/>
      <c r="S208" s="391"/>
      <c r="T208" s="391"/>
      <c r="U208" s="391"/>
      <c r="V208" s="518"/>
    </row>
    <row r="209" spans="1:22" ht="34.9" customHeight="1" x14ac:dyDescent="0.25">
      <c r="A209" s="13">
        <v>208</v>
      </c>
      <c r="B209" s="95">
        <v>44959</v>
      </c>
      <c r="C209" s="13"/>
      <c r="D209" s="488"/>
      <c r="E209" s="90"/>
      <c r="F209" s="13"/>
      <c r="G209" s="13"/>
      <c r="H209" s="13"/>
      <c r="I209" s="13">
        <v>34</v>
      </c>
      <c r="J209" s="13">
        <v>279</v>
      </c>
      <c r="K209" s="13"/>
      <c r="L209" s="13"/>
      <c r="M209" s="13">
        <v>186</v>
      </c>
      <c r="N209" s="557"/>
      <c r="O209" s="488">
        <f t="shared" si="2"/>
        <v>499</v>
      </c>
      <c r="P209" s="389"/>
      <c r="Q209" s="391"/>
      <c r="R209" s="391"/>
      <c r="S209" s="391"/>
      <c r="T209" s="391"/>
      <c r="U209" s="391"/>
      <c r="V209" s="518"/>
    </row>
    <row r="210" spans="1:22" ht="34.9" customHeight="1" x14ac:dyDescent="0.25">
      <c r="A210" s="13">
        <v>209</v>
      </c>
      <c r="B210" s="95">
        <v>44960</v>
      </c>
      <c r="C210" s="13"/>
      <c r="D210" s="488"/>
      <c r="E210" s="90"/>
      <c r="F210" s="13"/>
      <c r="G210" s="13"/>
      <c r="H210" s="13"/>
      <c r="I210" s="13">
        <v>15</v>
      </c>
      <c r="J210" s="13">
        <v>9</v>
      </c>
      <c r="K210" s="13"/>
      <c r="L210" s="13"/>
      <c r="M210" s="13">
        <v>393</v>
      </c>
      <c r="N210" s="557"/>
      <c r="O210" s="488">
        <f t="shared" si="2"/>
        <v>417</v>
      </c>
      <c r="P210" s="389"/>
      <c r="Q210" s="391"/>
      <c r="R210" s="391"/>
      <c r="S210" s="391"/>
      <c r="T210" s="391"/>
      <c r="U210" s="391"/>
      <c r="V210" s="518"/>
    </row>
    <row r="211" spans="1:22" ht="34.9" customHeight="1" x14ac:dyDescent="0.25">
      <c r="A211" s="13">
        <v>210</v>
      </c>
      <c r="B211" s="95">
        <v>44961</v>
      </c>
      <c r="C211" s="13">
        <v>130</v>
      </c>
      <c r="D211" s="488"/>
      <c r="E211" s="90"/>
      <c r="F211" s="13"/>
      <c r="G211" s="13"/>
      <c r="H211" s="13"/>
      <c r="I211" s="13">
        <v>58</v>
      </c>
      <c r="J211" s="13"/>
      <c r="K211" s="13"/>
      <c r="L211" s="13"/>
      <c r="M211" s="13">
        <v>231</v>
      </c>
      <c r="N211" s="557"/>
      <c r="O211" s="488">
        <f t="shared" si="2"/>
        <v>289</v>
      </c>
      <c r="P211" s="389"/>
      <c r="Q211" s="391"/>
      <c r="R211" s="391"/>
      <c r="S211" s="391"/>
      <c r="T211" s="391"/>
      <c r="U211" s="391"/>
      <c r="V211" s="518"/>
    </row>
    <row r="212" spans="1:22" ht="34.9" customHeight="1" x14ac:dyDescent="0.25">
      <c r="A212" s="190">
        <v>211</v>
      </c>
      <c r="B212" s="191">
        <v>44962</v>
      </c>
      <c r="C212" s="190"/>
      <c r="D212" s="190"/>
      <c r="E212" s="250"/>
      <c r="F212" s="190"/>
      <c r="G212" s="190"/>
      <c r="H212" s="190"/>
      <c r="I212" s="190"/>
      <c r="J212" s="190"/>
      <c r="K212" s="190"/>
      <c r="L212" s="190"/>
      <c r="M212" s="190"/>
      <c r="N212" s="559"/>
      <c r="O212" s="488">
        <f t="shared" si="2"/>
        <v>0</v>
      </c>
      <c r="P212" s="394"/>
      <c r="Q212" s="395"/>
      <c r="R212" s="395"/>
      <c r="S212" s="395"/>
      <c r="T212" s="395"/>
      <c r="U212" s="395"/>
      <c r="V212" s="518"/>
    </row>
    <row r="213" spans="1:22" ht="34.9" customHeight="1" x14ac:dyDescent="0.25">
      <c r="A213" s="320">
        <v>212</v>
      </c>
      <c r="B213" s="323">
        <v>44963</v>
      </c>
      <c r="C213" s="320"/>
      <c r="D213" s="487"/>
      <c r="E213" s="319"/>
      <c r="F213" s="320"/>
      <c r="G213" s="320"/>
      <c r="H213" s="320"/>
      <c r="I213" s="320"/>
      <c r="J213" s="320">
        <v>82</v>
      </c>
      <c r="K213" s="320"/>
      <c r="L213" s="320"/>
      <c r="M213" s="320">
        <v>1141</v>
      </c>
      <c r="N213" s="560"/>
      <c r="O213" s="488">
        <f t="shared" si="2"/>
        <v>1223</v>
      </c>
      <c r="P213" s="389"/>
      <c r="Q213" s="391"/>
      <c r="R213" s="391"/>
      <c r="S213" s="391"/>
      <c r="T213" s="391"/>
      <c r="U213" s="391"/>
      <c r="V213" s="518"/>
    </row>
    <row r="214" spans="1:22" ht="34.9" customHeight="1" x14ac:dyDescent="0.25">
      <c r="A214" s="13">
        <v>213</v>
      </c>
      <c r="B214" s="95">
        <v>44964</v>
      </c>
      <c r="C214" s="321">
        <v>147</v>
      </c>
      <c r="D214" s="488"/>
      <c r="E214" s="322"/>
      <c r="F214" s="321"/>
      <c r="G214" s="321"/>
      <c r="H214" s="321"/>
      <c r="I214" s="321">
        <v>506</v>
      </c>
      <c r="J214" s="321">
        <v>98</v>
      </c>
      <c r="K214" s="321"/>
      <c r="L214" s="321"/>
      <c r="M214" s="321">
        <v>778</v>
      </c>
      <c r="N214" s="557"/>
      <c r="O214" s="488">
        <f t="shared" si="2"/>
        <v>1382</v>
      </c>
      <c r="P214" s="389"/>
      <c r="Q214" s="391"/>
      <c r="R214" s="391"/>
      <c r="S214" s="391"/>
      <c r="T214" s="391"/>
      <c r="U214" s="391"/>
      <c r="V214" s="518"/>
    </row>
    <row r="215" spans="1:22" ht="144.75" customHeight="1" x14ac:dyDescent="0.25">
      <c r="A215" s="13">
        <v>214</v>
      </c>
      <c r="B215" s="95">
        <v>44965</v>
      </c>
      <c r="C215" s="321"/>
      <c r="D215" s="488"/>
      <c r="E215" s="322" t="s">
        <v>364</v>
      </c>
      <c r="F215" s="321">
        <f>8+130+46+30+476+151</f>
        <v>841</v>
      </c>
      <c r="G215" s="321"/>
      <c r="H215" s="321"/>
      <c r="I215" s="321"/>
      <c r="J215" s="321">
        <v>39</v>
      </c>
      <c r="K215" s="321"/>
      <c r="L215" s="321"/>
      <c r="M215" s="321">
        <v>409</v>
      </c>
      <c r="N215" s="557"/>
      <c r="O215" s="488">
        <f t="shared" si="2"/>
        <v>1289</v>
      </c>
      <c r="P215" s="389"/>
      <c r="Q215" s="391"/>
      <c r="R215" s="391"/>
      <c r="S215" s="391"/>
      <c r="T215" s="391"/>
      <c r="U215" s="391"/>
      <c r="V215" s="518"/>
    </row>
    <row r="216" spans="1:22" ht="39" customHeight="1" x14ac:dyDescent="0.25">
      <c r="A216" s="13">
        <v>215</v>
      </c>
      <c r="B216" s="95">
        <v>44966</v>
      </c>
      <c r="C216" s="13">
        <v>60</v>
      </c>
      <c r="D216" s="488"/>
      <c r="E216" s="90"/>
      <c r="F216" s="13"/>
      <c r="G216" s="13"/>
      <c r="H216" s="13"/>
      <c r="I216" s="13">
        <v>149</v>
      </c>
      <c r="J216" s="13">
        <v>364</v>
      </c>
      <c r="K216" s="13"/>
      <c r="L216" s="13"/>
      <c r="M216" s="13">
        <v>35</v>
      </c>
      <c r="N216" s="557"/>
      <c r="O216" s="488">
        <f t="shared" si="2"/>
        <v>548</v>
      </c>
      <c r="P216" s="389"/>
      <c r="Q216" s="391"/>
      <c r="R216" s="391"/>
      <c r="S216" s="391"/>
      <c r="T216" s="391"/>
      <c r="U216" s="391"/>
      <c r="V216" s="518"/>
    </row>
    <row r="217" spans="1:22" ht="34.9" customHeight="1" x14ac:dyDescent="0.25">
      <c r="A217" s="13">
        <v>216</v>
      </c>
      <c r="B217" s="95">
        <v>44967</v>
      </c>
      <c r="C217" s="13"/>
      <c r="D217" s="488"/>
      <c r="E217" s="90"/>
      <c r="F217" s="13"/>
      <c r="G217" s="13"/>
      <c r="H217" s="13"/>
      <c r="I217" s="13">
        <v>5</v>
      </c>
      <c r="J217" s="13">
        <v>106</v>
      </c>
      <c r="K217" s="13"/>
      <c r="L217" s="13"/>
      <c r="M217" s="13">
        <v>158</v>
      </c>
      <c r="N217" s="557"/>
      <c r="O217" s="488">
        <f t="shared" si="2"/>
        <v>269</v>
      </c>
      <c r="P217" s="389"/>
      <c r="Q217" s="391"/>
      <c r="R217" s="391"/>
      <c r="S217" s="391"/>
      <c r="T217" s="391"/>
      <c r="U217" s="391"/>
      <c r="V217" s="518"/>
    </row>
    <row r="218" spans="1:22" ht="34.9" customHeight="1" x14ac:dyDescent="0.25">
      <c r="A218" s="13">
        <v>217</v>
      </c>
      <c r="B218" s="95">
        <v>44968</v>
      </c>
      <c r="C218" s="13">
        <v>1273.53</v>
      </c>
      <c r="D218" s="488"/>
      <c r="E218" s="90"/>
      <c r="F218" s="13"/>
      <c r="G218" s="13"/>
      <c r="H218" s="13"/>
      <c r="I218" s="13"/>
      <c r="J218" s="13">
        <v>22</v>
      </c>
      <c r="K218" s="13"/>
      <c r="L218" s="13">
        <v>178</v>
      </c>
      <c r="M218" s="13"/>
      <c r="N218" s="557"/>
      <c r="O218" s="488">
        <f t="shared" si="2"/>
        <v>200</v>
      </c>
      <c r="P218" s="389"/>
      <c r="Q218" s="391"/>
      <c r="R218" s="391"/>
      <c r="S218" s="391"/>
      <c r="T218" s="391"/>
      <c r="U218" s="391"/>
      <c r="V218" s="518"/>
    </row>
    <row r="219" spans="1:22" ht="34.9" customHeight="1" x14ac:dyDescent="0.25">
      <c r="A219" s="190">
        <v>218</v>
      </c>
      <c r="B219" s="191">
        <v>44969</v>
      </c>
      <c r="C219" s="190"/>
      <c r="D219" s="190"/>
      <c r="E219" s="250"/>
      <c r="F219" s="190"/>
      <c r="G219" s="190"/>
      <c r="H219" s="190"/>
      <c r="I219" s="190"/>
      <c r="J219" s="190"/>
      <c r="K219" s="190"/>
      <c r="L219" s="190"/>
      <c r="M219" s="190"/>
      <c r="N219" s="559"/>
      <c r="O219" s="488">
        <f t="shared" si="2"/>
        <v>0</v>
      </c>
      <c r="P219" s="394"/>
      <c r="Q219" s="395"/>
      <c r="R219" s="395"/>
      <c r="S219" s="395"/>
      <c r="T219" s="395"/>
      <c r="U219" s="395"/>
      <c r="V219" s="518"/>
    </row>
    <row r="220" spans="1:22" ht="34.9" customHeight="1" x14ac:dyDescent="0.25">
      <c r="A220" s="13">
        <v>219</v>
      </c>
      <c r="B220" s="95">
        <v>44970</v>
      </c>
      <c r="C220" s="325">
        <v>199</v>
      </c>
      <c r="D220" s="488"/>
      <c r="E220" s="326"/>
      <c r="F220" s="325"/>
      <c r="G220" s="325"/>
      <c r="H220" s="325"/>
      <c r="I220" s="325"/>
      <c r="J220" s="325">
        <v>1030</v>
      </c>
      <c r="K220" s="325"/>
      <c r="L220" s="325"/>
      <c r="M220" s="325">
        <v>451</v>
      </c>
      <c r="N220" s="557"/>
      <c r="O220" s="488">
        <f t="shared" si="2"/>
        <v>1481</v>
      </c>
      <c r="P220" s="389"/>
      <c r="Q220" s="391"/>
      <c r="R220" s="391"/>
      <c r="S220" s="391"/>
      <c r="T220" s="391"/>
      <c r="U220" s="391"/>
      <c r="V220" s="518"/>
    </row>
    <row r="221" spans="1:22" ht="34.9" customHeight="1" x14ac:dyDescent="0.25">
      <c r="A221" s="13">
        <v>220</v>
      </c>
      <c r="B221" s="95">
        <v>44971</v>
      </c>
      <c r="C221" s="13"/>
      <c r="D221" s="488"/>
      <c r="E221" s="90"/>
      <c r="F221" s="13"/>
      <c r="G221" s="13"/>
      <c r="H221" s="13"/>
      <c r="I221" s="13">
        <v>52</v>
      </c>
      <c r="J221" s="13"/>
      <c r="K221" s="13"/>
      <c r="L221" s="13"/>
      <c r="M221" s="13">
        <v>1280</v>
      </c>
      <c r="N221" s="557"/>
      <c r="O221" s="488">
        <f t="shared" si="2"/>
        <v>1332</v>
      </c>
      <c r="P221" s="389"/>
      <c r="Q221" s="391"/>
      <c r="R221" s="391"/>
      <c r="S221" s="391"/>
      <c r="T221" s="391"/>
      <c r="U221" s="391"/>
      <c r="V221" s="518"/>
    </row>
    <row r="222" spans="1:22" ht="34.9" customHeight="1" x14ac:dyDescent="0.25">
      <c r="A222" s="13">
        <v>221</v>
      </c>
      <c r="B222" s="95">
        <v>44972</v>
      </c>
      <c r="C222" s="329">
        <v>450</v>
      </c>
      <c r="D222" s="488"/>
      <c r="E222" s="90" t="s">
        <v>366</v>
      </c>
      <c r="F222" s="13">
        <v>10</v>
      </c>
      <c r="G222" s="13"/>
      <c r="H222" s="13"/>
      <c r="I222" s="329">
        <v>59</v>
      </c>
      <c r="J222" s="329">
        <v>921</v>
      </c>
      <c r="K222" s="329"/>
      <c r="L222" s="329"/>
      <c r="M222" s="329">
        <v>255.5</v>
      </c>
      <c r="N222" s="557"/>
      <c r="O222" s="488">
        <f t="shared" si="2"/>
        <v>1245.5</v>
      </c>
      <c r="P222" s="389"/>
      <c r="Q222" s="391"/>
      <c r="R222" s="391"/>
      <c r="S222" s="391"/>
      <c r="T222" s="391"/>
      <c r="U222" s="391"/>
      <c r="V222" s="518"/>
    </row>
    <row r="223" spans="1:22" ht="34.9" customHeight="1" x14ac:dyDescent="0.25">
      <c r="A223" s="13">
        <v>222</v>
      </c>
      <c r="B223" s="95">
        <v>44973</v>
      </c>
      <c r="C223" s="13"/>
      <c r="D223" s="488"/>
      <c r="E223" s="90"/>
      <c r="F223" s="13"/>
      <c r="G223" s="13"/>
      <c r="H223" s="13"/>
      <c r="I223" s="13">
        <v>1</v>
      </c>
      <c r="J223" s="13">
        <v>491</v>
      </c>
      <c r="K223" s="13"/>
      <c r="L223" s="13"/>
      <c r="M223" s="13">
        <v>847</v>
      </c>
      <c r="N223" s="557"/>
      <c r="O223" s="488">
        <f t="shared" si="2"/>
        <v>1339</v>
      </c>
      <c r="P223" s="389"/>
      <c r="Q223" s="391"/>
      <c r="R223" s="391"/>
      <c r="S223" s="391"/>
      <c r="T223" s="391"/>
      <c r="U223" s="391"/>
      <c r="V223" s="518"/>
    </row>
    <row r="224" spans="1:22" ht="34.9" customHeight="1" x14ac:dyDescent="0.25">
      <c r="A224" s="13">
        <v>223</v>
      </c>
      <c r="B224" s="95">
        <v>44974</v>
      </c>
      <c r="C224" s="13"/>
      <c r="D224" s="488"/>
      <c r="E224" s="90"/>
      <c r="F224" s="13"/>
      <c r="G224" s="13"/>
      <c r="H224" s="13"/>
      <c r="I224" s="13"/>
      <c r="J224" s="13">
        <v>408</v>
      </c>
      <c r="K224" s="13"/>
      <c r="L224" s="13"/>
      <c r="M224" s="13">
        <v>346</v>
      </c>
      <c r="N224" s="557"/>
      <c r="O224" s="488">
        <f t="shared" si="2"/>
        <v>754</v>
      </c>
      <c r="P224" s="389"/>
      <c r="Q224" s="391"/>
      <c r="R224" s="391"/>
      <c r="S224" s="391"/>
      <c r="T224" s="391"/>
      <c r="U224" s="391"/>
      <c r="V224" s="518"/>
    </row>
    <row r="225" spans="1:22" ht="34.9" customHeight="1" x14ac:dyDescent="0.25">
      <c r="A225" s="13">
        <v>224</v>
      </c>
      <c r="B225" s="95">
        <v>44975</v>
      </c>
      <c r="C225" s="13"/>
      <c r="D225" s="488"/>
      <c r="E225" s="90"/>
      <c r="F225" s="13"/>
      <c r="G225" s="13"/>
      <c r="H225" s="13"/>
      <c r="I225" s="13">
        <v>63</v>
      </c>
      <c r="J225" s="13"/>
      <c r="K225" s="13"/>
      <c r="L225" s="13"/>
      <c r="M225" s="13">
        <v>296</v>
      </c>
      <c r="N225" s="557"/>
      <c r="O225" s="488">
        <f t="shared" si="2"/>
        <v>359</v>
      </c>
      <c r="P225" s="389"/>
      <c r="Q225" s="391"/>
      <c r="R225" s="391"/>
      <c r="S225" s="391"/>
      <c r="T225" s="391"/>
      <c r="U225" s="391"/>
      <c r="V225" s="518"/>
    </row>
    <row r="226" spans="1:22" ht="34.9" customHeight="1" x14ac:dyDescent="0.25">
      <c r="A226" s="190">
        <v>225</v>
      </c>
      <c r="B226" s="191">
        <v>44976</v>
      </c>
      <c r="C226" s="190"/>
      <c r="D226" s="190"/>
      <c r="E226" s="250"/>
      <c r="F226" s="190"/>
      <c r="G226" s="190"/>
      <c r="H226" s="190"/>
      <c r="I226" s="190"/>
      <c r="J226" s="190"/>
      <c r="K226" s="190"/>
      <c r="L226" s="190"/>
      <c r="M226" s="190"/>
      <c r="N226" s="559"/>
      <c r="O226" s="488">
        <f t="shared" si="2"/>
        <v>0</v>
      </c>
      <c r="P226" s="394"/>
      <c r="Q226" s="395"/>
      <c r="R226" s="395"/>
      <c r="S226" s="395"/>
      <c r="T226" s="395"/>
      <c r="U226" s="395"/>
      <c r="V226" s="518"/>
    </row>
    <row r="227" spans="1:22" ht="34.9" customHeight="1" x14ac:dyDescent="0.25">
      <c r="A227" s="13">
        <v>226</v>
      </c>
      <c r="B227" s="95">
        <v>44977</v>
      </c>
      <c r="C227" s="13"/>
      <c r="D227" s="488"/>
      <c r="E227" s="90"/>
      <c r="F227" s="13"/>
      <c r="G227" s="13"/>
      <c r="H227" s="13"/>
      <c r="I227" s="330">
        <v>0</v>
      </c>
      <c r="J227" s="330">
        <v>0</v>
      </c>
      <c r="K227" s="330"/>
      <c r="L227" s="330"/>
      <c r="M227" s="330">
        <v>0</v>
      </c>
      <c r="N227" s="557"/>
      <c r="O227" s="488">
        <f t="shared" si="2"/>
        <v>0</v>
      </c>
      <c r="P227" s="389"/>
      <c r="Q227" s="391"/>
      <c r="R227" s="391"/>
      <c r="S227" s="391"/>
      <c r="T227" s="391"/>
      <c r="U227" s="391"/>
      <c r="V227" s="518"/>
    </row>
    <row r="228" spans="1:22" ht="34.9" customHeight="1" x14ac:dyDescent="0.25">
      <c r="A228" s="13">
        <v>227</v>
      </c>
      <c r="B228" s="95">
        <v>44978</v>
      </c>
      <c r="C228" s="13"/>
      <c r="D228" s="488"/>
      <c r="E228" s="90"/>
      <c r="F228" s="13"/>
      <c r="G228" s="13"/>
      <c r="H228" s="13"/>
      <c r="I228" s="13">
        <v>24</v>
      </c>
      <c r="J228" s="13">
        <v>76</v>
      </c>
      <c r="K228" s="13"/>
      <c r="L228" s="13"/>
      <c r="M228" s="13"/>
      <c r="N228" s="557"/>
      <c r="O228" s="488">
        <f t="shared" si="2"/>
        <v>100</v>
      </c>
      <c r="P228" s="389"/>
      <c r="Q228" s="391"/>
      <c r="R228" s="391"/>
      <c r="S228" s="391"/>
      <c r="T228" s="391"/>
      <c r="U228" s="391"/>
      <c r="V228" s="518"/>
    </row>
    <row r="229" spans="1:22" ht="34.9" customHeight="1" x14ac:dyDescent="0.25">
      <c r="A229" s="13">
        <v>228</v>
      </c>
      <c r="B229" s="95">
        <v>44979</v>
      </c>
      <c r="C229" s="13"/>
      <c r="D229" s="488"/>
      <c r="E229" s="90"/>
      <c r="F229" s="13"/>
      <c r="G229" s="13"/>
      <c r="H229" s="13"/>
      <c r="I229" s="13">
        <v>45</v>
      </c>
      <c r="J229" s="13">
        <v>390</v>
      </c>
      <c r="K229" s="13"/>
      <c r="L229" s="13"/>
      <c r="M229" s="13">
        <v>109</v>
      </c>
      <c r="N229" s="557"/>
      <c r="O229" s="488">
        <f t="shared" si="2"/>
        <v>544</v>
      </c>
      <c r="P229" s="389"/>
      <c r="Q229" s="391"/>
      <c r="R229" s="391"/>
      <c r="S229" s="391"/>
      <c r="T229" s="391"/>
      <c r="U229" s="391"/>
      <c r="V229" s="518"/>
    </row>
    <row r="230" spans="1:22" ht="34.9" customHeight="1" x14ac:dyDescent="0.25">
      <c r="A230" s="13">
        <v>229</v>
      </c>
      <c r="B230" s="95">
        <v>44980</v>
      </c>
      <c r="C230" s="13"/>
      <c r="D230" s="488"/>
      <c r="E230" s="90"/>
      <c r="F230" s="13"/>
      <c r="G230" s="13"/>
      <c r="H230" s="13"/>
      <c r="I230" s="13">
        <v>156</v>
      </c>
      <c r="J230" s="13">
        <v>342</v>
      </c>
      <c r="K230" s="13"/>
      <c r="L230" s="13">
        <v>9</v>
      </c>
      <c r="M230" s="13">
        <v>924</v>
      </c>
      <c r="N230" s="557"/>
      <c r="O230" s="488">
        <f t="shared" si="2"/>
        <v>1431</v>
      </c>
      <c r="P230" s="389"/>
      <c r="Q230" s="391"/>
      <c r="R230" s="391"/>
      <c r="S230" s="391"/>
      <c r="T230" s="391"/>
      <c r="U230" s="391"/>
      <c r="V230" s="518"/>
    </row>
    <row r="231" spans="1:22" ht="34.9" customHeight="1" x14ac:dyDescent="0.25">
      <c r="A231" s="13">
        <v>230</v>
      </c>
      <c r="B231" s="95">
        <v>44981</v>
      </c>
      <c r="C231" s="13">
        <v>121</v>
      </c>
      <c r="D231" s="488"/>
      <c r="E231" s="90"/>
      <c r="F231" s="13"/>
      <c r="G231" s="13"/>
      <c r="H231" s="13"/>
      <c r="I231" s="13"/>
      <c r="J231" s="13">
        <v>332</v>
      </c>
      <c r="K231" s="13"/>
      <c r="L231" s="13"/>
      <c r="M231" s="13">
        <v>545</v>
      </c>
      <c r="N231" s="557"/>
      <c r="O231" s="488">
        <f t="shared" si="2"/>
        <v>877</v>
      </c>
      <c r="P231" s="389"/>
      <c r="Q231" s="391"/>
      <c r="R231" s="391"/>
      <c r="S231" s="391"/>
      <c r="T231" s="391"/>
      <c r="U231" s="391"/>
      <c r="V231" s="518"/>
    </row>
    <row r="232" spans="1:22" ht="34.9" customHeight="1" x14ac:dyDescent="0.25">
      <c r="A232" s="13">
        <v>231</v>
      </c>
      <c r="B232" s="95">
        <v>44982</v>
      </c>
      <c r="C232" s="13"/>
      <c r="D232" s="488"/>
      <c r="E232" s="90"/>
      <c r="F232" s="13"/>
      <c r="G232" s="13"/>
      <c r="H232" s="13"/>
      <c r="I232" s="13">
        <v>80</v>
      </c>
      <c r="J232" s="13">
        <v>224</v>
      </c>
      <c r="K232" s="13"/>
      <c r="L232" s="13"/>
      <c r="M232" s="13">
        <v>535</v>
      </c>
      <c r="N232" s="557"/>
      <c r="O232" s="488">
        <f t="shared" si="2"/>
        <v>839</v>
      </c>
      <c r="P232" s="389"/>
      <c r="Q232" s="391"/>
      <c r="R232" s="391"/>
      <c r="S232" s="391"/>
      <c r="T232" s="391"/>
      <c r="U232" s="391"/>
      <c r="V232" s="518"/>
    </row>
    <row r="233" spans="1:22" ht="34.9" customHeight="1" x14ac:dyDescent="0.25">
      <c r="A233" s="190">
        <v>232</v>
      </c>
      <c r="B233" s="191">
        <v>44983</v>
      </c>
      <c r="C233" s="190"/>
      <c r="D233" s="190"/>
      <c r="E233" s="250"/>
      <c r="F233" s="190"/>
      <c r="G233" s="190"/>
      <c r="H233" s="190"/>
      <c r="I233" s="190"/>
      <c r="J233" s="190"/>
      <c r="K233" s="190"/>
      <c r="L233" s="190"/>
      <c r="M233" s="190"/>
      <c r="N233" s="559"/>
      <c r="O233" s="488">
        <f t="shared" si="2"/>
        <v>0</v>
      </c>
      <c r="P233" s="394"/>
      <c r="Q233" s="395"/>
      <c r="R233" s="395"/>
      <c r="S233" s="395"/>
      <c r="T233" s="395"/>
      <c r="U233" s="395"/>
      <c r="V233" s="518"/>
    </row>
    <row r="234" spans="1:22" ht="34.9" customHeight="1" x14ac:dyDescent="0.25">
      <c r="A234" s="13">
        <v>233</v>
      </c>
      <c r="B234" s="95">
        <v>44984</v>
      </c>
      <c r="C234" s="13">
        <v>34</v>
      </c>
      <c r="D234" s="488"/>
      <c r="E234" s="90"/>
      <c r="F234" s="13"/>
      <c r="G234" s="13"/>
      <c r="H234" s="13"/>
      <c r="I234" s="13">
        <v>295</v>
      </c>
      <c r="J234" s="13">
        <v>488</v>
      </c>
      <c r="K234" s="13"/>
      <c r="L234" s="13"/>
      <c r="M234" s="13">
        <v>1462</v>
      </c>
      <c r="N234" s="557"/>
      <c r="O234" s="488">
        <f t="shared" si="2"/>
        <v>2245</v>
      </c>
      <c r="P234" s="389"/>
      <c r="Q234" s="391"/>
      <c r="R234" s="391"/>
      <c r="S234" s="391"/>
      <c r="T234" s="391"/>
      <c r="U234" s="391"/>
      <c r="V234" s="518"/>
    </row>
    <row r="235" spans="1:22" ht="34.9" customHeight="1" x14ac:dyDescent="0.25">
      <c r="A235" s="13">
        <v>234</v>
      </c>
      <c r="B235" s="95">
        <v>44985</v>
      </c>
      <c r="C235" s="13">
        <v>115</v>
      </c>
      <c r="D235" s="488"/>
      <c r="E235" s="90"/>
      <c r="F235" s="13"/>
      <c r="G235" s="13"/>
      <c r="H235" s="13"/>
      <c r="I235" s="13"/>
      <c r="J235" s="13">
        <v>80</v>
      </c>
      <c r="K235" s="13"/>
      <c r="L235" s="13"/>
      <c r="M235" s="13">
        <v>367</v>
      </c>
      <c r="N235" s="557"/>
      <c r="O235" s="488">
        <f t="shared" si="2"/>
        <v>447</v>
      </c>
      <c r="P235" s="389"/>
      <c r="Q235" s="391"/>
      <c r="R235" s="391"/>
      <c r="S235" s="391"/>
      <c r="T235" s="391"/>
      <c r="U235" s="391"/>
      <c r="V235" s="518"/>
    </row>
    <row r="236" spans="1:22" ht="34.9" customHeight="1" x14ac:dyDescent="0.25">
      <c r="A236" s="13">
        <v>235</v>
      </c>
      <c r="B236" s="95">
        <v>44986</v>
      </c>
      <c r="C236" s="13"/>
      <c r="D236" s="488"/>
      <c r="E236" s="90"/>
      <c r="F236" s="13"/>
      <c r="G236" s="13"/>
      <c r="H236" s="13"/>
      <c r="I236" s="13">
        <v>370</v>
      </c>
      <c r="J236" s="13">
        <v>312</v>
      </c>
      <c r="K236" s="13"/>
      <c r="L236" s="13"/>
      <c r="M236" s="13">
        <v>386</v>
      </c>
      <c r="N236" s="557"/>
      <c r="O236" s="488">
        <f t="shared" si="2"/>
        <v>1068</v>
      </c>
      <c r="P236" s="389">
        <v>258.64407407407407</v>
      </c>
      <c r="Q236" s="391">
        <v>250.94407407407405</v>
      </c>
      <c r="R236" s="391">
        <v>7.6999999999999993</v>
      </c>
      <c r="S236" s="391">
        <v>0</v>
      </c>
      <c r="T236" s="391">
        <v>0</v>
      </c>
      <c r="U236" s="391">
        <v>0</v>
      </c>
      <c r="V236" s="518"/>
    </row>
    <row r="237" spans="1:22" ht="34.9" customHeight="1" x14ac:dyDescent="0.25">
      <c r="A237" s="13">
        <v>236</v>
      </c>
      <c r="B237" s="95">
        <v>44987</v>
      </c>
      <c r="C237" s="13">
        <v>104</v>
      </c>
      <c r="D237" s="488"/>
      <c r="E237" s="90" t="s">
        <v>459</v>
      </c>
      <c r="F237" s="13">
        <v>10</v>
      </c>
      <c r="G237" s="13"/>
      <c r="H237" s="13">
        <v>31</v>
      </c>
      <c r="I237" s="13">
        <v>237</v>
      </c>
      <c r="J237" s="13">
        <v>75</v>
      </c>
      <c r="K237" s="13">
        <v>30</v>
      </c>
      <c r="L237" s="13"/>
      <c r="M237" s="13">
        <v>463</v>
      </c>
      <c r="N237" s="557"/>
      <c r="O237" s="488">
        <f t="shared" si="2"/>
        <v>846</v>
      </c>
      <c r="P237" s="389">
        <v>238.04444444444448</v>
      </c>
      <c r="Q237" s="391">
        <v>178.35444444444448</v>
      </c>
      <c r="R237" s="391">
        <v>59.690000000000005</v>
      </c>
      <c r="S237" s="391">
        <v>0</v>
      </c>
      <c r="T237" s="391">
        <v>0</v>
      </c>
      <c r="U237" s="391">
        <v>0</v>
      </c>
      <c r="V237" s="518"/>
    </row>
    <row r="238" spans="1:22" ht="34.9" customHeight="1" x14ac:dyDescent="0.25">
      <c r="A238" s="13">
        <v>237</v>
      </c>
      <c r="B238" s="95">
        <v>44988</v>
      </c>
      <c r="C238" s="13">
        <v>10</v>
      </c>
      <c r="D238" s="488"/>
      <c r="E238" s="90"/>
      <c r="F238" s="13"/>
      <c r="G238" s="13"/>
      <c r="H238" s="13"/>
      <c r="I238" s="13">
        <v>102</v>
      </c>
      <c r="J238" s="13"/>
      <c r="K238" s="13"/>
      <c r="L238" s="13"/>
      <c r="M238" s="13">
        <v>1163</v>
      </c>
      <c r="N238" s="557"/>
      <c r="O238" s="488">
        <f t="shared" si="2"/>
        <v>1265</v>
      </c>
      <c r="P238" s="389">
        <v>257.22296296296298</v>
      </c>
      <c r="Q238" s="391">
        <v>236.042962962963</v>
      </c>
      <c r="R238" s="391">
        <v>21.18</v>
      </c>
      <c r="S238" s="391">
        <v>0</v>
      </c>
      <c r="T238" s="391">
        <v>0</v>
      </c>
      <c r="U238" s="391">
        <v>0</v>
      </c>
      <c r="V238" s="518"/>
    </row>
    <row r="239" spans="1:22" ht="34.9" customHeight="1" x14ac:dyDescent="0.25">
      <c r="A239" s="13">
        <v>238</v>
      </c>
      <c r="B239" s="95">
        <v>44989</v>
      </c>
      <c r="C239" s="13">
        <v>75</v>
      </c>
      <c r="D239" s="488"/>
      <c r="E239" s="90"/>
      <c r="F239" s="13"/>
      <c r="G239" s="13"/>
      <c r="H239" s="13"/>
      <c r="I239" s="13">
        <v>182</v>
      </c>
      <c r="J239" s="13"/>
      <c r="K239" s="13"/>
      <c r="L239" s="13">
        <v>261</v>
      </c>
      <c r="M239" s="13">
        <v>249</v>
      </c>
      <c r="N239" s="557"/>
      <c r="O239" s="488">
        <f t="shared" si="2"/>
        <v>692</v>
      </c>
      <c r="P239" s="389">
        <v>130.32592592592596</v>
      </c>
      <c r="Q239" s="391">
        <v>130.32592592592596</v>
      </c>
      <c r="R239" s="391">
        <v>0</v>
      </c>
      <c r="S239" s="391">
        <v>0</v>
      </c>
      <c r="T239" s="391">
        <v>0</v>
      </c>
      <c r="U239" s="391">
        <v>0</v>
      </c>
      <c r="V239" s="518"/>
    </row>
    <row r="240" spans="1:22" ht="34.9" customHeight="1" x14ac:dyDescent="0.25">
      <c r="A240" s="190">
        <v>239</v>
      </c>
      <c r="B240" s="191">
        <v>44990</v>
      </c>
      <c r="C240" s="190"/>
      <c r="D240" s="190"/>
      <c r="E240" s="250"/>
      <c r="F240" s="190"/>
      <c r="G240" s="190"/>
      <c r="H240" s="190"/>
      <c r="I240" s="190"/>
      <c r="J240" s="190"/>
      <c r="K240" s="190"/>
      <c r="L240" s="190"/>
      <c r="M240" s="190"/>
      <c r="N240" s="559"/>
      <c r="O240" s="488">
        <f t="shared" si="2"/>
        <v>0</v>
      </c>
      <c r="P240" s="394"/>
      <c r="Q240" s="395"/>
      <c r="R240" s="395"/>
      <c r="S240" s="395"/>
      <c r="T240" s="395"/>
      <c r="U240" s="395"/>
      <c r="V240" s="518"/>
    </row>
    <row r="241" spans="1:22" ht="34.9" customHeight="1" x14ac:dyDescent="0.25">
      <c r="A241" s="13">
        <v>240</v>
      </c>
      <c r="B241" s="95">
        <v>44991</v>
      </c>
      <c r="C241" s="13"/>
      <c r="D241" s="488"/>
      <c r="E241" s="90"/>
      <c r="F241" s="13"/>
      <c r="G241" s="13"/>
      <c r="H241" s="13"/>
      <c r="I241" s="13">
        <v>85</v>
      </c>
      <c r="J241" s="13">
        <v>225</v>
      </c>
      <c r="K241" s="13"/>
      <c r="L241" s="13">
        <v>80</v>
      </c>
      <c r="M241" s="13">
        <v>441</v>
      </c>
      <c r="N241" s="557"/>
      <c r="O241" s="488">
        <f t="shared" si="2"/>
        <v>831</v>
      </c>
      <c r="P241" s="389">
        <v>168.74888888888893</v>
      </c>
      <c r="Q241" s="391">
        <v>141.63888888888891</v>
      </c>
      <c r="R241" s="391">
        <v>2.11</v>
      </c>
      <c r="S241" s="391">
        <v>10</v>
      </c>
      <c r="T241" s="391">
        <v>15</v>
      </c>
      <c r="U241" s="391">
        <v>0</v>
      </c>
      <c r="V241" s="518"/>
    </row>
    <row r="242" spans="1:22" ht="34.9" customHeight="1" x14ac:dyDescent="0.25">
      <c r="A242" s="13">
        <v>241</v>
      </c>
      <c r="B242" s="95">
        <v>44992</v>
      </c>
      <c r="C242" s="13">
        <v>224</v>
      </c>
      <c r="D242" s="488"/>
      <c r="E242" s="90"/>
      <c r="F242" s="13"/>
      <c r="G242" s="13"/>
      <c r="H242" s="13"/>
      <c r="I242" s="13">
        <v>163</v>
      </c>
      <c r="J242" s="13">
        <v>276</v>
      </c>
      <c r="K242" s="13"/>
      <c r="L242" s="13"/>
      <c r="M242" s="13">
        <v>624</v>
      </c>
      <c r="N242" s="557"/>
      <c r="O242" s="488">
        <f t="shared" si="2"/>
        <v>1063</v>
      </c>
      <c r="P242" s="389">
        <v>398.80148148148146</v>
      </c>
      <c r="Q242" s="391">
        <v>386.40148148148148</v>
      </c>
      <c r="R242" s="391">
        <v>12.399999999999999</v>
      </c>
      <c r="S242" s="391">
        <v>0</v>
      </c>
      <c r="T242" s="391">
        <v>0</v>
      </c>
      <c r="U242" s="391">
        <v>0</v>
      </c>
      <c r="V242" s="518"/>
    </row>
    <row r="243" spans="1:22" ht="34.9" customHeight="1" x14ac:dyDescent="0.25">
      <c r="A243" s="13">
        <v>242</v>
      </c>
      <c r="B243" s="95">
        <v>44993</v>
      </c>
      <c r="C243" s="13"/>
      <c r="D243" s="488"/>
      <c r="E243" s="90" t="s">
        <v>460</v>
      </c>
      <c r="F243" s="13">
        <v>130</v>
      </c>
      <c r="G243" s="13"/>
      <c r="H243" s="13"/>
      <c r="I243" s="13">
        <v>105</v>
      </c>
      <c r="J243" s="13">
        <v>1766</v>
      </c>
      <c r="K243" s="13"/>
      <c r="L243" s="13"/>
      <c r="M243" s="13">
        <v>988</v>
      </c>
      <c r="N243" s="557"/>
      <c r="O243" s="488">
        <f t="shared" si="2"/>
        <v>2989</v>
      </c>
      <c r="P243" s="389">
        <v>667.66962962962953</v>
      </c>
      <c r="Q243" s="391">
        <v>577.22962962962958</v>
      </c>
      <c r="R243" s="391">
        <v>80.44</v>
      </c>
      <c r="S243" s="391">
        <v>0</v>
      </c>
      <c r="T243" s="391">
        <v>10</v>
      </c>
      <c r="U243" s="391">
        <v>0</v>
      </c>
      <c r="V243" s="518"/>
    </row>
    <row r="244" spans="1:22" ht="34.9" customHeight="1" x14ac:dyDescent="0.25">
      <c r="A244" s="13">
        <v>243</v>
      </c>
      <c r="B244" s="95">
        <v>44994</v>
      </c>
      <c r="C244" s="13">
        <v>220</v>
      </c>
      <c r="D244" s="488"/>
      <c r="E244" s="90" t="s">
        <v>462</v>
      </c>
      <c r="F244" s="13">
        <v>36</v>
      </c>
      <c r="G244" s="13"/>
      <c r="H244" s="13"/>
      <c r="I244" s="13">
        <v>260</v>
      </c>
      <c r="J244" s="13"/>
      <c r="K244" s="13"/>
      <c r="L244" s="13"/>
      <c r="M244" s="13">
        <v>212</v>
      </c>
      <c r="N244" s="557"/>
      <c r="O244" s="488">
        <f t="shared" si="2"/>
        <v>508</v>
      </c>
      <c r="P244" s="389">
        <v>165.69000000000003</v>
      </c>
      <c r="Q244" s="391">
        <v>105.69000000000003</v>
      </c>
      <c r="R244" s="391">
        <v>0</v>
      </c>
      <c r="S244" s="391">
        <v>0</v>
      </c>
      <c r="T244" s="391">
        <v>60</v>
      </c>
      <c r="U244" s="391">
        <v>0</v>
      </c>
      <c r="V244" s="518"/>
    </row>
    <row r="245" spans="1:22" ht="34.9" customHeight="1" x14ac:dyDescent="0.25">
      <c r="A245" s="13">
        <v>244</v>
      </c>
      <c r="B245" s="95">
        <v>44995</v>
      </c>
      <c r="C245" s="13"/>
      <c r="D245" s="488"/>
      <c r="E245" s="90"/>
      <c r="F245" s="13"/>
      <c r="G245" s="13"/>
      <c r="H245" s="13"/>
      <c r="I245" s="13">
        <v>205</v>
      </c>
      <c r="J245" s="13">
        <v>60</v>
      </c>
      <c r="K245" s="13"/>
      <c r="L245" s="13"/>
      <c r="M245" s="13">
        <v>1498</v>
      </c>
      <c r="N245" s="557"/>
      <c r="O245" s="488">
        <f t="shared" si="2"/>
        <v>1763</v>
      </c>
      <c r="P245" s="389">
        <v>347.8822222222222</v>
      </c>
      <c r="Q245" s="391">
        <v>319.4422222222222</v>
      </c>
      <c r="R245" s="391">
        <v>28.44</v>
      </c>
      <c r="S245" s="391">
        <v>0</v>
      </c>
      <c r="T245" s="391">
        <v>0</v>
      </c>
      <c r="U245" s="391">
        <v>0</v>
      </c>
      <c r="V245" s="518"/>
    </row>
    <row r="246" spans="1:22" ht="34.9" customHeight="1" x14ac:dyDescent="0.25">
      <c r="A246" s="284">
        <v>245</v>
      </c>
      <c r="B246" s="400">
        <v>44996</v>
      </c>
      <c r="C246" s="398">
        <v>26</v>
      </c>
      <c r="D246" s="488"/>
      <c r="E246" s="399" t="s">
        <v>469</v>
      </c>
      <c r="F246" s="398">
        <v>34</v>
      </c>
      <c r="G246" s="398"/>
      <c r="H246" s="398"/>
      <c r="I246" s="398">
        <v>132</v>
      </c>
      <c r="J246" s="398"/>
      <c r="K246" s="398"/>
      <c r="L246" s="398"/>
      <c r="M246" s="398">
        <v>1183</v>
      </c>
      <c r="N246" s="557"/>
      <c r="O246" s="488">
        <f t="shared" si="2"/>
        <v>1349</v>
      </c>
      <c r="P246" s="389">
        <v>236.67629629629639</v>
      </c>
      <c r="Q246" s="391">
        <v>207.39629629629638</v>
      </c>
      <c r="R246" s="391">
        <v>29.279999999999998</v>
      </c>
      <c r="S246" s="391">
        <v>0</v>
      </c>
      <c r="T246" s="391">
        <v>0</v>
      </c>
      <c r="U246" s="391">
        <v>0</v>
      </c>
      <c r="V246" s="518"/>
    </row>
    <row r="247" spans="1:22" ht="34.9" customHeight="1" x14ac:dyDescent="0.25">
      <c r="A247" s="190">
        <v>246</v>
      </c>
      <c r="B247" s="191">
        <v>44997</v>
      </c>
      <c r="C247" s="401"/>
      <c r="D247" s="401"/>
      <c r="E247" s="401"/>
      <c r="F247" s="401"/>
      <c r="G247" s="401"/>
      <c r="H247" s="401"/>
      <c r="I247" s="401"/>
      <c r="J247" s="401"/>
      <c r="K247" s="401"/>
      <c r="L247" s="401"/>
      <c r="M247" s="401"/>
      <c r="N247" s="561"/>
      <c r="O247" s="488">
        <f t="shared" si="2"/>
        <v>0</v>
      </c>
      <c r="P247" s="402"/>
      <c r="Q247" s="401"/>
      <c r="R247" s="401"/>
      <c r="S247" s="401"/>
      <c r="T247" s="401"/>
      <c r="U247" s="401"/>
      <c r="V247" s="518"/>
    </row>
    <row r="248" spans="1:22" ht="34.9" customHeight="1" x14ac:dyDescent="0.25">
      <c r="A248" s="13">
        <v>247</v>
      </c>
      <c r="B248" s="95">
        <v>44998</v>
      </c>
      <c r="C248" s="398">
        <v>23</v>
      </c>
      <c r="D248" s="488"/>
      <c r="E248" s="399"/>
      <c r="F248" s="398"/>
      <c r="G248" s="398"/>
      <c r="H248" s="398"/>
      <c r="I248" s="398">
        <v>340</v>
      </c>
      <c r="J248" s="398">
        <v>1413</v>
      </c>
      <c r="K248" s="398"/>
      <c r="L248" s="398"/>
      <c r="M248" s="398">
        <v>544</v>
      </c>
      <c r="N248" s="557"/>
      <c r="O248" s="488">
        <f t="shared" ref="O248:O311" si="3">SUM(G248:N248)+F248+D248</f>
        <v>2297</v>
      </c>
      <c r="P248" s="389">
        <v>519.93703703703704</v>
      </c>
      <c r="Q248" s="391">
        <v>500.39703703703708</v>
      </c>
      <c r="R248" s="391">
        <v>9.8099999999999987</v>
      </c>
      <c r="S248" s="391">
        <v>9.7299999999999986</v>
      </c>
      <c r="T248" s="391">
        <v>0</v>
      </c>
      <c r="U248" s="391">
        <v>0</v>
      </c>
      <c r="V248" s="518"/>
    </row>
    <row r="249" spans="1:22" ht="34.9" customHeight="1" x14ac:dyDescent="0.25">
      <c r="A249" s="13">
        <v>248</v>
      </c>
      <c r="B249" s="95">
        <v>44999</v>
      </c>
      <c r="C249" s="13"/>
      <c r="D249" s="488"/>
      <c r="E249" s="90"/>
      <c r="F249" s="13"/>
      <c r="G249" s="13"/>
      <c r="H249" s="13"/>
      <c r="I249" s="13">
        <v>29</v>
      </c>
      <c r="J249" s="13">
        <v>128</v>
      </c>
      <c r="K249" s="13"/>
      <c r="L249" s="13">
        <v>10</v>
      </c>
      <c r="M249" s="13">
        <v>1332</v>
      </c>
      <c r="N249" s="557"/>
      <c r="O249" s="488">
        <f t="shared" si="3"/>
        <v>1499</v>
      </c>
      <c r="P249" s="389">
        <v>279.31222222222226</v>
      </c>
      <c r="Q249" s="391">
        <v>197.71222222222227</v>
      </c>
      <c r="R249" s="391">
        <v>56.600000000000009</v>
      </c>
      <c r="S249" s="391">
        <v>0</v>
      </c>
      <c r="T249" s="391">
        <v>25</v>
      </c>
      <c r="U249" s="391">
        <v>0</v>
      </c>
      <c r="V249" s="518"/>
    </row>
    <row r="250" spans="1:22" ht="34.9" customHeight="1" x14ac:dyDescent="0.25">
      <c r="A250" s="13">
        <v>249</v>
      </c>
      <c r="B250" s="95">
        <v>45000</v>
      </c>
      <c r="C250" s="13"/>
      <c r="D250" s="488"/>
      <c r="E250" s="90"/>
      <c r="F250" s="13"/>
      <c r="G250" s="13"/>
      <c r="H250" s="13"/>
      <c r="I250" s="13">
        <v>94</v>
      </c>
      <c r="J250" s="13">
        <v>68</v>
      </c>
      <c r="K250" s="13"/>
      <c r="L250" s="13">
        <v>153</v>
      </c>
      <c r="M250" s="13">
        <v>591</v>
      </c>
      <c r="N250" s="557"/>
      <c r="O250" s="488">
        <f t="shared" si="3"/>
        <v>906</v>
      </c>
      <c r="P250" s="389">
        <v>183.45222222222225</v>
      </c>
      <c r="Q250" s="391">
        <v>149.75222222222223</v>
      </c>
      <c r="R250" s="391">
        <v>33.700000000000003</v>
      </c>
      <c r="S250" s="391">
        <v>0</v>
      </c>
      <c r="T250" s="391">
        <v>0</v>
      </c>
      <c r="U250" s="391">
        <v>0</v>
      </c>
      <c r="V250" s="518"/>
    </row>
    <row r="251" spans="1:22" ht="53.25" customHeight="1" x14ac:dyDescent="0.25">
      <c r="A251" s="13">
        <v>250</v>
      </c>
      <c r="B251" s="95">
        <v>45001</v>
      </c>
      <c r="C251" s="13"/>
      <c r="D251" s="488"/>
      <c r="E251" s="90" t="s">
        <v>473</v>
      </c>
      <c r="F251" s="13">
        <f>380+10</f>
        <v>390</v>
      </c>
      <c r="G251" s="13"/>
      <c r="H251" s="13"/>
      <c r="I251" s="13"/>
      <c r="J251" s="13">
        <v>789</v>
      </c>
      <c r="K251" s="13"/>
      <c r="L251" s="13"/>
      <c r="M251" s="13">
        <v>645</v>
      </c>
      <c r="N251" s="557"/>
      <c r="O251" s="488">
        <f t="shared" si="3"/>
        <v>1824</v>
      </c>
      <c r="P251" s="389">
        <v>285.05629629629641</v>
      </c>
      <c r="Q251" s="391">
        <v>278.40629629629638</v>
      </c>
      <c r="R251" s="391">
        <v>2.9700000000000006</v>
      </c>
      <c r="S251" s="391">
        <v>0</v>
      </c>
      <c r="T251" s="391">
        <v>0</v>
      </c>
      <c r="U251" s="391">
        <v>3.6799999999999997</v>
      </c>
      <c r="V251" s="518"/>
    </row>
    <row r="252" spans="1:22" ht="34.9" customHeight="1" x14ac:dyDescent="0.25">
      <c r="A252" s="13">
        <v>251</v>
      </c>
      <c r="B252" s="95">
        <v>45002</v>
      </c>
      <c r="C252" s="13">
        <v>5</v>
      </c>
      <c r="D252" s="488"/>
      <c r="E252" s="90"/>
      <c r="F252" s="13"/>
      <c r="G252" s="13"/>
      <c r="H252" s="13">
        <v>26</v>
      </c>
      <c r="I252" s="13">
        <v>30</v>
      </c>
      <c r="J252" s="13">
        <v>118</v>
      </c>
      <c r="K252" s="13"/>
      <c r="L252" s="13">
        <v>39</v>
      </c>
      <c r="M252" s="13">
        <v>478</v>
      </c>
      <c r="N252" s="557"/>
      <c r="O252" s="488">
        <f t="shared" si="3"/>
        <v>691</v>
      </c>
      <c r="P252" s="389">
        <v>164.69666666666666</v>
      </c>
      <c r="Q252" s="391">
        <v>108.15666666666667</v>
      </c>
      <c r="R252" s="391">
        <v>28.54</v>
      </c>
      <c r="S252" s="391">
        <v>0</v>
      </c>
      <c r="T252" s="391">
        <v>15</v>
      </c>
      <c r="U252" s="391">
        <v>13</v>
      </c>
      <c r="V252" s="518"/>
    </row>
    <row r="253" spans="1:22" ht="34.9" customHeight="1" x14ac:dyDescent="0.25">
      <c r="A253" s="13">
        <v>252</v>
      </c>
      <c r="B253" s="95">
        <v>45003</v>
      </c>
      <c r="C253" s="13">
        <v>183</v>
      </c>
      <c r="D253" s="488"/>
      <c r="E253" s="90"/>
      <c r="F253" s="13"/>
      <c r="G253" s="13"/>
      <c r="H253" s="13">
        <v>300</v>
      </c>
      <c r="I253" s="13">
        <v>51</v>
      </c>
      <c r="J253" s="13">
        <v>78</v>
      </c>
      <c r="K253" s="13"/>
      <c r="L253" s="13"/>
      <c r="M253" s="13">
        <v>490</v>
      </c>
      <c r="N253" s="557"/>
      <c r="O253" s="488">
        <f t="shared" si="3"/>
        <v>919</v>
      </c>
      <c r="P253" s="389">
        <v>248.84148148148151</v>
      </c>
      <c r="Q253" s="391">
        <v>214.80148148148152</v>
      </c>
      <c r="R253" s="391">
        <v>30.22</v>
      </c>
      <c r="S253" s="391">
        <v>3.8200000000000003</v>
      </c>
      <c r="T253" s="391">
        <v>0</v>
      </c>
      <c r="U253" s="391">
        <v>0</v>
      </c>
      <c r="V253" s="518"/>
    </row>
    <row r="254" spans="1:22" ht="34.9" customHeight="1" x14ac:dyDescent="0.25">
      <c r="A254" s="190">
        <v>253</v>
      </c>
      <c r="B254" s="191">
        <v>45004</v>
      </c>
      <c r="C254" s="190"/>
      <c r="D254" s="190"/>
      <c r="E254" s="250"/>
      <c r="F254" s="190"/>
      <c r="G254" s="190"/>
      <c r="H254" s="190"/>
      <c r="I254" s="190"/>
      <c r="J254" s="190"/>
      <c r="K254" s="190"/>
      <c r="L254" s="190"/>
      <c r="M254" s="190"/>
      <c r="N254" s="559"/>
      <c r="O254" s="488">
        <f t="shared" si="3"/>
        <v>0</v>
      </c>
      <c r="P254" s="394"/>
      <c r="Q254" s="395"/>
      <c r="R254" s="395"/>
      <c r="S254" s="395"/>
      <c r="T254" s="395"/>
      <c r="U254" s="395"/>
      <c r="V254" s="518"/>
    </row>
    <row r="255" spans="1:22" ht="34.9" customHeight="1" x14ac:dyDescent="0.25">
      <c r="A255" s="13">
        <v>254</v>
      </c>
      <c r="B255" s="95">
        <v>45005</v>
      </c>
      <c r="C255" s="13">
        <v>30</v>
      </c>
      <c r="D255" s="488"/>
      <c r="E255" s="90"/>
      <c r="F255" s="13"/>
      <c r="G255" s="13"/>
      <c r="H255" s="13"/>
      <c r="I255" s="13">
        <v>259</v>
      </c>
      <c r="J255" s="13">
        <v>68</v>
      </c>
      <c r="K255" s="13"/>
      <c r="L255" s="13"/>
      <c r="M255" s="13">
        <v>870</v>
      </c>
      <c r="N255" s="557"/>
      <c r="O255" s="488">
        <f t="shared" si="3"/>
        <v>1197</v>
      </c>
      <c r="P255" s="389">
        <v>311.52037037037042</v>
      </c>
      <c r="Q255" s="391">
        <v>259.08037037037042</v>
      </c>
      <c r="R255" s="391">
        <v>13.440000000000003</v>
      </c>
      <c r="S255" s="391">
        <v>0</v>
      </c>
      <c r="T255" s="391">
        <v>35</v>
      </c>
      <c r="U255" s="391">
        <v>4</v>
      </c>
      <c r="V255" s="518"/>
    </row>
    <row r="256" spans="1:22" ht="34.9" customHeight="1" x14ac:dyDescent="0.25">
      <c r="A256" s="13">
        <v>255</v>
      </c>
      <c r="B256" s="95">
        <v>45006</v>
      </c>
      <c r="C256" s="13"/>
      <c r="D256" s="488"/>
      <c r="E256" s="90"/>
      <c r="F256" s="13"/>
      <c r="G256" s="13"/>
      <c r="H256" s="13">
        <v>36</v>
      </c>
      <c r="I256" s="13"/>
      <c r="J256" s="13">
        <v>1205</v>
      </c>
      <c r="K256" s="13"/>
      <c r="L256" s="13"/>
      <c r="M256" s="13">
        <v>553</v>
      </c>
      <c r="N256" s="557"/>
      <c r="O256" s="488">
        <f t="shared" si="3"/>
        <v>1794</v>
      </c>
      <c r="P256" s="389">
        <v>321.95259259259251</v>
      </c>
      <c r="Q256" s="391">
        <v>243.66259259259255</v>
      </c>
      <c r="R256" s="391">
        <v>9.7600000000000016</v>
      </c>
      <c r="S256" s="391">
        <v>27</v>
      </c>
      <c r="T256" s="391">
        <v>37.53</v>
      </c>
      <c r="U256" s="391">
        <v>4</v>
      </c>
      <c r="V256" s="518"/>
    </row>
    <row r="257" spans="1:22" ht="34.9" customHeight="1" x14ac:dyDescent="0.25">
      <c r="A257" s="13">
        <v>256</v>
      </c>
      <c r="B257" s="95">
        <v>45007</v>
      </c>
      <c r="C257" s="13">
        <v>6</v>
      </c>
      <c r="D257" s="488"/>
      <c r="E257" s="90"/>
      <c r="F257" s="13"/>
      <c r="G257" s="13"/>
      <c r="H257" s="13">
        <v>388</v>
      </c>
      <c r="I257" s="13">
        <v>206</v>
      </c>
      <c r="J257" s="13">
        <v>168</v>
      </c>
      <c r="K257" s="13"/>
      <c r="L257" s="13"/>
      <c r="M257" s="13">
        <v>513</v>
      </c>
      <c r="N257" s="557"/>
      <c r="O257" s="488">
        <f t="shared" si="3"/>
        <v>1275</v>
      </c>
      <c r="P257" s="389">
        <v>266.40000000000003</v>
      </c>
      <c r="Q257" s="391">
        <v>232.58000000000007</v>
      </c>
      <c r="R257" s="391">
        <v>28.11</v>
      </c>
      <c r="S257" s="391">
        <v>0</v>
      </c>
      <c r="T257" s="391">
        <v>0</v>
      </c>
      <c r="U257" s="391">
        <v>5.7099999999999991</v>
      </c>
      <c r="V257" s="518"/>
    </row>
    <row r="258" spans="1:22" ht="34.9" customHeight="1" x14ac:dyDescent="0.25">
      <c r="A258" s="13">
        <v>257</v>
      </c>
      <c r="B258" s="95">
        <v>45008</v>
      </c>
      <c r="C258" s="13"/>
      <c r="D258" s="488"/>
      <c r="E258" s="90"/>
      <c r="F258" s="13"/>
      <c r="G258" s="13"/>
      <c r="H258" s="13"/>
      <c r="I258" s="13">
        <v>525</v>
      </c>
      <c r="J258" s="13">
        <v>91</v>
      </c>
      <c r="K258" s="13"/>
      <c r="L258" s="13"/>
      <c r="M258" s="13">
        <v>498</v>
      </c>
      <c r="N258" s="557"/>
      <c r="O258" s="488">
        <f t="shared" si="3"/>
        <v>1114</v>
      </c>
      <c r="P258" s="389">
        <f>257.882592592593-32</f>
        <v>225.88259259259303</v>
      </c>
      <c r="Q258" s="391">
        <v>190.88259259259266</v>
      </c>
      <c r="R258" s="391">
        <v>0</v>
      </c>
      <c r="S258" s="391">
        <v>0</v>
      </c>
      <c r="T258" s="391">
        <v>35</v>
      </c>
      <c r="U258" s="391">
        <v>0</v>
      </c>
      <c r="V258" s="518"/>
    </row>
    <row r="259" spans="1:22" ht="34.9" customHeight="1" x14ac:dyDescent="0.25">
      <c r="A259" s="13">
        <v>258</v>
      </c>
      <c r="B259" s="95">
        <v>45009</v>
      </c>
      <c r="C259" s="13">
        <v>100</v>
      </c>
      <c r="D259" s="488"/>
      <c r="E259" s="90" t="s">
        <v>478</v>
      </c>
      <c r="F259" s="13">
        <v>57</v>
      </c>
      <c r="G259" s="13"/>
      <c r="H259" s="13"/>
      <c r="I259" s="13">
        <v>68</v>
      </c>
      <c r="J259" s="13">
        <v>83</v>
      </c>
      <c r="K259" s="13"/>
      <c r="L259" s="13"/>
      <c r="M259" s="13">
        <v>25</v>
      </c>
      <c r="N259" s="557"/>
      <c r="O259" s="488">
        <f t="shared" si="3"/>
        <v>233</v>
      </c>
      <c r="P259" s="389">
        <v>55.460000000000008</v>
      </c>
      <c r="Q259" s="391">
        <v>31.120000000000005</v>
      </c>
      <c r="R259" s="391">
        <v>3.34</v>
      </c>
      <c r="S259" s="391">
        <v>0</v>
      </c>
      <c r="T259" s="391">
        <v>12</v>
      </c>
      <c r="U259" s="391">
        <v>9</v>
      </c>
      <c r="V259" s="518"/>
    </row>
    <row r="260" spans="1:22" ht="34.9" customHeight="1" x14ac:dyDescent="0.25">
      <c r="A260" s="13">
        <v>259</v>
      </c>
      <c r="B260" s="95">
        <v>45010</v>
      </c>
      <c r="C260" s="13"/>
      <c r="D260" s="488"/>
      <c r="E260" s="90"/>
      <c r="F260" s="13"/>
      <c r="G260" s="13"/>
      <c r="H260" s="13"/>
      <c r="I260" s="13">
        <v>267</v>
      </c>
      <c r="J260" s="13">
        <v>250</v>
      </c>
      <c r="K260" s="13"/>
      <c r="L260" s="13"/>
      <c r="M260" s="13">
        <v>385</v>
      </c>
      <c r="N260" s="557"/>
      <c r="O260" s="488">
        <f t="shared" si="3"/>
        <v>902</v>
      </c>
      <c r="P260" s="389">
        <v>188.58444444444444</v>
      </c>
      <c r="Q260" s="391">
        <v>99.37444444444445</v>
      </c>
      <c r="R260" s="391">
        <v>11.149999999999999</v>
      </c>
      <c r="S260" s="391">
        <v>0</v>
      </c>
      <c r="T260" s="391">
        <v>65.06</v>
      </c>
      <c r="U260" s="391">
        <v>13</v>
      </c>
      <c r="V260" s="518"/>
    </row>
    <row r="261" spans="1:22" ht="34.9" customHeight="1" x14ac:dyDescent="0.25">
      <c r="A261" s="190">
        <v>260</v>
      </c>
      <c r="B261" s="191">
        <v>45011</v>
      </c>
      <c r="C261" s="190"/>
      <c r="D261" s="190"/>
      <c r="E261" s="250"/>
      <c r="F261" s="190"/>
      <c r="G261" s="190"/>
      <c r="H261" s="190"/>
      <c r="I261" s="190"/>
      <c r="J261" s="190"/>
      <c r="K261" s="190"/>
      <c r="L261" s="190"/>
      <c r="M261" s="190"/>
      <c r="N261" s="559"/>
      <c r="O261" s="488">
        <f t="shared" si="3"/>
        <v>0</v>
      </c>
      <c r="P261" s="394"/>
      <c r="Q261" s="395"/>
      <c r="R261" s="395"/>
      <c r="S261" s="395"/>
      <c r="T261" s="395"/>
      <c r="U261" s="395"/>
      <c r="V261" s="518"/>
    </row>
    <row r="262" spans="1:22" ht="34.9" customHeight="1" x14ac:dyDescent="0.25">
      <c r="A262" s="13">
        <v>261</v>
      </c>
      <c r="B262" s="95">
        <v>45012</v>
      </c>
      <c r="C262" s="13">
        <v>60</v>
      </c>
      <c r="D262" s="488"/>
      <c r="E262" s="90"/>
      <c r="F262" s="13"/>
      <c r="G262" s="13"/>
      <c r="H262" s="13">
        <v>1111</v>
      </c>
      <c r="I262" s="13"/>
      <c r="J262" s="13">
        <v>378</v>
      </c>
      <c r="K262" s="13"/>
      <c r="L262" s="13"/>
      <c r="M262" s="13">
        <v>125</v>
      </c>
      <c r="N262" s="557"/>
      <c r="O262" s="488">
        <f t="shared" si="3"/>
        <v>1614</v>
      </c>
      <c r="P262" s="389">
        <v>342.53222222222229</v>
      </c>
      <c r="Q262" s="391">
        <v>267.57222222222225</v>
      </c>
      <c r="R262" s="391">
        <v>2.29</v>
      </c>
      <c r="S262" s="391">
        <v>8</v>
      </c>
      <c r="T262" s="391">
        <v>56.67</v>
      </c>
      <c r="U262" s="391">
        <v>8</v>
      </c>
      <c r="V262" s="518"/>
    </row>
    <row r="263" spans="1:22" ht="34.9" customHeight="1" x14ac:dyDescent="0.25">
      <c r="A263" s="13">
        <v>262</v>
      </c>
      <c r="B263" s="95">
        <v>45013</v>
      </c>
      <c r="C263" s="13">
        <v>24</v>
      </c>
      <c r="D263" s="488"/>
      <c r="E263" s="90"/>
      <c r="F263" s="13"/>
      <c r="G263" s="13"/>
      <c r="H263" s="13">
        <v>60</v>
      </c>
      <c r="I263" s="13"/>
      <c r="J263" s="13">
        <v>399</v>
      </c>
      <c r="K263" s="13"/>
      <c r="L263" s="13"/>
      <c r="M263" s="13">
        <v>1064</v>
      </c>
      <c r="N263" s="557"/>
      <c r="O263" s="488">
        <f t="shared" si="3"/>
        <v>1523</v>
      </c>
      <c r="P263" s="389">
        <v>341.55814814814818</v>
      </c>
      <c r="Q263" s="391">
        <v>251.52814814814818</v>
      </c>
      <c r="R263" s="391">
        <v>90.03</v>
      </c>
      <c r="S263" s="391">
        <v>0</v>
      </c>
      <c r="T263" s="391">
        <v>0</v>
      </c>
      <c r="U263" s="391">
        <v>0</v>
      </c>
      <c r="V263" s="518"/>
    </row>
    <row r="264" spans="1:22" ht="34.9" customHeight="1" x14ac:dyDescent="0.25">
      <c r="A264" s="13">
        <v>263</v>
      </c>
      <c r="B264" s="95">
        <v>45014</v>
      </c>
      <c r="C264" s="13"/>
      <c r="D264" s="488"/>
      <c r="E264" s="90"/>
      <c r="F264" s="13"/>
      <c r="G264" s="13"/>
      <c r="H264" s="13"/>
      <c r="I264" s="13">
        <v>348</v>
      </c>
      <c r="J264" s="13">
        <v>409</v>
      </c>
      <c r="K264" s="13"/>
      <c r="L264" s="13">
        <v>16</v>
      </c>
      <c r="M264" s="13">
        <v>389</v>
      </c>
      <c r="N264" s="557"/>
      <c r="O264" s="488">
        <f t="shared" si="3"/>
        <v>1162</v>
      </c>
      <c r="P264" s="389">
        <v>227.81592592592591</v>
      </c>
      <c r="Q264" s="391">
        <v>173.51592592592593</v>
      </c>
      <c r="R264" s="391">
        <v>32</v>
      </c>
      <c r="S264" s="391">
        <v>4.84</v>
      </c>
      <c r="T264" s="391">
        <v>17.459999999999994</v>
      </c>
      <c r="U264" s="391">
        <v>0</v>
      </c>
      <c r="V264" s="518"/>
    </row>
    <row r="265" spans="1:22" ht="34.9" customHeight="1" x14ac:dyDescent="0.25">
      <c r="A265" s="13">
        <v>264</v>
      </c>
      <c r="B265" s="95">
        <v>45015</v>
      </c>
      <c r="C265" s="13"/>
      <c r="D265" s="488"/>
      <c r="E265" s="90"/>
      <c r="F265" s="13"/>
      <c r="G265" s="13"/>
      <c r="H265" s="13">
        <v>30</v>
      </c>
      <c r="I265" s="13">
        <v>12</v>
      </c>
      <c r="J265" s="13">
        <v>474</v>
      </c>
      <c r="K265" s="13"/>
      <c r="L265" s="13"/>
      <c r="M265" s="13">
        <v>1222</v>
      </c>
      <c r="N265" s="557"/>
      <c r="O265" s="488">
        <f t="shared" si="3"/>
        <v>1738</v>
      </c>
      <c r="P265" s="389">
        <v>340.8944444444445</v>
      </c>
      <c r="Q265" s="391">
        <v>298.8944444444445</v>
      </c>
      <c r="R265" s="391">
        <v>32</v>
      </c>
      <c r="S265" s="391">
        <v>0</v>
      </c>
      <c r="T265" s="391">
        <v>10</v>
      </c>
      <c r="U265" s="391">
        <v>0</v>
      </c>
      <c r="V265" s="518"/>
    </row>
    <row r="266" spans="1:22" ht="34.9" customHeight="1" x14ac:dyDescent="0.25">
      <c r="A266" s="13">
        <v>265</v>
      </c>
      <c r="B266" s="95">
        <v>45016</v>
      </c>
      <c r="C266" s="13"/>
      <c r="D266" s="488"/>
      <c r="E266" s="90" t="s">
        <v>481</v>
      </c>
      <c r="F266" s="13">
        <v>8</v>
      </c>
      <c r="G266" s="13"/>
      <c r="H266" s="13"/>
      <c r="I266" s="13">
        <v>10</v>
      </c>
      <c r="J266" s="13">
        <v>107</v>
      </c>
      <c r="K266" s="13"/>
      <c r="L266" s="13"/>
      <c r="M266" s="13">
        <v>377</v>
      </c>
      <c r="N266" s="557"/>
      <c r="O266" s="488">
        <f t="shared" si="3"/>
        <v>502</v>
      </c>
      <c r="P266" s="389">
        <v>102.9</v>
      </c>
      <c r="Q266" s="391">
        <v>58.900000000000006</v>
      </c>
      <c r="R266" s="391">
        <v>0</v>
      </c>
      <c r="S266" s="391">
        <v>0</v>
      </c>
      <c r="T266" s="391">
        <v>40</v>
      </c>
      <c r="U266" s="391">
        <v>4</v>
      </c>
      <c r="V266" s="518"/>
    </row>
    <row r="267" spans="1:22" ht="34.9" customHeight="1" x14ac:dyDescent="0.25">
      <c r="A267" s="13">
        <v>266</v>
      </c>
      <c r="B267" s="95">
        <v>45017</v>
      </c>
      <c r="C267" s="13"/>
      <c r="D267" s="488"/>
      <c r="E267" s="90"/>
      <c r="F267" s="13"/>
      <c r="G267" s="13"/>
      <c r="H267" s="13"/>
      <c r="I267" s="13">
        <v>321</v>
      </c>
      <c r="J267" s="13"/>
      <c r="K267" s="13"/>
      <c r="L267" s="13"/>
      <c r="M267" s="13">
        <v>279</v>
      </c>
      <c r="N267" s="557"/>
      <c r="O267" s="488">
        <f t="shared" si="3"/>
        <v>600</v>
      </c>
      <c r="P267" s="389">
        <v>134.07999999999998</v>
      </c>
      <c r="Q267" s="391">
        <v>86.07</v>
      </c>
      <c r="R267" s="391">
        <v>30.55</v>
      </c>
      <c r="S267" s="391">
        <v>0</v>
      </c>
      <c r="T267" s="391">
        <v>17.459999999999994</v>
      </c>
      <c r="U267" s="391">
        <v>0</v>
      </c>
      <c r="V267" s="518"/>
    </row>
    <row r="268" spans="1:22" ht="34.9" customHeight="1" x14ac:dyDescent="0.25">
      <c r="A268" s="190">
        <v>267</v>
      </c>
      <c r="B268" s="191">
        <v>45018</v>
      </c>
      <c r="C268" s="190"/>
      <c r="D268" s="190"/>
      <c r="E268" s="250"/>
      <c r="F268" s="190"/>
      <c r="G268" s="190"/>
      <c r="H268" s="190"/>
      <c r="I268" s="190"/>
      <c r="J268" s="190"/>
      <c r="K268" s="190"/>
      <c r="L268" s="190"/>
      <c r="M268" s="190"/>
      <c r="N268" s="559"/>
      <c r="O268" s="488">
        <f t="shared" si="3"/>
        <v>0</v>
      </c>
      <c r="P268" s="394"/>
      <c r="Q268" s="395"/>
      <c r="R268" s="395"/>
      <c r="S268" s="395"/>
      <c r="T268" s="395"/>
      <c r="U268" s="395"/>
      <c r="V268" s="518"/>
    </row>
    <row r="269" spans="1:22" ht="34.9" customHeight="1" x14ac:dyDescent="0.25">
      <c r="A269" s="13">
        <v>268</v>
      </c>
      <c r="B269" s="95">
        <v>45019</v>
      </c>
      <c r="C269" s="410"/>
      <c r="D269" s="488"/>
      <c r="E269" s="411"/>
      <c r="F269" s="410"/>
      <c r="G269" s="410"/>
      <c r="H269" s="410"/>
      <c r="I269" s="410">
        <v>169</v>
      </c>
      <c r="J269" s="410"/>
      <c r="K269" s="410"/>
      <c r="L269" s="410"/>
      <c r="M269" s="410">
        <f>542.5+433</f>
        <v>975.5</v>
      </c>
      <c r="N269" s="557"/>
      <c r="O269" s="488">
        <f t="shared" si="3"/>
        <v>1144.5</v>
      </c>
      <c r="P269" s="389">
        <v>207.11185185185184</v>
      </c>
      <c r="Q269" s="391">
        <v>187.55185185185184</v>
      </c>
      <c r="R269" s="391">
        <v>0</v>
      </c>
      <c r="S269" s="391">
        <v>19.559999999999999</v>
      </c>
      <c r="T269" s="391">
        <v>0</v>
      </c>
      <c r="U269" s="391">
        <v>0</v>
      </c>
      <c r="V269" s="518"/>
    </row>
    <row r="270" spans="1:22" ht="34.9" customHeight="1" x14ac:dyDescent="0.25">
      <c r="A270" s="13">
        <v>269</v>
      </c>
      <c r="B270" s="95">
        <v>45020</v>
      </c>
      <c r="C270" s="410"/>
      <c r="D270" s="488"/>
      <c r="E270" s="411"/>
      <c r="F270" s="410"/>
      <c r="G270" s="410"/>
      <c r="H270" s="410"/>
      <c r="I270" s="410">
        <v>104</v>
      </c>
      <c r="J270" s="410"/>
      <c r="K270" s="410"/>
      <c r="L270" s="410">
        <v>30</v>
      </c>
      <c r="M270" s="410">
        <v>283</v>
      </c>
      <c r="N270" s="557"/>
      <c r="O270" s="488">
        <f t="shared" si="3"/>
        <v>417</v>
      </c>
      <c r="P270" s="389">
        <v>80.260370370370353</v>
      </c>
      <c r="Q270" s="391">
        <v>54.550370370370359</v>
      </c>
      <c r="R270" s="391">
        <v>11.04</v>
      </c>
      <c r="S270" s="391">
        <v>0</v>
      </c>
      <c r="T270" s="391">
        <v>14.670000000000002</v>
      </c>
      <c r="U270" s="391">
        <v>0</v>
      </c>
      <c r="V270" s="518"/>
    </row>
    <row r="271" spans="1:22" ht="34.9" customHeight="1" x14ac:dyDescent="0.25">
      <c r="A271" s="409">
        <v>270</v>
      </c>
      <c r="B271" s="323">
        <v>45021</v>
      </c>
      <c r="C271" s="410">
        <v>940</v>
      </c>
      <c r="D271" s="488"/>
      <c r="E271" s="411"/>
      <c r="F271" s="410"/>
      <c r="G271" s="410"/>
      <c r="H271" s="410"/>
      <c r="I271" s="410">
        <v>223</v>
      </c>
      <c r="J271" s="410">
        <v>100</v>
      </c>
      <c r="K271" s="410"/>
      <c r="L271" s="410"/>
      <c r="M271" s="410">
        <v>246</v>
      </c>
      <c r="N271" s="557"/>
      <c r="O271" s="488">
        <f t="shared" si="3"/>
        <v>569</v>
      </c>
      <c r="P271" s="389">
        <v>289.43185185185189</v>
      </c>
      <c r="Q271" s="391">
        <v>263.40185185185192</v>
      </c>
      <c r="R271" s="391">
        <v>14.03</v>
      </c>
      <c r="S271" s="391">
        <v>0</v>
      </c>
      <c r="T271" s="391">
        <v>12</v>
      </c>
      <c r="U271" s="391">
        <v>0</v>
      </c>
      <c r="V271" s="518"/>
    </row>
    <row r="272" spans="1:22" ht="34.9" customHeight="1" x14ac:dyDescent="0.25">
      <c r="A272" s="190">
        <v>271</v>
      </c>
      <c r="B272" s="191">
        <v>45022</v>
      </c>
      <c r="C272" s="190"/>
      <c r="D272" s="190"/>
      <c r="E272" s="250"/>
      <c r="F272" s="190"/>
      <c r="G272" s="190"/>
      <c r="H272" s="190"/>
      <c r="I272" s="190"/>
      <c r="J272" s="190"/>
      <c r="K272" s="190"/>
      <c r="L272" s="190"/>
      <c r="M272" s="190"/>
      <c r="N272" s="559"/>
      <c r="O272" s="488">
        <f t="shared" si="3"/>
        <v>0</v>
      </c>
      <c r="P272" s="394"/>
      <c r="Q272" s="395"/>
      <c r="R272" s="395"/>
      <c r="S272" s="395"/>
      <c r="T272" s="395"/>
      <c r="U272" s="395"/>
      <c r="V272" s="518"/>
    </row>
    <row r="273" spans="1:22" ht="34.9" customHeight="1" x14ac:dyDescent="0.25">
      <c r="A273" s="190">
        <v>272</v>
      </c>
      <c r="B273" s="191">
        <v>45023</v>
      </c>
      <c r="C273" s="190"/>
      <c r="D273" s="190"/>
      <c r="E273" s="250"/>
      <c r="F273" s="190"/>
      <c r="G273" s="190"/>
      <c r="H273" s="190"/>
      <c r="I273" s="190"/>
      <c r="J273" s="190"/>
      <c r="K273" s="190"/>
      <c r="L273" s="190"/>
      <c r="M273" s="190"/>
      <c r="N273" s="559"/>
      <c r="O273" s="488">
        <f t="shared" si="3"/>
        <v>0</v>
      </c>
      <c r="P273" s="394"/>
      <c r="Q273" s="395"/>
      <c r="R273" s="395"/>
      <c r="S273" s="395"/>
      <c r="T273" s="395"/>
      <c r="U273" s="395"/>
      <c r="V273" s="518"/>
    </row>
    <row r="274" spans="1:22" ht="34.9" customHeight="1" x14ac:dyDescent="0.25">
      <c r="A274" s="13">
        <v>273</v>
      </c>
      <c r="B274" s="95">
        <v>45024</v>
      </c>
      <c r="C274" s="13">
        <v>34</v>
      </c>
      <c r="D274" s="488"/>
      <c r="E274" s="90"/>
      <c r="F274" s="13"/>
      <c r="G274" s="13"/>
      <c r="H274" s="13">
        <v>6</v>
      </c>
      <c r="I274" s="13">
        <v>96</v>
      </c>
      <c r="J274" s="13">
        <v>235</v>
      </c>
      <c r="K274" s="13"/>
      <c r="L274" s="13">
        <v>1</v>
      </c>
      <c r="M274" s="13">
        <v>670</v>
      </c>
      <c r="N274" s="557"/>
      <c r="O274" s="488">
        <f t="shared" si="3"/>
        <v>1008</v>
      </c>
      <c r="P274" s="389">
        <v>239.2</v>
      </c>
      <c r="Q274" s="391">
        <v>229.77999999999997</v>
      </c>
      <c r="R274" s="391">
        <v>2.11</v>
      </c>
      <c r="S274" s="391">
        <v>7.3099999999999987</v>
      </c>
      <c r="T274" s="391">
        <v>0</v>
      </c>
      <c r="U274" s="391">
        <v>0</v>
      </c>
      <c r="V274" s="518"/>
    </row>
    <row r="275" spans="1:22" ht="34.9" customHeight="1" x14ac:dyDescent="0.25">
      <c r="A275" s="190">
        <v>274</v>
      </c>
      <c r="B275" s="191">
        <v>45025</v>
      </c>
      <c r="C275" s="190"/>
      <c r="D275" s="190"/>
      <c r="E275" s="250"/>
      <c r="F275" s="190"/>
      <c r="G275" s="190"/>
      <c r="H275" s="190"/>
      <c r="I275" s="190"/>
      <c r="J275" s="190"/>
      <c r="K275" s="190"/>
      <c r="L275" s="190"/>
      <c r="M275" s="190"/>
      <c r="N275" s="559"/>
      <c r="O275" s="488">
        <f t="shared" si="3"/>
        <v>0</v>
      </c>
      <c r="P275" s="394"/>
      <c r="Q275" s="395"/>
      <c r="R275" s="395"/>
      <c r="S275" s="395"/>
      <c r="T275" s="395"/>
      <c r="U275" s="395"/>
      <c r="V275" s="518"/>
    </row>
    <row r="276" spans="1:22" ht="92.25" customHeight="1" x14ac:dyDescent="0.25">
      <c r="A276" s="13">
        <v>275</v>
      </c>
      <c r="B276" s="95">
        <v>45026</v>
      </c>
      <c r="C276" s="13">
        <v>15</v>
      </c>
      <c r="D276" s="488"/>
      <c r="E276" s="90" t="s">
        <v>494</v>
      </c>
      <c r="F276" s="13">
        <f>114+36+10</f>
        <v>160</v>
      </c>
      <c r="G276" s="13"/>
      <c r="H276" s="13">
        <v>270</v>
      </c>
      <c r="I276" s="13">
        <v>52</v>
      </c>
      <c r="J276" s="13">
        <v>1165</v>
      </c>
      <c r="K276" s="13"/>
      <c r="L276" s="13">
        <v>9</v>
      </c>
      <c r="M276" s="13">
        <v>201</v>
      </c>
      <c r="N276" s="557"/>
      <c r="O276" s="488">
        <f t="shared" si="3"/>
        <v>1857</v>
      </c>
      <c r="P276" s="389">
        <v>314.96185185185186</v>
      </c>
      <c r="Q276" s="391">
        <v>105.78185185185185</v>
      </c>
      <c r="R276" s="391">
        <v>140.51000000000002</v>
      </c>
      <c r="S276" s="391">
        <v>0</v>
      </c>
      <c r="T276" s="391">
        <v>64.67</v>
      </c>
      <c r="U276" s="391">
        <v>4</v>
      </c>
      <c r="V276" s="518"/>
    </row>
    <row r="277" spans="1:22" ht="34.9" customHeight="1" x14ac:dyDescent="0.25">
      <c r="A277" s="13">
        <v>276</v>
      </c>
      <c r="B277" s="95">
        <v>45027</v>
      </c>
      <c r="C277" s="13"/>
      <c r="D277" s="488"/>
      <c r="E277" s="90"/>
      <c r="F277" s="13"/>
      <c r="G277" s="13"/>
      <c r="H277" s="13"/>
      <c r="I277" s="13">
        <v>409</v>
      </c>
      <c r="J277" s="13">
        <v>369</v>
      </c>
      <c r="K277" s="13"/>
      <c r="L277" s="13">
        <v>5</v>
      </c>
      <c r="M277" s="13">
        <v>316</v>
      </c>
      <c r="N277" s="557"/>
      <c r="O277" s="488">
        <f t="shared" si="3"/>
        <v>1099</v>
      </c>
      <c r="P277" s="389">
        <v>218.92000000000004</v>
      </c>
      <c r="Q277" s="391">
        <v>175.01000000000005</v>
      </c>
      <c r="R277" s="391">
        <v>7.8900000000000006</v>
      </c>
      <c r="S277" s="391">
        <v>0</v>
      </c>
      <c r="T277" s="391">
        <v>27</v>
      </c>
      <c r="U277" s="391">
        <v>9.02</v>
      </c>
      <c r="V277" s="518"/>
    </row>
    <row r="278" spans="1:22" ht="34.9" customHeight="1" x14ac:dyDescent="0.25">
      <c r="A278" s="13">
        <v>277</v>
      </c>
      <c r="B278" s="95">
        <v>45028</v>
      </c>
      <c r="C278" s="13">
        <v>9</v>
      </c>
      <c r="D278" s="488"/>
      <c r="E278" s="90"/>
      <c r="F278" s="13"/>
      <c r="G278" s="13"/>
      <c r="H278" s="13"/>
      <c r="I278" s="13"/>
      <c r="J278" s="13">
        <v>108</v>
      </c>
      <c r="K278" s="13"/>
      <c r="L278" s="13">
        <v>14</v>
      </c>
      <c r="M278" s="13">
        <v>331</v>
      </c>
      <c r="N278" s="557"/>
      <c r="O278" s="488">
        <f t="shared" si="3"/>
        <v>453</v>
      </c>
      <c r="P278" s="389">
        <v>139.01</v>
      </c>
      <c r="Q278" s="391">
        <v>70.84</v>
      </c>
      <c r="R278" s="391">
        <v>33.700000000000003</v>
      </c>
      <c r="S278" s="391">
        <v>33.169999999999987</v>
      </c>
      <c r="T278" s="391">
        <v>0</v>
      </c>
      <c r="U278" s="391">
        <v>1.3</v>
      </c>
      <c r="V278" s="518"/>
    </row>
    <row r="279" spans="1:22" ht="34.9" customHeight="1" x14ac:dyDescent="0.25">
      <c r="A279" s="13">
        <v>278</v>
      </c>
      <c r="B279" s="95">
        <v>45029</v>
      </c>
      <c r="C279" s="13">
        <v>69</v>
      </c>
      <c r="D279" s="488"/>
      <c r="E279" s="90"/>
      <c r="F279" s="13"/>
      <c r="G279" s="13"/>
      <c r="H279" s="13"/>
      <c r="I279" s="13">
        <v>96</v>
      </c>
      <c r="J279" s="13"/>
      <c r="K279" s="13"/>
      <c r="L279" s="13">
        <v>1</v>
      </c>
      <c r="M279" s="13">
        <v>442</v>
      </c>
      <c r="N279" s="557"/>
      <c r="O279" s="488">
        <f t="shared" si="3"/>
        <v>539</v>
      </c>
      <c r="P279" s="389">
        <v>124.62</v>
      </c>
      <c r="Q279" s="391">
        <v>92.54</v>
      </c>
      <c r="R279" s="391">
        <v>18.739999999999998</v>
      </c>
      <c r="S279" s="391">
        <v>0</v>
      </c>
      <c r="T279" s="391">
        <v>12</v>
      </c>
      <c r="U279" s="391">
        <v>1.3399999999999999</v>
      </c>
      <c r="V279" s="518"/>
    </row>
    <row r="280" spans="1:22" ht="34.9" customHeight="1" x14ac:dyDescent="0.25">
      <c r="A280" s="13">
        <v>279</v>
      </c>
      <c r="B280" s="95">
        <v>45030</v>
      </c>
      <c r="C280" s="13"/>
      <c r="D280" s="488"/>
      <c r="E280" s="90"/>
      <c r="F280" s="13"/>
      <c r="G280" s="13"/>
      <c r="H280" s="13"/>
      <c r="I280" s="13">
        <v>1</v>
      </c>
      <c r="J280" s="13">
        <v>269</v>
      </c>
      <c r="K280" s="13"/>
      <c r="L280" s="13">
        <v>2</v>
      </c>
      <c r="M280" s="13">
        <v>189</v>
      </c>
      <c r="N280" s="557"/>
      <c r="O280" s="488">
        <f t="shared" si="3"/>
        <v>461</v>
      </c>
      <c r="P280" s="389">
        <v>119.57000000000002</v>
      </c>
      <c r="Q280" s="391">
        <v>94.010000000000019</v>
      </c>
      <c r="R280" s="391">
        <v>5.5600000000000005</v>
      </c>
      <c r="S280" s="391">
        <v>0</v>
      </c>
      <c r="T280" s="391">
        <v>20</v>
      </c>
      <c r="U280" s="391">
        <v>0</v>
      </c>
      <c r="V280" s="518"/>
    </row>
    <row r="281" spans="1:22" ht="34.9" customHeight="1" x14ac:dyDescent="0.25">
      <c r="A281" s="13">
        <v>280</v>
      </c>
      <c r="B281" s="95">
        <v>45031</v>
      </c>
      <c r="C281" s="13"/>
      <c r="D281" s="488"/>
      <c r="E281" s="90"/>
      <c r="F281" s="13"/>
      <c r="G281" s="13"/>
      <c r="H281" s="13"/>
      <c r="I281" s="13">
        <v>30</v>
      </c>
      <c r="J281" s="13">
        <v>1033</v>
      </c>
      <c r="K281" s="13"/>
      <c r="L281" s="13">
        <v>726</v>
      </c>
      <c r="M281" s="13">
        <v>459</v>
      </c>
      <c r="N281" s="557"/>
      <c r="O281" s="488">
        <f t="shared" si="3"/>
        <v>2248</v>
      </c>
      <c r="P281" s="389">
        <v>509.61</v>
      </c>
      <c r="Q281" s="391">
        <v>471.71000000000004</v>
      </c>
      <c r="R281" s="391">
        <v>2.4400000000000004</v>
      </c>
      <c r="S281" s="391">
        <v>0</v>
      </c>
      <c r="T281" s="391">
        <v>17.459999999999994</v>
      </c>
      <c r="U281" s="391">
        <v>18</v>
      </c>
      <c r="V281" s="518"/>
    </row>
    <row r="282" spans="1:22" ht="34.9" customHeight="1" x14ac:dyDescent="0.25">
      <c r="A282" s="190">
        <v>281</v>
      </c>
      <c r="B282" s="191">
        <v>45032</v>
      </c>
      <c r="C282" s="190"/>
      <c r="D282" s="190"/>
      <c r="E282" s="250"/>
      <c r="F282" s="190"/>
      <c r="G282" s="190"/>
      <c r="H282" s="190"/>
      <c r="I282" s="190"/>
      <c r="J282" s="190"/>
      <c r="K282" s="190"/>
      <c r="L282" s="190"/>
      <c r="M282" s="190"/>
      <c r="N282" s="559"/>
      <c r="O282" s="488">
        <f t="shared" si="3"/>
        <v>0</v>
      </c>
      <c r="P282" s="394"/>
      <c r="Q282" s="395"/>
      <c r="R282" s="395"/>
      <c r="S282" s="395"/>
      <c r="T282" s="395"/>
      <c r="U282" s="395"/>
      <c r="V282" s="518"/>
    </row>
    <row r="283" spans="1:22" ht="34.9" customHeight="1" x14ac:dyDescent="0.25">
      <c r="A283" s="13">
        <v>282</v>
      </c>
      <c r="B283" s="95">
        <v>45033</v>
      </c>
      <c r="C283" s="13">
        <v>354</v>
      </c>
      <c r="D283" s="488"/>
      <c r="E283" s="90"/>
      <c r="F283" s="13"/>
      <c r="G283" s="13"/>
      <c r="H283" s="13">
        <v>936</v>
      </c>
      <c r="I283" s="13">
        <v>147.4</v>
      </c>
      <c r="J283" s="13">
        <v>52</v>
      </c>
      <c r="K283" s="13"/>
      <c r="L283" s="13"/>
      <c r="M283" s="13">
        <v>821</v>
      </c>
      <c r="N283" s="557"/>
      <c r="O283" s="488">
        <f t="shared" si="3"/>
        <v>1956.4</v>
      </c>
      <c r="P283" s="389">
        <v>521.22</v>
      </c>
      <c r="Q283" s="391">
        <v>410.31</v>
      </c>
      <c r="R283" s="391">
        <v>36.909999999999997</v>
      </c>
      <c r="S283" s="391">
        <v>0</v>
      </c>
      <c r="T283" s="391">
        <v>70</v>
      </c>
      <c r="U283" s="391">
        <v>4</v>
      </c>
      <c r="V283" s="518"/>
    </row>
    <row r="284" spans="1:22" ht="34.9" customHeight="1" x14ac:dyDescent="0.25">
      <c r="A284" s="13">
        <v>283</v>
      </c>
      <c r="B284" s="95">
        <v>45034</v>
      </c>
      <c r="C284" s="13">
        <v>170</v>
      </c>
      <c r="D284" s="488"/>
      <c r="E284" s="90"/>
      <c r="F284" s="13"/>
      <c r="G284" s="13"/>
      <c r="H284" s="13">
        <v>208</v>
      </c>
      <c r="I284" s="13">
        <v>377</v>
      </c>
      <c r="J284" s="13">
        <v>205</v>
      </c>
      <c r="K284" s="13"/>
      <c r="L284" s="13"/>
      <c r="M284" s="13">
        <v>440</v>
      </c>
      <c r="N284" s="557"/>
      <c r="O284" s="488">
        <f t="shared" si="3"/>
        <v>1230</v>
      </c>
      <c r="P284" s="389">
        <v>273.86800000000005</v>
      </c>
      <c r="Q284" s="391">
        <v>184.33800000000005</v>
      </c>
      <c r="R284" s="391">
        <v>10.28</v>
      </c>
      <c r="S284" s="391">
        <v>63.25</v>
      </c>
      <c r="T284" s="391">
        <v>0</v>
      </c>
      <c r="U284" s="391">
        <v>16</v>
      </c>
      <c r="V284" s="518"/>
    </row>
    <row r="285" spans="1:22" ht="34.9" customHeight="1" x14ac:dyDescent="0.25">
      <c r="A285" s="13">
        <v>284</v>
      </c>
      <c r="B285" s="95">
        <v>45035</v>
      </c>
      <c r="C285" s="13">
        <v>76</v>
      </c>
      <c r="D285" s="488"/>
      <c r="E285" s="90" t="s">
        <v>498</v>
      </c>
      <c r="F285" s="13">
        <v>160</v>
      </c>
      <c r="G285" s="13"/>
      <c r="H285" s="13"/>
      <c r="I285" s="13">
        <v>147</v>
      </c>
      <c r="J285" s="13">
        <v>241</v>
      </c>
      <c r="K285" s="13"/>
      <c r="L285" s="13">
        <v>40</v>
      </c>
      <c r="M285" s="13">
        <v>773</v>
      </c>
      <c r="N285" s="557"/>
      <c r="O285" s="488">
        <f t="shared" si="3"/>
        <v>1361</v>
      </c>
      <c r="P285" s="389">
        <v>253.20000000000002</v>
      </c>
      <c r="Q285" s="391">
        <v>111.38000000000002</v>
      </c>
      <c r="R285" s="391">
        <v>0</v>
      </c>
      <c r="S285" s="391">
        <v>21.82</v>
      </c>
      <c r="T285" s="391">
        <v>120</v>
      </c>
      <c r="U285" s="391">
        <v>0</v>
      </c>
      <c r="V285" s="518"/>
    </row>
    <row r="286" spans="1:22" ht="34.9" customHeight="1" x14ac:dyDescent="0.25">
      <c r="A286" s="13">
        <v>285</v>
      </c>
      <c r="B286" s="95">
        <v>45036</v>
      </c>
      <c r="C286" s="13">
        <v>400</v>
      </c>
      <c r="D286" s="488"/>
      <c r="E286" s="90" t="s">
        <v>499</v>
      </c>
      <c r="F286" s="13">
        <v>36</v>
      </c>
      <c r="G286" s="13"/>
      <c r="H286" s="13"/>
      <c r="I286" s="13"/>
      <c r="J286" s="13">
        <v>192</v>
      </c>
      <c r="K286" s="13"/>
      <c r="L286" s="13"/>
      <c r="M286" s="13">
        <v>400</v>
      </c>
      <c r="N286" s="557"/>
      <c r="O286" s="488">
        <f t="shared" si="3"/>
        <v>628</v>
      </c>
      <c r="P286" s="389">
        <v>311</v>
      </c>
      <c r="Q286" s="391">
        <v>309.25</v>
      </c>
      <c r="R286" s="391">
        <v>0</v>
      </c>
      <c r="S286" s="391">
        <v>0</v>
      </c>
      <c r="T286" s="391">
        <v>0</v>
      </c>
      <c r="U286" s="391">
        <v>1.75</v>
      </c>
      <c r="V286" s="518"/>
    </row>
    <row r="287" spans="1:22" ht="34.9" customHeight="1" x14ac:dyDescent="0.25">
      <c r="A287" s="13">
        <v>286</v>
      </c>
      <c r="B287" s="95">
        <v>45037</v>
      </c>
      <c r="C287" s="13">
        <v>20</v>
      </c>
      <c r="D287" s="488"/>
      <c r="E287" s="90"/>
      <c r="F287" s="13"/>
      <c r="G287" s="13"/>
      <c r="H287" s="13"/>
      <c r="I287" s="13">
        <v>60</v>
      </c>
      <c r="J287" s="13">
        <v>560</v>
      </c>
      <c r="K287" s="13"/>
      <c r="L287" s="13">
        <v>5</v>
      </c>
      <c r="M287" s="13">
        <v>18</v>
      </c>
      <c r="N287" s="557"/>
      <c r="O287" s="488">
        <f t="shared" si="3"/>
        <v>643</v>
      </c>
      <c r="P287" s="389">
        <v>141</v>
      </c>
      <c r="Q287" s="391">
        <v>115.77999999999999</v>
      </c>
      <c r="R287" s="391">
        <v>4.22</v>
      </c>
      <c r="S287" s="391">
        <v>0</v>
      </c>
      <c r="T287" s="391">
        <v>10</v>
      </c>
      <c r="U287" s="391">
        <v>11</v>
      </c>
      <c r="V287" s="518"/>
    </row>
    <row r="288" spans="1:22" ht="34.9" customHeight="1" x14ac:dyDescent="0.25">
      <c r="A288" s="13">
        <v>287</v>
      </c>
      <c r="B288" s="95">
        <v>45038</v>
      </c>
      <c r="C288" s="13">
        <v>94</v>
      </c>
      <c r="D288" s="488"/>
      <c r="E288" s="90"/>
      <c r="F288" s="13"/>
      <c r="G288" s="13"/>
      <c r="H288" s="13"/>
      <c r="I288" s="13">
        <v>428</v>
      </c>
      <c r="J288" s="13">
        <v>131</v>
      </c>
      <c r="K288" s="13"/>
      <c r="L288" s="13">
        <v>51</v>
      </c>
      <c r="M288" s="13">
        <v>762</v>
      </c>
      <c r="N288" s="557"/>
      <c r="O288" s="488">
        <f t="shared" si="3"/>
        <v>1372</v>
      </c>
      <c r="P288" s="389">
        <v>319.8</v>
      </c>
      <c r="Q288" s="391">
        <v>266.8</v>
      </c>
      <c r="R288" s="391">
        <v>0</v>
      </c>
      <c r="S288" s="391">
        <v>4</v>
      </c>
      <c r="T288" s="391">
        <v>45</v>
      </c>
      <c r="U288" s="391">
        <v>4</v>
      </c>
      <c r="V288" s="518"/>
    </row>
    <row r="289" spans="1:22" ht="34.9" customHeight="1" x14ac:dyDescent="0.25">
      <c r="A289" s="190">
        <v>288</v>
      </c>
      <c r="B289" s="191">
        <v>45039</v>
      </c>
      <c r="C289" s="190"/>
      <c r="D289" s="190"/>
      <c r="E289" s="250"/>
      <c r="F289" s="190"/>
      <c r="G289" s="190"/>
      <c r="H289" s="190"/>
      <c r="I289" s="190"/>
      <c r="J289" s="190"/>
      <c r="K289" s="190"/>
      <c r="L289" s="190"/>
      <c r="M289" s="190"/>
      <c r="N289" s="559"/>
      <c r="O289" s="488">
        <f t="shared" si="3"/>
        <v>0</v>
      </c>
      <c r="P289" s="394"/>
      <c r="Q289" s="395"/>
      <c r="R289" s="395"/>
      <c r="S289" s="395"/>
      <c r="T289" s="395"/>
      <c r="U289" s="395"/>
      <c r="V289" s="518"/>
    </row>
    <row r="290" spans="1:22" ht="34.9" customHeight="1" x14ac:dyDescent="0.25">
      <c r="A290" s="13">
        <v>289</v>
      </c>
      <c r="B290" s="95">
        <v>45040</v>
      </c>
      <c r="C290" s="423">
        <v>762</v>
      </c>
      <c r="D290" s="488"/>
      <c r="E290" s="424"/>
      <c r="F290" s="423"/>
      <c r="G290" s="423"/>
      <c r="H290" s="423">
        <v>138</v>
      </c>
      <c r="I290" s="423">
        <v>292</v>
      </c>
      <c r="J290" s="423"/>
      <c r="K290" s="423"/>
      <c r="L290" s="423"/>
      <c r="M290" s="423">
        <v>425</v>
      </c>
      <c r="N290" s="557"/>
      <c r="O290" s="488">
        <f t="shared" si="3"/>
        <v>855</v>
      </c>
      <c r="P290" s="389">
        <v>392.91</v>
      </c>
      <c r="Q290" s="391">
        <v>351.41</v>
      </c>
      <c r="R290" s="391">
        <v>0</v>
      </c>
      <c r="S290" s="391">
        <v>32.5</v>
      </c>
      <c r="T290" s="391">
        <v>0</v>
      </c>
      <c r="U290" s="391">
        <v>9</v>
      </c>
      <c r="V290" s="518"/>
    </row>
    <row r="291" spans="1:22" ht="34.9" customHeight="1" x14ac:dyDescent="0.25">
      <c r="A291" s="13">
        <v>290</v>
      </c>
      <c r="B291" s="95">
        <v>45041</v>
      </c>
      <c r="C291" s="13"/>
      <c r="D291" s="488"/>
      <c r="E291" s="90"/>
      <c r="F291" s="13"/>
      <c r="G291" s="13"/>
      <c r="H291" s="13"/>
      <c r="I291" s="13">
        <v>204</v>
      </c>
      <c r="J291" s="13">
        <v>30</v>
      </c>
      <c r="K291" s="13"/>
      <c r="L291" s="13">
        <v>126</v>
      </c>
      <c r="M291" s="13">
        <v>335</v>
      </c>
      <c r="N291" s="557"/>
      <c r="O291" s="488">
        <f t="shared" si="3"/>
        <v>695</v>
      </c>
      <c r="P291" s="389">
        <v>149.09</v>
      </c>
      <c r="Q291" s="391">
        <v>106.98</v>
      </c>
      <c r="R291" s="391">
        <v>23.11</v>
      </c>
      <c r="S291" s="391">
        <v>0</v>
      </c>
      <c r="T291" s="391">
        <v>15</v>
      </c>
      <c r="U291" s="391">
        <v>4</v>
      </c>
      <c r="V291" s="518"/>
    </row>
    <row r="292" spans="1:22" ht="34.9" customHeight="1" x14ac:dyDescent="0.25">
      <c r="A292" s="13">
        <v>291</v>
      </c>
      <c r="B292" s="95">
        <v>45042</v>
      </c>
      <c r="C292" s="13">
        <v>5</v>
      </c>
      <c r="D292" s="488"/>
      <c r="E292" s="90"/>
      <c r="F292" s="13"/>
      <c r="G292" s="13"/>
      <c r="H292" s="13"/>
      <c r="I292" s="13">
        <v>181</v>
      </c>
      <c r="J292" s="13">
        <v>240</v>
      </c>
      <c r="K292" s="13"/>
      <c r="L292" s="13"/>
      <c r="M292" s="13">
        <v>1068</v>
      </c>
      <c r="N292" s="557"/>
      <c r="O292" s="488">
        <f t="shared" si="3"/>
        <v>1489</v>
      </c>
      <c r="P292" s="389">
        <v>316.10888888888888</v>
      </c>
      <c r="Q292" s="391">
        <v>270.04888888888888</v>
      </c>
      <c r="R292" s="391">
        <v>27.989999999999995</v>
      </c>
      <c r="S292" s="391">
        <v>0</v>
      </c>
      <c r="T292" s="391">
        <v>10</v>
      </c>
      <c r="U292" s="391">
        <v>8.07</v>
      </c>
      <c r="V292" s="518"/>
    </row>
    <row r="293" spans="1:22" ht="34.9" customHeight="1" x14ac:dyDescent="0.25">
      <c r="A293" s="13">
        <v>292</v>
      </c>
      <c r="B293" s="95">
        <v>45043</v>
      </c>
      <c r="C293" s="13">
        <v>172</v>
      </c>
      <c r="D293" s="488"/>
      <c r="E293" s="90"/>
      <c r="F293" s="13"/>
      <c r="G293" s="13"/>
      <c r="H293" s="13">
        <v>64</v>
      </c>
      <c r="I293" s="13">
        <v>196</v>
      </c>
      <c r="J293" s="13">
        <v>86</v>
      </c>
      <c r="K293" s="13"/>
      <c r="L293" s="13"/>
      <c r="M293" s="13">
        <v>1285</v>
      </c>
      <c r="N293" s="557"/>
      <c r="O293" s="488">
        <f t="shared" si="3"/>
        <v>1631</v>
      </c>
      <c r="P293" s="389">
        <v>344.12444444444446</v>
      </c>
      <c r="Q293" s="391">
        <v>303.44444444444446</v>
      </c>
      <c r="R293" s="391">
        <v>32</v>
      </c>
      <c r="S293" s="391">
        <v>0</v>
      </c>
      <c r="T293" s="391">
        <v>5</v>
      </c>
      <c r="U293" s="391">
        <v>3.6799999999999997</v>
      </c>
      <c r="V293" s="518"/>
    </row>
    <row r="294" spans="1:22" ht="34.9" customHeight="1" x14ac:dyDescent="0.25">
      <c r="A294" s="13">
        <v>293</v>
      </c>
      <c r="B294" s="95">
        <v>45044</v>
      </c>
      <c r="C294" s="13"/>
      <c r="D294" s="488"/>
      <c r="E294" s="90"/>
      <c r="F294" s="13"/>
      <c r="G294" s="13"/>
      <c r="H294" s="13"/>
      <c r="I294" s="13">
        <v>545</v>
      </c>
      <c r="J294" s="13">
        <v>48</v>
      </c>
      <c r="K294" s="13"/>
      <c r="L294" s="13"/>
      <c r="M294" s="13">
        <v>163</v>
      </c>
      <c r="N294" s="557"/>
      <c r="O294" s="488">
        <f t="shared" si="3"/>
        <v>756</v>
      </c>
      <c r="P294" s="389">
        <v>167.94000000000003</v>
      </c>
      <c r="Q294" s="391">
        <v>129.09</v>
      </c>
      <c r="R294" s="391">
        <v>38.200000000000003</v>
      </c>
      <c r="S294" s="391">
        <v>0</v>
      </c>
      <c r="T294" s="391">
        <v>0</v>
      </c>
      <c r="U294" s="391">
        <v>0.64999999999999991</v>
      </c>
      <c r="V294" s="518"/>
    </row>
    <row r="295" spans="1:22" ht="97.5" customHeight="1" x14ac:dyDescent="0.25">
      <c r="A295" s="13">
        <v>294</v>
      </c>
      <c r="B295" s="95">
        <v>45045</v>
      </c>
      <c r="C295" s="13"/>
      <c r="D295" s="488"/>
      <c r="E295" s="90" t="s">
        <v>500</v>
      </c>
      <c r="F295" s="13">
        <f>150+33</f>
        <v>183</v>
      </c>
      <c r="G295" s="13"/>
      <c r="H295" s="13"/>
      <c r="I295" s="13">
        <v>298.5</v>
      </c>
      <c r="J295" s="13">
        <v>146</v>
      </c>
      <c r="K295" s="13"/>
      <c r="L295" s="13">
        <v>4</v>
      </c>
      <c r="M295" s="13">
        <v>659</v>
      </c>
      <c r="N295" s="557"/>
      <c r="O295" s="488">
        <f t="shared" si="3"/>
        <v>1290.5</v>
      </c>
      <c r="P295" s="389">
        <v>245.90222222222224</v>
      </c>
      <c r="Q295" s="391">
        <v>166.10222222222222</v>
      </c>
      <c r="R295" s="391">
        <v>54.81</v>
      </c>
      <c r="S295" s="391">
        <v>0</v>
      </c>
      <c r="T295" s="391">
        <v>0</v>
      </c>
      <c r="U295" s="391">
        <v>24.989999999999995</v>
      </c>
      <c r="V295" s="518"/>
    </row>
    <row r="296" spans="1:22" ht="34.9" customHeight="1" x14ac:dyDescent="0.25">
      <c r="A296" s="190">
        <v>295</v>
      </c>
      <c r="B296" s="191">
        <v>45046</v>
      </c>
      <c r="C296" s="190"/>
      <c r="D296" s="190"/>
      <c r="E296" s="250"/>
      <c r="F296" s="190"/>
      <c r="G296" s="190"/>
      <c r="H296" s="190"/>
      <c r="I296" s="190"/>
      <c r="J296" s="190"/>
      <c r="K296" s="190"/>
      <c r="L296" s="190"/>
      <c r="M296" s="190"/>
      <c r="N296" s="559"/>
      <c r="O296" s="488">
        <f t="shared" si="3"/>
        <v>0</v>
      </c>
      <c r="P296" s="394"/>
      <c r="Q296" s="395"/>
      <c r="R296" s="395"/>
      <c r="S296" s="395"/>
      <c r="T296" s="395"/>
      <c r="U296" s="395"/>
      <c r="V296" s="518"/>
    </row>
    <row r="297" spans="1:22" ht="34.9" customHeight="1" x14ac:dyDescent="0.25">
      <c r="A297" s="190">
        <v>296</v>
      </c>
      <c r="B297" s="191">
        <v>45047</v>
      </c>
      <c r="C297" s="190"/>
      <c r="D297" s="190"/>
      <c r="E297" s="250"/>
      <c r="F297" s="190"/>
      <c r="G297" s="190"/>
      <c r="H297" s="190"/>
      <c r="I297" s="190"/>
      <c r="J297" s="190"/>
      <c r="K297" s="190"/>
      <c r="L297" s="190"/>
      <c r="M297" s="190"/>
      <c r="N297" s="559"/>
      <c r="O297" s="488">
        <f t="shared" si="3"/>
        <v>0</v>
      </c>
      <c r="P297" s="394"/>
      <c r="Q297" s="395"/>
      <c r="R297" s="395"/>
      <c r="S297" s="395"/>
      <c r="T297" s="395"/>
      <c r="U297" s="395"/>
      <c r="V297" s="518"/>
    </row>
    <row r="298" spans="1:22" ht="34.9" customHeight="1" x14ac:dyDescent="0.25">
      <c r="A298" s="13">
        <v>297</v>
      </c>
      <c r="B298" s="95">
        <v>45048</v>
      </c>
      <c r="C298" s="13">
        <v>94</v>
      </c>
      <c r="D298" s="488"/>
      <c r="E298" s="90"/>
      <c r="F298" s="13"/>
      <c r="G298" s="13"/>
      <c r="H298" s="13"/>
      <c r="I298" s="13">
        <v>581</v>
      </c>
      <c r="J298" s="13">
        <v>31</v>
      </c>
      <c r="K298" s="13"/>
      <c r="L298" s="13"/>
      <c r="M298" s="13">
        <v>1625</v>
      </c>
      <c r="N298" s="557"/>
      <c r="O298" s="488">
        <f t="shared" si="3"/>
        <v>2237</v>
      </c>
      <c r="P298" s="389">
        <v>448.10999999999996</v>
      </c>
      <c r="Q298" s="391">
        <v>304.13</v>
      </c>
      <c r="R298" s="391">
        <v>138.51999999999998</v>
      </c>
      <c r="S298" s="391">
        <v>0</v>
      </c>
      <c r="T298" s="391">
        <v>0</v>
      </c>
      <c r="U298" s="391">
        <v>5.46</v>
      </c>
      <c r="V298" s="518"/>
    </row>
    <row r="299" spans="1:22" ht="34.9" customHeight="1" x14ac:dyDescent="0.25">
      <c r="A299" s="13">
        <v>298</v>
      </c>
      <c r="B299" s="95">
        <v>45049</v>
      </c>
      <c r="C299" s="13">
        <v>7</v>
      </c>
      <c r="D299" s="488"/>
      <c r="E299" s="90"/>
      <c r="F299" s="13"/>
      <c r="G299" s="13"/>
      <c r="H299" s="13">
        <v>98</v>
      </c>
      <c r="I299" s="13">
        <v>574</v>
      </c>
      <c r="J299" s="13">
        <v>1449</v>
      </c>
      <c r="K299" s="13"/>
      <c r="L299" s="13"/>
      <c r="M299" s="13">
        <v>261</v>
      </c>
      <c r="N299" s="557"/>
      <c r="O299" s="488">
        <f t="shared" si="3"/>
        <v>2382</v>
      </c>
      <c r="P299" s="389">
        <v>403</v>
      </c>
      <c r="Q299" s="391">
        <v>352.01</v>
      </c>
      <c r="R299" s="391">
        <v>6.68</v>
      </c>
      <c r="S299" s="391">
        <v>0</v>
      </c>
      <c r="T299" s="391">
        <v>35</v>
      </c>
      <c r="U299" s="391">
        <v>9.3099999999999987</v>
      </c>
      <c r="V299" s="518"/>
    </row>
    <row r="300" spans="1:22" ht="34.9" customHeight="1" x14ac:dyDescent="0.25">
      <c r="A300" s="13">
        <v>299</v>
      </c>
      <c r="B300" s="95">
        <v>45050</v>
      </c>
      <c r="C300" s="13"/>
      <c r="D300" s="488"/>
      <c r="E300" s="90"/>
      <c r="F300" s="13"/>
      <c r="G300" s="13"/>
      <c r="H300" s="13"/>
      <c r="I300" s="13">
        <v>53</v>
      </c>
      <c r="J300" s="13">
        <v>60</v>
      </c>
      <c r="K300" s="13"/>
      <c r="L300" s="13"/>
      <c r="M300" s="13">
        <v>793</v>
      </c>
      <c r="N300" s="557"/>
      <c r="O300" s="488">
        <f t="shared" si="3"/>
        <v>906</v>
      </c>
      <c r="P300" s="389">
        <v>211.31000000000006</v>
      </c>
      <c r="Q300" s="391">
        <v>196.31000000000006</v>
      </c>
      <c r="R300" s="391">
        <v>0</v>
      </c>
      <c r="S300" s="391">
        <v>0</v>
      </c>
      <c r="T300" s="391">
        <v>15</v>
      </c>
      <c r="U300" s="391">
        <v>0</v>
      </c>
      <c r="V300" s="518"/>
    </row>
    <row r="301" spans="1:22" ht="34.9" customHeight="1" x14ac:dyDescent="0.25">
      <c r="A301" s="13">
        <v>300</v>
      </c>
      <c r="B301" s="95">
        <v>45051</v>
      </c>
      <c r="C301" s="13"/>
      <c r="D301" s="488"/>
      <c r="E301" s="90"/>
      <c r="F301" s="13"/>
      <c r="G301" s="13"/>
      <c r="H301" s="13">
        <v>362</v>
      </c>
      <c r="I301" s="13">
        <v>60</v>
      </c>
      <c r="J301" s="13">
        <v>114</v>
      </c>
      <c r="K301" s="13"/>
      <c r="L301" s="13"/>
      <c r="M301" s="13">
        <v>155</v>
      </c>
      <c r="N301" s="557"/>
      <c r="O301" s="488">
        <f t="shared" si="3"/>
        <v>691</v>
      </c>
      <c r="P301" s="389">
        <v>141.87037037037041</v>
      </c>
      <c r="Q301" s="391">
        <v>131.27037037037042</v>
      </c>
      <c r="R301" s="391">
        <v>10.600000000000001</v>
      </c>
      <c r="S301" s="391">
        <v>0</v>
      </c>
      <c r="T301" s="391">
        <v>0</v>
      </c>
      <c r="U301" s="391">
        <v>0</v>
      </c>
      <c r="V301" s="518"/>
    </row>
    <row r="302" spans="1:22" ht="34.9" customHeight="1" x14ac:dyDescent="0.25">
      <c r="A302" s="13">
        <v>301</v>
      </c>
      <c r="B302" s="95">
        <v>45052</v>
      </c>
      <c r="C302" s="13">
        <v>661</v>
      </c>
      <c r="D302" s="488"/>
      <c r="E302" s="90"/>
      <c r="F302" s="13"/>
      <c r="G302" s="13">
        <v>4</v>
      </c>
      <c r="H302" s="13"/>
      <c r="I302" s="13">
        <v>120</v>
      </c>
      <c r="J302" s="13"/>
      <c r="K302" s="13"/>
      <c r="L302" s="13"/>
      <c r="M302" s="13">
        <v>255</v>
      </c>
      <c r="N302" s="557"/>
      <c r="O302" s="488">
        <f t="shared" si="3"/>
        <v>379</v>
      </c>
      <c r="P302" s="389">
        <v>219.02</v>
      </c>
      <c r="Q302" s="391">
        <v>108.94999999999999</v>
      </c>
      <c r="R302" s="391">
        <v>75.61</v>
      </c>
      <c r="S302" s="391">
        <v>20.71</v>
      </c>
      <c r="T302" s="391">
        <v>12</v>
      </c>
      <c r="U302" s="391">
        <v>1.75</v>
      </c>
      <c r="V302" s="518"/>
    </row>
    <row r="303" spans="1:22" ht="34.9" customHeight="1" x14ac:dyDescent="0.25">
      <c r="A303" s="190">
        <v>302</v>
      </c>
      <c r="B303" s="191">
        <v>45053</v>
      </c>
      <c r="C303" s="190"/>
      <c r="D303" s="190"/>
      <c r="E303" s="250"/>
      <c r="F303" s="190"/>
      <c r="G303" s="190"/>
      <c r="H303" s="190"/>
      <c r="I303" s="190"/>
      <c r="J303" s="190"/>
      <c r="K303" s="190"/>
      <c r="L303" s="190"/>
      <c r="M303" s="190"/>
      <c r="N303" s="559"/>
      <c r="O303" s="488">
        <f t="shared" si="3"/>
        <v>0</v>
      </c>
      <c r="P303" s="394"/>
      <c r="Q303" s="395"/>
      <c r="R303" s="395"/>
      <c r="S303" s="395"/>
      <c r="T303" s="395"/>
      <c r="U303" s="395"/>
      <c r="V303" s="518"/>
    </row>
    <row r="304" spans="1:22" ht="34.9" customHeight="1" x14ac:dyDescent="0.25">
      <c r="A304" s="13">
        <v>303</v>
      </c>
      <c r="B304" s="95">
        <v>45054</v>
      </c>
      <c r="C304" s="13"/>
      <c r="D304" s="488"/>
      <c r="E304" s="90"/>
      <c r="F304" s="13"/>
      <c r="G304" s="13"/>
      <c r="H304" s="13"/>
      <c r="I304" s="13">
        <v>433.38</v>
      </c>
      <c r="J304" s="13">
        <v>30</v>
      </c>
      <c r="K304" s="13"/>
      <c r="L304" s="13"/>
      <c r="M304" s="13">
        <v>519</v>
      </c>
      <c r="N304" s="557"/>
      <c r="O304" s="488">
        <f t="shared" si="3"/>
        <v>982.38</v>
      </c>
      <c r="P304" s="389">
        <v>204.33222222222224</v>
      </c>
      <c r="Q304" s="391">
        <v>182.76222222222222</v>
      </c>
      <c r="R304" s="391">
        <v>10.6</v>
      </c>
      <c r="S304" s="391">
        <v>0</v>
      </c>
      <c r="T304" s="391">
        <v>9.6700000000000017</v>
      </c>
      <c r="U304" s="391">
        <v>1.3</v>
      </c>
      <c r="V304" s="518"/>
    </row>
    <row r="305" spans="1:22" ht="34.9" customHeight="1" x14ac:dyDescent="0.25">
      <c r="A305" s="13">
        <v>304</v>
      </c>
      <c r="B305" s="95">
        <v>45055</v>
      </c>
      <c r="C305" s="13"/>
      <c r="D305" s="488"/>
      <c r="E305" s="90"/>
      <c r="F305" s="13"/>
      <c r="G305" s="13"/>
      <c r="H305" s="13"/>
      <c r="I305" s="13">
        <v>78</v>
      </c>
      <c r="J305" s="13">
        <v>49</v>
      </c>
      <c r="K305" s="13"/>
      <c r="L305" s="13"/>
      <c r="M305" s="13">
        <v>228</v>
      </c>
      <c r="N305" s="557"/>
      <c r="O305" s="488">
        <f t="shared" si="3"/>
        <v>355</v>
      </c>
      <c r="P305" s="389">
        <v>102.87000000000003</v>
      </c>
      <c r="Q305" s="391">
        <v>81.970000000000027</v>
      </c>
      <c r="R305" s="391">
        <v>20.900000000000006</v>
      </c>
      <c r="S305" s="391">
        <v>0</v>
      </c>
      <c r="T305" s="391">
        <v>0</v>
      </c>
      <c r="U305" s="391">
        <v>0</v>
      </c>
      <c r="V305" s="518"/>
    </row>
    <row r="306" spans="1:22" ht="66" customHeight="1" x14ac:dyDescent="0.25">
      <c r="A306" s="13">
        <v>305</v>
      </c>
      <c r="B306" s="95">
        <v>45056</v>
      </c>
      <c r="C306" s="13"/>
      <c r="D306" s="488"/>
      <c r="E306" s="90" t="s">
        <v>503</v>
      </c>
      <c r="F306" s="13">
        <f>20+36+114</f>
        <v>170</v>
      </c>
      <c r="G306" s="13"/>
      <c r="H306" s="13">
        <v>747</v>
      </c>
      <c r="I306" s="13">
        <v>32</v>
      </c>
      <c r="J306" s="13">
        <v>220</v>
      </c>
      <c r="K306" s="13"/>
      <c r="L306" s="13"/>
      <c r="M306" s="13">
        <v>345</v>
      </c>
      <c r="N306" s="557"/>
      <c r="O306" s="488">
        <f t="shared" si="3"/>
        <v>1514</v>
      </c>
      <c r="P306" s="389">
        <v>208.6622222222222</v>
      </c>
      <c r="Q306" s="391">
        <v>68.412222222222226</v>
      </c>
      <c r="R306" s="391">
        <v>109.29999999999995</v>
      </c>
      <c r="S306" s="391">
        <v>0</v>
      </c>
      <c r="T306" s="391">
        <v>29.840000000000003</v>
      </c>
      <c r="U306" s="391">
        <v>1.1100000000000003</v>
      </c>
      <c r="V306" s="518"/>
    </row>
    <row r="307" spans="1:22" ht="34.9" customHeight="1" x14ac:dyDescent="0.25">
      <c r="A307" s="13">
        <v>306</v>
      </c>
      <c r="B307" s="95">
        <v>45057</v>
      </c>
      <c r="C307" s="13"/>
      <c r="D307" s="488"/>
      <c r="E307" s="90"/>
      <c r="F307" s="13"/>
      <c r="G307" s="13"/>
      <c r="H307" s="13"/>
      <c r="I307" s="13">
        <v>112</v>
      </c>
      <c r="J307" s="13">
        <v>15</v>
      </c>
      <c r="K307" s="13"/>
      <c r="L307" s="13"/>
      <c r="M307" s="13">
        <v>21</v>
      </c>
      <c r="N307" s="557"/>
      <c r="O307" s="488">
        <f t="shared" si="3"/>
        <v>148</v>
      </c>
      <c r="P307" s="389">
        <v>34.9</v>
      </c>
      <c r="Q307" s="391">
        <v>33.15</v>
      </c>
      <c r="R307" s="391">
        <v>0</v>
      </c>
      <c r="S307" s="391">
        <v>0</v>
      </c>
      <c r="T307" s="391">
        <v>0</v>
      </c>
      <c r="U307" s="391">
        <v>1.75</v>
      </c>
      <c r="V307" s="518"/>
    </row>
    <row r="308" spans="1:22" ht="34.9" customHeight="1" x14ac:dyDescent="0.25">
      <c r="A308" s="13">
        <v>307</v>
      </c>
      <c r="B308" s="95">
        <v>45058</v>
      </c>
      <c r="C308" s="13"/>
      <c r="D308" s="488"/>
      <c r="E308" s="90" t="s">
        <v>504</v>
      </c>
      <c r="F308" s="13">
        <v>37</v>
      </c>
      <c r="G308" s="13"/>
      <c r="H308" s="13">
        <v>112</v>
      </c>
      <c r="I308" s="13">
        <v>46</v>
      </c>
      <c r="J308" s="13">
        <v>146</v>
      </c>
      <c r="K308" s="13"/>
      <c r="L308" s="13"/>
      <c r="M308" s="13">
        <v>540</v>
      </c>
      <c r="N308" s="557"/>
      <c r="O308" s="488">
        <f t="shared" si="3"/>
        <v>881</v>
      </c>
      <c r="P308" s="389">
        <v>170.29222222222228</v>
      </c>
      <c r="Q308" s="391">
        <v>140.23222222222228</v>
      </c>
      <c r="R308" s="391">
        <v>28.44</v>
      </c>
      <c r="S308" s="391">
        <v>0</v>
      </c>
      <c r="T308" s="391">
        <v>0</v>
      </c>
      <c r="U308" s="391">
        <v>1.62</v>
      </c>
      <c r="V308" s="518"/>
    </row>
    <row r="309" spans="1:22" ht="34.9" customHeight="1" x14ac:dyDescent="0.25">
      <c r="A309" s="13">
        <v>308</v>
      </c>
      <c r="B309" s="95">
        <v>45059</v>
      </c>
      <c r="C309" s="13">
        <v>98</v>
      </c>
      <c r="D309" s="488"/>
      <c r="E309" s="90"/>
      <c r="F309" s="13"/>
      <c r="G309" s="13"/>
      <c r="H309" s="13"/>
      <c r="I309" s="13">
        <v>17</v>
      </c>
      <c r="J309" s="13">
        <v>220</v>
      </c>
      <c r="K309" s="13"/>
      <c r="L309" s="13">
        <v>101</v>
      </c>
      <c r="M309" s="13">
        <v>522</v>
      </c>
      <c r="N309" s="557"/>
      <c r="O309" s="488">
        <f t="shared" si="3"/>
        <v>860</v>
      </c>
      <c r="P309" s="389">
        <v>197.25</v>
      </c>
      <c r="Q309" s="391">
        <v>80.819999999999993</v>
      </c>
      <c r="R309" s="391">
        <v>36.679999999999993</v>
      </c>
      <c r="S309" s="391">
        <v>0</v>
      </c>
      <c r="T309" s="391">
        <v>72</v>
      </c>
      <c r="U309" s="391">
        <v>7.75</v>
      </c>
      <c r="V309" s="518"/>
    </row>
    <row r="310" spans="1:22" ht="34.9" customHeight="1" x14ac:dyDescent="0.25">
      <c r="A310" s="190">
        <v>309</v>
      </c>
      <c r="B310" s="191">
        <v>45060</v>
      </c>
      <c r="C310" s="190"/>
      <c r="D310" s="190"/>
      <c r="E310" s="250"/>
      <c r="F310" s="190"/>
      <c r="G310" s="190"/>
      <c r="H310" s="190"/>
      <c r="I310" s="190"/>
      <c r="J310" s="190"/>
      <c r="K310" s="190"/>
      <c r="L310" s="190"/>
      <c r="M310" s="190"/>
      <c r="N310" s="559"/>
      <c r="O310" s="488">
        <f t="shared" si="3"/>
        <v>0</v>
      </c>
      <c r="P310" s="394"/>
      <c r="Q310" s="395"/>
      <c r="R310" s="395"/>
      <c r="S310" s="395"/>
      <c r="T310" s="395"/>
      <c r="U310" s="395"/>
      <c r="V310" s="518"/>
    </row>
    <row r="311" spans="1:22" ht="34.9" customHeight="1" x14ac:dyDescent="0.25">
      <c r="A311" s="13">
        <v>310</v>
      </c>
      <c r="B311" s="95">
        <v>45061</v>
      </c>
      <c r="C311" s="13"/>
      <c r="D311" s="488"/>
      <c r="E311" s="90" t="s">
        <v>505</v>
      </c>
      <c r="F311" s="13">
        <v>352</v>
      </c>
      <c r="G311" s="13"/>
      <c r="H311" s="13"/>
      <c r="I311" s="13">
        <v>144</v>
      </c>
      <c r="J311" s="13"/>
      <c r="K311" s="13"/>
      <c r="L311" s="13">
        <v>2</v>
      </c>
      <c r="M311" s="13">
        <v>318</v>
      </c>
      <c r="N311" s="557"/>
      <c r="O311" s="488">
        <f t="shared" si="3"/>
        <v>816</v>
      </c>
      <c r="P311" s="389">
        <v>220.47444444444449</v>
      </c>
      <c r="Q311" s="391">
        <v>220.47444444444449</v>
      </c>
      <c r="R311" s="391">
        <v>0</v>
      </c>
      <c r="S311" s="391">
        <v>0</v>
      </c>
      <c r="T311" s="391">
        <v>0</v>
      </c>
      <c r="U311" s="391">
        <v>0</v>
      </c>
      <c r="V311" s="518"/>
    </row>
    <row r="312" spans="1:22" ht="34.9" customHeight="1" x14ac:dyDescent="0.25">
      <c r="A312" s="13">
        <v>311</v>
      </c>
      <c r="B312" s="95">
        <v>45062</v>
      </c>
      <c r="C312" s="13"/>
      <c r="D312" s="488"/>
      <c r="E312" s="90" t="s">
        <v>506</v>
      </c>
      <c r="F312" s="13">
        <f>60+141</f>
        <v>201</v>
      </c>
      <c r="G312" s="13"/>
      <c r="H312" s="13"/>
      <c r="I312" s="13">
        <v>188</v>
      </c>
      <c r="J312" s="13"/>
      <c r="K312" s="13"/>
      <c r="L312" s="13">
        <v>28</v>
      </c>
      <c r="M312" s="13">
        <v>480</v>
      </c>
      <c r="N312" s="557"/>
      <c r="O312" s="488">
        <f t="shared" ref="O312:O375" si="4">SUM(G312:N312)+F312+D312</f>
        <v>897</v>
      </c>
      <c r="P312" s="389">
        <v>137.94222222222226</v>
      </c>
      <c r="Q312" s="391">
        <v>134.70222222222225</v>
      </c>
      <c r="R312" s="391">
        <v>0</v>
      </c>
      <c r="S312" s="391">
        <v>0</v>
      </c>
      <c r="T312" s="391">
        <v>0</v>
      </c>
      <c r="U312" s="391">
        <v>3.24</v>
      </c>
      <c r="V312" s="518"/>
    </row>
    <row r="313" spans="1:22" ht="34.9" customHeight="1" x14ac:dyDescent="0.25">
      <c r="A313" s="13">
        <v>312</v>
      </c>
      <c r="B313" s="95">
        <v>45063</v>
      </c>
      <c r="C313" s="13"/>
      <c r="D313" s="488"/>
      <c r="E313" s="90"/>
      <c r="F313" s="13"/>
      <c r="G313" s="13"/>
      <c r="H313" s="13"/>
      <c r="I313" s="13">
        <v>646</v>
      </c>
      <c r="J313" s="13">
        <v>168</v>
      </c>
      <c r="K313" s="13">
        <v>20</v>
      </c>
      <c r="L313" s="13"/>
      <c r="M313" s="13">
        <v>966</v>
      </c>
      <c r="N313" s="557"/>
      <c r="O313" s="488">
        <f t="shared" si="4"/>
        <v>1800</v>
      </c>
      <c r="P313" s="389">
        <v>355.85</v>
      </c>
      <c r="Q313" s="391">
        <v>295.33000000000004</v>
      </c>
      <c r="R313" s="391">
        <v>38.839999999999989</v>
      </c>
      <c r="S313" s="391">
        <v>0</v>
      </c>
      <c r="T313" s="391">
        <v>20</v>
      </c>
      <c r="U313" s="391">
        <v>1.68</v>
      </c>
      <c r="V313" s="518"/>
    </row>
    <row r="314" spans="1:22" ht="34.9" customHeight="1" x14ac:dyDescent="0.25">
      <c r="A314" s="13">
        <v>313</v>
      </c>
      <c r="B314" s="95">
        <v>45064</v>
      </c>
      <c r="C314" s="13"/>
      <c r="D314" s="488"/>
      <c r="E314" s="90"/>
      <c r="F314" s="13"/>
      <c r="G314" s="13"/>
      <c r="H314" s="13"/>
      <c r="I314" s="13">
        <v>1105</v>
      </c>
      <c r="J314" s="13">
        <v>632</v>
      </c>
      <c r="K314" s="13"/>
      <c r="L314" s="13">
        <v>48</v>
      </c>
      <c r="M314" s="13">
        <v>912</v>
      </c>
      <c r="N314" s="557"/>
      <c r="O314" s="488">
        <f t="shared" si="4"/>
        <v>2697</v>
      </c>
      <c r="P314" s="389">
        <v>534.56166666666661</v>
      </c>
      <c r="Q314" s="391">
        <v>467.60166666666669</v>
      </c>
      <c r="R314" s="391">
        <v>66.31</v>
      </c>
      <c r="S314" s="391">
        <v>0</v>
      </c>
      <c r="T314" s="391">
        <v>0</v>
      </c>
      <c r="U314" s="391">
        <v>0.64999999999999991</v>
      </c>
      <c r="V314" s="518"/>
    </row>
    <row r="315" spans="1:22" ht="34.9" customHeight="1" x14ac:dyDescent="0.25">
      <c r="A315" s="13">
        <v>314</v>
      </c>
      <c r="B315" s="95">
        <v>45065</v>
      </c>
      <c r="C315" s="13">
        <v>62</v>
      </c>
      <c r="D315" s="488"/>
      <c r="E315" s="90" t="s">
        <v>512</v>
      </c>
      <c r="F315" s="13">
        <v>100</v>
      </c>
      <c r="G315" s="13"/>
      <c r="H315" s="13">
        <v>145</v>
      </c>
      <c r="I315" s="13">
        <v>743.72</v>
      </c>
      <c r="J315" s="13">
        <v>1150.3</v>
      </c>
      <c r="K315" s="13"/>
      <c r="L315" s="13"/>
      <c r="M315" s="13">
        <v>1057</v>
      </c>
      <c r="N315" s="557"/>
      <c r="O315" s="488">
        <f t="shared" si="4"/>
        <v>3196.02</v>
      </c>
      <c r="P315" s="389">
        <v>661.96</v>
      </c>
      <c r="Q315" s="391">
        <v>561.98</v>
      </c>
      <c r="R315" s="391">
        <v>88.38000000000001</v>
      </c>
      <c r="S315" s="391">
        <v>0</v>
      </c>
      <c r="T315" s="391">
        <v>0</v>
      </c>
      <c r="U315" s="391">
        <v>11.6</v>
      </c>
      <c r="V315" s="518"/>
    </row>
    <row r="316" spans="1:22" ht="34.9" customHeight="1" x14ac:dyDescent="0.25">
      <c r="A316" s="13">
        <v>315</v>
      </c>
      <c r="B316" s="95">
        <v>45066</v>
      </c>
      <c r="C316" s="13">
        <v>5</v>
      </c>
      <c r="D316" s="488"/>
      <c r="E316" s="90"/>
      <c r="F316" s="13"/>
      <c r="G316" s="13">
        <v>1.76</v>
      </c>
      <c r="H316" s="13"/>
      <c r="I316" s="13">
        <v>274.94</v>
      </c>
      <c r="J316" s="13">
        <v>121</v>
      </c>
      <c r="K316" s="13"/>
      <c r="L316" s="13"/>
      <c r="M316" s="13">
        <v>833</v>
      </c>
      <c r="N316" s="557"/>
      <c r="O316" s="488">
        <f t="shared" si="4"/>
        <v>1230.7</v>
      </c>
      <c r="P316" s="389">
        <v>329.79000000000008</v>
      </c>
      <c r="Q316" s="391">
        <v>205.05000000000004</v>
      </c>
      <c r="R316" s="391">
        <v>88.14</v>
      </c>
      <c r="S316" s="391">
        <v>0</v>
      </c>
      <c r="T316" s="391">
        <v>20</v>
      </c>
      <c r="U316" s="391">
        <v>16.599999999999998</v>
      </c>
      <c r="V316" s="518"/>
    </row>
    <row r="317" spans="1:22" ht="34.9" customHeight="1" x14ac:dyDescent="0.25">
      <c r="A317" s="190">
        <v>316</v>
      </c>
      <c r="B317" s="191">
        <v>45067</v>
      </c>
      <c r="C317" s="190"/>
      <c r="D317" s="190"/>
      <c r="E317" s="250"/>
      <c r="F317" s="190"/>
      <c r="G317" s="190"/>
      <c r="H317" s="190"/>
      <c r="I317" s="190"/>
      <c r="J317" s="190"/>
      <c r="K317" s="190"/>
      <c r="L317" s="190"/>
      <c r="M317" s="190"/>
      <c r="N317" s="559"/>
      <c r="O317" s="488">
        <f t="shared" si="4"/>
        <v>0</v>
      </c>
      <c r="P317" s="394"/>
      <c r="Q317" s="395"/>
      <c r="R317" s="395"/>
      <c r="S317" s="395"/>
      <c r="T317" s="395"/>
      <c r="U317" s="395"/>
      <c r="V317" s="518"/>
    </row>
    <row r="318" spans="1:22" ht="34.9" customHeight="1" x14ac:dyDescent="0.25">
      <c r="A318" s="13">
        <v>317</v>
      </c>
      <c r="B318" s="95">
        <v>45068</v>
      </c>
      <c r="C318" s="13"/>
      <c r="D318" s="488"/>
      <c r="E318" s="319" t="s">
        <v>511</v>
      </c>
      <c r="F318" s="430">
        <v>98</v>
      </c>
      <c r="G318" s="13"/>
      <c r="H318" s="13"/>
      <c r="I318" s="13">
        <v>219</v>
      </c>
      <c r="J318" s="13">
        <v>208</v>
      </c>
      <c r="K318" s="13"/>
      <c r="L318" s="13">
        <v>29</v>
      </c>
      <c r="M318" s="13">
        <v>777</v>
      </c>
      <c r="N318" s="557"/>
      <c r="O318" s="488">
        <f t="shared" si="4"/>
        <v>1331</v>
      </c>
      <c r="P318" s="389">
        <v>250.54092592592593</v>
      </c>
      <c r="Q318" s="391">
        <v>149.40092592592595</v>
      </c>
      <c r="R318" s="391">
        <v>42.14</v>
      </c>
      <c r="S318" s="391">
        <v>0</v>
      </c>
      <c r="T318" s="391">
        <v>59</v>
      </c>
      <c r="U318" s="391">
        <v>0</v>
      </c>
      <c r="V318" s="518"/>
    </row>
    <row r="319" spans="1:22" ht="34.9" customHeight="1" x14ac:dyDescent="0.25">
      <c r="A319" s="13">
        <v>318</v>
      </c>
      <c r="B319" s="95">
        <v>45069</v>
      </c>
      <c r="C319" s="13">
        <f>165+96</f>
        <v>261</v>
      </c>
      <c r="D319" s="488"/>
      <c r="E319" s="90"/>
      <c r="F319" s="13"/>
      <c r="G319" s="13"/>
      <c r="H319" s="13">
        <v>33</v>
      </c>
      <c r="I319" s="13">
        <v>1569</v>
      </c>
      <c r="J319" s="13">
        <v>30</v>
      </c>
      <c r="K319" s="13"/>
      <c r="L319" s="13"/>
      <c r="M319" s="13">
        <v>861</v>
      </c>
      <c r="N319" s="557"/>
      <c r="O319" s="488">
        <f t="shared" si="4"/>
        <v>2493</v>
      </c>
      <c r="P319" s="389">
        <v>601.78111111111104</v>
      </c>
      <c r="Q319" s="391">
        <v>550.98111111111109</v>
      </c>
      <c r="R319" s="391">
        <v>30.799999999999997</v>
      </c>
      <c r="S319" s="391">
        <v>0</v>
      </c>
      <c r="T319" s="391">
        <v>20</v>
      </c>
      <c r="U319" s="391">
        <v>0</v>
      </c>
      <c r="V319" s="518"/>
    </row>
    <row r="320" spans="1:22" ht="79.5" customHeight="1" x14ac:dyDescent="0.25">
      <c r="A320" s="13">
        <v>319</v>
      </c>
      <c r="B320" s="95">
        <v>45070</v>
      </c>
      <c r="C320" s="13">
        <v>7</v>
      </c>
      <c r="D320" s="488"/>
      <c r="E320" s="90" t="s">
        <v>515</v>
      </c>
      <c r="F320" s="13">
        <f>199+65</f>
        <v>264</v>
      </c>
      <c r="G320" s="13"/>
      <c r="H320" s="13"/>
      <c r="I320" s="13">
        <v>258</v>
      </c>
      <c r="J320" s="13">
        <v>320</v>
      </c>
      <c r="K320" s="13"/>
      <c r="L320" s="13"/>
      <c r="M320" s="13">
        <v>518</v>
      </c>
      <c r="N320" s="557"/>
      <c r="O320" s="488">
        <f t="shared" si="4"/>
        <v>1360</v>
      </c>
      <c r="P320" s="389">
        <f>SUM(Q320:U320)</f>
        <v>251.49555555555602</v>
      </c>
      <c r="Q320" s="391">
        <f>345.965555555556-110.21</f>
        <v>235.75555555555604</v>
      </c>
      <c r="R320" s="391">
        <v>7.6999999999999993</v>
      </c>
      <c r="S320" s="391">
        <v>0</v>
      </c>
      <c r="T320" s="391">
        <v>0</v>
      </c>
      <c r="U320" s="391">
        <f>9.66-1.62</f>
        <v>8.0399999999999991</v>
      </c>
      <c r="V320" s="518"/>
    </row>
    <row r="321" spans="1:22" ht="34.9" customHeight="1" x14ac:dyDescent="0.25">
      <c r="A321" s="13">
        <v>320</v>
      </c>
      <c r="B321" s="95">
        <v>45071</v>
      </c>
      <c r="C321" s="13">
        <v>125</v>
      </c>
      <c r="D321" s="488"/>
      <c r="E321" s="90"/>
      <c r="F321" s="13"/>
      <c r="G321" s="13"/>
      <c r="H321" s="13"/>
      <c r="I321" s="13">
        <v>75</v>
      </c>
      <c r="J321" s="13">
        <v>70</v>
      </c>
      <c r="K321" s="13"/>
      <c r="L321" s="13">
        <v>30</v>
      </c>
      <c r="M321" s="13">
        <v>382</v>
      </c>
      <c r="N321" s="557"/>
      <c r="O321" s="488">
        <f t="shared" si="4"/>
        <v>557</v>
      </c>
      <c r="P321" s="389">
        <v>140.22592592592594</v>
      </c>
      <c r="Q321" s="391">
        <v>68.635925925925932</v>
      </c>
      <c r="R321" s="391">
        <v>49.34</v>
      </c>
      <c r="S321" s="391">
        <v>0</v>
      </c>
      <c r="T321" s="391">
        <v>15</v>
      </c>
      <c r="U321" s="391">
        <v>7.25</v>
      </c>
      <c r="V321" s="518"/>
    </row>
    <row r="322" spans="1:22" ht="34.9" customHeight="1" x14ac:dyDescent="0.25">
      <c r="A322" s="13">
        <v>321</v>
      </c>
      <c r="B322" s="95">
        <v>45072</v>
      </c>
      <c r="C322" s="13">
        <v>121</v>
      </c>
      <c r="D322" s="488"/>
      <c r="E322" s="90" t="s">
        <v>517</v>
      </c>
      <c r="F322" s="13">
        <v>388.3</v>
      </c>
      <c r="G322" s="13"/>
      <c r="H322" s="13"/>
      <c r="I322" s="13">
        <v>529</v>
      </c>
      <c r="J322" s="13">
        <v>48</v>
      </c>
      <c r="K322" s="13"/>
      <c r="L322" s="13"/>
      <c r="M322" s="13">
        <v>198</v>
      </c>
      <c r="N322" s="557"/>
      <c r="O322" s="488">
        <f t="shared" si="4"/>
        <v>1163.3</v>
      </c>
      <c r="P322" s="389">
        <v>405.84651851851856</v>
      </c>
      <c r="Q322" s="391">
        <v>344.7465185185186</v>
      </c>
      <c r="R322" s="391">
        <v>49.260000000000005</v>
      </c>
      <c r="S322" s="391">
        <v>7.5</v>
      </c>
      <c r="T322" s="391">
        <v>0</v>
      </c>
      <c r="U322" s="391">
        <v>4.34</v>
      </c>
      <c r="V322" s="518"/>
    </row>
    <row r="323" spans="1:22" ht="34.9" customHeight="1" x14ac:dyDescent="0.25">
      <c r="A323" s="13">
        <v>322</v>
      </c>
      <c r="B323" s="95">
        <v>45073</v>
      </c>
      <c r="C323" s="13">
        <v>30</v>
      </c>
      <c r="D323" s="488"/>
      <c r="E323" s="90" t="s">
        <v>519</v>
      </c>
      <c r="F323" s="13">
        <v>282.5</v>
      </c>
      <c r="G323" s="13"/>
      <c r="H323" s="13"/>
      <c r="I323" s="13">
        <v>112</v>
      </c>
      <c r="J323" s="13">
        <v>15</v>
      </c>
      <c r="K323" s="13"/>
      <c r="L323" s="13">
        <v>18</v>
      </c>
      <c r="M323" s="13">
        <v>435</v>
      </c>
      <c r="N323" s="557"/>
      <c r="O323" s="488">
        <f t="shared" si="4"/>
        <v>862.5</v>
      </c>
      <c r="P323" s="389">
        <v>120.38999999999997</v>
      </c>
      <c r="Q323" s="391">
        <v>98.179999999999978</v>
      </c>
      <c r="R323" s="391">
        <v>0</v>
      </c>
      <c r="S323" s="391">
        <v>22.209999999999997</v>
      </c>
      <c r="T323" s="391">
        <v>0</v>
      </c>
      <c r="U323" s="391">
        <v>0</v>
      </c>
      <c r="V323" s="518"/>
    </row>
    <row r="324" spans="1:22" ht="34.9" customHeight="1" x14ac:dyDescent="0.25">
      <c r="A324" s="190">
        <v>323</v>
      </c>
      <c r="B324" s="191">
        <v>45074</v>
      </c>
      <c r="C324" s="190"/>
      <c r="D324" s="190"/>
      <c r="E324" s="250"/>
      <c r="F324" s="190"/>
      <c r="G324" s="190"/>
      <c r="H324" s="190"/>
      <c r="I324" s="190"/>
      <c r="J324" s="190"/>
      <c r="K324" s="190"/>
      <c r="L324" s="190"/>
      <c r="M324" s="190"/>
      <c r="N324" s="559"/>
      <c r="O324" s="488">
        <f t="shared" si="4"/>
        <v>0</v>
      </c>
      <c r="P324" s="394"/>
      <c r="Q324" s="395"/>
      <c r="R324" s="395"/>
      <c r="S324" s="395"/>
      <c r="T324" s="395"/>
      <c r="U324" s="395"/>
      <c r="V324" s="518"/>
    </row>
    <row r="325" spans="1:22" ht="34.9" customHeight="1" x14ac:dyDescent="0.25">
      <c r="A325" s="13">
        <v>324</v>
      </c>
      <c r="B325" s="95">
        <v>45075</v>
      </c>
      <c r="C325" s="13"/>
      <c r="D325" s="488"/>
      <c r="E325" s="90" t="s">
        <v>520</v>
      </c>
      <c r="F325" s="13">
        <f>90+135</f>
        <v>225</v>
      </c>
      <c r="G325" s="13">
        <v>48</v>
      </c>
      <c r="H325" s="13"/>
      <c r="I325" s="13">
        <v>400</v>
      </c>
      <c r="J325" s="13">
        <v>408</v>
      </c>
      <c r="K325" s="13"/>
      <c r="L325" s="13">
        <v>66</v>
      </c>
      <c r="M325" s="13">
        <v>465</v>
      </c>
      <c r="N325" s="557"/>
      <c r="O325" s="488">
        <f t="shared" si="4"/>
        <v>1612</v>
      </c>
      <c r="P325" s="389">
        <v>292.95999999999998</v>
      </c>
      <c r="Q325" s="391">
        <v>219.77</v>
      </c>
      <c r="R325" s="391">
        <v>57.689999999999991</v>
      </c>
      <c r="S325" s="391">
        <v>0</v>
      </c>
      <c r="T325" s="391">
        <v>10</v>
      </c>
      <c r="U325" s="391">
        <v>5.5</v>
      </c>
      <c r="V325" s="518"/>
    </row>
    <row r="326" spans="1:22" ht="34.9" customHeight="1" x14ac:dyDescent="0.25">
      <c r="A326" s="13">
        <v>325</v>
      </c>
      <c r="B326" s="95">
        <v>45076</v>
      </c>
      <c r="C326" s="13">
        <v>120</v>
      </c>
      <c r="D326" s="488"/>
      <c r="E326" s="90" t="s">
        <v>523</v>
      </c>
      <c r="F326" s="13">
        <v>30</v>
      </c>
      <c r="G326" s="13"/>
      <c r="H326" s="13"/>
      <c r="I326" s="13">
        <v>140</v>
      </c>
      <c r="J326" s="13">
        <f>63+197</f>
        <v>260</v>
      </c>
      <c r="K326" s="13"/>
      <c r="L326" s="13"/>
      <c r="M326" s="13">
        <v>2904</v>
      </c>
      <c r="N326" s="557"/>
      <c r="O326" s="488">
        <f t="shared" si="4"/>
        <v>3334</v>
      </c>
      <c r="P326" s="389">
        <v>648.54500000000007</v>
      </c>
      <c r="Q326" s="391">
        <v>622.69500000000005</v>
      </c>
      <c r="R326" s="391">
        <v>2.4400000000000004</v>
      </c>
      <c r="S326" s="391">
        <v>3.41</v>
      </c>
      <c r="T326" s="391">
        <v>20</v>
      </c>
      <c r="U326" s="391">
        <v>0</v>
      </c>
      <c r="V326" s="518"/>
    </row>
    <row r="327" spans="1:22" ht="34.9" customHeight="1" x14ac:dyDescent="0.25">
      <c r="A327" s="13">
        <v>326</v>
      </c>
      <c r="B327" s="95">
        <v>45077</v>
      </c>
      <c r="C327" s="13">
        <v>540</v>
      </c>
      <c r="D327" s="488"/>
      <c r="E327" s="90"/>
      <c r="F327" s="13"/>
      <c r="G327" s="13"/>
      <c r="H327" s="13">
        <v>25</v>
      </c>
      <c r="I327" s="13">
        <v>102</v>
      </c>
      <c r="J327" s="13">
        <v>107</v>
      </c>
      <c r="K327" s="13"/>
      <c r="L327" s="13"/>
      <c r="M327" s="13">
        <v>527</v>
      </c>
      <c r="N327" s="557"/>
      <c r="O327" s="488">
        <f t="shared" si="4"/>
        <v>761</v>
      </c>
      <c r="P327" s="389">
        <v>268.52000000000004</v>
      </c>
      <c r="Q327" s="391">
        <v>69.970000000000013</v>
      </c>
      <c r="R327" s="391">
        <v>68.5</v>
      </c>
      <c r="S327" s="391">
        <v>108</v>
      </c>
      <c r="T327" s="391">
        <v>20</v>
      </c>
      <c r="U327" s="391">
        <v>2.0499999999999998</v>
      </c>
      <c r="V327" s="518"/>
    </row>
    <row r="328" spans="1:22" ht="34.9" customHeight="1" x14ac:dyDescent="0.25">
      <c r="A328" s="13">
        <v>327</v>
      </c>
      <c r="B328" s="95">
        <v>45078</v>
      </c>
      <c r="C328" s="13">
        <v>550</v>
      </c>
      <c r="D328" s="488"/>
      <c r="E328" s="90" t="s">
        <v>525</v>
      </c>
      <c r="F328" s="13">
        <f>85.5+766</f>
        <v>851.5</v>
      </c>
      <c r="G328" s="13"/>
      <c r="H328" s="13"/>
      <c r="I328" s="13">
        <v>287</v>
      </c>
      <c r="J328" s="13"/>
      <c r="K328" s="13"/>
      <c r="L328" s="13"/>
      <c r="M328" s="13">
        <v>1103</v>
      </c>
      <c r="N328" s="557"/>
      <c r="O328" s="488">
        <f t="shared" si="4"/>
        <v>2241.5</v>
      </c>
      <c r="P328" s="389">
        <v>873.12629629629635</v>
      </c>
      <c r="Q328" s="391">
        <v>825.27629629629632</v>
      </c>
      <c r="R328" s="391">
        <v>35.07</v>
      </c>
      <c r="S328" s="391">
        <v>12.269999999999994</v>
      </c>
      <c r="T328" s="391">
        <v>0</v>
      </c>
      <c r="U328" s="391">
        <v>0.51</v>
      </c>
      <c r="V328" s="518"/>
    </row>
    <row r="329" spans="1:22" ht="35.1" customHeight="1" x14ac:dyDescent="0.25">
      <c r="A329" s="434">
        <v>328</v>
      </c>
      <c r="B329" s="95">
        <v>45079</v>
      </c>
      <c r="C329" s="434"/>
      <c r="D329" s="488"/>
      <c r="E329" s="435"/>
      <c r="F329" s="434"/>
      <c r="G329" s="434"/>
      <c r="H329" s="434">
        <v>25</v>
      </c>
      <c r="I329" s="434">
        <v>285</v>
      </c>
      <c r="J329" s="434">
        <v>30</v>
      </c>
      <c r="K329" s="434"/>
      <c r="L329" s="434">
        <v>415</v>
      </c>
      <c r="M329" s="434">
        <v>128</v>
      </c>
      <c r="N329" s="557"/>
      <c r="O329" s="488">
        <f t="shared" si="4"/>
        <v>883</v>
      </c>
      <c r="P329" s="389">
        <v>233.71000000000004</v>
      </c>
      <c r="Q329" s="391">
        <v>111.47000000000001</v>
      </c>
      <c r="R329" s="391">
        <v>62.230000000000018</v>
      </c>
      <c r="S329" s="391">
        <v>0</v>
      </c>
      <c r="T329" s="391">
        <v>40</v>
      </c>
      <c r="U329" s="391">
        <v>20.009999999999998</v>
      </c>
      <c r="V329" s="518"/>
    </row>
    <row r="330" spans="1:22" ht="35.1" customHeight="1" x14ac:dyDescent="0.25">
      <c r="A330" s="434">
        <v>329</v>
      </c>
      <c r="B330" s="95">
        <v>45080</v>
      </c>
      <c r="C330" s="434">
        <v>60</v>
      </c>
      <c r="D330" s="488"/>
      <c r="E330" s="435"/>
      <c r="F330" s="434"/>
      <c r="G330" s="434"/>
      <c r="H330" s="434"/>
      <c r="I330" s="434">
        <v>496</v>
      </c>
      <c r="J330" s="434">
        <v>942</v>
      </c>
      <c r="K330" s="434"/>
      <c r="L330" s="434">
        <v>30</v>
      </c>
      <c r="M330" s="434">
        <v>411</v>
      </c>
      <c r="N330" s="557"/>
      <c r="O330" s="488">
        <f t="shared" si="4"/>
        <v>1879</v>
      </c>
      <c r="P330" s="389">
        <v>578.93999999999994</v>
      </c>
      <c r="Q330" s="391">
        <v>491.93999999999994</v>
      </c>
      <c r="R330" s="391">
        <v>67</v>
      </c>
      <c r="S330" s="391">
        <v>0</v>
      </c>
      <c r="T330" s="391">
        <v>20</v>
      </c>
      <c r="U330" s="391">
        <v>0</v>
      </c>
      <c r="V330" s="518"/>
    </row>
    <row r="331" spans="1:22" ht="35.1" customHeight="1" x14ac:dyDescent="0.25">
      <c r="A331" s="190">
        <v>330</v>
      </c>
      <c r="B331" s="191">
        <v>45081</v>
      </c>
      <c r="C331" s="190"/>
      <c r="D331" s="190"/>
      <c r="E331" s="250"/>
      <c r="F331" s="190"/>
      <c r="G331" s="190"/>
      <c r="H331" s="190"/>
      <c r="I331" s="190"/>
      <c r="J331" s="190"/>
      <c r="K331" s="190"/>
      <c r="L331" s="190"/>
      <c r="M331" s="190"/>
      <c r="N331" s="559"/>
      <c r="O331" s="488">
        <f t="shared" si="4"/>
        <v>0</v>
      </c>
      <c r="P331" s="394"/>
      <c r="Q331" s="395"/>
      <c r="R331" s="395"/>
      <c r="S331" s="395"/>
      <c r="T331" s="395"/>
      <c r="U331" s="395"/>
      <c r="V331" s="518"/>
    </row>
    <row r="332" spans="1:22" ht="35.1" customHeight="1" x14ac:dyDescent="0.25">
      <c r="A332" s="434">
        <v>331</v>
      </c>
      <c r="B332" s="95">
        <v>45082</v>
      </c>
      <c r="C332" s="434"/>
      <c r="D332" s="488"/>
      <c r="E332" s="435"/>
      <c r="F332" s="434"/>
      <c r="G332" s="434">
        <v>27.83</v>
      </c>
      <c r="H332" s="434"/>
      <c r="I332" s="434">
        <v>198</v>
      </c>
      <c r="J332" s="434">
        <v>30</v>
      </c>
      <c r="K332" s="434"/>
      <c r="L332" s="434">
        <v>62</v>
      </c>
      <c r="M332" s="434">
        <v>766</v>
      </c>
      <c r="N332" s="557"/>
      <c r="O332" s="488">
        <f t="shared" si="4"/>
        <v>1083.83</v>
      </c>
      <c r="P332" s="389">
        <v>227.91222222222223</v>
      </c>
      <c r="Q332" s="391">
        <v>167.05222222222224</v>
      </c>
      <c r="R332" s="391">
        <v>5.1099999999999994</v>
      </c>
      <c r="S332" s="391">
        <v>0</v>
      </c>
      <c r="T332" s="391">
        <v>46.430000000000007</v>
      </c>
      <c r="U332" s="391">
        <v>9.32</v>
      </c>
      <c r="V332" s="518"/>
    </row>
    <row r="333" spans="1:22" ht="35.1" customHeight="1" x14ac:dyDescent="0.25">
      <c r="A333" s="434">
        <v>332</v>
      </c>
      <c r="B333" s="95">
        <v>45083</v>
      </c>
      <c r="C333" s="434">
        <v>36</v>
      </c>
      <c r="D333" s="488"/>
      <c r="E333" s="435" t="s">
        <v>568</v>
      </c>
      <c r="F333" s="434">
        <f>6+20</f>
        <v>26</v>
      </c>
      <c r="G333" s="434"/>
      <c r="H333" s="434"/>
      <c r="I333" s="434">
        <v>123</v>
      </c>
      <c r="J333" s="434">
        <v>65</v>
      </c>
      <c r="K333" s="434"/>
      <c r="L333" s="434">
        <v>20</v>
      </c>
      <c r="M333" s="434">
        <v>659</v>
      </c>
      <c r="N333" s="557"/>
      <c r="O333" s="488">
        <f t="shared" si="4"/>
        <v>893</v>
      </c>
      <c r="P333" s="389">
        <v>193.1835185185185</v>
      </c>
      <c r="Q333" s="391">
        <v>99.693518518518516</v>
      </c>
      <c r="R333" s="391">
        <v>82.99</v>
      </c>
      <c r="S333" s="391">
        <v>7</v>
      </c>
      <c r="T333" s="391">
        <v>0</v>
      </c>
      <c r="U333" s="391">
        <v>3.5</v>
      </c>
      <c r="V333" s="518"/>
    </row>
    <row r="334" spans="1:22" ht="35.1" customHeight="1" x14ac:dyDescent="0.25">
      <c r="A334" s="434">
        <v>333</v>
      </c>
      <c r="B334" s="95">
        <v>45084</v>
      </c>
      <c r="C334" s="434">
        <v>9</v>
      </c>
      <c r="D334" s="488"/>
      <c r="E334" s="435"/>
      <c r="F334" s="434"/>
      <c r="G334" s="434"/>
      <c r="H334" s="434"/>
      <c r="I334" s="434">
        <v>470</v>
      </c>
      <c r="J334" s="434">
        <v>150</v>
      </c>
      <c r="K334" s="434"/>
      <c r="L334" s="434"/>
      <c r="M334" s="434">
        <v>930</v>
      </c>
      <c r="N334" s="557"/>
      <c r="O334" s="488">
        <f t="shared" si="4"/>
        <v>1550</v>
      </c>
      <c r="P334" s="389">
        <v>331.98666666666674</v>
      </c>
      <c r="Q334" s="391">
        <v>224.42666666666673</v>
      </c>
      <c r="R334" s="391">
        <v>68.56</v>
      </c>
      <c r="S334" s="391">
        <v>0</v>
      </c>
      <c r="T334" s="391">
        <v>35</v>
      </c>
      <c r="U334" s="391">
        <v>4</v>
      </c>
      <c r="V334" s="518"/>
    </row>
    <row r="335" spans="1:22" ht="35.1" customHeight="1" x14ac:dyDescent="0.25">
      <c r="A335" s="434">
        <v>334</v>
      </c>
      <c r="B335" s="95">
        <v>45085</v>
      </c>
      <c r="C335" s="434">
        <v>8</v>
      </c>
      <c r="D335" s="488"/>
      <c r="E335" s="435"/>
      <c r="F335" s="434"/>
      <c r="G335" s="434">
        <v>38</v>
      </c>
      <c r="H335" s="434"/>
      <c r="I335" s="434">
        <v>34</v>
      </c>
      <c r="J335" s="434">
        <v>269</v>
      </c>
      <c r="K335" s="434"/>
      <c r="L335" s="434">
        <v>30</v>
      </c>
      <c r="M335" s="434">
        <v>274</v>
      </c>
      <c r="N335" s="557"/>
      <c r="O335" s="488">
        <f t="shared" si="4"/>
        <v>645</v>
      </c>
      <c r="P335" s="389">
        <v>52.126296296296317</v>
      </c>
      <c r="Q335" s="391">
        <v>28.126296296296321</v>
      </c>
      <c r="R335" s="391">
        <v>0</v>
      </c>
      <c r="S335" s="391">
        <v>0</v>
      </c>
      <c r="T335" s="391">
        <v>20</v>
      </c>
      <c r="U335" s="391">
        <v>4</v>
      </c>
      <c r="V335" s="518"/>
    </row>
    <row r="336" spans="1:22" ht="35.1" customHeight="1" x14ac:dyDescent="0.25">
      <c r="A336" s="434">
        <v>335</v>
      </c>
      <c r="B336" s="95">
        <v>45086</v>
      </c>
      <c r="C336" s="434"/>
      <c r="D336" s="488"/>
      <c r="E336" s="435"/>
      <c r="F336" s="434"/>
      <c r="G336" s="434"/>
      <c r="H336" s="434"/>
      <c r="I336" s="434">
        <v>43</v>
      </c>
      <c r="J336" s="434"/>
      <c r="K336" s="434"/>
      <c r="L336" s="434">
        <v>34</v>
      </c>
      <c r="M336" s="434">
        <v>1371</v>
      </c>
      <c r="N336" s="557"/>
      <c r="O336" s="488">
        <f t="shared" si="4"/>
        <v>1448</v>
      </c>
      <c r="P336" s="389">
        <v>377.94777777777773</v>
      </c>
      <c r="Q336" s="391">
        <v>246.67777777777775</v>
      </c>
      <c r="R336" s="391">
        <v>63.55</v>
      </c>
      <c r="S336" s="391">
        <v>52.510000000000005</v>
      </c>
      <c r="T336" s="391">
        <v>0</v>
      </c>
      <c r="U336" s="391">
        <v>15.209999999999997</v>
      </c>
      <c r="V336" s="518"/>
    </row>
    <row r="337" spans="1:22" ht="35.1" customHeight="1" x14ac:dyDescent="0.25">
      <c r="A337" s="434">
        <v>336</v>
      </c>
      <c r="B337" s="95">
        <v>45087</v>
      </c>
      <c r="C337" s="434"/>
      <c r="D337" s="488"/>
      <c r="E337" s="435"/>
      <c r="F337" s="434"/>
      <c r="G337" s="434"/>
      <c r="H337" s="434"/>
      <c r="I337" s="434">
        <v>231</v>
      </c>
      <c r="J337" s="434"/>
      <c r="K337" s="434"/>
      <c r="L337" s="434"/>
      <c r="M337" s="434">
        <v>734</v>
      </c>
      <c r="N337" s="557"/>
      <c r="O337" s="488">
        <f t="shared" si="4"/>
        <v>965</v>
      </c>
      <c r="P337" s="389">
        <v>188.80851851851858</v>
      </c>
      <c r="Q337" s="391">
        <v>187.7585185185186</v>
      </c>
      <c r="R337" s="391">
        <v>0</v>
      </c>
      <c r="S337" s="391">
        <v>0.69999999999999929</v>
      </c>
      <c r="T337" s="391">
        <v>0</v>
      </c>
      <c r="U337" s="391">
        <v>0.34999999999999964</v>
      </c>
      <c r="V337" s="518"/>
    </row>
    <row r="338" spans="1:22" ht="35.1" customHeight="1" x14ac:dyDescent="0.25">
      <c r="A338" s="190">
        <v>337</v>
      </c>
      <c r="B338" s="191">
        <v>45088</v>
      </c>
      <c r="C338" s="190"/>
      <c r="D338" s="190"/>
      <c r="E338" s="250"/>
      <c r="F338" s="190"/>
      <c r="G338" s="190"/>
      <c r="H338" s="190"/>
      <c r="I338" s="190"/>
      <c r="J338" s="190"/>
      <c r="K338" s="190"/>
      <c r="L338" s="190"/>
      <c r="M338" s="190"/>
      <c r="N338" s="559"/>
      <c r="O338" s="488">
        <f t="shared" si="4"/>
        <v>0</v>
      </c>
      <c r="P338" s="394"/>
      <c r="Q338" s="395"/>
      <c r="R338" s="395"/>
      <c r="S338" s="395"/>
      <c r="T338" s="395"/>
      <c r="U338" s="395"/>
      <c r="V338" s="518"/>
    </row>
    <row r="339" spans="1:22" ht="35.1" customHeight="1" x14ac:dyDescent="0.25">
      <c r="A339" s="434">
        <v>338</v>
      </c>
      <c r="B339" s="95">
        <v>45089</v>
      </c>
      <c r="C339" s="434">
        <v>206</v>
      </c>
      <c r="D339" s="488"/>
      <c r="E339" s="435"/>
      <c r="F339" s="434"/>
      <c r="G339" s="434"/>
      <c r="H339" s="434"/>
      <c r="I339" s="434">
        <v>96</v>
      </c>
      <c r="J339" s="434"/>
      <c r="K339" s="434"/>
      <c r="L339" s="434"/>
      <c r="M339" s="434">
        <v>1195</v>
      </c>
      <c r="N339" s="557"/>
      <c r="O339" s="488">
        <f t="shared" si="4"/>
        <v>1291</v>
      </c>
      <c r="P339" s="389">
        <v>333.47629629629631</v>
      </c>
      <c r="Q339" s="391">
        <v>270.33629629629633</v>
      </c>
      <c r="R339" s="391">
        <v>52.089999999999989</v>
      </c>
      <c r="S339" s="391">
        <v>0</v>
      </c>
      <c r="T339" s="391">
        <v>0</v>
      </c>
      <c r="U339" s="391">
        <v>11.049999999999997</v>
      </c>
      <c r="V339" s="518"/>
    </row>
    <row r="340" spans="1:22" ht="35.1" customHeight="1" x14ac:dyDescent="0.25">
      <c r="A340" s="434">
        <v>339</v>
      </c>
      <c r="B340" s="95">
        <v>45090</v>
      </c>
      <c r="C340" s="434">
        <v>30</v>
      </c>
      <c r="D340" s="488"/>
      <c r="E340" s="435"/>
      <c r="F340" s="434"/>
      <c r="G340" s="434"/>
      <c r="H340" s="434"/>
      <c r="I340" s="434">
        <v>1</v>
      </c>
      <c r="J340" s="434">
        <v>403</v>
      </c>
      <c r="K340" s="434"/>
      <c r="L340" s="434"/>
      <c r="M340" s="434">
        <v>528</v>
      </c>
      <c r="N340" s="557"/>
      <c r="O340" s="488">
        <f t="shared" si="4"/>
        <v>932</v>
      </c>
      <c r="P340" s="389">
        <v>242.0885185185185</v>
      </c>
      <c r="Q340" s="391">
        <v>132.0885185185185</v>
      </c>
      <c r="R340" s="391">
        <v>30</v>
      </c>
      <c r="S340" s="391">
        <v>0</v>
      </c>
      <c r="T340" s="391">
        <v>80</v>
      </c>
      <c r="U340" s="391">
        <v>0</v>
      </c>
      <c r="V340" s="518"/>
    </row>
    <row r="341" spans="1:22" ht="35.1" customHeight="1" x14ac:dyDescent="0.25">
      <c r="A341" s="434">
        <v>340</v>
      </c>
      <c r="B341" s="95">
        <v>45091</v>
      </c>
      <c r="C341" s="434">
        <v>7</v>
      </c>
      <c r="D341" s="488"/>
      <c r="E341" s="435"/>
      <c r="F341" s="434"/>
      <c r="G341" s="434"/>
      <c r="H341" s="434"/>
      <c r="I341" s="434">
        <v>170</v>
      </c>
      <c r="J341" s="434"/>
      <c r="K341" s="434"/>
      <c r="L341" s="434">
        <v>30</v>
      </c>
      <c r="M341" s="434">
        <v>74</v>
      </c>
      <c r="N341" s="557"/>
      <c r="O341" s="488">
        <f t="shared" si="4"/>
        <v>274</v>
      </c>
      <c r="P341" s="389">
        <v>61.83</v>
      </c>
      <c r="Q341" s="391">
        <v>20.720000000000002</v>
      </c>
      <c r="R341" s="391">
        <v>33.700000000000003</v>
      </c>
      <c r="S341" s="391">
        <v>3.41</v>
      </c>
      <c r="T341" s="391">
        <v>0</v>
      </c>
      <c r="U341" s="391">
        <v>4</v>
      </c>
      <c r="V341" s="518"/>
    </row>
    <row r="342" spans="1:22" ht="35.1" customHeight="1" x14ac:dyDescent="0.25">
      <c r="A342" s="434">
        <v>341</v>
      </c>
      <c r="B342" s="95">
        <v>45092</v>
      </c>
      <c r="C342" s="434">
        <v>400</v>
      </c>
      <c r="D342" s="488"/>
      <c r="E342" s="435" t="s">
        <v>572</v>
      </c>
      <c r="F342" s="434">
        <f>120 + 70</f>
        <v>190</v>
      </c>
      <c r="G342" s="434"/>
      <c r="H342" s="434"/>
      <c r="I342" s="434">
        <v>45</v>
      </c>
      <c r="J342" s="434">
        <v>38</v>
      </c>
      <c r="K342" s="434"/>
      <c r="L342" s="434"/>
      <c r="M342" s="434">
        <v>786</v>
      </c>
      <c r="N342" s="557"/>
      <c r="O342" s="488">
        <f t="shared" si="4"/>
        <v>1059</v>
      </c>
      <c r="P342" s="389">
        <v>213.03185185185191</v>
      </c>
      <c r="Q342" s="391">
        <v>164.98185185185193</v>
      </c>
      <c r="R342" s="391">
        <v>11.55</v>
      </c>
      <c r="S342" s="391">
        <v>39.5</v>
      </c>
      <c r="T342" s="391">
        <v>40</v>
      </c>
      <c r="U342" s="391">
        <v>0</v>
      </c>
      <c r="V342" s="518">
        <v>43</v>
      </c>
    </row>
    <row r="343" spans="1:22" ht="35.1" customHeight="1" x14ac:dyDescent="0.25">
      <c r="A343" s="434">
        <v>342</v>
      </c>
      <c r="B343" s="95">
        <v>45093</v>
      </c>
      <c r="C343" s="434"/>
      <c r="D343" s="488"/>
      <c r="E343" s="435"/>
      <c r="F343" s="434"/>
      <c r="G343" s="434"/>
      <c r="H343" s="434"/>
      <c r="I343" s="434">
        <v>40</v>
      </c>
      <c r="J343" s="434">
        <v>419</v>
      </c>
      <c r="K343" s="434"/>
      <c r="L343" s="434"/>
      <c r="M343" s="434"/>
      <c r="N343" s="557"/>
      <c r="O343" s="488">
        <f t="shared" si="4"/>
        <v>459</v>
      </c>
      <c r="P343" s="389">
        <v>102.96000000000004</v>
      </c>
      <c r="Q343" s="391">
        <v>72.960000000000036</v>
      </c>
      <c r="R343" s="391">
        <v>26</v>
      </c>
      <c r="S343" s="391">
        <v>0</v>
      </c>
      <c r="T343" s="391">
        <v>0</v>
      </c>
      <c r="U343" s="391">
        <v>4</v>
      </c>
      <c r="V343" s="518">
        <v>0</v>
      </c>
    </row>
    <row r="344" spans="1:22" ht="35.1" customHeight="1" x14ac:dyDescent="0.25">
      <c r="A344" s="434">
        <v>343</v>
      </c>
      <c r="B344" s="95">
        <v>45094</v>
      </c>
      <c r="C344" s="434"/>
      <c r="D344" s="488"/>
      <c r="E344" s="435" t="s">
        <v>573</v>
      </c>
      <c r="F344" s="434">
        <v>150</v>
      </c>
      <c r="G344" s="434">
        <v>4.09</v>
      </c>
      <c r="H344" s="434"/>
      <c r="I344" s="434">
        <v>34.909999999999997</v>
      </c>
      <c r="J344" s="434">
        <v>48</v>
      </c>
      <c r="K344" s="434"/>
      <c r="L344" s="434"/>
      <c r="M344" s="434">
        <v>30</v>
      </c>
      <c r="N344" s="557"/>
      <c r="O344" s="488">
        <f t="shared" si="4"/>
        <v>267</v>
      </c>
      <c r="P344" s="389">
        <v>20.73</v>
      </c>
      <c r="Q344" s="391">
        <v>18.29</v>
      </c>
      <c r="R344" s="391">
        <v>2.4400000000000004</v>
      </c>
      <c r="S344" s="391">
        <v>0</v>
      </c>
      <c r="T344" s="391">
        <v>0</v>
      </c>
      <c r="U344" s="391">
        <v>0</v>
      </c>
      <c r="V344" s="518"/>
    </row>
    <row r="345" spans="1:22" ht="35.1" customHeight="1" x14ac:dyDescent="0.25">
      <c r="A345" s="190">
        <v>344</v>
      </c>
      <c r="B345" s="191">
        <v>45095</v>
      </c>
      <c r="C345" s="190"/>
      <c r="D345" s="190"/>
      <c r="E345" s="250"/>
      <c r="F345" s="190"/>
      <c r="G345" s="190"/>
      <c r="H345" s="190"/>
      <c r="I345" s="190"/>
      <c r="J345" s="190"/>
      <c r="K345" s="190"/>
      <c r="L345" s="190"/>
      <c r="M345" s="190"/>
      <c r="N345" s="559"/>
      <c r="O345" s="488">
        <f t="shared" si="4"/>
        <v>0</v>
      </c>
      <c r="P345" s="394"/>
      <c r="Q345" s="395"/>
      <c r="R345" s="395"/>
      <c r="S345" s="395"/>
      <c r="T345" s="395"/>
      <c r="U345" s="395"/>
      <c r="V345" s="518"/>
    </row>
    <row r="346" spans="1:22" ht="35.1" customHeight="1" x14ac:dyDescent="0.25">
      <c r="A346" s="434">
        <v>345</v>
      </c>
      <c r="B346" s="95">
        <v>45096</v>
      </c>
      <c r="C346" s="434"/>
      <c r="D346" s="488"/>
      <c r="E346" s="435" t="s">
        <v>574</v>
      </c>
      <c r="F346" s="434">
        <v>1208</v>
      </c>
      <c r="G346" s="434"/>
      <c r="H346" s="434"/>
      <c r="I346" s="434">
        <v>624</v>
      </c>
      <c r="J346" s="434">
        <v>96</v>
      </c>
      <c r="K346" s="434"/>
      <c r="L346" s="434"/>
      <c r="M346" s="434">
        <v>5</v>
      </c>
      <c r="N346" s="557"/>
      <c r="O346" s="488">
        <f t="shared" si="4"/>
        <v>1933</v>
      </c>
      <c r="P346" s="389">
        <v>160.64629629629633</v>
      </c>
      <c r="Q346" s="391">
        <v>134.64629629629633</v>
      </c>
      <c r="R346" s="391">
        <v>26</v>
      </c>
      <c r="S346" s="391">
        <v>0</v>
      </c>
      <c r="T346" s="391">
        <v>0</v>
      </c>
      <c r="U346" s="391">
        <v>0</v>
      </c>
      <c r="V346" s="518">
        <v>0</v>
      </c>
    </row>
    <row r="347" spans="1:22" ht="35.1" customHeight="1" x14ac:dyDescent="0.25">
      <c r="A347" s="434">
        <v>346</v>
      </c>
      <c r="B347" s="95">
        <v>45097</v>
      </c>
      <c r="C347" s="434">
        <v>138</v>
      </c>
      <c r="D347" s="488"/>
      <c r="E347" s="435"/>
      <c r="F347" s="434"/>
      <c r="G347" s="434"/>
      <c r="H347" s="434">
        <v>76</v>
      </c>
      <c r="I347" s="434">
        <v>648</v>
      </c>
      <c r="J347" s="434">
        <v>598</v>
      </c>
      <c r="K347" s="434"/>
      <c r="L347" s="434"/>
      <c r="M347" s="434">
        <v>369</v>
      </c>
      <c r="N347" s="557"/>
      <c r="O347" s="488">
        <f t="shared" si="4"/>
        <v>1691</v>
      </c>
      <c r="P347" s="389">
        <v>390.16629629629637</v>
      </c>
      <c r="Q347" s="391">
        <v>332.0662962962964</v>
      </c>
      <c r="R347" s="391">
        <v>57.45</v>
      </c>
      <c r="S347" s="391">
        <v>0</v>
      </c>
      <c r="T347" s="391">
        <v>0</v>
      </c>
      <c r="U347" s="391">
        <v>0.64999999999999991</v>
      </c>
      <c r="V347" s="518">
        <v>0</v>
      </c>
    </row>
    <row r="348" spans="1:22" ht="35.1" customHeight="1" x14ac:dyDescent="0.25">
      <c r="A348" s="434">
        <v>347</v>
      </c>
      <c r="B348" s="95">
        <v>45098</v>
      </c>
      <c r="C348" s="434"/>
      <c r="D348" s="488"/>
      <c r="E348" s="435"/>
      <c r="F348" s="434"/>
      <c r="G348" s="434"/>
      <c r="H348" s="434"/>
      <c r="I348" s="434">
        <v>12</v>
      </c>
      <c r="J348" s="434">
        <v>237</v>
      </c>
      <c r="K348" s="434"/>
      <c r="L348" s="434"/>
      <c r="M348" s="434">
        <v>1204</v>
      </c>
      <c r="N348" s="557"/>
      <c r="O348" s="488">
        <f t="shared" si="4"/>
        <v>1453</v>
      </c>
      <c r="P348" s="389">
        <v>276.36</v>
      </c>
      <c r="Q348" s="391">
        <v>244.03</v>
      </c>
      <c r="R348" s="391">
        <v>32.33</v>
      </c>
      <c r="S348" s="391">
        <v>0</v>
      </c>
      <c r="T348" s="391">
        <v>0</v>
      </c>
      <c r="U348" s="391">
        <v>0</v>
      </c>
      <c r="V348" s="518">
        <v>0</v>
      </c>
    </row>
    <row r="349" spans="1:22" ht="35.1" customHeight="1" x14ac:dyDescent="0.25">
      <c r="A349" s="434">
        <v>348</v>
      </c>
      <c r="B349" s="95">
        <v>45099</v>
      </c>
      <c r="C349" s="434"/>
      <c r="D349" s="488"/>
      <c r="E349" s="435"/>
      <c r="F349" s="434"/>
      <c r="G349" s="434">
        <v>3</v>
      </c>
      <c r="H349" s="434"/>
      <c r="I349" s="434">
        <v>108</v>
      </c>
      <c r="J349" s="434">
        <v>332</v>
      </c>
      <c r="K349" s="434"/>
      <c r="L349" s="434"/>
      <c r="M349" s="434">
        <v>598</v>
      </c>
      <c r="N349" s="557"/>
      <c r="O349" s="488">
        <f t="shared" si="4"/>
        <v>1041</v>
      </c>
      <c r="P349" s="389">
        <v>200.74000000000004</v>
      </c>
      <c r="Q349" s="391">
        <v>188.21000000000004</v>
      </c>
      <c r="R349" s="391">
        <v>4.22</v>
      </c>
      <c r="S349" s="391">
        <v>8.3099999999999987</v>
      </c>
      <c r="T349" s="391">
        <v>0</v>
      </c>
      <c r="U349" s="391">
        <v>0</v>
      </c>
      <c r="V349" s="518">
        <v>0</v>
      </c>
    </row>
    <row r="350" spans="1:22" ht="35.1" customHeight="1" x14ac:dyDescent="0.25">
      <c r="A350" s="434">
        <v>349</v>
      </c>
      <c r="B350" s="95">
        <v>45100</v>
      </c>
      <c r="C350" s="434">
        <v>80</v>
      </c>
      <c r="D350" s="488"/>
      <c r="E350" s="435"/>
      <c r="F350" s="434"/>
      <c r="G350" s="434"/>
      <c r="H350" s="434"/>
      <c r="I350" s="434">
        <v>95</v>
      </c>
      <c r="J350" s="434">
        <v>871</v>
      </c>
      <c r="K350" s="434"/>
      <c r="L350" s="434"/>
      <c r="M350" s="434">
        <v>410</v>
      </c>
      <c r="N350" s="557"/>
      <c r="O350" s="488">
        <f t="shared" si="4"/>
        <v>1376</v>
      </c>
      <c r="P350" s="389">
        <v>303.73444444444448</v>
      </c>
      <c r="Q350" s="391">
        <v>280.3944444444445</v>
      </c>
      <c r="R350" s="391">
        <v>3.34</v>
      </c>
      <c r="S350" s="391">
        <v>0</v>
      </c>
      <c r="T350" s="391">
        <v>20</v>
      </c>
      <c r="U350" s="391">
        <v>0</v>
      </c>
      <c r="V350" s="518">
        <v>0</v>
      </c>
    </row>
    <row r="351" spans="1:22" ht="35.1" customHeight="1" x14ac:dyDescent="0.25">
      <c r="A351" s="434">
        <v>350</v>
      </c>
      <c r="B351" s="95">
        <v>45101</v>
      </c>
      <c r="C351" s="434"/>
      <c r="D351" s="488"/>
      <c r="E351" s="435" t="s">
        <v>576</v>
      </c>
      <c r="F351" s="434">
        <v>115</v>
      </c>
      <c r="G351" s="434">
        <v>5.45</v>
      </c>
      <c r="H351" s="434"/>
      <c r="I351" s="434">
        <v>154.55000000000001</v>
      </c>
      <c r="J351" s="434"/>
      <c r="K351" s="434"/>
      <c r="L351" s="434"/>
      <c r="M351" s="434">
        <v>1</v>
      </c>
      <c r="N351" s="557"/>
      <c r="O351" s="488">
        <f t="shared" si="4"/>
        <v>276</v>
      </c>
      <c r="P351" s="389">
        <v>32.56</v>
      </c>
      <c r="Q351" s="391">
        <v>31.060000000000002</v>
      </c>
      <c r="R351" s="391">
        <v>0</v>
      </c>
      <c r="S351" s="391">
        <v>1.5</v>
      </c>
      <c r="T351" s="391">
        <v>0</v>
      </c>
      <c r="U351" s="391">
        <v>0</v>
      </c>
      <c r="V351" s="518">
        <v>0</v>
      </c>
    </row>
    <row r="352" spans="1:22" ht="35.1" customHeight="1" x14ac:dyDescent="0.25">
      <c r="A352" s="190">
        <v>351</v>
      </c>
      <c r="B352" s="191">
        <v>45102</v>
      </c>
      <c r="C352" s="190"/>
      <c r="D352" s="190"/>
      <c r="E352" s="250"/>
      <c r="F352" s="190"/>
      <c r="G352" s="190"/>
      <c r="H352" s="190"/>
      <c r="I352" s="190"/>
      <c r="J352" s="190"/>
      <c r="K352" s="190"/>
      <c r="L352" s="190"/>
      <c r="M352" s="190"/>
      <c r="N352" s="559"/>
      <c r="O352" s="488">
        <f t="shared" si="4"/>
        <v>0</v>
      </c>
      <c r="P352" s="394"/>
      <c r="Q352" s="395"/>
      <c r="R352" s="395"/>
      <c r="S352" s="395"/>
      <c r="T352" s="395"/>
      <c r="U352" s="395"/>
      <c r="V352" s="518"/>
    </row>
    <row r="353" spans="1:23" ht="54" customHeight="1" x14ac:dyDescent="0.25">
      <c r="A353" s="434">
        <v>352</v>
      </c>
      <c r="B353" s="95">
        <v>45103</v>
      </c>
      <c r="C353" s="434">
        <v>145</v>
      </c>
      <c r="D353" s="488"/>
      <c r="E353" s="435" t="s">
        <v>578</v>
      </c>
      <c r="F353" s="434">
        <v>230</v>
      </c>
      <c r="G353" s="434"/>
      <c r="H353" s="434"/>
      <c r="I353" s="434">
        <v>25</v>
      </c>
      <c r="J353" s="434">
        <v>48</v>
      </c>
      <c r="K353" s="434"/>
      <c r="L353" s="434">
        <v>33</v>
      </c>
      <c r="M353" s="434">
        <v>1792</v>
      </c>
      <c r="N353" s="557"/>
      <c r="O353" s="488">
        <f t="shared" si="4"/>
        <v>2128</v>
      </c>
      <c r="P353" s="389">
        <v>610.44000000000005</v>
      </c>
      <c r="Q353" s="391">
        <v>230.54000000000008</v>
      </c>
      <c r="R353" s="391">
        <v>320</v>
      </c>
      <c r="S353" s="391">
        <v>0</v>
      </c>
      <c r="T353" s="391">
        <v>40</v>
      </c>
      <c r="U353" s="391">
        <v>19.899999999999999</v>
      </c>
      <c r="V353" s="518">
        <v>0</v>
      </c>
    </row>
    <row r="354" spans="1:23" ht="35.1" customHeight="1" x14ac:dyDescent="0.25">
      <c r="A354" s="434">
        <v>353</v>
      </c>
      <c r="B354" s="95">
        <v>45104</v>
      </c>
      <c r="C354" s="434"/>
      <c r="D354" s="488"/>
      <c r="E354" s="435"/>
      <c r="F354" s="434"/>
      <c r="G354" s="434"/>
      <c r="H354" s="434"/>
      <c r="I354" s="434">
        <v>633</v>
      </c>
      <c r="J354" s="434">
        <v>96</v>
      </c>
      <c r="K354" s="434"/>
      <c r="L354" s="434"/>
      <c r="M354" s="434">
        <v>165</v>
      </c>
      <c r="N354" s="557"/>
      <c r="O354" s="488">
        <f t="shared" si="4"/>
        <v>894</v>
      </c>
      <c r="P354" s="389">
        <v>151.39592592592592</v>
      </c>
      <c r="Q354" s="391">
        <v>115.10592592592594</v>
      </c>
      <c r="R354" s="391">
        <v>26</v>
      </c>
      <c r="S354" s="391">
        <v>0</v>
      </c>
      <c r="T354" s="391">
        <v>10</v>
      </c>
      <c r="U354" s="391">
        <v>0.29000000000000004</v>
      </c>
      <c r="V354" s="518">
        <v>0</v>
      </c>
    </row>
    <row r="355" spans="1:23" ht="35.1" customHeight="1" x14ac:dyDescent="0.25">
      <c r="A355" s="434">
        <v>354</v>
      </c>
      <c r="B355" s="95">
        <v>45105</v>
      </c>
      <c r="C355" s="434"/>
      <c r="D355" s="488"/>
      <c r="E355" s="435"/>
      <c r="F355" s="434"/>
      <c r="G355" s="434"/>
      <c r="H355" s="434"/>
      <c r="I355" s="434">
        <v>103</v>
      </c>
      <c r="J355" s="434">
        <v>350</v>
      </c>
      <c r="K355" s="434"/>
      <c r="L355" s="434"/>
      <c r="M355" s="434">
        <v>283</v>
      </c>
      <c r="N355" s="557"/>
      <c r="O355" s="488">
        <f t="shared" si="4"/>
        <v>736</v>
      </c>
      <c r="P355" s="389">
        <v>114.83296296296298</v>
      </c>
      <c r="Q355" s="391">
        <v>69.792962962962974</v>
      </c>
      <c r="R355" s="391">
        <v>7.6999999999999993</v>
      </c>
      <c r="S355" s="391">
        <v>0</v>
      </c>
      <c r="T355" s="391">
        <v>37.340000000000003</v>
      </c>
      <c r="U355" s="391">
        <v>0</v>
      </c>
      <c r="V355" s="518">
        <v>0</v>
      </c>
    </row>
    <row r="356" spans="1:23" ht="35.1" customHeight="1" x14ac:dyDescent="0.25">
      <c r="A356" s="434">
        <v>355</v>
      </c>
      <c r="B356" s="95">
        <v>45106</v>
      </c>
      <c r="C356" s="434"/>
      <c r="D356" s="488"/>
      <c r="E356" s="435" t="s">
        <v>577</v>
      </c>
      <c r="F356" s="434">
        <v>50</v>
      </c>
      <c r="G356" s="434"/>
      <c r="H356" s="434"/>
      <c r="I356" s="434">
        <v>70</v>
      </c>
      <c r="J356" s="434">
        <v>48</v>
      </c>
      <c r="K356" s="434"/>
      <c r="L356" s="434"/>
      <c r="M356" s="434">
        <v>106</v>
      </c>
      <c r="N356" s="557"/>
      <c r="O356" s="488">
        <f t="shared" si="4"/>
        <v>274</v>
      </c>
      <c r="P356" s="389">
        <v>75.242962962962963</v>
      </c>
      <c r="Q356" s="391">
        <v>18.292962962962967</v>
      </c>
      <c r="R356" s="391">
        <v>56.95</v>
      </c>
      <c r="S356" s="391">
        <v>0</v>
      </c>
      <c r="T356" s="391">
        <v>0</v>
      </c>
      <c r="U356" s="391">
        <v>0</v>
      </c>
      <c r="V356" s="518">
        <v>0</v>
      </c>
    </row>
    <row r="357" spans="1:23" ht="35.1" customHeight="1" x14ac:dyDescent="0.25">
      <c r="A357" s="434">
        <v>356</v>
      </c>
      <c r="B357" s="95">
        <v>45107</v>
      </c>
      <c r="C357" s="434"/>
      <c r="D357" s="488"/>
      <c r="E357" s="435"/>
      <c r="F357" s="434"/>
      <c r="G357" s="434"/>
      <c r="H357" s="434">
        <v>320</v>
      </c>
      <c r="I357" s="434">
        <v>132</v>
      </c>
      <c r="J357" s="434">
        <v>93</v>
      </c>
      <c r="K357" s="434"/>
      <c r="L357" s="434"/>
      <c r="M357" s="434">
        <v>362</v>
      </c>
      <c r="N357" s="557"/>
      <c r="O357" s="488">
        <f t="shared" si="4"/>
        <v>907</v>
      </c>
      <c r="P357" s="389">
        <v>173.58814814814818</v>
      </c>
      <c r="Q357" s="391">
        <v>86.188148148148173</v>
      </c>
      <c r="R357" s="391">
        <v>15.399999999999999</v>
      </c>
      <c r="S357" s="391">
        <v>52</v>
      </c>
      <c r="T357" s="391">
        <v>20</v>
      </c>
      <c r="U357" s="391">
        <v>0</v>
      </c>
      <c r="V357" s="518">
        <v>0</v>
      </c>
    </row>
    <row r="358" spans="1:23" ht="35.1" customHeight="1" x14ac:dyDescent="0.25">
      <c r="A358" s="434">
        <v>357</v>
      </c>
      <c r="B358" s="95">
        <v>45108</v>
      </c>
      <c r="C358" s="434">
        <v>346</v>
      </c>
      <c r="D358" s="488"/>
      <c r="E358" s="435"/>
      <c r="F358" s="434"/>
      <c r="G358" s="434"/>
      <c r="H358" s="434"/>
      <c r="I358" s="434">
        <v>37</v>
      </c>
      <c r="J358" s="434">
        <v>150</v>
      </c>
      <c r="K358" s="434"/>
      <c r="L358" s="434"/>
      <c r="M358" s="434">
        <v>88</v>
      </c>
      <c r="N358" s="557"/>
      <c r="O358" s="488">
        <f t="shared" si="4"/>
        <v>275</v>
      </c>
      <c r="P358" s="389">
        <v>170.81148148148148</v>
      </c>
      <c r="Q358" s="391">
        <v>24.70148148148149</v>
      </c>
      <c r="R358" s="391">
        <v>65.990000000000009</v>
      </c>
      <c r="S358" s="391">
        <v>49.64</v>
      </c>
      <c r="T358" s="391">
        <v>20</v>
      </c>
      <c r="U358" s="391">
        <v>10.48</v>
      </c>
      <c r="V358" s="518">
        <v>0</v>
      </c>
    </row>
    <row r="359" spans="1:23" ht="35.1" customHeight="1" x14ac:dyDescent="0.25">
      <c r="A359" s="434">
        <v>358</v>
      </c>
      <c r="B359" s="191">
        <v>45109</v>
      </c>
      <c r="C359" s="190"/>
      <c r="D359" s="190"/>
      <c r="E359" s="250"/>
      <c r="F359" s="190"/>
      <c r="G359" s="190"/>
      <c r="H359" s="190"/>
      <c r="I359" s="190"/>
      <c r="J359" s="190"/>
      <c r="K359" s="190"/>
      <c r="L359" s="190"/>
      <c r="M359" s="190"/>
      <c r="N359" s="559"/>
      <c r="O359" s="488">
        <f t="shared" si="4"/>
        <v>0</v>
      </c>
      <c r="P359" s="394"/>
      <c r="Q359" s="395"/>
      <c r="R359" s="395"/>
      <c r="S359" s="395"/>
      <c r="T359" s="395"/>
      <c r="U359" s="395"/>
      <c r="V359" s="518"/>
    </row>
    <row r="360" spans="1:23" ht="35.1" customHeight="1" x14ac:dyDescent="0.25">
      <c r="A360" s="434">
        <v>359</v>
      </c>
      <c r="B360" s="95">
        <v>45110</v>
      </c>
      <c r="C360" s="434"/>
      <c r="D360" s="488"/>
      <c r="E360" s="435" t="s">
        <v>580</v>
      </c>
      <c r="F360" s="434">
        <v>130</v>
      </c>
      <c r="G360" s="434">
        <v>3</v>
      </c>
      <c r="H360" s="434"/>
      <c r="I360" s="434">
        <v>513</v>
      </c>
      <c r="J360" s="434">
        <v>55</v>
      </c>
      <c r="K360" s="434"/>
      <c r="L360" s="434">
        <v>232</v>
      </c>
      <c r="M360" s="434">
        <v>262</v>
      </c>
      <c r="N360" s="557"/>
      <c r="O360" s="488">
        <f t="shared" si="4"/>
        <v>1195</v>
      </c>
      <c r="P360" s="389">
        <v>217.29740740740743</v>
      </c>
      <c r="Q360" s="391">
        <v>179.99740740740742</v>
      </c>
      <c r="R360" s="391">
        <v>26</v>
      </c>
      <c r="S360" s="391">
        <v>0</v>
      </c>
      <c r="T360" s="391">
        <v>10</v>
      </c>
      <c r="U360" s="391">
        <v>1.3</v>
      </c>
      <c r="V360" s="518">
        <v>0</v>
      </c>
    </row>
    <row r="361" spans="1:23" ht="35.1" customHeight="1" x14ac:dyDescent="0.25">
      <c r="A361" s="434">
        <v>360</v>
      </c>
      <c r="B361" s="95">
        <v>45111</v>
      </c>
      <c r="C361" s="434"/>
      <c r="D361" s="488"/>
      <c r="E361" s="435"/>
      <c r="F361" s="434"/>
      <c r="G361" s="434">
        <v>1.19</v>
      </c>
      <c r="H361" s="434"/>
      <c r="I361" s="434">
        <v>458.81</v>
      </c>
      <c r="J361" s="434">
        <v>132</v>
      </c>
      <c r="K361" s="434"/>
      <c r="L361" s="434">
        <v>17</v>
      </c>
      <c r="M361" s="434">
        <v>1655</v>
      </c>
      <c r="N361" s="557"/>
      <c r="O361" s="488">
        <f t="shared" si="4"/>
        <v>2264</v>
      </c>
      <c r="P361" s="389">
        <v>422.67296296296303</v>
      </c>
      <c r="Q361" s="391">
        <v>376.70296296296306</v>
      </c>
      <c r="R361" s="391">
        <v>33.700000000000003</v>
      </c>
      <c r="S361" s="391">
        <v>0</v>
      </c>
      <c r="T361" s="391">
        <v>10</v>
      </c>
      <c r="U361" s="391">
        <v>2.2699999999999996</v>
      </c>
      <c r="V361" s="518">
        <v>0</v>
      </c>
    </row>
    <row r="362" spans="1:23" ht="35.1" customHeight="1" x14ac:dyDescent="0.25">
      <c r="A362" s="434">
        <v>361</v>
      </c>
      <c r="B362" s="95">
        <v>45112</v>
      </c>
      <c r="C362" s="434"/>
      <c r="D362" s="488"/>
      <c r="E362" s="435"/>
      <c r="F362" s="434"/>
      <c r="G362" s="434"/>
      <c r="H362" s="434"/>
      <c r="I362" s="434">
        <v>143</v>
      </c>
      <c r="J362" s="434">
        <v>377</v>
      </c>
      <c r="K362" s="434"/>
      <c r="L362" s="434"/>
      <c r="M362" s="434">
        <v>128</v>
      </c>
      <c r="N362" s="557"/>
      <c r="O362" s="488">
        <f t="shared" si="4"/>
        <v>648</v>
      </c>
      <c r="P362" s="389">
        <v>148.12851851851855</v>
      </c>
      <c r="Q362" s="391">
        <v>117.32851851851854</v>
      </c>
      <c r="R362" s="391">
        <v>30.8</v>
      </c>
      <c r="S362" s="391">
        <v>0</v>
      </c>
      <c r="T362" s="391">
        <v>0</v>
      </c>
      <c r="U362" s="391">
        <v>0</v>
      </c>
      <c r="V362" s="518">
        <v>0</v>
      </c>
    </row>
    <row r="363" spans="1:23" ht="35.1" customHeight="1" x14ac:dyDescent="0.25">
      <c r="A363" s="434">
        <v>362</v>
      </c>
      <c r="B363" s="95">
        <v>45113</v>
      </c>
      <c r="C363" s="434">
        <v>299</v>
      </c>
      <c r="D363" s="488"/>
      <c r="E363" s="435" t="s">
        <v>589</v>
      </c>
      <c r="F363" s="434">
        <v>197</v>
      </c>
      <c r="G363" s="434"/>
      <c r="H363" s="434"/>
      <c r="I363" s="434">
        <v>378</v>
      </c>
      <c r="J363" s="434">
        <v>313</v>
      </c>
      <c r="K363" s="434"/>
      <c r="L363" s="434"/>
      <c r="M363" s="434">
        <v>1840</v>
      </c>
      <c r="N363" s="557"/>
      <c r="O363" s="488">
        <f t="shared" si="4"/>
        <v>2728</v>
      </c>
      <c r="P363" s="389">
        <v>599.31999999999994</v>
      </c>
      <c r="Q363" s="391">
        <v>380.36</v>
      </c>
      <c r="R363" s="391">
        <v>24.96</v>
      </c>
      <c r="S363" s="391">
        <v>119</v>
      </c>
      <c r="T363" s="391">
        <v>75</v>
      </c>
      <c r="U363" s="391">
        <v>0</v>
      </c>
      <c r="V363" s="518">
        <v>0</v>
      </c>
    </row>
    <row r="364" spans="1:23" ht="35.1" customHeight="1" x14ac:dyDescent="0.25">
      <c r="A364" s="434">
        <v>363</v>
      </c>
      <c r="B364" s="95">
        <v>45114</v>
      </c>
      <c r="C364" s="434">
        <v>18</v>
      </c>
      <c r="D364" s="488"/>
      <c r="E364" s="435"/>
      <c r="F364" s="434"/>
      <c r="G364" s="434"/>
      <c r="H364" s="434">
        <v>125</v>
      </c>
      <c r="I364" s="434">
        <v>9</v>
      </c>
      <c r="J364" s="434">
        <v>563</v>
      </c>
      <c r="K364" s="434"/>
      <c r="L364" s="434"/>
      <c r="M364" s="434">
        <v>251</v>
      </c>
      <c r="N364" s="557"/>
      <c r="O364" s="488">
        <f t="shared" si="4"/>
        <v>948</v>
      </c>
      <c r="P364" s="389">
        <v>159.71</v>
      </c>
      <c r="Q364" s="391">
        <v>74.31</v>
      </c>
      <c r="R364" s="391">
        <v>2.9000000000000004</v>
      </c>
      <c r="S364" s="391">
        <v>3.5</v>
      </c>
      <c r="T364" s="391">
        <v>75</v>
      </c>
      <c r="U364" s="391">
        <v>4</v>
      </c>
      <c r="V364" s="518">
        <v>0</v>
      </c>
    </row>
    <row r="365" spans="1:23" ht="48" customHeight="1" x14ac:dyDescent="0.25">
      <c r="A365" s="434">
        <v>364</v>
      </c>
      <c r="B365" s="95">
        <v>45115</v>
      </c>
      <c r="C365" s="434"/>
      <c r="D365" s="488"/>
      <c r="E365" s="435"/>
      <c r="F365" s="434"/>
      <c r="G365" s="434"/>
      <c r="H365" s="434">
        <v>164</v>
      </c>
      <c r="I365" s="434">
        <v>250</v>
      </c>
      <c r="J365" s="434"/>
      <c r="K365" s="434"/>
      <c r="L365" s="434"/>
      <c r="M365" s="434">
        <v>1329</v>
      </c>
      <c r="N365" s="556" t="s">
        <v>587</v>
      </c>
      <c r="O365" s="488">
        <f t="shared" si="4"/>
        <v>1743</v>
      </c>
      <c r="P365" s="389">
        <v>467.13222222222225</v>
      </c>
      <c r="Q365" s="391">
        <v>435.95222222222225</v>
      </c>
      <c r="R365" s="391">
        <v>0</v>
      </c>
      <c r="S365" s="391">
        <v>0</v>
      </c>
      <c r="T365" s="391">
        <v>20</v>
      </c>
      <c r="U365" s="391">
        <v>11.18</v>
      </c>
      <c r="V365" s="518">
        <v>0</v>
      </c>
      <c r="W365" s="473" t="s">
        <v>588</v>
      </c>
    </row>
    <row r="366" spans="1:23" ht="35.1" customHeight="1" x14ac:dyDescent="0.25">
      <c r="A366" s="190">
        <v>365</v>
      </c>
      <c r="B366" s="191">
        <v>45116</v>
      </c>
      <c r="C366" s="190"/>
      <c r="D366" s="190"/>
      <c r="E366" s="250"/>
      <c r="F366" s="190"/>
      <c r="G366" s="190"/>
      <c r="H366" s="190"/>
      <c r="I366" s="190"/>
      <c r="J366" s="190"/>
      <c r="K366" s="190"/>
      <c r="L366" s="190"/>
      <c r="M366" s="190"/>
      <c r="N366" s="559"/>
      <c r="O366" s="488">
        <f t="shared" si="4"/>
        <v>0</v>
      </c>
      <c r="P366" s="394"/>
      <c r="Q366" s="395"/>
      <c r="R366" s="395"/>
      <c r="S366" s="395"/>
      <c r="T366" s="395"/>
      <c r="U366" s="395"/>
      <c r="V366" s="518"/>
    </row>
    <row r="367" spans="1:23" ht="35.1" customHeight="1" x14ac:dyDescent="0.25">
      <c r="A367" s="434">
        <v>366</v>
      </c>
      <c r="B367" s="95">
        <v>45117</v>
      </c>
      <c r="C367" s="434">
        <v>134</v>
      </c>
      <c r="D367" s="488"/>
      <c r="E367" s="435"/>
      <c r="F367" s="434"/>
      <c r="G367" s="434"/>
      <c r="H367" s="434">
        <v>163</v>
      </c>
      <c r="I367" s="434">
        <v>221</v>
      </c>
      <c r="J367" s="434">
        <v>218</v>
      </c>
      <c r="K367" s="434"/>
      <c r="L367" s="434"/>
      <c r="M367" s="434">
        <v>798</v>
      </c>
      <c r="N367" s="557"/>
      <c r="O367" s="488">
        <f t="shared" si="4"/>
        <v>1400</v>
      </c>
      <c r="P367" s="389">
        <v>302.31481481481484</v>
      </c>
      <c r="Q367" s="391">
        <v>118.38481481481483</v>
      </c>
      <c r="R367" s="391">
        <v>163.53</v>
      </c>
      <c r="S367" s="391">
        <v>2.7999999999999972</v>
      </c>
      <c r="T367" s="391">
        <v>15</v>
      </c>
      <c r="U367" s="391">
        <v>2.6</v>
      </c>
      <c r="V367" s="518"/>
    </row>
    <row r="368" spans="1:23" ht="108" customHeight="1" x14ac:dyDescent="0.25">
      <c r="A368" s="434">
        <v>367</v>
      </c>
      <c r="B368" s="95">
        <v>45118</v>
      </c>
      <c r="C368" s="434">
        <v>150</v>
      </c>
      <c r="D368" s="488"/>
      <c r="E368" s="435"/>
      <c r="F368" s="434"/>
      <c r="G368" s="434"/>
      <c r="H368" s="434"/>
      <c r="I368" s="434">
        <v>70</v>
      </c>
      <c r="J368" s="434"/>
      <c r="K368" s="434"/>
      <c r="L368" s="434"/>
      <c r="M368" s="434">
        <v>268</v>
      </c>
      <c r="N368" s="557"/>
      <c r="O368" s="488">
        <f t="shared" si="4"/>
        <v>338</v>
      </c>
      <c r="P368" s="389">
        <v>420.76</v>
      </c>
      <c r="Q368" s="391">
        <v>349.87</v>
      </c>
      <c r="R368" s="391">
        <v>6.5500000000000007</v>
      </c>
      <c r="S368" s="391">
        <v>0</v>
      </c>
      <c r="T368" s="391">
        <v>64.34</v>
      </c>
      <c r="U368" s="391">
        <v>0</v>
      </c>
      <c r="V368" s="518">
        <v>0</v>
      </c>
      <c r="W368" s="413" t="s">
        <v>592</v>
      </c>
    </row>
    <row r="369" spans="1:22" ht="35.1" customHeight="1" x14ac:dyDescent="0.25">
      <c r="A369" s="434">
        <v>368</v>
      </c>
      <c r="B369" s="95">
        <v>45119</v>
      </c>
      <c r="C369" s="434">
        <v>93</v>
      </c>
      <c r="D369" s="488"/>
      <c r="E369" s="435"/>
      <c r="F369" s="434"/>
      <c r="G369" s="434"/>
      <c r="H369" s="434"/>
      <c r="I369" s="434">
        <f>367</f>
        <v>367</v>
      </c>
      <c r="J369" s="434"/>
      <c r="K369" s="434"/>
      <c r="L369" s="434"/>
      <c r="M369" s="434">
        <v>83</v>
      </c>
      <c r="N369" s="557"/>
      <c r="O369" s="488">
        <f t="shared" si="4"/>
        <v>450</v>
      </c>
      <c r="P369" s="389">
        <v>55.3</v>
      </c>
      <c r="Q369" s="391">
        <v>61.27</v>
      </c>
      <c r="R369" s="391">
        <v>-5.9700000000000095</v>
      </c>
      <c r="S369" s="391">
        <v>0</v>
      </c>
      <c r="T369" s="391">
        <v>0</v>
      </c>
      <c r="U369" s="391">
        <v>0</v>
      </c>
      <c r="V369" s="518">
        <v>0</v>
      </c>
    </row>
    <row r="370" spans="1:22" ht="35.1" customHeight="1" x14ac:dyDescent="0.25">
      <c r="A370" s="434">
        <v>369</v>
      </c>
      <c r="B370" s="95">
        <v>45120</v>
      </c>
      <c r="C370" s="434">
        <v>100</v>
      </c>
      <c r="D370" s="488"/>
      <c r="E370" s="435"/>
      <c r="F370" s="434"/>
      <c r="G370" s="434"/>
      <c r="H370" s="434"/>
      <c r="I370" s="434">
        <v>9</v>
      </c>
      <c r="J370" s="434"/>
      <c r="K370" s="434"/>
      <c r="L370" s="434"/>
      <c r="M370" s="434">
        <v>43</v>
      </c>
      <c r="N370" s="557"/>
      <c r="O370" s="488">
        <f t="shared" si="4"/>
        <v>52</v>
      </c>
      <c r="P370" s="389">
        <v>143.86000000000001</v>
      </c>
      <c r="Q370" s="391">
        <v>106.48</v>
      </c>
      <c r="R370" s="391">
        <v>24.700000000000006</v>
      </c>
      <c r="S370" s="391">
        <v>0</v>
      </c>
      <c r="T370" s="391">
        <v>0</v>
      </c>
      <c r="U370" s="391">
        <v>12.68</v>
      </c>
      <c r="V370" s="518"/>
    </row>
    <row r="371" spans="1:22" ht="69" customHeight="1" x14ac:dyDescent="0.25">
      <c r="A371" s="434">
        <v>370</v>
      </c>
      <c r="B371" s="95">
        <v>45121</v>
      </c>
      <c r="C371" s="434"/>
      <c r="D371" s="488"/>
      <c r="E371" s="435" t="s">
        <v>594</v>
      </c>
      <c r="F371" s="434">
        <v>85</v>
      </c>
      <c r="G371" s="434"/>
      <c r="H371" s="434"/>
      <c r="I371" s="434">
        <v>206</v>
      </c>
      <c r="J371" s="434"/>
      <c r="K371" s="434"/>
      <c r="L371" s="434"/>
      <c r="M371" s="434"/>
      <c r="N371" s="557"/>
      <c r="O371" s="488">
        <f t="shared" si="4"/>
        <v>291</v>
      </c>
      <c r="P371" s="389">
        <v>197.66000000000003</v>
      </c>
      <c r="Q371" s="391">
        <v>162.40000000000003</v>
      </c>
      <c r="R371" s="391">
        <v>22.260000000000005</v>
      </c>
      <c r="S371" s="391">
        <v>0</v>
      </c>
      <c r="T371" s="391">
        <v>0</v>
      </c>
      <c r="U371" s="391">
        <v>13</v>
      </c>
      <c r="V371" s="518"/>
    </row>
    <row r="372" spans="1:22" ht="35.1" customHeight="1" x14ac:dyDescent="0.25">
      <c r="A372" s="434">
        <v>371</v>
      </c>
      <c r="B372" s="95">
        <v>45122</v>
      </c>
      <c r="C372" s="434">
        <v>500</v>
      </c>
      <c r="D372" s="488"/>
      <c r="E372" s="435"/>
      <c r="F372" s="434"/>
      <c r="G372" s="434"/>
      <c r="H372" s="434"/>
      <c r="I372" s="434">
        <v>20</v>
      </c>
      <c r="J372" s="434"/>
      <c r="K372" s="434"/>
      <c r="L372" s="434">
        <v>83</v>
      </c>
      <c r="M372" s="434">
        <v>290</v>
      </c>
      <c r="N372" s="557"/>
      <c r="O372" s="488">
        <f t="shared" si="4"/>
        <v>393</v>
      </c>
      <c r="P372" s="389">
        <v>594.91999999999996</v>
      </c>
      <c r="Q372" s="391">
        <v>323.05999999999995</v>
      </c>
      <c r="R372" s="391">
        <v>217.22000000000008</v>
      </c>
      <c r="S372" s="391">
        <v>53.34</v>
      </c>
      <c r="T372" s="391">
        <v>0</v>
      </c>
      <c r="U372" s="391">
        <v>1.3</v>
      </c>
      <c r="V372" s="518"/>
    </row>
    <row r="373" spans="1:22" ht="35.1" customHeight="1" x14ac:dyDescent="0.25">
      <c r="A373" s="190">
        <v>372</v>
      </c>
      <c r="B373" s="191">
        <v>45123</v>
      </c>
      <c r="C373" s="190"/>
      <c r="D373" s="190"/>
      <c r="E373" s="250"/>
      <c r="F373" s="190"/>
      <c r="G373" s="190"/>
      <c r="H373" s="190"/>
      <c r="I373" s="190"/>
      <c r="J373" s="190"/>
      <c r="K373" s="190"/>
      <c r="L373" s="190"/>
      <c r="M373" s="190"/>
      <c r="N373" s="559"/>
      <c r="O373" s="488">
        <f t="shared" si="4"/>
        <v>0</v>
      </c>
      <c r="P373" s="394"/>
      <c r="Q373" s="395"/>
      <c r="R373" s="395"/>
      <c r="S373" s="395"/>
      <c r="T373" s="395"/>
      <c r="U373" s="395"/>
      <c r="V373" s="518"/>
    </row>
    <row r="374" spans="1:22" ht="35.1" customHeight="1" x14ac:dyDescent="0.25">
      <c r="A374" s="434">
        <v>373</v>
      </c>
      <c r="B374" s="95">
        <v>45124</v>
      </c>
      <c r="C374" s="434"/>
      <c r="D374" s="488"/>
      <c r="E374" s="435" t="s">
        <v>596</v>
      </c>
      <c r="F374" s="434">
        <f>48+430</f>
        <v>478</v>
      </c>
      <c r="G374" s="434"/>
      <c r="H374" s="434"/>
      <c r="I374" s="434">
        <v>104</v>
      </c>
      <c r="J374" s="434">
        <v>638</v>
      </c>
      <c r="K374" s="434"/>
      <c r="L374" s="434">
        <v>40</v>
      </c>
      <c r="M374" s="434">
        <v>243</v>
      </c>
      <c r="N374" s="557"/>
      <c r="O374" s="488">
        <f t="shared" si="4"/>
        <v>1503</v>
      </c>
      <c r="P374" s="389">
        <v>346.06629629629634</v>
      </c>
      <c r="Q374" s="391">
        <v>342.38629629629634</v>
      </c>
      <c r="R374" s="391">
        <v>0</v>
      </c>
      <c r="S374" s="391">
        <v>0</v>
      </c>
      <c r="T374" s="391">
        <v>0</v>
      </c>
      <c r="U374" s="391">
        <v>3.6799999999999997</v>
      </c>
      <c r="V374" s="518"/>
    </row>
    <row r="375" spans="1:22" ht="35.1" customHeight="1" x14ac:dyDescent="0.25">
      <c r="A375" s="434">
        <v>374</v>
      </c>
      <c r="B375" s="95">
        <v>45125</v>
      </c>
      <c r="C375" s="434"/>
      <c r="D375" s="488"/>
      <c r="E375" s="435"/>
      <c r="F375" s="434"/>
      <c r="G375" s="434"/>
      <c r="H375" s="434"/>
      <c r="I375" s="434">
        <v>143</v>
      </c>
      <c r="J375" s="434">
        <v>200</v>
      </c>
      <c r="K375" s="434"/>
      <c r="L375" s="434">
        <v>2</v>
      </c>
      <c r="M375" s="434">
        <v>235</v>
      </c>
      <c r="N375" s="557"/>
      <c r="O375" s="488">
        <f t="shared" si="4"/>
        <v>580</v>
      </c>
      <c r="P375" s="389">
        <v>193.95000000000005</v>
      </c>
      <c r="Q375" s="391">
        <v>186.59000000000003</v>
      </c>
      <c r="R375" s="391">
        <v>0</v>
      </c>
      <c r="S375" s="391">
        <v>0</v>
      </c>
      <c r="T375" s="391">
        <v>0</v>
      </c>
      <c r="U375" s="391">
        <v>7.3599999999999994</v>
      </c>
      <c r="V375" s="518"/>
    </row>
    <row r="376" spans="1:22" ht="35.1" customHeight="1" x14ac:dyDescent="0.25">
      <c r="A376" s="434">
        <v>375</v>
      </c>
      <c r="B376" s="95">
        <v>45126</v>
      </c>
      <c r="C376" s="434"/>
      <c r="D376" s="488"/>
      <c r="E376" s="435"/>
      <c r="F376" s="434"/>
      <c r="G376" s="434">
        <v>21</v>
      </c>
      <c r="H376" s="434"/>
      <c r="I376" s="434">
        <v>244</v>
      </c>
      <c r="J376" s="434"/>
      <c r="K376" s="434"/>
      <c r="L376" s="434"/>
      <c r="M376" s="434">
        <v>275</v>
      </c>
      <c r="N376" s="557"/>
      <c r="O376" s="488">
        <f t="shared" ref="O376:O439" si="5">SUM(G376:N376)+F376+D376</f>
        <v>540</v>
      </c>
      <c r="P376" s="389">
        <v>277.98259259259265</v>
      </c>
      <c r="Q376" s="391">
        <v>208.28259259259261</v>
      </c>
      <c r="R376" s="391">
        <v>8.990000000000002</v>
      </c>
      <c r="S376" s="391">
        <v>9.67</v>
      </c>
      <c r="T376" s="391">
        <v>36</v>
      </c>
      <c r="U376" s="391">
        <v>15.04</v>
      </c>
      <c r="V376" s="518"/>
    </row>
    <row r="377" spans="1:22" ht="35.1" customHeight="1" x14ac:dyDescent="0.25">
      <c r="A377" s="434">
        <v>376</v>
      </c>
      <c r="B377" s="95">
        <v>45127</v>
      </c>
      <c r="C377" s="434"/>
      <c r="D377" s="488"/>
      <c r="E377" s="480" t="s">
        <v>511</v>
      </c>
      <c r="F377" s="478">
        <v>300</v>
      </c>
      <c r="G377" s="434"/>
      <c r="H377" s="434">
        <v>165</v>
      </c>
      <c r="I377" s="434">
        <v>63</v>
      </c>
      <c r="J377" s="434">
        <v>287</v>
      </c>
      <c r="K377" s="434"/>
      <c r="L377" s="434">
        <v>25</v>
      </c>
      <c r="M377" s="434">
        <v>53</v>
      </c>
      <c r="N377" s="557"/>
      <c r="O377" s="488">
        <f t="shared" si="5"/>
        <v>893</v>
      </c>
      <c r="P377" s="389">
        <v>115.61229629629631</v>
      </c>
      <c r="Q377" s="391">
        <v>92.56229629629631</v>
      </c>
      <c r="R377" s="391">
        <v>6.5500000000000007</v>
      </c>
      <c r="S377" s="391">
        <v>16.5</v>
      </c>
      <c r="T377" s="391">
        <v>0</v>
      </c>
      <c r="U377" s="391">
        <v>0</v>
      </c>
      <c r="V377" s="518"/>
    </row>
    <row r="378" spans="1:22" ht="35.1" customHeight="1" x14ac:dyDescent="0.25">
      <c r="A378" s="434">
        <v>377</v>
      </c>
      <c r="B378" s="95">
        <v>45128</v>
      </c>
      <c r="C378" s="434"/>
      <c r="D378" s="488"/>
      <c r="E378" s="435"/>
      <c r="F378" s="434"/>
      <c r="G378" s="434"/>
      <c r="H378" s="434"/>
      <c r="I378" s="434">
        <v>127</v>
      </c>
      <c r="J378" s="434"/>
      <c r="K378" s="434"/>
      <c r="L378" s="434">
        <v>444</v>
      </c>
      <c r="M378" s="434">
        <v>287</v>
      </c>
      <c r="N378" s="557"/>
      <c r="O378" s="488">
        <f t="shared" si="5"/>
        <v>858</v>
      </c>
      <c r="P378" s="389">
        <v>196.74</v>
      </c>
      <c r="Q378" s="391">
        <v>71.320000000000007</v>
      </c>
      <c r="R378" s="391">
        <v>118.42000000000002</v>
      </c>
      <c r="S378" s="391">
        <v>0</v>
      </c>
      <c r="T378" s="391">
        <v>0</v>
      </c>
      <c r="U378" s="391">
        <v>7</v>
      </c>
      <c r="V378" s="518">
        <v>0</v>
      </c>
    </row>
    <row r="379" spans="1:22" ht="35.1" customHeight="1" x14ac:dyDescent="0.25">
      <c r="A379" s="434">
        <v>378</v>
      </c>
      <c r="B379" s="95">
        <v>45129</v>
      </c>
      <c r="C379" s="434">
        <v>9</v>
      </c>
      <c r="D379" s="488"/>
      <c r="E379" s="435"/>
      <c r="F379" s="434"/>
      <c r="G379" s="434"/>
      <c r="H379" s="434"/>
      <c r="I379" s="434">
        <v>55</v>
      </c>
      <c r="J379" s="434"/>
      <c r="K379" s="434"/>
      <c r="L379" s="434"/>
      <c r="M379" s="434">
        <v>411</v>
      </c>
      <c r="N379" s="557"/>
      <c r="O379" s="488">
        <f t="shared" si="5"/>
        <v>466</v>
      </c>
      <c r="P379" s="389">
        <v>107.29629629629632</v>
      </c>
      <c r="Q379" s="391">
        <v>84.396296296296313</v>
      </c>
      <c r="R379" s="391">
        <v>2.9000000000000004</v>
      </c>
      <c r="S379" s="391">
        <v>0</v>
      </c>
      <c r="T379" s="391">
        <v>20</v>
      </c>
      <c r="U379" s="391">
        <v>0</v>
      </c>
      <c r="V379" s="518">
        <v>0</v>
      </c>
    </row>
    <row r="380" spans="1:22" ht="35.1" customHeight="1" x14ac:dyDescent="0.25">
      <c r="A380" s="190">
        <v>379</v>
      </c>
      <c r="B380" s="191">
        <v>45130</v>
      </c>
      <c r="C380" s="190"/>
      <c r="D380" s="190"/>
      <c r="E380" s="250"/>
      <c r="F380" s="190"/>
      <c r="G380" s="190"/>
      <c r="H380" s="190"/>
      <c r="I380" s="190"/>
      <c r="J380" s="190"/>
      <c r="K380" s="190"/>
      <c r="L380" s="190"/>
      <c r="M380" s="190"/>
      <c r="N380" s="559"/>
      <c r="O380" s="488">
        <f t="shared" si="5"/>
        <v>0</v>
      </c>
      <c r="P380" s="394"/>
      <c r="Q380" s="395"/>
      <c r="R380" s="395"/>
      <c r="S380" s="395"/>
      <c r="T380" s="395"/>
      <c r="U380" s="395"/>
      <c r="V380" s="518"/>
    </row>
    <row r="381" spans="1:22" ht="35.1" customHeight="1" x14ac:dyDescent="0.25">
      <c r="A381" s="434">
        <v>380</v>
      </c>
      <c r="B381" s="95">
        <v>45131</v>
      </c>
      <c r="C381" s="434"/>
      <c r="D381" s="488"/>
      <c r="E381" s="435"/>
      <c r="F381" s="434"/>
      <c r="G381" s="434"/>
      <c r="H381" s="434"/>
      <c r="I381" s="434">
        <v>113</v>
      </c>
      <c r="J381" s="434">
        <v>184</v>
      </c>
      <c r="K381" s="434"/>
      <c r="L381" s="434"/>
      <c r="M381" s="434"/>
      <c r="N381" s="557"/>
      <c r="O381" s="488">
        <f t="shared" si="5"/>
        <v>297</v>
      </c>
      <c r="P381" s="389">
        <v>68.980000000000018</v>
      </c>
      <c r="Q381" s="391">
        <v>24.120000000000005</v>
      </c>
      <c r="R381" s="391">
        <v>44.350000000000009</v>
      </c>
      <c r="S381" s="391">
        <v>0</v>
      </c>
      <c r="T381" s="391">
        <v>0</v>
      </c>
      <c r="U381" s="391">
        <v>0.51</v>
      </c>
      <c r="V381" s="518">
        <v>0</v>
      </c>
    </row>
    <row r="382" spans="1:22" ht="35.1" customHeight="1" x14ac:dyDescent="0.25">
      <c r="A382" s="434">
        <v>381</v>
      </c>
      <c r="B382" s="95">
        <v>45132</v>
      </c>
      <c r="C382" s="434">
        <v>47</v>
      </c>
      <c r="D382" s="488"/>
      <c r="E382" s="435"/>
      <c r="F382" s="434"/>
      <c r="G382" s="434"/>
      <c r="H382" s="434"/>
      <c r="I382" s="434">
        <v>353</v>
      </c>
      <c r="J382" s="434"/>
      <c r="K382" s="434"/>
      <c r="L382" s="434">
        <v>9</v>
      </c>
      <c r="M382" s="434">
        <v>418</v>
      </c>
      <c r="N382" s="557"/>
      <c r="O382" s="488">
        <f t="shared" si="5"/>
        <v>780</v>
      </c>
      <c r="P382" s="389">
        <v>199.9262962962963</v>
      </c>
      <c r="Q382" s="391">
        <v>73.246296296296293</v>
      </c>
      <c r="R382" s="391">
        <v>51.680000000000007</v>
      </c>
      <c r="S382" s="391">
        <v>0</v>
      </c>
      <c r="T382" s="391">
        <v>75</v>
      </c>
      <c r="U382" s="391">
        <v>0</v>
      </c>
      <c r="V382" s="518"/>
    </row>
    <row r="383" spans="1:22" ht="35.1" customHeight="1" x14ac:dyDescent="0.25">
      <c r="A383" s="434">
        <v>382</v>
      </c>
      <c r="B383" s="95">
        <v>45133</v>
      </c>
      <c r="C383" s="434">
        <v>61</v>
      </c>
      <c r="D383" s="488"/>
      <c r="E383" s="435"/>
      <c r="F383" s="434"/>
      <c r="G383" s="434"/>
      <c r="H383" s="434"/>
      <c r="I383" s="434">
        <v>330</v>
      </c>
      <c r="J383" s="434">
        <v>125</v>
      </c>
      <c r="K383" s="434"/>
      <c r="L383" s="434"/>
      <c r="M383" s="434">
        <v>400</v>
      </c>
      <c r="N383" s="557"/>
      <c r="O383" s="488">
        <f t="shared" si="5"/>
        <v>855</v>
      </c>
      <c r="P383" s="389">
        <v>162.8962962962963</v>
      </c>
      <c r="Q383" s="391">
        <v>47.546296296296305</v>
      </c>
      <c r="R383" s="391">
        <v>36.35</v>
      </c>
      <c r="S383" s="391">
        <v>0</v>
      </c>
      <c r="T383" s="391">
        <v>75</v>
      </c>
      <c r="U383" s="391">
        <v>4</v>
      </c>
      <c r="V383" s="518"/>
    </row>
    <row r="384" spans="1:22" ht="35.1" customHeight="1" x14ac:dyDescent="0.25">
      <c r="A384" s="434">
        <v>383</v>
      </c>
      <c r="B384" s="95">
        <v>45134</v>
      </c>
      <c r="C384" s="434">
        <v>24</v>
      </c>
      <c r="D384" s="488"/>
      <c r="E384" s="435"/>
      <c r="F384" s="434"/>
      <c r="G384" s="434"/>
      <c r="H384" s="434">
        <v>544</v>
      </c>
      <c r="I384" s="434">
        <v>330</v>
      </c>
      <c r="J384" s="434">
        <v>70</v>
      </c>
      <c r="K384" s="434"/>
      <c r="L384" s="434"/>
      <c r="M384" s="434">
        <v>429</v>
      </c>
      <c r="N384" s="557"/>
      <c r="O384" s="488">
        <f t="shared" si="5"/>
        <v>1373</v>
      </c>
      <c r="P384" s="389">
        <v>313.2</v>
      </c>
      <c r="Q384" s="391">
        <v>251.78000000000003</v>
      </c>
      <c r="R384" s="391">
        <v>17.899999999999999</v>
      </c>
      <c r="S384" s="391">
        <v>0</v>
      </c>
      <c r="T384" s="391">
        <v>40</v>
      </c>
      <c r="U384" s="391">
        <v>3.5199999999999996</v>
      </c>
      <c r="V384" s="518"/>
    </row>
    <row r="385" spans="1:23" ht="35.1" customHeight="1" x14ac:dyDescent="0.25">
      <c r="A385" s="434">
        <v>384</v>
      </c>
      <c r="B385" s="95">
        <v>45135</v>
      </c>
      <c r="C385" s="434"/>
      <c r="D385" s="488"/>
      <c r="E385" s="435"/>
      <c r="F385" s="434"/>
      <c r="G385" s="434"/>
      <c r="H385" s="434"/>
      <c r="I385" s="434">
        <v>423</v>
      </c>
      <c r="J385" s="434">
        <v>138</v>
      </c>
      <c r="K385" s="434"/>
      <c r="L385" s="434">
        <v>404</v>
      </c>
      <c r="M385" s="434">
        <v>394</v>
      </c>
      <c r="N385" s="557"/>
      <c r="O385" s="488">
        <f t="shared" si="5"/>
        <v>1359</v>
      </c>
      <c r="P385" s="389">
        <v>288.64</v>
      </c>
      <c r="Q385" s="391">
        <v>178.6</v>
      </c>
      <c r="R385" s="391">
        <v>76.54000000000002</v>
      </c>
      <c r="S385" s="391">
        <v>3.5</v>
      </c>
      <c r="T385" s="391">
        <v>30</v>
      </c>
      <c r="U385" s="391">
        <v>0</v>
      </c>
      <c r="V385" s="518"/>
    </row>
    <row r="386" spans="1:23" ht="35.1" customHeight="1" x14ac:dyDescent="0.25">
      <c r="A386" s="434">
        <v>385</v>
      </c>
      <c r="B386" s="95">
        <v>45136</v>
      </c>
      <c r="C386" s="434"/>
      <c r="D386" s="488"/>
      <c r="E386" s="435" t="s">
        <v>598</v>
      </c>
      <c r="F386" s="434">
        <v>300</v>
      </c>
      <c r="G386" s="434"/>
      <c r="H386" s="434"/>
      <c r="I386" s="434"/>
      <c r="J386" s="434"/>
      <c r="K386" s="434"/>
      <c r="L386" s="434"/>
      <c r="M386" s="434"/>
      <c r="N386" s="557"/>
      <c r="O386" s="488">
        <f t="shared" si="5"/>
        <v>300</v>
      </c>
      <c r="P386" s="389">
        <v>120.55629629629631</v>
      </c>
      <c r="Q386" s="391">
        <v>93.356296296296307</v>
      </c>
      <c r="R386" s="391">
        <v>7.1999999999999993</v>
      </c>
      <c r="S386" s="391">
        <v>0</v>
      </c>
      <c r="T386" s="391">
        <v>20</v>
      </c>
      <c r="U386" s="391">
        <v>0</v>
      </c>
      <c r="V386" s="518"/>
    </row>
    <row r="387" spans="1:23" ht="35.1" customHeight="1" x14ac:dyDescent="0.25">
      <c r="A387" s="190">
        <v>386</v>
      </c>
      <c r="B387" s="191">
        <v>45137</v>
      </c>
      <c r="C387" s="484"/>
      <c r="D387" s="484"/>
      <c r="E387" s="484"/>
      <c r="F387" s="484"/>
      <c r="G387" s="484"/>
      <c r="H387" s="484"/>
      <c r="I387" s="484"/>
      <c r="J387" s="484"/>
      <c r="K387" s="484"/>
      <c r="L387" s="484"/>
      <c r="M387" s="484"/>
      <c r="N387" s="562"/>
      <c r="O387" s="488">
        <f t="shared" si="5"/>
        <v>0</v>
      </c>
      <c r="P387" s="485"/>
      <c r="Q387" s="484"/>
      <c r="R387" s="484"/>
      <c r="S387" s="484"/>
      <c r="T387" s="484"/>
      <c r="U387" s="484"/>
    </row>
    <row r="388" spans="1:23" ht="35.1" customHeight="1" x14ac:dyDescent="0.25">
      <c r="A388" s="434">
        <v>387</v>
      </c>
      <c r="B388" s="95">
        <v>45138</v>
      </c>
      <c r="C388" s="434">
        <v>121</v>
      </c>
      <c r="D388" s="488"/>
      <c r="E388" s="435"/>
      <c r="F388" s="434"/>
      <c r="G388" s="434"/>
      <c r="H388" s="434"/>
      <c r="I388" s="434">
        <v>39</v>
      </c>
      <c r="J388" s="434"/>
      <c r="K388" s="434"/>
      <c r="L388" s="434">
        <v>100</v>
      </c>
      <c r="M388" s="434">
        <v>135</v>
      </c>
      <c r="N388" s="557"/>
      <c r="O388" s="488">
        <f t="shared" si="5"/>
        <v>274</v>
      </c>
      <c r="P388" s="389">
        <v>121.01629629629629</v>
      </c>
      <c r="Q388" s="391">
        <v>21.906296296296293</v>
      </c>
      <c r="R388" s="391">
        <v>47.11</v>
      </c>
      <c r="S388" s="391">
        <v>22</v>
      </c>
      <c r="T388" s="391">
        <v>30</v>
      </c>
      <c r="U388" s="391">
        <v>0</v>
      </c>
      <c r="V388" s="518"/>
    </row>
    <row r="389" spans="1:23" ht="82.5" customHeight="1" x14ac:dyDescent="0.25">
      <c r="A389" s="434">
        <v>388</v>
      </c>
      <c r="B389" s="95">
        <v>45139</v>
      </c>
      <c r="C389" s="434"/>
      <c r="D389" s="488"/>
      <c r="E389" s="435"/>
      <c r="F389" s="434"/>
      <c r="G389" s="434"/>
      <c r="H389" s="434">
        <v>410</v>
      </c>
      <c r="I389" s="434">
        <v>350</v>
      </c>
      <c r="J389" s="434"/>
      <c r="K389" s="434"/>
      <c r="L389" s="434">
        <v>481</v>
      </c>
      <c r="M389" s="434">
        <v>90</v>
      </c>
      <c r="N389" s="557"/>
      <c r="O389" s="488">
        <f t="shared" si="5"/>
        <v>1331</v>
      </c>
      <c r="P389" s="389">
        <v>296.30000000000007</v>
      </c>
      <c r="Q389" s="391">
        <v>238.84000000000003</v>
      </c>
      <c r="R389" s="391">
        <v>15</v>
      </c>
      <c r="S389" s="391">
        <v>0</v>
      </c>
      <c r="T389" s="391">
        <v>34.92</v>
      </c>
      <c r="U389" s="391">
        <v>7.54</v>
      </c>
      <c r="V389" s="518"/>
      <c r="W389" s="413" t="s">
        <v>620</v>
      </c>
    </row>
    <row r="390" spans="1:23" ht="35.1" customHeight="1" x14ac:dyDescent="0.25">
      <c r="A390" s="434">
        <v>389</v>
      </c>
      <c r="B390" s="95">
        <v>45140</v>
      </c>
      <c r="C390" s="434">
        <v>18</v>
      </c>
      <c r="D390" s="488"/>
      <c r="E390" s="435"/>
      <c r="F390" s="434"/>
      <c r="G390" s="434"/>
      <c r="H390" s="434">
        <v>1090</v>
      </c>
      <c r="I390" s="434">
        <v>304</v>
      </c>
      <c r="J390" s="434"/>
      <c r="K390" s="434"/>
      <c r="L390" s="434">
        <v>20</v>
      </c>
      <c r="M390" s="434">
        <v>47</v>
      </c>
      <c r="N390" s="557"/>
      <c r="O390" s="488">
        <f t="shared" si="5"/>
        <v>1461</v>
      </c>
      <c r="P390" s="389">
        <v>366.43000000000012</v>
      </c>
      <c r="Q390" s="391">
        <v>315.67000000000013</v>
      </c>
      <c r="R390" s="391">
        <v>37.260000000000005</v>
      </c>
      <c r="S390" s="391">
        <v>3.5</v>
      </c>
      <c r="T390" s="391">
        <v>10</v>
      </c>
      <c r="U390" s="391">
        <v>0</v>
      </c>
      <c r="V390" s="518"/>
    </row>
    <row r="391" spans="1:23" ht="35.1" customHeight="1" x14ac:dyDescent="0.25">
      <c r="A391" s="434">
        <v>390</v>
      </c>
      <c r="B391" s="95">
        <v>45141</v>
      </c>
      <c r="C391" s="434"/>
      <c r="D391" s="488">
        <v>18</v>
      </c>
      <c r="E391" s="435" t="s">
        <v>605</v>
      </c>
      <c r="F391" s="434">
        <v>48</v>
      </c>
      <c r="G391" s="434"/>
      <c r="H391" s="434">
        <v>150</v>
      </c>
      <c r="I391" s="434">
        <v>777</v>
      </c>
      <c r="J391" s="434"/>
      <c r="K391" s="434"/>
      <c r="L391" s="434">
        <v>241</v>
      </c>
      <c r="M391" s="434">
        <v>512</v>
      </c>
      <c r="N391" s="557"/>
      <c r="O391" s="488">
        <f t="shared" si="5"/>
        <v>1746</v>
      </c>
      <c r="P391" s="389">
        <v>362.43000000000006</v>
      </c>
      <c r="Q391" s="391">
        <v>235.99000000000007</v>
      </c>
      <c r="R391" s="391">
        <v>93.440000000000026</v>
      </c>
      <c r="S391" s="391">
        <v>18</v>
      </c>
      <c r="T391" s="391">
        <v>15</v>
      </c>
      <c r="U391" s="391">
        <v>0</v>
      </c>
      <c r="V391" s="518"/>
    </row>
    <row r="392" spans="1:23" ht="59.25" customHeight="1" x14ac:dyDescent="0.25">
      <c r="A392" s="434">
        <v>391</v>
      </c>
      <c r="B392" s="95">
        <v>45142</v>
      </c>
      <c r="C392" s="434"/>
      <c r="D392" s="488"/>
      <c r="E392" s="435" t="s">
        <v>608</v>
      </c>
      <c r="F392" s="434">
        <f>82+10</f>
        <v>92</v>
      </c>
      <c r="G392" s="434"/>
      <c r="H392" s="434"/>
      <c r="I392" s="434">
        <v>364</v>
      </c>
      <c r="J392" s="434"/>
      <c r="K392" s="434"/>
      <c r="L392" s="434"/>
      <c r="M392" s="434">
        <v>283</v>
      </c>
      <c r="N392" s="557"/>
      <c r="O392" s="488">
        <f t="shared" si="5"/>
        <v>739</v>
      </c>
      <c r="P392" s="389">
        <v>153.66629629629631</v>
      </c>
      <c r="Q392" s="391">
        <v>102.4562962962963</v>
      </c>
      <c r="R392" s="391">
        <v>23.650000000000002</v>
      </c>
      <c r="S392" s="391">
        <v>2.2699999999999996</v>
      </c>
      <c r="T392" s="391">
        <v>25</v>
      </c>
      <c r="U392" s="391">
        <v>0.29000000000000004</v>
      </c>
      <c r="V392" s="518"/>
      <c r="W392" s="413" t="s">
        <v>607</v>
      </c>
    </row>
    <row r="393" spans="1:23" ht="35.1" customHeight="1" x14ac:dyDescent="0.25">
      <c r="A393" s="434">
        <v>392</v>
      </c>
      <c r="B393" s="95">
        <v>45143</v>
      </c>
      <c r="C393" s="434"/>
      <c r="D393" s="488"/>
      <c r="E393" s="435" t="s">
        <v>609</v>
      </c>
      <c r="F393" s="434">
        <v>70</v>
      </c>
      <c r="G393" s="434">
        <v>7.18</v>
      </c>
      <c r="H393" s="434"/>
      <c r="I393" s="434">
        <v>204.82</v>
      </c>
      <c r="J393" s="434">
        <v>160</v>
      </c>
      <c r="K393" s="434"/>
      <c r="L393" s="434">
        <v>40</v>
      </c>
      <c r="M393" s="434">
        <v>589</v>
      </c>
      <c r="N393" s="557"/>
      <c r="O393" s="488">
        <f t="shared" si="5"/>
        <v>1071</v>
      </c>
      <c r="P393" s="389">
        <v>203.14851851851853</v>
      </c>
      <c r="Q393" s="391">
        <v>183.72851851851854</v>
      </c>
      <c r="R393" s="391">
        <v>0</v>
      </c>
      <c r="S393" s="391">
        <v>4.5</v>
      </c>
      <c r="T393" s="391">
        <v>14.920000000000002</v>
      </c>
      <c r="U393" s="391">
        <v>0</v>
      </c>
      <c r="V393" s="518"/>
    </row>
    <row r="394" spans="1:23" ht="35.1" customHeight="1" x14ac:dyDescent="0.25">
      <c r="A394" s="190">
        <v>393</v>
      </c>
      <c r="B394" s="191">
        <v>45144</v>
      </c>
      <c r="C394" s="190"/>
      <c r="D394" s="190"/>
      <c r="E394" s="250"/>
      <c r="F394" s="190"/>
      <c r="G394" s="190"/>
      <c r="H394" s="190"/>
      <c r="I394" s="190"/>
      <c r="J394" s="190"/>
      <c r="K394" s="190"/>
      <c r="L394" s="190"/>
      <c r="M394" s="190"/>
      <c r="N394" s="559"/>
      <c r="O394" s="190">
        <f t="shared" si="5"/>
        <v>0</v>
      </c>
      <c r="P394" s="394"/>
      <c r="Q394" s="395"/>
      <c r="R394" s="395"/>
      <c r="S394" s="395"/>
      <c r="T394" s="395"/>
      <c r="U394" s="395"/>
      <c r="V394" s="518"/>
    </row>
    <row r="395" spans="1:23" ht="35.1" customHeight="1" x14ac:dyDescent="0.25">
      <c r="A395" s="434">
        <v>394</v>
      </c>
      <c r="B395" s="95">
        <v>45145</v>
      </c>
      <c r="C395" s="434">
        <v>40</v>
      </c>
      <c r="D395" s="488"/>
      <c r="E395" s="492" t="s">
        <v>610</v>
      </c>
      <c r="F395" s="491">
        <f>10+48</f>
        <v>58</v>
      </c>
      <c r="G395" s="434"/>
      <c r="H395" s="434"/>
      <c r="I395" s="434">
        <v>146</v>
      </c>
      <c r="J395" s="434">
        <v>124</v>
      </c>
      <c r="K395" s="434"/>
      <c r="L395" s="434">
        <v>45</v>
      </c>
      <c r="M395" s="434">
        <v>449</v>
      </c>
      <c r="N395" s="557"/>
      <c r="O395" s="488">
        <f t="shared" si="5"/>
        <v>822</v>
      </c>
      <c r="P395" s="389">
        <v>189.81851851851857</v>
      </c>
      <c r="Q395" s="391">
        <v>176.49851851851855</v>
      </c>
      <c r="R395" s="391">
        <v>11.55</v>
      </c>
      <c r="S395" s="391">
        <v>0</v>
      </c>
      <c r="T395" s="391">
        <v>0</v>
      </c>
      <c r="U395" s="391">
        <v>1.77</v>
      </c>
      <c r="V395" s="518"/>
    </row>
    <row r="396" spans="1:23" ht="35.1" customHeight="1" x14ac:dyDescent="0.25">
      <c r="A396" s="434">
        <v>395</v>
      </c>
      <c r="B396" s="95">
        <v>45146</v>
      </c>
      <c r="C396" s="434"/>
      <c r="D396" s="488"/>
      <c r="E396" s="493"/>
      <c r="F396" s="493"/>
      <c r="G396" s="434"/>
      <c r="H396" s="434"/>
      <c r="I396" s="434">
        <v>57</v>
      </c>
      <c r="J396" s="434"/>
      <c r="K396" s="434"/>
      <c r="L396" s="434"/>
      <c r="M396" s="434">
        <v>86</v>
      </c>
      <c r="N396" s="557"/>
      <c r="O396" s="488">
        <f t="shared" si="5"/>
        <v>143</v>
      </c>
      <c r="P396" s="389">
        <v>32.839999999999996</v>
      </c>
      <c r="Q396" s="391">
        <v>32.839999999999996</v>
      </c>
      <c r="R396" s="391">
        <v>0</v>
      </c>
      <c r="S396" s="391">
        <v>0</v>
      </c>
      <c r="T396" s="391">
        <v>0</v>
      </c>
      <c r="U396" s="391">
        <v>0</v>
      </c>
      <c r="V396" s="518"/>
    </row>
    <row r="397" spans="1:23" ht="35.1" customHeight="1" x14ac:dyDescent="0.25">
      <c r="A397" s="434">
        <v>396</v>
      </c>
      <c r="B397" s="95">
        <v>45147</v>
      </c>
      <c r="C397" s="434"/>
      <c r="D397" s="488"/>
      <c r="E397" s="495" t="s">
        <v>617</v>
      </c>
      <c r="F397" s="495">
        <v>48</v>
      </c>
      <c r="G397" s="434"/>
      <c r="H397" s="434"/>
      <c r="I397" s="434">
        <v>368</v>
      </c>
      <c r="J397" s="434">
        <v>1175</v>
      </c>
      <c r="K397" s="434"/>
      <c r="L397" s="434"/>
      <c r="M397" s="434">
        <v>45</v>
      </c>
      <c r="N397" s="557"/>
      <c r="O397" s="488">
        <f t="shared" si="5"/>
        <v>1636</v>
      </c>
      <c r="P397" s="389">
        <v>378.27</v>
      </c>
      <c r="Q397" s="391">
        <v>143.32999999999998</v>
      </c>
      <c r="R397" s="391">
        <v>144.33000000000004</v>
      </c>
      <c r="S397" s="391">
        <v>9.9600000000000009</v>
      </c>
      <c r="T397" s="391">
        <v>80</v>
      </c>
      <c r="U397" s="391">
        <v>0.64999999999999991</v>
      </c>
      <c r="V397" s="518"/>
    </row>
    <row r="398" spans="1:23" ht="35.1" customHeight="1" x14ac:dyDescent="0.25">
      <c r="A398" s="434">
        <v>397</v>
      </c>
      <c r="B398" s="95">
        <v>45148</v>
      </c>
      <c r="C398" s="434"/>
      <c r="D398" s="488"/>
      <c r="E398" s="435" t="s">
        <v>619</v>
      </c>
      <c r="F398" s="434">
        <f>188+310</f>
        <v>498</v>
      </c>
      <c r="G398" s="434"/>
      <c r="H398" s="434"/>
      <c r="I398" s="434">
        <v>179</v>
      </c>
      <c r="J398" s="434">
        <v>80</v>
      </c>
      <c r="K398" s="434"/>
      <c r="L398" s="434">
        <v>5</v>
      </c>
      <c r="M398" s="434">
        <v>11</v>
      </c>
      <c r="N398" s="557"/>
      <c r="O398" s="488">
        <f t="shared" si="5"/>
        <v>773</v>
      </c>
      <c r="P398" s="389">
        <v>70.010000000000019</v>
      </c>
      <c r="Q398" s="391">
        <v>24.480000000000004</v>
      </c>
      <c r="R398" s="391">
        <v>41.160000000000011</v>
      </c>
      <c r="S398" s="391">
        <v>1.25</v>
      </c>
      <c r="T398" s="391">
        <v>0</v>
      </c>
      <c r="U398" s="391">
        <v>3.1199999999999997</v>
      </c>
      <c r="V398" s="518"/>
    </row>
    <row r="399" spans="1:23" ht="35.1" customHeight="1" x14ac:dyDescent="0.25">
      <c r="A399" s="434">
        <v>398</v>
      </c>
      <c r="B399" s="95">
        <v>45149</v>
      </c>
      <c r="C399" s="434"/>
      <c r="D399" s="488"/>
      <c r="E399" s="435"/>
      <c r="F399" s="434"/>
      <c r="G399" s="434"/>
      <c r="H399" s="434">
        <v>152</v>
      </c>
      <c r="I399" s="434">
        <v>205</v>
      </c>
      <c r="J399" s="434">
        <v>100</v>
      </c>
      <c r="K399" s="434"/>
      <c r="L399" s="434"/>
      <c r="M399" s="434">
        <v>100</v>
      </c>
      <c r="N399" s="557"/>
      <c r="O399" s="488">
        <f t="shared" si="5"/>
        <v>557</v>
      </c>
      <c r="P399" s="389">
        <v>140.44499999999999</v>
      </c>
      <c r="Q399" s="391">
        <v>80.935000000000002</v>
      </c>
      <c r="R399" s="391">
        <v>22.260000000000005</v>
      </c>
      <c r="S399" s="391">
        <v>2.25</v>
      </c>
      <c r="T399" s="391">
        <v>35</v>
      </c>
      <c r="U399" s="391">
        <v>0</v>
      </c>
      <c r="V399" s="518"/>
    </row>
    <row r="400" spans="1:23" ht="35.1" customHeight="1" x14ac:dyDescent="0.25">
      <c r="A400" s="434">
        <v>399</v>
      </c>
      <c r="B400" s="95">
        <v>45150</v>
      </c>
      <c r="C400" s="434"/>
      <c r="D400" s="488"/>
      <c r="E400" s="435"/>
      <c r="F400" s="434"/>
      <c r="G400" s="434"/>
      <c r="H400" s="434"/>
      <c r="I400" s="434">
        <v>84</v>
      </c>
      <c r="J400" s="434">
        <v>190</v>
      </c>
      <c r="K400" s="434"/>
      <c r="L400" s="434"/>
      <c r="M400" s="434">
        <v>156</v>
      </c>
      <c r="N400" s="557"/>
      <c r="O400" s="488">
        <f t="shared" si="5"/>
        <v>430</v>
      </c>
      <c r="P400" s="389">
        <v>106.8325925925926</v>
      </c>
      <c r="Q400" s="391">
        <v>71.832592592592604</v>
      </c>
      <c r="R400" s="391">
        <v>0</v>
      </c>
      <c r="S400" s="391">
        <v>0</v>
      </c>
      <c r="T400" s="391">
        <v>35</v>
      </c>
      <c r="U400" s="391">
        <v>0</v>
      </c>
      <c r="V400" s="518"/>
    </row>
    <row r="401" spans="1:23" ht="35.1" customHeight="1" x14ac:dyDescent="0.25">
      <c r="A401" s="190">
        <v>400</v>
      </c>
      <c r="B401" s="191">
        <v>45151</v>
      </c>
      <c r="C401" s="190"/>
      <c r="D401" s="190"/>
      <c r="E401" s="250"/>
      <c r="F401" s="190"/>
      <c r="G401" s="190"/>
      <c r="H401" s="190"/>
      <c r="I401" s="190"/>
      <c r="J401" s="190"/>
      <c r="K401" s="190"/>
      <c r="L401" s="190"/>
      <c r="M401" s="190"/>
      <c r="N401" s="559"/>
      <c r="O401" s="190">
        <f t="shared" si="5"/>
        <v>0</v>
      </c>
      <c r="P401" s="394"/>
      <c r="Q401" s="395"/>
      <c r="R401" s="395"/>
      <c r="S401" s="395"/>
      <c r="T401" s="395"/>
      <c r="U401" s="395"/>
      <c r="V401" s="518"/>
    </row>
    <row r="402" spans="1:23" ht="35.1" customHeight="1" x14ac:dyDescent="0.25">
      <c r="A402" s="434">
        <v>401</v>
      </c>
      <c r="B402" s="95">
        <v>45152</v>
      </c>
      <c r="C402" s="434"/>
      <c r="D402" s="488"/>
      <c r="E402" s="435"/>
      <c r="F402" s="434"/>
      <c r="G402" s="434"/>
      <c r="H402" s="434"/>
      <c r="I402" s="434">
        <v>110</v>
      </c>
      <c r="J402" s="434"/>
      <c r="K402" s="434"/>
      <c r="L402" s="434">
        <v>100</v>
      </c>
      <c r="M402" s="434">
        <v>161</v>
      </c>
      <c r="N402" s="557"/>
      <c r="O402" s="488">
        <f t="shared" si="5"/>
        <v>371</v>
      </c>
      <c r="P402" s="389">
        <v>74.186296296296305</v>
      </c>
      <c r="Q402" s="391">
        <v>29.256296296296302</v>
      </c>
      <c r="R402" s="391">
        <v>22.260000000000005</v>
      </c>
      <c r="S402" s="391">
        <v>8</v>
      </c>
      <c r="T402" s="391">
        <v>14.670000000000002</v>
      </c>
      <c r="U402" s="391">
        <v>0</v>
      </c>
      <c r="V402" s="518"/>
    </row>
    <row r="403" spans="1:23" ht="64.5" customHeight="1" x14ac:dyDescent="0.25">
      <c r="A403" s="434">
        <v>402</v>
      </c>
      <c r="B403" s="95">
        <v>45153</v>
      </c>
      <c r="C403" s="434"/>
      <c r="D403" s="488"/>
      <c r="E403" s="435" t="s">
        <v>621</v>
      </c>
      <c r="F403" s="434">
        <v>15</v>
      </c>
      <c r="G403" s="434"/>
      <c r="H403" s="434"/>
      <c r="I403" s="434">
        <v>51</v>
      </c>
      <c r="J403" s="434"/>
      <c r="K403" s="434"/>
      <c r="L403" s="434">
        <v>58</v>
      </c>
      <c r="M403" s="434">
        <v>249</v>
      </c>
      <c r="N403" s="557"/>
      <c r="O403" s="488">
        <f t="shared" si="5"/>
        <v>373</v>
      </c>
      <c r="P403" s="389">
        <v>91.610000000000014</v>
      </c>
      <c r="Q403" s="391">
        <v>34.99</v>
      </c>
      <c r="R403" s="391">
        <v>56.620000000000012</v>
      </c>
      <c r="S403" s="391">
        <v>0</v>
      </c>
      <c r="T403" s="391">
        <v>0</v>
      </c>
      <c r="U403" s="391">
        <v>0</v>
      </c>
      <c r="V403" s="518">
        <v>0</v>
      </c>
      <c r="W403" s="413" t="s">
        <v>622</v>
      </c>
    </row>
    <row r="404" spans="1:23" ht="35.1" customHeight="1" x14ac:dyDescent="0.25">
      <c r="A404" s="434">
        <v>403</v>
      </c>
      <c r="B404" s="95">
        <v>45154</v>
      </c>
      <c r="C404" s="434"/>
      <c r="D404" s="488"/>
      <c r="E404" s="435"/>
      <c r="F404" s="434"/>
      <c r="G404" s="434"/>
      <c r="H404" s="434"/>
      <c r="I404" s="434">
        <v>46</v>
      </c>
      <c r="J404" s="434">
        <v>219</v>
      </c>
      <c r="K404" s="434"/>
      <c r="L404" s="434">
        <v>250</v>
      </c>
      <c r="M404" s="434">
        <v>239</v>
      </c>
      <c r="N404" s="557"/>
      <c r="O404" s="488">
        <f t="shared" si="5"/>
        <v>754</v>
      </c>
      <c r="P404" s="389">
        <v>209.94000000000003</v>
      </c>
      <c r="Q404" s="391">
        <v>148.09000000000003</v>
      </c>
      <c r="R404" s="391">
        <v>0</v>
      </c>
      <c r="S404" s="391">
        <v>0</v>
      </c>
      <c r="T404" s="391">
        <v>60</v>
      </c>
      <c r="U404" s="391">
        <v>1.85</v>
      </c>
      <c r="V404" s="518"/>
    </row>
    <row r="405" spans="1:23" ht="35.1" customHeight="1" x14ac:dyDescent="0.25">
      <c r="A405" s="434">
        <v>404</v>
      </c>
      <c r="B405" s="95">
        <v>45155</v>
      </c>
      <c r="C405" s="434"/>
      <c r="D405" s="488"/>
      <c r="E405" s="435"/>
      <c r="F405" s="434"/>
      <c r="G405" s="434"/>
      <c r="H405" s="434"/>
      <c r="I405" s="434">
        <v>557</v>
      </c>
      <c r="J405" s="434">
        <v>341.2</v>
      </c>
      <c r="K405" s="434"/>
      <c r="L405" s="434">
        <v>13</v>
      </c>
      <c r="M405" s="434">
        <v>410</v>
      </c>
      <c r="N405" s="557"/>
      <c r="O405" s="488">
        <f t="shared" si="5"/>
        <v>1321.2</v>
      </c>
      <c r="P405" s="389">
        <v>322.04351851851857</v>
      </c>
      <c r="Q405" s="391">
        <v>161.49351851851856</v>
      </c>
      <c r="R405" s="391">
        <v>91.480000000000018</v>
      </c>
      <c r="S405" s="391">
        <v>6</v>
      </c>
      <c r="T405" s="391">
        <v>60</v>
      </c>
      <c r="U405" s="391">
        <v>3.0700000000000003</v>
      </c>
      <c r="V405" s="518"/>
    </row>
    <row r="406" spans="1:23" ht="35.1" customHeight="1" x14ac:dyDescent="0.25">
      <c r="A406" s="434">
        <v>405</v>
      </c>
      <c r="B406" s="95">
        <v>45156</v>
      </c>
      <c r="C406" s="434"/>
      <c r="D406" s="488"/>
      <c r="E406" s="435" t="s">
        <v>623</v>
      </c>
      <c r="F406" s="434">
        <f>29+24</f>
        <v>53</v>
      </c>
      <c r="G406" s="434"/>
      <c r="H406" s="434"/>
      <c r="I406" s="434">
        <v>182</v>
      </c>
      <c r="J406" s="434">
        <v>670</v>
      </c>
      <c r="K406" s="434"/>
      <c r="L406" s="434">
        <v>25</v>
      </c>
      <c r="M406" s="434">
        <v>170</v>
      </c>
      <c r="N406" s="557"/>
      <c r="O406" s="488">
        <f t="shared" si="5"/>
        <v>1100</v>
      </c>
      <c r="P406" s="389">
        <v>281.0535185185185</v>
      </c>
      <c r="Q406" s="391">
        <v>202.42351851851853</v>
      </c>
      <c r="R406" s="391">
        <v>28.810000000000006</v>
      </c>
      <c r="S406" s="391">
        <v>30</v>
      </c>
      <c r="T406" s="391">
        <v>19.819999999999993</v>
      </c>
      <c r="U406" s="391">
        <v>0</v>
      </c>
      <c r="V406" s="518"/>
    </row>
    <row r="407" spans="1:23" ht="35.1" customHeight="1" x14ac:dyDescent="0.25">
      <c r="A407" s="434">
        <v>406</v>
      </c>
      <c r="B407" s="95">
        <v>45157</v>
      </c>
      <c r="C407" s="434"/>
      <c r="D407" s="488"/>
      <c r="E407" s="435"/>
      <c r="F407" s="434"/>
      <c r="G407" s="434"/>
      <c r="H407" s="434"/>
      <c r="I407" s="434">
        <v>85</v>
      </c>
      <c r="J407" s="434"/>
      <c r="K407" s="434"/>
      <c r="L407" s="434">
        <v>290</v>
      </c>
      <c r="M407" s="434">
        <v>395</v>
      </c>
      <c r="N407" s="557"/>
      <c r="O407" s="488">
        <f t="shared" si="5"/>
        <v>770</v>
      </c>
      <c r="P407" s="389">
        <v>157.14000000000001</v>
      </c>
      <c r="Q407" s="391">
        <v>20.78</v>
      </c>
      <c r="R407" s="391">
        <v>35.360000000000007</v>
      </c>
      <c r="S407" s="391">
        <v>21</v>
      </c>
      <c r="T407" s="391">
        <v>80</v>
      </c>
      <c r="U407" s="391">
        <v>0</v>
      </c>
      <c r="V407" s="518"/>
    </row>
    <row r="408" spans="1:23" ht="35.1" customHeight="1" x14ac:dyDescent="0.25">
      <c r="A408" s="190">
        <v>407</v>
      </c>
      <c r="B408" s="191">
        <v>45158</v>
      </c>
      <c r="C408" s="190"/>
      <c r="D408" s="190"/>
      <c r="E408" s="250"/>
      <c r="F408" s="190"/>
      <c r="G408" s="190"/>
      <c r="H408" s="190"/>
      <c r="I408" s="190"/>
      <c r="J408" s="190"/>
      <c r="K408" s="190"/>
      <c r="L408" s="190"/>
      <c r="M408" s="190"/>
      <c r="N408" s="559"/>
      <c r="O408" s="190">
        <f t="shared" si="5"/>
        <v>0</v>
      </c>
      <c r="P408" s="394"/>
      <c r="Q408" s="395"/>
      <c r="R408" s="395"/>
      <c r="S408" s="395"/>
      <c r="T408" s="395"/>
      <c r="U408" s="395"/>
      <c r="V408" s="518"/>
    </row>
    <row r="409" spans="1:23" ht="61.5" customHeight="1" x14ac:dyDescent="0.25">
      <c r="A409" s="434">
        <v>408</v>
      </c>
      <c r="B409" s="95">
        <v>45159</v>
      </c>
      <c r="C409" s="434"/>
      <c r="D409" s="488"/>
      <c r="E409" s="435" t="s">
        <v>624</v>
      </c>
      <c r="F409" s="434">
        <f>45+80+193</f>
        <v>318</v>
      </c>
      <c r="G409" s="434"/>
      <c r="H409" s="434"/>
      <c r="I409" s="434">
        <v>97.5</v>
      </c>
      <c r="J409" s="434">
        <v>20</v>
      </c>
      <c r="K409" s="434"/>
      <c r="L409" s="434"/>
      <c r="M409" s="434">
        <v>201</v>
      </c>
      <c r="N409" s="557"/>
      <c r="O409" s="488">
        <f t="shared" si="5"/>
        <v>636.5</v>
      </c>
      <c r="P409" s="389">
        <v>101.34</v>
      </c>
      <c r="Q409" s="391">
        <v>72.34</v>
      </c>
      <c r="R409" s="391">
        <v>0</v>
      </c>
      <c r="S409" s="391">
        <v>9</v>
      </c>
      <c r="T409" s="391">
        <v>20</v>
      </c>
      <c r="U409" s="391">
        <v>0</v>
      </c>
      <c r="V409" s="518"/>
      <c r="W409" s="413" t="s">
        <v>625</v>
      </c>
    </row>
    <row r="410" spans="1:23" ht="35.1" customHeight="1" x14ac:dyDescent="0.25">
      <c r="A410" s="434">
        <v>409</v>
      </c>
      <c r="B410" s="95">
        <v>45160</v>
      </c>
      <c r="C410" s="434"/>
      <c r="D410" s="488"/>
      <c r="E410" s="435"/>
      <c r="F410" s="434"/>
      <c r="G410" s="434"/>
      <c r="H410" s="434"/>
      <c r="I410" s="434">
        <v>221</v>
      </c>
      <c r="J410" s="434">
        <v>150</v>
      </c>
      <c r="K410" s="434"/>
      <c r="L410" s="434"/>
      <c r="M410" s="434">
        <v>412</v>
      </c>
      <c r="N410" s="557"/>
      <c r="O410" s="488">
        <f t="shared" si="5"/>
        <v>783</v>
      </c>
      <c r="P410" s="389">
        <v>176.86</v>
      </c>
      <c r="Q410" s="391">
        <v>86.54000000000002</v>
      </c>
      <c r="R410" s="391">
        <v>41.78</v>
      </c>
      <c r="S410" s="391">
        <v>13.870000000000001</v>
      </c>
      <c r="T410" s="391">
        <v>34.67</v>
      </c>
      <c r="U410" s="391">
        <v>0</v>
      </c>
      <c r="V410" s="518"/>
    </row>
    <row r="411" spans="1:23" ht="35.1" customHeight="1" x14ac:dyDescent="0.25">
      <c r="A411" s="434">
        <v>410</v>
      </c>
      <c r="B411" s="95">
        <v>45161</v>
      </c>
      <c r="C411" s="434"/>
      <c r="D411" s="488"/>
      <c r="E411" s="435"/>
      <c r="F411" s="434"/>
      <c r="G411" s="434">
        <v>8</v>
      </c>
      <c r="H411" s="434"/>
      <c r="I411" s="434">
        <v>40</v>
      </c>
      <c r="J411" s="434">
        <v>80</v>
      </c>
      <c r="K411" s="434"/>
      <c r="L411" s="434"/>
      <c r="M411" s="434">
        <v>220</v>
      </c>
      <c r="N411" s="557"/>
      <c r="O411" s="488">
        <f t="shared" si="5"/>
        <v>348</v>
      </c>
      <c r="P411" s="389">
        <v>74.41</v>
      </c>
      <c r="Q411" s="391">
        <v>62.370000000000005</v>
      </c>
      <c r="R411" s="391">
        <v>-2.96</v>
      </c>
      <c r="S411" s="391">
        <v>0</v>
      </c>
      <c r="T411" s="391">
        <v>15</v>
      </c>
      <c r="U411" s="391">
        <v>0</v>
      </c>
      <c r="V411" s="518"/>
    </row>
    <row r="412" spans="1:23" ht="35.1" customHeight="1" x14ac:dyDescent="0.25">
      <c r="A412" s="434">
        <v>411</v>
      </c>
      <c r="B412" s="95">
        <v>45162</v>
      </c>
      <c r="C412" s="434"/>
      <c r="D412" s="488"/>
      <c r="E412" s="435" t="s">
        <v>626</v>
      </c>
      <c r="F412" s="434">
        <f>100+200</f>
        <v>300</v>
      </c>
      <c r="G412" s="434"/>
      <c r="H412" s="434"/>
      <c r="I412" s="434">
        <v>48</v>
      </c>
      <c r="J412" s="434"/>
      <c r="K412" s="434"/>
      <c r="L412" s="434"/>
      <c r="M412" s="434">
        <f>722-105</f>
        <v>617</v>
      </c>
      <c r="N412" s="557"/>
      <c r="O412" s="488">
        <f t="shared" si="5"/>
        <v>965</v>
      </c>
      <c r="P412" s="389">
        <v>136.11703703703705</v>
      </c>
      <c r="Q412" s="391">
        <v>100.57703703703703</v>
      </c>
      <c r="R412" s="391">
        <v>15.540000000000003</v>
      </c>
      <c r="S412" s="391">
        <v>0</v>
      </c>
      <c r="T412" s="391">
        <v>20</v>
      </c>
      <c r="U412" s="391">
        <v>0</v>
      </c>
      <c r="V412" s="518">
        <v>0</v>
      </c>
    </row>
    <row r="413" spans="1:23" ht="35.1" customHeight="1" x14ac:dyDescent="0.25">
      <c r="A413" s="434">
        <v>412</v>
      </c>
      <c r="B413" s="95">
        <v>45163</v>
      </c>
      <c r="C413" s="434"/>
      <c r="D413" s="488"/>
      <c r="E413" s="435"/>
      <c r="F413" s="434"/>
      <c r="G413" s="434"/>
      <c r="H413" s="434"/>
      <c r="I413" s="434">
        <v>50</v>
      </c>
      <c r="J413" s="434"/>
      <c r="K413" s="434"/>
      <c r="L413" s="434"/>
      <c r="M413" s="434">
        <f>250+87+30</f>
        <v>367</v>
      </c>
      <c r="N413" s="557"/>
      <c r="O413" s="488">
        <f t="shared" si="5"/>
        <v>417</v>
      </c>
      <c r="P413" s="389">
        <v>85.39</v>
      </c>
      <c r="Q413" s="391">
        <v>22.6</v>
      </c>
      <c r="R413" s="391">
        <v>0</v>
      </c>
      <c r="S413" s="391">
        <v>2.2699999999999996</v>
      </c>
      <c r="T413" s="391">
        <v>50</v>
      </c>
      <c r="U413" s="391">
        <v>10.52</v>
      </c>
      <c r="V413" s="518">
        <v>0</v>
      </c>
    </row>
    <row r="414" spans="1:23" ht="35.1" customHeight="1" x14ac:dyDescent="0.25">
      <c r="A414" s="434">
        <v>413</v>
      </c>
      <c r="B414" s="95">
        <v>45164</v>
      </c>
      <c r="C414" s="434"/>
      <c r="D414" s="488"/>
      <c r="E414" s="435"/>
      <c r="F414" s="434"/>
      <c r="G414" s="434"/>
      <c r="H414" s="434"/>
      <c r="I414" s="434">
        <v>138</v>
      </c>
      <c r="J414" s="434"/>
      <c r="K414" s="434"/>
      <c r="L414" s="434">
        <v>60</v>
      </c>
      <c r="M414" s="434">
        <v>139</v>
      </c>
      <c r="N414" s="557"/>
      <c r="O414" s="488">
        <f t="shared" si="5"/>
        <v>337</v>
      </c>
      <c r="P414" s="389">
        <v>103.29</v>
      </c>
      <c r="Q414" s="391">
        <v>94.009999999999991</v>
      </c>
      <c r="R414" s="391">
        <v>8.990000000000002</v>
      </c>
      <c r="S414" s="391">
        <v>0</v>
      </c>
      <c r="T414" s="391">
        <v>0</v>
      </c>
      <c r="U414" s="391">
        <v>0.29000000000000004</v>
      </c>
      <c r="V414" s="518"/>
    </row>
    <row r="415" spans="1:23" ht="35.1" customHeight="1" x14ac:dyDescent="0.25">
      <c r="A415" s="190">
        <v>414</v>
      </c>
      <c r="B415" s="191">
        <v>45165</v>
      </c>
      <c r="C415" s="190"/>
      <c r="D415" s="190"/>
      <c r="E415" s="250"/>
      <c r="F415" s="190"/>
      <c r="G415" s="190"/>
      <c r="H415" s="190"/>
      <c r="I415" s="190"/>
      <c r="J415" s="190"/>
      <c r="K415" s="190"/>
      <c r="L415" s="190"/>
      <c r="M415" s="190"/>
      <c r="N415" s="559"/>
      <c r="O415" s="190">
        <f t="shared" si="5"/>
        <v>0</v>
      </c>
      <c r="P415" s="394"/>
      <c r="Q415" s="395"/>
      <c r="R415" s="395"/>
      <c r="S415" s="395"/>
      <c r="T415" s="395"/>
      <c r="U415" s="395"/>
      <c r="V415" s="518"/>
    </row>
    <row r="416" spans="1:23" ht="35.1" customHeight="1" x14ac:dyDescent="0.25">
      <c r="A416" s="434">
        <v>415</v>
      </c>
      <c r="B416" s="95">
        <v>45166</v>
      </c>
      <c r="C416" s="434"/>
      <c r="D416" s="488"/>
      <c r="E416" s="435" t="s">
        <v>290</v>
      </c>
      <c r="F416" s="434">
        <v>60</v>
      </c>
      <c r="G416" s="434">
        <v>8</v>
      </c>
      <c r="H416" s="434"/>
      <c r="I416" s="434">
        <v>79</v>
      </c>
      <c r="J416" s="434"/>
      <c r="K416" s="434"/>
      <c r="L416" s="434"/>
      <c r="M416" s="434">
        <v>935</v>
      </c>
      <c r="N416" s="557"/>
      <c r="O416" s="488">
        <f t="shared" si="5"/>
        <v>1082</v>
      </c>
      <c r="P416" s="389">
        <v>229.24629629629624</v>
      </c>
      <c r="Q416" s="391">
        <v>171.61629629629624</v>
      </c>
      <c r="R416" s="391">
        <v>38.090000000000003</v>
      </c>
      <c r="S416" s="391">
        <v>4.5399999999999991</v>
      </c>
      <c r="T416" s="391">
        <v>15</v>
      </c>
      <c r="U416" s="391">
        <v>0</v>
      </c>
      <c r="V416" s="518"/>
    </row>
    <row r="417" spans="1:22" ht="35.1" customHeight="1" x14ac:dyDescent="0.25">
      <c r="A417" s="434">
        <v>416</v>
      </c>
      <c r="B417" s="95">
        <v>45167</v>
      </c>
      <c r="C417" s="434"/>
      <c r="D417" s="488"/>
      <c r="E417" s="435"/>
      <c r="F417" s="434"/>
      <c r="G417" s="434"/>
      <c r="H417" s="434"/>
      <c r="I417" s="434">
        <v>50</v>
      </c>
      <c r="J417" s="434">
        <v>354.46</v>
      </c>
      <c r="K417" s="434"/>
      <c r="L417" s="434">
        <v>148.54</v>
      </c>
      <c r="M417" s="434">
        <v>81</v>
      </c>
      <c r="N417" s="557"/>
      <c r="O417" s="488">
        <f t="shared" si="5"/>
        <v>634</v>
      </c>
      <c r="P417" s="389">
        <v>140.52000000000001</v>
      </c>
      <c r="Q417" s="391">
        <v>131.72</v>
      </c>
      <c r="R417" s="391">
        <v>5.8000000000000007</v>
      </c>
      <c r="S417" s="391">
        <v>3</v>
      </c>
      <c r="T417" s="391">
        <v>0</v>
      </c>
      <c r="U417" s="391">
        <v>0</v>
      </c>
      <c r="V417" s="518"/>
    </row>
    <row r="418" spans="1:22" ht="35.1" customHeight="1" x14ac:dyDescent="0.25">
      <c r="A418" s="434">
        <v>417</v>
      </c>
      <c r="B418" s="95">
        <v>45168</v>
      </c>
      <c r="C418" s="434"/>
      <c r="D418" s="488"/>
      <c r="E418" s="435"/>
      <c r="F418" s="434"/>
      <c r="G418" s="434"/>
      <c r="H418" s="434"/>
      <c r="I418" s="434">
        <v>553</v>
      </c>
      <c r="J418" s="434"/>
      <c r="K418" s="434"/>
      <c r="L418" s="434"/>
      <c r="M418" s="434">
        <v>273</v>
      </c>
      <c r="N418" s="557"/>
      <c r="O418" s="488">
        <f t="shared" si="5"/>
        <v>826</v>
      </c>
      <c r="P418" s="389">
        <v>186.74151851851855</v>
      </c>
      <c r="Q418" s="391">
        <v>83.898518518518529</v>
      </c>
      <c r="R418" s="391">
        <v>89.210000000000008</v>
      </c>
      <c r="S418" s="391">
        <v>0</v>
      </c>
      <c r="T418" s="391">
        <v>10</v>
      </c>
      <c r="U418" s="391">
        <v>3.6329999999999987</v>
      </c>
      <c r="V418" s="518"/>
    </row>
    <row r="419" spans="1:22" ht="35.1" customHeight="1" x14ac:dyDescent="0.25">
      <c r="A419" s="434">
        <v>418</v>
      </c>
      <c r="B419" s="95">
        <v>45169</v>
      </c>
      <c r="C419" s="434"/>
      <c r="D419" s="488"/>
      <c r="E419" s="435"/>
      <c r="F419" s="434"/>
      <c r="G419" s="434"/>
      <c r="H419" s="434"/>
      <c r="I419" s="434">
        <v>34</v>
      </c>
      <c r="J419" s="434">
        <v>18</v>
      </c>
      <c r="K419" s="434"/>
      <c r="L419" s="434">
        <v>70</v>
      </c>
      <c r="M419" s="434">
        <v>863</v>
      </c>
      <c r="N419" s="557"/>
      <c r="O419" s="488">
        <f t="shared" si="5"/>
        <v>985</v>
      </c>
      <c r="P419" s="389">
        <v>227.68000000000004</v>
      </c>
      <c r="Q419" s="391">
        <v>98.860000000000014</v>
      </c>
      <c r="R419" s="391">
        <v>22.57</v>
      </c>
      <c r="S419" s="391">
        <v>73.73</v>
      </c>
      <c r="T419" s="391">
        <v>25</v>
      </c>
      <c r="U419" s="391">
        <v>7.52</v>
      </c>
      <c r="V419" s="518"/>
    </row>
    <row r="420" spans="1:22" ht="35.1" customHeight="1" x14ac:dyDescent="0.25">
      <c r="A420" s="434">
        <v>419</v>
      </c>
      <c r="B420" s="95">
        <v>45170</v>
      </c>
      <c r="C420" s="434"/>
      <c r="D420" s="488"/>
      <c r="E420" s="435"/>
      <c r="F420" s="434"/>
      <c r="G420" s="434"/>
      <c r="H420" s="434"/>
      <c r="I420" s="434">
        <v>107</v>
      </c>
      <c r="J420" s="434">
        <v>880</v>
      </c>
      <c r="K420" s="434"/>
      <c r="L420" s="434">
        <v>90</v>
      </c>
      <c r="M420" s="434">
        <v>553</v>
      </c>
      <c r="N420" s="557"/>
      <c r="O420" s="488">
        <f t="shared" si="5"/>
        <v>1630</v>
      </c>
      <c r="P420" s="389">
        <v>345.54000000000008</v>
      </c>
      <c r="Q420" s="391">
        <v>235.44000000000005</v>
      </c>
      <c r="R420" s="391">
        <v>68.330000000000013</v>
      </c>
      <c r="S420" s="391">
        <v>0</v>
      </c>
      <c r="T420" s="391">
        <v>40</v>
      </c>
      <c r="U420" s="391">
        <v>1.77</v>
      </c>
      <c r="V420" s="518"/>
    </row>
    <row r="421" spans="1:22" ht="35.1" customHeight="1" x14ac:dyDescent="0.25">
      <c r="A421" s="434">
        <v>420</v>
      </c>
      <c r="B421" s="95">
        <v>45171</v>
      </c>
      <c r="C421" s="434"/>
      <c r="D421" s="488"/>
      <c r="E421" s="435"/>
      <c r="F421" s="434"/>
      <c r="G421" s="434"/>
      <c r="H421" s="434">
        <v>16</v>
      </c>
      <c r="I421" s="434">
        <v>20</v>
      </c>
      <c r="J421" s="434"/>
      <c r="K421" s="434"/>
      <c r="L421" s="434"/>
      <c r="M421" s="434">
        <v>120</v>
      </c>
      <c r="N421" s="557"/>
      <c r="O421" s="488">
        <f t="shared" si="5"/>
        <v>156</v>
      </c>
      <c r="P421" s="389">
        <v>28.950000000000003</v>
      </c>
      <c r="Q421" s="391">
        <v>6.8400000000000016</v>
      </c>
      <c r="R421" s="391">
        <v>2.11</v>
      </c>
      <c r="S421" s="391">
        <v>0</v>
      </c>
      <c r="T421" s="391">
        <v>20</v>
      </c>
      <c r="U421" s="391">
        <v>0</v>
      </c>
      <c r="V421" s="518"/>
    </row>
    <row r="422" spans="1:22" ht="35.1" customHeight="1" x14ac:dyDescent="0.25">
      <c r="A422" s="190">
        <v>421</v>
      </c>
      <c r="B422" s="191">
        <v>45172</v>
      </c>
      <c r="C422" s="190"/>
      <c r="D422" s="190"/>
      <c r="E422" s="250"/>
      <c r="F422" s="190"/>
      <c r="G422" s="190"/>
      <c r="H422" s="190"/>
      <c r="I422" s="190"/>
      <c r="J422" s="190"/>
      <c r="K422" s="190"/>
      <c r="L422" s="190"/>
      <c r="M422" s="190"/>
      <c r="N422" s="559"/>
      <c r="O422" s="190">
        <f t="shared" si="5"/>
        <v>0</v>
      </c>
      <c r="P422" s="394"/>
      <c r="Q422" s="395"/>
      <c r="R422" s="395"/>
      <c r="S422" s="395"/>
      <c r="T422" s="395"/>
      <c r="U422" s="395"/>
      <c r="V422" s="518"/>
    </row>
    <row r="423" spans="1:22" ht="35.1" customHeight="1" x14ac:dyDescent="0.25">
      <c r="A423" s="434">
        <v>422</v>
      </c>
      <c r="B423" s="95">
        <v>45173</v>
      </c>
      <c r="C423" s="434"/>
      <c r="D423" s="488"/>
      <c r="E423" s="435"/>
      <c r="F423" s="434"/>
      <c r="G423" s="434"/>
      <c r="H423" s="434"/>
      <c r="I423" s="434">
        <v>1154</v>
      </c>
      <c r="J423" s="434"/>
      <c r="K423" s="434"/>
      <c r="L423" s="434">
        <v>50</v>
      </c>
      <c r="M423" s="434">
        <v>78</v>
      </c>
      <c r="N423" s="557"/>
      <c r="O423" s="488">
        <f t="shared" si="5"/>
        <v>1282</v>
      </c>
      <c r="P423" s="389">
        <v>483.83629629629638</v>
      </c>
      <c r="Q423" s="391">
        <v>379.84629629629637</v>
      </c>
      <c r="R423" s="391">
        <v>6.5500000000000007</v>
      </c>
      <c r="S423" s="391">
        <v>67.52</v>
      </c>
      <c r="T423" s="391">
        <v>29.92</v>
      </c>
      <c r="U423" s="391">
        <v>0</v>
      </c>
      <c r="V423" s="518"/>
    </row>
    <row r="424" spans="1:22" ht="35.1" customHeight="1" x14ac:dyDescent="0.25">
      <c r="A424" s="434">
        <v>423</v>
      </c>
      <c r="B424" s="95">
        <v>45174</v>
      </c>
      <c r="C424" s="434"/>
      <c r="D424" s="488"/>
      <c r="E424" s="435"/>
      <c r="F424" s="434"/>
      <c r="G424" s="434">
        <v>3</v>
      </c>
      <c r="H424" s="434"/>
      <c r="I424" s="434">
        <v>137</v>
      </c>
      <c r="J424" s="434"/>
      <c r="K424" s="434"/>
      <c r="L424" s="434"/>
      <c r="M424" s="434">
        <v>384</v>
      </c>
      <c r="N424" s="557"/>
      <c r="O424" s="488">
        <f t="shared" si="5"/>
        <v>524</v>
      </c>
      <c r="P424" s="389">
        <v>110.84</v>
      </c>
      <c r="Q424" s="391">
        <v>58.160000000000011</v>
      </c>
      <c r="R424" s="391">
        <v>2.6799999999999997</v>
      </c>
      <c r="S424" s="391">
        <v>30</v>
      </c>
      <c r="T424" s="391">
        <v>20</v>
      </c>
      <c r="U424" s="391">
        <v>0</v>
      </c>
      <c r="V424" s="518"/>
    </row>
    <row r="425" spans="1:22" ht="35.1" customHeight="1" x14ac:dyDescent="0.25">
      <c r="A425" s="434">
        <v>424</v>
      </c>
      <c r="B425" s="95">
        <v>45175</v>
      </c>
      <c r="C425" s="434"/>
      <c r="D425" s="488"/>
      <c r="E425" s="435"/>
      <c r="F425" s="434"/>
      <c r="G425" s="434"/>
      <c r="H425" s="434"/>
      <c r="I425" s="434">
        <v>119</v>
      </c>
      <c r="J425" s="434">
        <v>346</v>
      </c>
      <c r="K425" s="434"/>
      <c r="L425" s="434">
        <v>48</v>
      </c>
      <c r="M425" s="434">
        <v>640</v>
      </c>
      <c r="N425" s="557"/>
      <c r="O425" s="488">
        <f t="shared" si="5"/>
        <v>1153</v>
      </c>
      <c r="P425" s="389">
        <v>260.0100000000001</v>
      </c>
      <c r="Q425" s="391">
        <v>227.68000000000009</v>
      </c>
      <c r="R425" s="391">
        <v>28.810000000000006</v>
      </c>
      <c r="S425" s="391">
        <v>0</v>
      </c>
      <c r="T425" s="391">
        <v>0</v>
      </c>
      <c r="U425" s="391">
        <v>3.5199999999999996</v>
      </c>
      <c r="V425" s="518"/>
    </row>
    <row r="426" spans="1:22" ht="35.1" customHeight="1" x14ac:dyDescent="0.25">
      <c r="A426" s="434">
        <v>425</v>
      </c>
      <c r="B426" s="95">
        <v>45176</v>
      </c>
      <c r="C426" s="434"/>
      <c r="D426" s="488"/>
      <c r="E426" s="435"/>
      <c r="F426" s="434"/>
      <c r="G426" s="434"/>
      <c r="H426" s="434"/>
      <c r="I426" s="434">
        <v>308</v>
      </c>
      <c r="J426" s="434">
        <v>300</v>
      </c>
      <c r="K426" s="434"/>
      <c r="L426" s="434"/>
      <c r="M426" s="434">
        <v>495</v>
      </c>
      <c r="N426" s="557"/>
      <c r="O426" s="488">
        <f t="shared" si="5"/>
        <v>1103</v>
      </c>
      <c r="P426" s="389">
        <v>229.14629629629638</v>
      </c>
      <c r="Q426" s="391">
        <v>214.47629629629637</v>
      </c>
      <c r="R426" s="391">
        <v>0</v>
      </c>
      <c r="S426" s="391">
        <v>0</v>
      </c>
      <c r="T426" s="391">
        <v>14.670000000000002</v>
      </c>
      <c r="U426" s="391">
        <v>0</v>
      </c>
      <c r="V426" s="518"/>
    </row>
    <row r="427" spans="1:22" ht="35.1" customHeight="1" x14ac:dyDescent="0.25">
      <c r="A427" s="434">
        <v>426</v>
      </c>
      <c r="B427" s="95">
        <v>45177</v>
      </c>
      <c r="C427" s="434"/>
      <c r="D427" s="488"/>
      <c r="E427" s="435"/>
      <c r="F427" s="434"/>
      <c r="G427" s="434"/>
      <c r="H427" s="434"/>
      <c r="I427" s="434">
        <v>1209</v>
      </c>
      <c r="J427" s="434">
        <v>505</v>
      </c>
      <c r="K427" s="434"/>
      <c r="L427" s="434"/>
      <c r="M427" s="434">
        <v>752</v>
      </c>
      <c r="N427" s="557"/>
      <c r="O427" s="488">
        <f t="shared" si="5"/>
        <v>2466</v>
      </c>
      <c r="P427" s="389">
        <f>SUM(Q427:V427)</f>
        <v>530.06851851851866</v>
      </c>
      <c r="Q427" s="391">
        <v>438.51851851851865</v>
      </c>
      <c r="R427" s="391">
        <v>31.920000000000009</v>
      </c>
      <c r="S427" s="391">
        <v>0</v>
      </c>
      <c r="T427" s="391">
        <v>54.67</v>
      </c>
      <c r="U427" s="391">
        <v>0.33999999999999986</v>
      </c>
      <c r="V427" s="518">
        <v>4.620000000000001</v>
      </c>
    </row>
    <row r="428" spans="1:22" ht="35.1" customHeight="1" x14ac:dyDescent="0.25">
      <c r="A428" s="434">
        <v>427</v>
      </c>
      <c r="B428" s="95">
        <v>45178</v>
      </c>
      <c r="C428" s="434"/>
      <c r="D428" s="488"/>
      <c r="E428" s="435"/>
      <c r="F428" s="434"/>
      <c r="G428" s="434"/>
      <c r="H428" s="434"/>
      <c r="I428" s="434">
        <v>118</v>
      </c>
      <c r="J428" s="434">
        <v>274</v>
      </c>
      <c r="K428" s="434"/>
      <c r="L428" s="434"/>
      <c r="M428" s="434">
        <v>779</v>
      </c>
      <c r="N428" s="557"/>
      <c r="O428" s="488">
        <f t="shared" si="5"/>
        <v>1171</v>
      </c>
      <c r="P428" s="389">
        <f>SUM(Q428:V428)</f>
        <v>216.27629629629629</v>
      </c>
      <c r="Q428" s="391">
        <v>82.646296296296299</v>
      </c>
      <c r="R428" s="391">
        <v>103.97000000000001</v>
      </c>
      <c r="S428" s="391">
        <v>0</v>
      </c>
      <c r="T428" s="391">
        <v>15</v>
      </c>
      <c r="U428" s="391">
        <v>7.89</v>
      </c>
      <c r="V428" s="518">
        <v>6.77</v>
      </c>
    </row>
    <row r="429" spans="1:22" ht="35.1" customHeight="1" x14ac:dyDescent="0.25">
      <c r="A429" s="190">
        <v>428</v>
      </c>
      <c r="B429" s="191">
        <v>45179</v>
      </c>
      <c r="C429" s="190"/>
      <c r="D429" s="190"/>
      <c r="E429" s="250"/>
      <c r="F429" s="190"/>
      <c r="G429" s="190"/>
      <c r="H429" s="190"/>
      <c r="I429" s="190"/>
      <c r="J429" s="190"/>
      <c r="K429" s="190"/>
      <c r="L429" s="190"/>
      <c r="M429" s="190"/>
      <c r="N429" s="559"/>
      <c r="O429" s="190">
        <f t="shared" si="5"/>
        <v>0</v>
      </c>
      <c r="P429" s="394"/>
      <c r="Q429" s="395"/>
      <c r="R429" s="395"/>
      <c r="S429" s="395"/>
      <c r="T429" s="395"/>
      <c r="U429" s="395"/>
      <c r="V429" s="520"/>
    </row>
    <row r="430" spans="1:22" ht="35.1" customHeight="1" x14ac:dyDescent="0.25">
      <c r="A430" s="284">
        <v>429</v>
      </c>
      <c r="B430" s="400">
        <v>45180</v>
      </c>
      <c r="C430" s="284"/>
      <c r="D430" s="284"/>
      <c r="E430" s="514" t="s">
        <v>505</v>
      </c>
      <c r="F430" s="284">
        <v>800</v>
      </c>
      <c r="G430" s="284"/>
      <c r="H430" s="284"/>
      <c r="I430" s="284">
        <v>714</v>
      </c>
      <c r="J430" s="284">
        <v>286</v>
      </c>
      <c r="K430" s="284"/>
      <c r="L430" s="284"/>
      <c r="M430" s="284">
        <v>1055</v>
      </c>
      <c r="N430" s="563"/>
      <c r="O430" s="284">
        <f t="shared" si="5"/>
        <v>2855</v>
      </c>
      <c r="P430" s="389">
        <f>SUM(Q430:V430)</f>
        <v>465.64629629629638</v>
      </c>
      <c r="Q430" s="521">
        <v>422.02629629629638</v>
      </c>
      <c r="R430" s="521">
        <v>28.770000000000003</v>
      </c>
      <c r="S430" s="521">
        <v>0</v>
      </c>
      <c r="T430" s="521">
        <v>0</v>
      </c>
      <c r="U430" s="521">
        <v>9</v>
      </c>
      <c r="V430" s="518">
        <v>5.8500000000000014</v>
      </c>
    </row>
    <row r="431" spans="1:22" ht="35.1" customHeight="1" x14ac:dyDescent="0.25">
      <c r="A431" s="434">
        <v>430</v>
      </c>
      <c r="B431" s="95">
        <v>45181</v>
      </c>
      <c r="C431" s="434"/>
      <c r="D431" s="488"/>
      <c r="E431" s="435"/>
      <c r="F431" s="434"/>
      <c r="G431" s="434">
        <v>114</v>
      </c>
      <c r="H431" s="434"/>
      <c r="I431" s="434">
        <v>95</v>
      </c>
      <c r="J431" s="434">
        <v>182</v>
      </c>
      <c r="K431" s="434"/>
      <c r="L431" s="434"/>
      <c r="M431" s="434">
        <v>1401</v>
      </c>
      <c r="N431" s="557"/>
      <c r="O431" s="488">
        <f t="shared" si="5"/>
        <v>1792</v>
      </c>
      <c r="P431" s="389">
        <f t="shared" ref="P431:P440" si="6">SUM(Q431:V431)</f>
        <v>385.82000000000005</v>
      </c>
      <c r="Q431" s="391">
        <v>345.22</v>
      </c>
      <c r="R431" s="391">
        <v>2.4400000000000004</v>
      </c>
      <c r="S431" s="391">
        <v>0</v>
      </c>
      <c r="T431" s="391">
        <v>30</v>
      </c>
      <c r="U431" s="391">
        <v>1.62</v>
      </c>
      <c r="V431" s="518">
        <v>6.54</v>
      </c>
    </row>
    <row r="432" spans="1:22" ht="35.1" customHeight="1" x14ac:dyDescent="0.25">
      <c r="A432" s="434">
        <v>431</v>
      </c>
      <c r="B432" s="95">
        <v>45182</v>
      </c>
      <c r="C432" s="434"/>
      <c r="D432" s="488"/>
      <c r="E432" s="435" t="s">
        <v>691</v>
      </c>
      <c r="F432" s="434">
        <v>47</v>
      </c>
      <c r="G432" s="434"/>
      <c r="H432" s="434"/>
      <c r="I432" s="434">
        <v>30</v>
      </c>
      <c r="J432" s="434">
        <v>21</v>
      </c>
      <c r="K432" s="434"/>
      <c r="L432" s="434">
        <v>50</v>
      </c>
      <c r="M432" s="434">
        <v>300</v>
      </c>
      <c r="N432" s="557"/>
      <c r="O432" s="488">
        <f t="shared" si="5"/>
        <v>448</v>
      </c>
      <c r="P432" s="389">
        <f t="shared" si="6"/>
        <v>112.7062962962963</v>
      </c>
      <c r="Q432" s="391">
        <v>102.21629629629631</v>
      </c>
      <c r="R432" s="391">
        <v>0</v>
      </c>
      <c r="S432" s="391">
        <v>6</v>
      </c>
      <c r="T432" s="391">
        <v>0</v>
      </c>
      <c r="U432" s="391">
        <v>0</v>
      </c>
      <c r="V432" s="518">
        <v>4.4899999999999984</v>
      </c>
    </row>
    <row r="433" spans="1:22" ht="35.1" customHeight="1" x14ac:dyDescent="0.25">
      <c r="A433" s="434">
        <v>432</v>
      </c>
      <c r="B433" s="95">
        <v>45183</v>
      </c>
      <c r="C433" s="434"/>
      <c r="D433" s="488"/>
      <c r="E433" s="435"/>
      <c r="F433" s="434"/>
      <c r="G433" s="434"/>
      <c r="H433" s="434">
        <v>30</v>
      </c>
      <c r="I433" s="434">
        <v>95</v>
      </c>
      <c r="J433" s="434">
        <v>29</v>
      </c>
      <c r="K433" s="434"/>
      <c r="L433" s="434">
        <v>4</v>
      </c>
      <c r="M433" s="434">
        <v>1311</v>
      </c>
      <c r="N433" s="557"/>
      <c r="O433" s="488">
        <f t="shared" si="5"/>
        <v>1469</v>
      </c>
      <c r="P433" s="389">
        <f t="shared" si="6"/>
        <v>330.16000000000008</v>
      </c>
      <c r="Q433" s="391">
        <v>316.31000000000012</v>
      </c>
      <c r="R433" s="391">
        <v>0.45000000000000018</v>
      </c>
      <c r="S433" s="391">
        <v>9</v>
      </c>
      <c r="T433" s="391">
        <v>0</v>
      </c>
      <c r="U433" s="391">
        <v>0</v>
      </c>
      <c r="V433" s="518">
        <v>4.3999999999999995</v>
      </c>
    </row>
    <row r="434" spans="1:22" ht="35.1" customHeight="1" x14ac:dyDescent="0.25">
      <c r="A434" s="434">
        <v>433</v>
      </c>
      <c r="B434" s="95">
        <v>45184</v>
      </c>
      <c r="C434" s="434"/>
      <c r="D434" s="488"/>
      <c r="E434" s="435" t="s">
        <v>694</v>
      </c>
      <c r="F434" s="434">
        <f>50+25</f>
        <v>75</v>
      </c>
      <c r="G434" s="434"/>
      <c r="H434" s="434"/>
      <c r="I434" s="434">
        <v>493</v>
      </c>
      <c r="J434" s="434">
        <v>196</v>
      </c>
      <c r="K434" s="434"/>
      <c r="L434" s="434">
        <v>37</v>
      </c>
      <c r="M434" s="434">
        <v>716</v>
      </c>
      <c r="N434" s="557"/>
      <c r="O434" s="488">
        <f t="shared" si="5"/>
        <v>1517</v>
      </c>
      <c r="P434" s="389">
        <f t="shared" si="6"/>
        <v>302.95851851851853</v>
      </c>
      <c r="Q434" s="391">
        <v>199.12851851851855</v>
      </c>
      <c r="R434" s="391">
        <v>16.190000000000001</v>
      </c>
      <c r="S434" s="391">
        <v>3.5</v>
      </c>
      <c r="T434" s="391">
        <v>54.67</v>
      </c>
      <c r="U434" s="391">
        <v>3.5199999999999996</v>
      </c>
      <c r="V434" s="518">
        <v>25.95</v>
      </c>
    </row>
    <row r="435" spans="1:22" ht="35.1" customHeight="1" x14ac:dyDescent="0.25">
      <c r="A435" s="434">
        <v>434</v>
      </c>
      <c r="B435" s="95">
        <v>45185</v>
      </c>
      <c r="C435" s="434"/>
      <c r="D435" s="488"/>
      <c r="E435" s="435"/>
      <c r="F435" s="434"/>
      <c r="G435" s="434">
        <v>80.209999999999994</v>
      </c>
      <c r="H435" s="434"/>
      <c r="I435" s="434">
        <v>738</v>
      </c>
      <c r="J435" s="434">
        <v>401</v>
      </c>
      <c r="K435" s="434"/>
      <c r="L435" s="434">
        <v>144.79</v>
      </c>
      <c r="M435" s="434">
        <v>502</v>
      </c>
      <c r="N435" s="557"/>
      <c r="O435" s="488">
        <f t="shared" si="5"/>
        <v>1866</v>
      </c>
      <c r="P435" s="389">
        <f t="shared" si="6"/>
        <v>411.01</v>
      </c>
      <c r="Q435" s="391">
        <v>297.18999999999994</v>
      </c>
      <c r="R435" s="391">
        <v>34.81</v>
      </c>
      <c r="S435" s="391">
        <v>0</v>
      </c>
      <c r="T435" s="391">
        <v>40</v>
      </c>
      <c r="U435" s="391">
        <v>6.42</v>
      </c>
      <c r="V435" s="518">
        <v>32.590000000000003</v>
      </c>
    </row>
    <row r="436" spans="1:22" ht="35.1" customHeight="1" x14ac:dyDescent="0.25">
      <c r="A436" s="190">
        <v>435</v>
      </c>
      <c r="B436" s="191">
        <v>45186</v>
      </c>
      <c r="C436" s="190"/>
      <c r="D436" s="190"/>
      <c r="E436" s="250"/>
      <c r="F436" s="190"/>
      <c r="G436" s="190"/>
      <c r="H436" s="190"/>
      <c r="I436" s="190"/>
      <c r="J436" s="190"/>
      <c r="K436" s="190"/>
      <c r="L436" s="190"/>
      <c r="M436" s="190"/>
      <c r="N436" s="559"/>
      <c r="O436" s="190">
        <f t="shared" si="5"/>
        <v>0</v>
      </c>
      <c r="P436" s="394"/>
      <c r="Q436" s="395"/>
      <c r="R436" s="395"/>
      <c r="S436" s="395"/>
      <c r="T436" s="395"/>
      <c r="U436" s="395"/>
      <c r="V436" s="520"/>
    </row>
    <row r="437" spans="1:22" ht="35.1" customHeight="1" x14ac:dyDescent="0.25">
      <c r="A437" s="434">
        <v>436</v>
      </c>
      <c r="B437" s="95">
        <v>45187</v>
      </c>
      <c r="C437" s="434"/>
      <c r="D437" s="488"/>
      <c r="E437" s="527" t="s">
        <v>696</v>
      </c>
      <c r="F437" s="526">
        <f>122+40</f>
        <v>162</v>
      </c>
      <c r="G437" s="434"/>
      <c r="H437" s="434"/>
      <c r="I437" s="434">
        <v>175</v>
      </c>
      <c r="J437" s="434">
        <v>181</v>
      </c>
      <c r="K437" s="434"/>
      <c r="L437" s="434">
        <v>338</v>
      </c>
      <c r="M437" s="434">
        <v>624</v>
      </c>
      <c r="N437" s="557"/>
      <c r="O437" s="488">
        <f t="shared" si="5"/>
        <v>1480</v>
      </c>
      <c r="P437" s="389">
        <f t="shared" si="6"/>
        <v>293.64333333333332</v>
      </c>
      <c r="Q437" s="391">
        <v>235.00333333333336</v>
      </c>
      <c r="R437" s="391">
        <v>23.670000000000005</v>
      </c>
      <c r="S437" s="391">
        <v>0</v>
      </c>
      <c r="T437" s="391">
        <v>15</v>
      </c>
      <c r="U437" s="391">
        <v>1.03</v>
      </c>
      <c r="V437" s="518">
        <v>18.939999999999998</v>
      </c>
    </row>
    <row r="438" spans="1:22" ht="35.1" customHeight="1" x14ac:dyDescent="0.25">
      <c r="A438" s="434">
        <v>437</v>
      </c>
      <c r="B438" s="95">
        <v>45188</v>
      </c>
      <c r="C438" s="434"/>
      <c r="D438" s="488"/>
      <c r="E438" s="435"/>
      <c r="F438" s="434"/>
      <c r="G438" s="434"/>
      <c r="H438" s="434">
        <v>518</v>
      </c>
      <c r="I438" s="434">
        <v>645</v>
      </c>
      <c r="J438" s="434">
        <f>273+133</f>
        <v>406</v>
      </c>
      <c r="K438" s="434"/>
      <c r="L438" s="434">
        <v>80</v>
      </c>
      <c r="M438" s="434">
        <v>286</v>
      </c>
      <c r="N438" s="557"/>
      <c r="O438" s="488">
        <f t="shared" si="5"/>
        <v>1935</v>
      </c>
      <c r="P438" s="389">
        <f t="shared" si="6"/>
        <v>411.72611111111109</v>
      </c>
      <c r="Q438" s="391">
        <v>365.32611111111112</v>
      </c>
      <c r="R438" s="391">
        <v>2.4400000000000004</v>
      </c>
      <c r="S438" s="391">
        <v>0</v>
      </c>
      <c r="T438" s="391">
        <v>15</v>
      </c>
      <c r="U438" s="391">
        <v>10.559999999999999</v>
      </c>
      <c r="V438" s="518">
        <v>18.399999999999999</v>
      </c>
    </row>
    <row r="439" spans="1:22" ht="35.1" customHeight="1" x14ac:dyDescent="0.25">
      <c r="A439" s="434">
        <v>438</v>
      </c>
      <c r="B439" s="95">
        <v>45189</v>
      </c>
      <c r="C439" s="434"/>
      <c r="D439" s="488"/>
      <c r="E439" s="435"/>
      <c r="F439" s="434"/>
      <c r="G439" s="434"/>
      <c r="H439" s="434"/>
      <c r="I439" s="434">
        <v>378</v>
      </c>
      <c r="J439" s="434"/>
      <c r="K439" s="434"/>
      <c r="L439" s="434"/>
      <c r="M439" s="434">
        <v>220</v>
      </c>
      <c r="N439" s="557"/>
      <c r="O439" s="488">
        <f t="shared" si="5"/>
        <v>598</v>
      </c>
      <c r="P439" s="389">
        <f t="shared" si="6"/>
        <v>138.93629629629629</v>
      </c>
      <c r="Q439" s="391">
        <v>96.666296296296281</v>
      </c>
      <c r="R439" s="391">
        <v>24.700000000000006</v>
      </c>
      <c r="S439" s="391">
        <v>0</v>
      </c>
      <c r="T439" s="391">
        <v>0</v>
      </c>
      <c r="U439" s="391">
        <v>0</v>
      </c>
      <c r="V439" s="518">
        <v>17.57</v>
      </c>
    </row>
    <row r="440" spans="1:22" ht="35.1" customHeight="1" x14ac:dyDescent="0.25">
      <c r="A440" s="434">
        <v>439</v>
      </c>
      <c r="B440" s="95">
        <v>45190</v>
      </c>
      <c r="C440" s="434"/>
      <c r="D440" s="488"/>
      <c r="E440" s="435"/>
      <c r="F440" s="434"/>
      <c r="G440" s="434"/>
      <c r="H440" s="434"/>
      <c r="I440" s="434">
        <v>76</v>
      </c>
      <c r="J440" s="434"/>
      <c r="K440" s="434"/>
      <c r="L440" s="434"/>
      <c r="M440" s="434">
        <v>651</v>
      </c>
      <c r="N440" s="557"/>
      <c r="O440" s="488">
        <f t="shared" ref="O440:O504" si="7">SUM(G440:N440)+F440+D440</f>
        <v>727</v>
      </c>
      <c r="P440" s="389">
        <f t="shared" si="6"/>
        <v>150.24000000000004</v>
      </c>
      <c r="Q440" s="391">
        <v>137.77000000000004</v>
      </c>
      <c r="R440" s="391">
        <v>0</v>
      </c>
      <c r="S440" s="391">
        <v>0</v>
      </c>
      <c r="T440" s="391">
        <v>0</v>
      </c>
      <c r="U440" s="391">
        <v>0</v>
      </c>
      <c r="V440" s="518">
        <v>12.469999999999999</v>
      </c>
    </row>
    <row r="441" spans="1:22" ht="35.1" customHeight="1" x14ac:dyDescent="0.25">
      <c r="A441" s="434">
        <v>440</v>
      </c>
      <c r="B441" s="95">
        <v>45191</v>
      </c>
      <c r="C441" s="434"/>
      <c r="D441" s="488"/>
      <c r="E441" s="435"/>
      <c r="F441" s="434"/>
      <c r="G441" s="434"/>
      <c r="H441" s="434"/>
      <c r="I441" s="434">
        <v>271</v>
      </c>
      <c r="J441" s="434">
        <v>71</v>
      </c>
      <c r="K441" s="434"/>
      <c r="L441" s="434"/>
      <c r="M441" s="434">
        <v>729</v>
      </c>
      <c r="N441" s="557"/>
      <c r="O441" s="488">
        <f t="shared" si="7"/>
        <v>1071</v>
      </c>
      <c r="P441" s="807">
        <f>SUM(Q441:V445)</f>
        <v>1053.8785185185186</v>
      </c>
      <c r="Q441" s="810">
        <v>661.26851851851859</v>
      </c>
      <c r="R441" s="810">
        <v>170.50000000000006</v>
      </c>
      <c r="S441" s="810">
        <v>24.5</v>
      </c>
      <c r="T441" s="810">
        <v>99.92</v>
      </c>
      <c r="U441" s="810">
        <v>9.65</v>
      </c>
      <c r="V441" s="813">
        <v>88.04</v>
      </c>
    </row>
    <row r="442" spans="1:22" ht="35.1" customHeight="1" x14ac:dyDescent="0.25">
      <c r="A442" s="434">
        <v>441</v>
      </c>
      <c r="B442" s="95">
        <v>45192</v>
      </c>
      <c r="C442" s="434"/>
      <c r="D442" s="488"/>
      <c r="E442" s="435" t="s">
        <v>505</v>
      </c>
      <c r="F442" s="434">
        <v>265</v>
      </c>
      <c r="G442" s="434"/>
      <c r="H442" s="434"/>
      <c r="I442" s="434">
        <v>80</v>
      </c>
      <c r="J442" s="434">
        <v>220</v>
      </c>
      <c r="K442" s="434"/>
      <c r="L442" s="434"/>
      <c r="M442" s="434">
        <v>410</v>
      </c>
      <c r="N442" s="557"/>
      <c r="O442" s="488">
        <f t="shared" si="7"/>
        <v>975</v>
      </c>
      <c r="P442" s="808"/>
      <c r="Q442" s="811"/>
      <c r="R442" s="811"/>
      <c r="S442" s="811"/>
      <c r="T442" s="811"/>
      <c r="U442" s="811"/>
      <c r="V442" s="814"/>
    </row>
    <row r="443" spans="1:22" ht="35.1" customHeight="1" x14ac:dyDescent="0.25">
      <c r="A443" s="190">
        <v>442</v>
      </c>
      <c r="B443" s="191">
        <v>45193</v>
      </c>
      <c r="C443" s="190"/>
      <c r="D443" s="190"/>
      <c r="E443" s="250"/>
      <c r="F443" s="190"/>
      <c r="G443" s="190"/>
      <c r="H443" s="190"/>
      <c r="I443" s="190"/>
      <c r="J443" s="190"/>
      <c r="K443" s="190"/>
      <c r="L443" s="190"/>
      <c r="M443" s="190"/>
      <c r="N443" s="559"/>
      <c r="O443" s="190">
        <f t="shared" si="7"/>
        <v>0</v>
      </c>
      <c r="P443" s="808"/>
      <c r="Q443" s="811"/>
      <c r="R443" s="811"/>
      <c r="S443" s="811"/>
      <c r="T443" s="811"/>
      <c r="U443" s="811"/>
      <c r="V443" s="814"/>
    </row>
    <row r="444" spans="1:22" ht="35.1" customHeight="1" x14ac:dyDescent="0.25">
      <c r="A444" s="434">
        <v>443</v>
      </c>
      <c r="B444" s="95">
        <v>45194</v>
      </c>
      <c r="C444" s="434"/>
      <c r="D444" s="488"/>
      <c r="E444" s="435"/>
      <c r="F444" s="434"/>
      <c r="G444" s="434"/>
      <c r="H444" s="434"/>
      <c r="I444" s="434">
        <v>382</v>
      </c>
      <c r="J444" s="434"/>
      <c r="K444" s="434"/>
      <c r="L444" s="434">
        <v>7</v>
      </c>
      <c r="M444" s="434">
        <v>1300</v>
      </c>
      <c r="N444" s="557"/>
      <c r="O444" s="488">
        <f t="shared" si="7"/>
        <v>1689</v>
      </c>
      <c r="P444" s="808"/>
      <c r="Q444" s="811"/>
      <c r="R444" s="811"/>
      <c r="S444" s="811"/>
      <c r="T444" s="811"/>
      <c r="U444" s="811"/>
      <c r="V444" s="814"/>
    </row>
    <row r="445" spans="1:22" ht="35.1" customHeight="1" x14ac:dyDescent="0.25">
      <c r="A445" s="434">
        <v>444</v>
      </c>
      <c r="B445" s="95">
        <v>45195</v>
      </c>
      <c r="C445" s="434"/>
      <c r="D445" s="488"/>
      <c r="E445" s="435"/>
      <c r="F445" s="434"/>
      <c r="G445" s="434"/>
      <c r="H445" s="434"/>
      <c r="I445" s="434">
        <v>98</v>
      </c>
      <c r="J445" s="434"/>
      <c r="K445" s="434"/>
      <c r="L445" s="434">
        <v>16</v>
      </c>
      <c r="M445" s="434">
        <v>152</v>
      </c>
      <c r="N445" s="557"/>
      <c r="O445" s="488">
        <f t="shared" si="7"/>
        <v>266</v>
      </c>
      <c r="P445" s="809"/>
      <c r="Q445" s="812"/>
      <c r="R445" s="812"/>
      <c r="S445" s="812"/>
      <c r="T445" s="812"/>
      <c r="U445" s="812"/>
      <c r="V445" s="815"/>
    </row>
    <row r="446" spans="1:22" ht="35.1" customHeight="1" x14ac:dyDescent="0.25">
      <c r="A446" s="434">
        <v>445</v>
      </c>
      <c r="B446" s="95">
        <v>45196</v>
      </c>
      <c r="C446" s="434"/>
      <c r="D446" s="488"/>
      <c r="E446" s="435"/>
      <c r="F446" s="434"/>
      <c r="G446" s="434"/>
      <c r="H446" s="434"/>
      <c r="I446" s="434">
        <v>60</v>
      </c>
      <c r="J446" s="434"/>
      <c r="K446" s="434"/>
      <c r="L446" s="434"/>
      <c r="M446" s="434">
        <v>314</v>
      </c>
      <c r="N446" s="557"/>
      <c r="O446" s="488">
        <f t="shared" si="7"/>
        <v>374</v>
      </c>
      <c r="P446" s="389">
        <f t="shared" ref="P446:P469" si="8">SUM(Q446:V446)</f>
        <v>162.65</v>
      </c>
      <c r="Q446" s="391">
        <v>51.39</v>
      </c>
      <c r="R446" s="391">
        <v>30.370000000000005</v>
      </c>
      <c r="S446" s="391">
        <v>0</v>
      </c>
      <c r="T446" s="391">
        <v>0</v>
      </c>
      <c r="U446" s="391">
        <v>12.54</v>
      </c>
      <c r="V446" s="518">
        <v>68.349999999999994</v>
      </c>
    </row>
    <row r="447" spans="1:22" ht="35.1" customHeight="1" x14ac:dyDescent="0.25">
      <c r="A447" s="434">
        <v>446</v>
      </c>
      <c r="B447" s="95">
        <v>45197</v>
      </c>
      <c r="C447" s="434"/>
      <c r="D447" s="488"/>
      <c r="E447" s="435"/>
      <c r="F447" s="434"/>
      <c r="G447" s="434"/>
      <c r="H447" s="434"/>
      <c r="I447" s="434">
        <v>187</v>
      </c>
      <c r="J447" s="434">
        <v>36</v>
      </c>
      <c r="K447" s="434"/>
      <c r="L447" s="434"/>
      <c r="M447" s="434">
        <v>832</v>
      </c>
      <c r="N447" s="557"/>
      <c r="O447" s="488">
        <f t="shared" si="7"/>
        <v>1055</v>
      </c>
      <c r="P447" s="389">
        <f t="shared" si="8"/>
        <v>279.97000000000003</v>
      </c>
      <c r="Q447" s="391">
        <v>255.83</v>
      </c>
      <c r="R447" s="391">
        <v>0</v>
      </c>
      <c r="S447" s="391">
        <v>0</v>
      </c>
      <c r="T447" s="391">
        <v>20</v>
      </c>
      <c r="U447" s="391">
        <v>4.1399999999999997</v>
      </c>
      <c r="V447" s="518">
        <v>0</v>
      </c>
    </row>
    <row r="448" spans="1:22" ht="35.1" customHeight="1" x14ac:dyDescent="0.25">
      <c r="A448" s="434">
        <v>447</v>
      </c>
      <c r="B448" s="95">
        <v>45198</v>
      </c>
      <c r="C448" s="434"/>
      <c r="D448" s="488"/>
      <c r="E448" s="435" t="s">
        <v>702</v>
      </c>
      <c r="F448" s="434">
        <f>25+15+5</f>
        <v>45</v>
      </c>
      <c r="G448" s="434"/>
      <c r="H448" s="434"/>
      <c r="I448" s="434">
        <v>54</v>
      </c>
      <c r="J448" s="434">
        <v>42</v>
      </c>
      <c r="K448" s="434"/>
      <c r="L448" s="434">
        <v>5</v>
      </c>
      <c r="M448" s="434">
        <v>288</v>
      </c>
      <c r="N448" s="557"/>
      <c r="O448" s="488">
        <f t="shared" si="7"/>
        <v>434</v>
      </c>
      <c r="P448" s="389">
        <f t="shared" si="8"/>
        <v>114.86629629629633</v>
      </c>
      <c r="Q448" s="391">
        <v>25.976296296296297</v>
      </c>
      <c r="R448" s="391">
        <v>68.890000000000029</v>
      </c>
      <c r="S448" s="391">
        <v>0</v>
      </c>
      <c r="T448" s="391">
        <v>20</v>
      </c>
      <c r="U448" s="391">
        <v>0</v>
      </c>
      <c r="V448" s="518">
        <v>0</v>
      </c>
    </row>
    <row r="449" spans="1:22" ht="35.1" customHeight="1" x14ac:dyDescent="0.25">
      <c r="A449" s="434">
        <v>448</v>
      </c>
      <c r="B449" s="95">
        <v>45199</v>
      </c>
      <c r="C449" s="434"/>
      <c r="D449" s="488"/>
      <c r="E449" s="435"/>
      <c r="F449" s="434"/>
      <c r="G449" s="434"/>
      <c r="H449" s="434"/>
      <c r="I449" s="434">
        <v>28</v>
      </c>
      <c r="J449" s="434"/>
      <c r="K449" s="434"/>
      <c r="L449" s="434">
        <v>55</v>
      </c>
      <c r="M449" s="434">
        <v>149</v>
      </c>
      <c r="N449" s="557"/>
      <c r="O449" s="488">
        <f t="shared" si="7"/>
        <v>232</v>
      </c>
      <c r="P449" s="389">
        <f t="shared" si="8"/>
        <v>49.016296296296289</v>
      </c>
      <c r="Q449" s="391">
        <v>24.506296296296295</v>
      </c>
      <c r="R449" s="391">
        <v>5.4600000000000009</v>
      </c>
      <c r="S449" s="391">
        <v>0</v>
      </c>
      <c r="T449" s="391">
        <v>14.670000000000002</v>
      </c>
      <c r="U449" s="391">
        <v>1.2999999999999998</v>
      </c>
      <c r="V449" s="518">
        <v>3.08</v>
      </c>
    </row>
    <row r="450" spans="1:22" ht="35.1" customHeight="1" x14ac:dyDescent="0.25">
      <c r="A450" s="190">
        <v>449</v>
      </c>
      <c r="B450" s="191">
        <v>45200</v>
      </c>
      <c r="C450" s="190"/>
      <c r="D450" s="190"/>
      <c r="E450" s="250"/>
      <c r="F450" s="190"/>
      <c r="G450" s="190"/>
      <c r="H450" s="190"/>
      <c r="I450" s="190"/>
      <c r="J450" s="190"/>
      <c r="K450" s="190"/>
      <c r="L450" s="190"/>
      <c r="M450" s="190"/>
      <c r="N450" s="559"/>
      <c r="O450" s="190">
        <f t="shared" si="7"/>
        <v>0</v>
      </c>
      <c r="P450" s="394"/>
      <c r="Q450" s="395"/>
      <c r="R450" s="395"/>
      <c r="S450" s="395"/>
      <c r="T450" s="395"/>
      <c r="U450" s="395"/>
      <c r="V450" s="520"/>
    </row>
    <row r="451" spans="1:22" ht="35.1" customHeight="1" x14ac:dyDescent="0.25">
      <c r="A451" s="434">
        <v>450</v>
      </c>
      <c r="B451" s="95">
        <v>45201</v>
      </c>
      <c r="C451" s="434"/>
      <c r="D451" s="488"/>
      <c r="E451" s="435" t="s">
        <v>703</v>
      </c>
      <c r="F451" s="434">
        <f>50+15</f>
        <v>65</v>
      </c>
      <c r="G451" s="434"/>
      <c r="H451" s="434"/>
      <c r="I451" s="434">
        <v>223</v>
      </c>
      <c r="J451" s="434"/>
      <c r="K451" s="434"/>
      <c r="L451" s="434"/>
      <c r="M451" s="434">
        <v>370</v>
      </c>
      <c r="N451" s="557"/>
      <c r="O451" s="488">
        <f t="shared" si="7"/>
        <v>658</v>
      </c>
      <c r="P451" s="389">
        <f t="shared" si="8"/>
        <v>158.89000000000004</v>
      </c>
      <c r="Q451" s="391">
        <v>101.20000000000002</v>
      </c>
      <c r="R451" s="391">
        <v>30.630000000000003</v>
      </c>
      <c r="S451" s="391">
        <v>6.3900000000000006</v>
      </c>
      <c r="T451" s="391">
        <v>14.670000000000002</v>
      </c>
      <c r="U451" s="391">
        <v>1.59</v>
      </c>
      <c r="V451" s="518">
        <v>4.41</v>
      </c>
    </row>
    <row r="452" spans="1:22" ht="35.1" customHeight="1" x14ac:dyDescent="0.25">
      <c r="A452" s="434">
        <v>451</v>
      </c>
      <c r="B452" s="95">
        <v>45202</v>
      </c>
      <c r="C452" s="434"/>
      <c r="D452" s="488"/>
      <c r="E452" s="435"/>
      <c r="F452" s="434"/>
      <c r="G452" s="434"/>
      <c r="H452" s="434"/>
      <c r="I452" s="434">
        <v>34</v>
      </c>
      <c r="J452" s="434"/>
      <c r="K452" s="434"/>
      <c r="L452" s="434"/>
      <c r="M452" s="434">
        <v>439</v>
      </c>
      <c r="N452" s="557"/>
      <c r="O452" s="488">
        <f t="shared" si="7"/>
        <v>473</v>
      </c>
      <c r="P452" s="389">
        <f t="shared" si="8"/>
        <v>97.090000000000018</v>
      </c>
      <c r="Q452" s="391">
        <v>32.290000000000006</v>
      </c>
      <c r="R452" s="391">
        <v>27.260000000000005</v>
      </c>
      <c r="S452" s="391">
        <v>0</v>
      </c>
      <c r="T452" s="391">
        <v>14.920000000000002</v>
      </c>
      <c r="U452" s="391">
        <v>1.25</v>
      </c>
      <c r="V452" s="518">
        <v>21.37</v>
      </c>
    </row>
    <row r="453" spans="1:22" ht="35.1" customHeight="1" x14ac:dyDescent="0.25">
      <c r="A453" s="434">
        <v>452</v>
      </c>
      <c r="B453" s="95">
        <v>45203</v>
      </c>
      <c r="C453" s="434"/>
      <c r="D453" s="488"/>
      <c r="E453" s="435"/>
      <c r="F453" s="434"/>
      <c r="G453" s="434"/>
      <c r="H453" s="434"/>
      <c r="I453" s="434">
        <v>23</v>
      </c>
      <c r="J453" s="434"/>
      <c r="K453" s="434"/>
      <c r="L453" s="434"/>
      <c r="M453" s="434">
        <v>188</v>
      </c>
      <c r="N453" s="557"/>
      <c r="O453" s="488">
        <f t="shared" si="7"/>
        <v>211</v>
      </c>
      <c r="P453" s="389">
        <f t="shared" si="8"/>
        <v>50.816296296296301</v>
      </c>
      <c r="Q453" s="391">
        <v>32.836296296296297</v>
      </c>
      <c r="R453" s="391">
        <v>9.120000000000001</v>
      </c>
      <c r="S453" s="391">
        <v>3.5</v>
      </c>
      <c r="T453" s="391">
        <v>0</v>
      </c>
      <c r="U453" s="391">
        <v>0.58000000000000007</v>
      </c>
      <c r="V453" s="518">
        <v>4.7800000000000011</v>
      </c>
    </row>
    <row r="454" spans="1:22" ht="35.1" customHeight="1" x14ac:dyDescent="0.25">
      <c r="A454" s="434">
        <v>453</v>
      </c>
      <c r="B454" s="95">
        <v>45204</v>
      </c>
      <c r="C454" s="434"/>
      <c r="D454" s="488"/>
      <c r="E454" s="435" t="s">
        <v>705</v>
      </c>
      <c r="F454" s="434">
        <v>18</v>
      </c>
      <c r="G454" s="434"/>
      <c r="H454" s="434"/>
      <c r="I454" s="434">
        <v>17</v>
      </c>
      <c r="J454" s="434">
        <v>252</v>
      </c>
      <c r="K454" s="434"/>
      <c r="L454" s="434"/>
      <c r="M454" s="434">
        <v>598</v>
      </c>
      <c r="N454" s="557"/>
      <c r="O454" s="488">
        <f t="shared" si="7"/>
        <v>885</v>
      </c>
      <c r="P454" s="389">
        <f t="shared" si="8"/>
        <v>208.62</v>
      </c>
      <c r="Q454" s="391">
        <v>174.66000000000003</v>
      </c>
      <c r="R454" s="391">
        <v>22.260000000000005</v>
      </c>
      <c r="S454" s="391">
        <v>6.23</v>
      </c>
      <c r="T454" s="391">
        <v>0</v>
      </c>
      <c r="U454" s="391">
        <v>0</v>
      </c>
      <c r="V454" s="518">
        <v>5.4700000000000006</v>
      </c>
    </row>
    <row r="455" spans="1:22" ht="35.1" customHeight="1" x14ac:dyDescent="0.25">
      <c r="A455" s="434">
        <v>454</v>
      </c>
      <c r="B455" s="95">
        <v>45205</v>
      </c>
      <c r="C455" s="434"/>
      <c r="D455" s="488"/>
      <c r="E455" s="435"/>
      <c r="F455" s="434"/>
      <c r="G455" s="434"/>
      <c r="H455" s="434"/>
      <c r="I455" s="434">
        <v>189</v>
      </c>
      <c r="J455" s="434"/>
      <c r="K455" s="434"/>
      <c r="L455" s="434"/>
      <c r="M455" s="434">
        <v>1049</v>
      </c>
      <c r="N455" s="557"/>
      <c r="O455" s="488">
        <f t="shared" si="7"/>
        <v>1238</v>
      </c>
      <c r="P455" s="389"/>
      <c r="Q455" s="391"/>
      <c r="R455" s="391"/>
      <c r="S455" s="391"/>
      <c r="T455" s="391"/>
      <c r="U455" s="391"/>
      <c r="V455" s="518"/>
    </row>
    <row r="456" spans="1:22" ht="35.1" customHeight="1" x14ac:dyDescent="0.25">
      <c r="A456" s="434">
        <v>455</v>
      </c>
      <c r="B456" s="95">
        <v>45206</v>
      </c>
      <c r="C456" s="434"/>
      <c r="D456" s="488"/>
      <c r="E456" s="435"/>
      <c r="F456" s="434"/>
      <c r="G456" s="434"/>
      <c r="H456" s="434"/>
      <c r="I456" s="434">
        <v>42</v>
      </c>
      <c r="J456" s="434"/>
      <c r="K456" s="434"/>
      <c r="L456" s="434"/>
      <c r="M456" s="434">
        <v>148</v>
      </c>
      <c r="N456" s="557"/>
      <c r="O456" s="488">
        <f t="shared" si="7"/>
        <v>190</v>
      </c>
      <c r="P456" s="389">
        <f t="shared" si="8"/>
        <v>50.27</v>
      </c>
      <c r="Q456" s="391">
        <v>31.970000000000006</v>
      </c>
      <c r="R456" s="391">
        <v>10.220000000000001</v>
      </c>
      <c r="S456" s="391">
        <v>0</v>
      </c>
      <c r="T456" s="391">
        <v>0</v>
      </c>
      <c r="U456" s="391">
        <v>0</v>
      </c>
      <c r="V456" s="518">
        <v>8.08</v>
      </c>
    </row>
    <row r="457" spans="1:22" ht="35.1" customHeight="1" x14ac:dyDescent="0.25">
      <c r="A457" s="190">
        <v>456</v>
      </c>
      <c r="B457" s="191">
        <v>45207</v>
      </c>
      <c r="C457" s="190"/>
      <c r="D457" s="190"/>
      <c r="E457" s="250"/>
      <c r="F457" s="190"/>
      <c r="G457" s="190"/>
      <c r="H457" s="190"/>
      <c r="I457" s="190"/>
      <c r="J457" s="190"/>
      <c r="K457" s="190"/>
      <c r="L457" s="190"/>
      <c r="M457" s="190"/>
      <c r="N457" s="559"/>
      <c r="O457" s="190">
        <f t="shared" si="7"/>
        <v>0</v>
      </c>
      <c r="P457" s="394"/>
      <c r="Q457" s="395"/>
      <c r="R457" s="395"/>
      <c r="S457" s="395"/>
      <c r="T457" s="395"/>
      <c r="U457" s="395"/>
      <c r="V457" s="520"/>
    </row>
    <row r="458" spans="1:22" ht="35.1" customHeight="1" x14ac:dyDescent="0.25">
      <c r="A458" s="434">
        <v>457</v>
      </c>
      <c r="B458" s="95">
        <v>45208</v>
      </c>
      <c r="C458" s="434"/>
      <c r="D458" s="488"/>
      <c r="E458" s="435" t="s">
        <v>709</v>
      </c>
      <c r="F458" s="434">
        <v>29</v>
      </c>
      <c r="G458" s="434"/>
      <c r="H458" s="434"/>
      <c r="I458" s="434"/>
      <c r="J458" s="434">
        <v>168</v>
      </c>
      <c r="K458" s="434"/>
      <c r="L458" s="434"/>
      <c r="M458" s="434">
        <v>298</v>
      </c>
      <c r="N458" s="557"/>
      <c r="O458" s="488">
        <f t="shared" si="7"/>
        <v>495</v>
      </c>
      <c r="P458" s="389">
        <f t="shared" si="8"/>
        <v>95.186296296296305</v>
      </c>
      <c r="Q458" s="391">
        <v>42.476296296296297</v>
      </c>
      <c r="R458" s="391">
        <v>0</v>
      </c>
      <c r="S458" s="391">
        <v>0</v>
      </c>
      <c r="T458" s="391">
        <v>40</v>
      </c>
      <c r="U458" s="391">
        <v>1.93</v>
      </c>
      <c r="V458" s="518">
        <v>10.780000000000001</v>
      </c>
    </row>
    <row r="459" spans="1:22" ht="35.1" customHeight="1" x14ac:dyDescent="0.25">
      <c r="A459" s="434">
        <v>458</v>
      </c>
      <c r="B459" s="95">
        <v>45209</v>
      </c>
      <c r="C459" s="434"/>
      <c r="D459" s="488"/>
      <c r="E459" s="435"/>
      <c r="F459" s="434"/>
      <c r="G459" s="434"/>
      <c r="H459" s="434"/>
      <c r="I459" s="434">
        <v>20</v>
      </c>
      <c r="J459" s="434"/>
      <c r="K459" s="434"/>
      <c r="L459" s="434"/>
      <c r="M459" s="434">
        <v>292</v>
      </c>
      <c r="N459" s="557"/>
      <c r="O459" s="488">
        <f t="shared" si="7"/>
        <v>312</v>
      </c>
      <c r="P459" s="389">
        <f t="shared" si="8"/>
        <v>60.684000000000012</v>
      </c>
      <c r="Q459" s="391">
        <v>34.26400000000001</v>
      </c>
      <c r="R459" s="391">
        <v>4.8800000000000008</v>
      </c>
      <c r="S459" s="391">
        <v>0</v>
      </c>
      <c r="T459" s="391">
        <v>20</v>
      </c>
      <c r="U459" s="391">
        <v>0</v>
      </c>
      <c r="V459" s="518">
        <v>1.54</v>
      </c>
    </row>
    <row r="460" spans="1:22" ht="35.1" customHeight="1" x14ac:dyDescent="0.25">
      <c r="A460" s="434">
        <v>459</v>
      </c>
      <c r="B460" s="95">
        <v>45210</v>
      </c>
      <c r="C460" s="434"/>
      <c r="D460" s="488"/>
      <c r="E460" s="435"/>
      <c r="F460" s="434"/>
      <c r="G460" s="434"/>
      <c r="H460" s="434"/>
      <c r="I460" s="434">
        <v>42</v>
      </c>
      <c r="J460" s="434">
        <v>314</v>
      </c>
      <c r="K460" s="434"/>
      <c r="L460" s="434">
        <v>36</v>
      </c>
      <c r="M460" s="434">
        <v>1000</v>
      </c>
      <c r="N460" s="557"/>
      <c r="O460" s="488">
        <f t="shared" si="7"/>
        <v>1392</v>
      </c>
      <c r="P460" s="389">
        <f t="shared" si="8"/>
        <v>408.7600000000001</v>
      </c>
      <c r="Q460" s="391">
        <v>244.09</v>
      </c>
      <c r="R460" s="391">
        <v>104.67000000000004</v>
      </c>
      <c r="S460" s="391">
        <v>15.799999999999997</v>
      </c>
      <c r="T460" s="391">
        <v>0</v>
      </c>
      <c r="U460" s="391">
        <v>18.669999999999998</v>
      </c>
      <c r="V460" s="518">
        <v>25.53</v>
      </c>
    </row>
    <row r="461" spans="1:22" ht="35.1" customHeight="1" x14ac:dyDescent="0.25">
      <c r="A461" s="434">
        <v>460</v>
      </c>
      <c r="B461" s="95">
        <v>45211</v>
      </c>
      <c r="C461" s="434"/>
      <c r="D461" s="488"/>
      <c r="E461" s="435"/>
      <c r="F461" s="434"/>
      <c r="G461" s="434"/>
      <c r="H461" s="434"/>
      <c r="I461" s="434">
        <v>39</v>
      </c>
      <c r="J461" s="434"/>
      <c r="K461" s="434"/>
      <c r="L461" s="434"/>
      <c r="M461" s="434">
        <v>696</v>
      </c>
      <c r="N461" s="557"/>
      <c r="O461" s="488">
        <f t="shared" si="7"/>
        <v>735</v>
      </c>
      <c r="P461" s="389">
        <f t="shared" si="8"/>
        <v>217.52551851851854</v>
      </c>
      <c r="Q461" s="391">
        <v>186.48551851851852</v>
      </c>
      <c r="R461" s="391">
        <v>0</v>
      </c>
      <c r="S461" s="391">
        <v>17.96</v>
      </c>
      <c r="T461" s="391">
        <v>0</v>
      </c>
      <c r="U461" s="391">
        <v>0</v>
      </c>
      <c r="V461" s="518">
        <v>13.08</v>
      </c>
    </row>
    <row r="462" spans="1:22" ht="35.1" customHeight="1" x14ac:dyDescent="0.25">
      <c r="A462" s="434">
        <v>461</v>
      </c>
      <c r="B462" s="95">
        <v>45212</v>
      </c>
      <c r="C462" s="434"/>
      <c r="D462" s="488"/>
      <c r="E462" s="435"/>
      <c r="F462" s="434"/>
      <c r="G462" s="434"/>
      <c r="H462" s="434"/>
      <c r="I462" s="434">
        <v>2</v>
      </c>
      <c r="J462" s="434"/>
      <c r="K462" s="434"/>
      <c r="L462" s="434"/>
      <c r="M462" s="434">
        <v>361</v>
      </c>
      <c r="N462" s="557"/>
      <c r="O462" s="488">
        <f t="shared" si="7"/>
        <v>363</v>
      </c>
      <c r="P462" s="389">
        <f t="shared" si="8"/>
        <v>72.889999999999986</v>
      </c>
      <c r="Q462" s="391">
        <v>57.009999999999991</v>
      </c>
      <c r="R462" s="391">
        <v>0</v>
      </c>
      <c r="S462" s="391">
        <v>0</v>
      </c>
      <c r="T462" s="391">
        <v>0</v>
      </c>
      <c r="U462" s="391">
        <v>2.1799999999999997</v>
      </c>
      <c r="V462" s="518">
        <v>13.7</v>
      </c>
    </row>
    <row r="463" spans="1:22" ht="35.1" customHeight="1" x14ac:dyDescent="0.25">
      <c r="A463" s="434">
        <v>462</v>
      </c>
      <c r="B463" s="95">
        <v>45213</v>
      </c>
      <c r="C463" s="434"/>
      <c r="D463" s="488"/>
      <c r="E463" s="435"/>
      <c r="F463" s="434"/>
      <c r="G463" s="434">
        <v>7</v>
      </c>
      <c r="H463" s="434"/>
      <c r="I463" s="434">
        <v>140</v>
      </c>
      <c r="J463" s="434"/>
      <c r="K463" s="434"/>
      <c r="L463" s="434"/>
      <c r="M463" s="434">
        <v>122</v>
      </c>
      <c r="N463" s="557"/>
      <c r="O463" s="488">
        <f t="shared" si="7"/>
        <v>269</v>
      </c>
      <c r="P463" s="389">
        <f t="shared" si="8"/>
        <v>51.456296296296294</v>
      </c>
      <c r="Q463" s="391">
        <v>10.986296296296295</v>
      </c>
      <c r="R463" s="391">
        <v>0</v>
      </c>
      <c r="S463" s="391">
        <v>7.2199999999999989</v>
      </c>
      <c r="T463" s="391">
        <v>20</v>
      </c>
      <c r="U463" s="391">
        <v>3.99</v>
      </c>
      <c r="V463" s="518">
        <v>9.259999999999998</v>
      </c>
    </row>
    <row r="464" spans="1:22" ht="35.1" customHeight="1" x14ac:dyDescent="0.25">
      <c r="A464" s="190">
        <v>463</v>
      </c>
      <c r="B464" s="191">
        <v>45214</v>
      </c>
      <c r="C464" s="190"/>
      <c r="D464" s="190"/>
      <c r="E464" s="250"/>
      <c r="F464" s="190"/>
      <c r="G464" s="190"/>
      <c r="H464" s="190"/>
      <c r="I464" s="190"/>
      <c r="J464" s="190"/>
      <c r="K464" s="190"/>
      <c r="L464" s="190"/>
      <c r="M464" s="190"/>
      <c r="N464" s="559"/>
      <c r="O464" s="190">
        <f t="shared" si="7"/>
        <v>0</v>
      </c>
      <c r="P464" s="394"/>
      <c r="Q464" s="395"/>
      <c r="R464" s="395"/>
      <c r="S464" s="395"/>
      <c r="T464" s="395"/>
      <c r="U464" s="395"/>
      <c r="V464" s="520"/>
    </row>
    <row r="465" spans="1:22" ht="35.1" customHeight="1" x14ac:dyDescent="0.25">
      <c r="A465" s="434">
        <v>464</v>
      </c>
      <c r="B465" s="95">
        <v>45215</v>
      </c>
      <c r="C465" s="434"/>
      <c r="D465" s="488"/>
      <c r="E465" s="435" t="s">
        <v>711</v>
      </c>
      <c r="F465" s="434">
        <f>60+50</f>
        <v>110</v>
      </c>
      <c r="G465" s="434"/>
      <c r="H465" s="434"/>
      <c r="I465" s="434">
        <v>423</v>
      </c>
      <c r="J465" s="434">
        <v>195</v>
      </c>
      <c r="K465" s="434"/>
      <c r="L465" s="434"/>
      <c r="M465" s="434">
        <v>300</v>
      </c>
      <c r="N465" s="557"/>
      <c r="O465" s="488">
        <f t="shared" si="7"/>
        <v>1028</v>
      </c>
      <c r="P465" s="389">
        <f t="shared" si="8"/>
        <v>228.4212962962963</v>
      </c>
      <c r="Q465" s="391">
        <v>101.09129629629629</v>
      </c>
      <c r="R465" s="391">
        <v>0</v>
      </c>
      <c r="S465" s="391">
        <v>73</v>
      </c>
      <c r="T465" s="391">
        <v>0</v>
      </c>
      <c r="U465" s="391">
        <v>0</v>
      </c>
      <c r="V465" s="518">
        <v>54.33</v>
      </c>
    </row>
    <row r="466" spans="1:22" ht="35.1" customHeight="1" x14ac:dyDescent="0.25">
      <c r="A466" s="434">
        <v>465</v>
      </c>
      <c r="B466" s="95">
        <v>45216</v>
      </c>
      <c r="C466" s="434"/>
      <c r="D466" s="488"/>
      <c r="E466" s="435"/>
      <c r="F466" s="434"/>
      <c r="G466" s="434"/>
      <c r="H466" s="434"/>
      <c r="I466" s="434">
        <v>250</v>
      </c>
      <c r="J466" s="434"/>
      <c r="K466" s="434"/>
      <c r="L466" s="434">
        <v>40</v>
      </c>
      <c r="M466" s="434">
        <v>248</v>
      </c>
      <c r="N466" s="557"/>
      <c r="O466" s="488">
        <f t="shared" si="7"/>
        <v>538</v>
      </c>
      <c r="P466" s="389">
        <f t="shared" si="8"/>
        <v>136.46851851851849</v>
      </c>
      <c r="Q466" s="391">
        <v>123.3085185185185</v>
      </c>
      <c r="R466" s="391">
        <v>2.11</v>
      </c>
      <c r="S466" s="391">
        <v>0</v>
      </c>
      <c r="T466" s="391">
        <v>0</v>
      </c>
      <c r="U466" s="391">
        <v>0.64999999999999991</v>
      </c>
      <c r="V466" s="518">
        <v>10.4</v>
      </c>
    </row>
    <row r="467" spans="1:22" ht="35.1" customHeight="1" x14ac:dyDescent="0.25">
      <c r="A467" s="434">
        <v>466</v>
      </c>
      <c r="B467" s="95">
        <v>45217</v>
      </c>
      <c r="C467" s="434"/>
      <c r="D467" s="488"/>
      <c r="E467" s="435"/>
      <c r="F467" s="434"/>
      <c r="G467" s="434"/>
      <c r="H467" s="434">
        <v>48</v>
      </c>
      <c r="I467" s="434">
        <v>202</v>
      </c>
      <c r="J467" s="434">
        <v>2</v>
      </c>
      <c r="K467" s="434"/>
      <c r="L467" s="434">
        <v>1</v>
      </c>
      <c r="M467" s="434">
        <v>270</v>
      </c>
      <c r="N467" s="557"/>
      <c r="O467" s="488">
        <f t="shared" si="7"/>
        <v>523</v>
      </c>
      <c r="P467" s="389">
        <f t="shared" si="8"/>
        <v>155.19999999999999</v>
      </c>
      <c r="Q467" s="391">
        <v>105.22999999999999</v>
      </c>
      <c r="R467" s="391">
        <v>9.14</v>
      </c>
      <c r="S467" s="391">
        <v>0</v>
      </c>
      <c r="T467" s="391">
        <v>0</v>
      </c>
      <c r="U467" s="391">
        <v>13.91</v>
      </c>
      <c r="V467" s="518">
        <v>26.92</v>
      </c>
    </row>
    <row r="468" spans="1:22" ht="35.1" customHeight="1" x14ac:dyDescent="0.25">
      <c r="A468" s="434">
        <v>467</v>
      </c>
      <c r="B468" s="95">
        <v>45218</v>
      </c>
      <c r="C468" s="434"/>
      <c r="D468" s="488"/>
      <c r="E468" s="435"/>
      <c r="F468" s="434"/>
      <c r="G468" s="434"/>
      <c r="H468" s="434"/>
      <c r="I468" s="434">
        <v>196</v>
      </c>
      <c r="J468" s="434">
        <v>210</v>
      </c>
      <c r="K468" s="434"/>
      <c r="L468" s="434"/>
      <c r="M468" s="434">
        <v>664</v>
      </c>
      <c r="N468" s="557"/>
      <c r="O468" s="488">
        <f t="shared" si="7"/>
        <v>1070</v>
      </c>
      <c r="P468" s="389">
        <f t="shared" si="8"/>
        <v>254.96400000000003</v>
      </c>
      <c r="Q468" s="391">
        <v>140.85400000000004</v>
      </c>
      <c r="R468" s="391">
        <v>0</v>
      </c>
      <c r="S468" s="391">
        <v>3.9499999999999993</v>
      </c>
      <c r="T468" s="391">
        <v>40</v>
      </c>
      <c r="U468" s="391">
        <v>5.76</v>
      </c>
      <c r="V468" s="518">
        <v>64.400000000000006</v>
      </c>
    </row>
    <row r="469" spans="1:22" ht="35.1" customHeight="1" x14ac:dyDescent="0.25">
      <c r="A469" s="434">
        <v>468</v>
      </c>
      <c r="B469" s="95">
        <v>45219</v>
      </c>
      <c r="C469" s="434"/>
      <c r="D469" s="488"/>
      <c r="E469" s="435"/>
      <c r="F469" s="434"/>
      <c r="G469" s="434">
        <v>7</v>
      </c>
      <c r="H469" s="434"/>
      <c r="I469" s="434">
        <v>76</v>
      </c>
      <c r="J469" s="434"/>
      <c r="K469" s="434"/>
      <c r="L469" s="434">
        <v>80</v>
      </c>
      <c r="M469" s="434">
        <v>280</v>
      </c>
      <c r="N469" s="557"/>
      <c r="O469" s="488">
        <f t="shared" si="7"/>
        <v>443</v>
      </c>
      <c r="P469" s="389">
        <f t="shared" si="8"/>
        <v>98.390000000000015</v>
      </c>
      <c r="Q469" s="391">
        <v>42.070000000000007</v>
      </c>
      <c r="R469" s="391">
        <v>0</v>
      </c>
      <c r="S469" s="391">
        <v>11.349999999999994</v>
      </c>
      <c r="T469" s="391">
        <v>25</v>
      </c>
      <c r="U469" s="391">
        <v>5.6199999999999992</v>
      </c>
      <c r="V469" s="518">
        <v>14.350000000000001</v>
      </c>
    </row>
    <row r="470" spans="1:22" ht="35.1" customHeight="1" x14ac:dyDescent="0.25">
      <c r="A470" s="434">
        <v>469</v>
      </c>
      <c r="B470" s="95">
        <v>45220</v>
      </c>
      <c r="C470" s="434"/>
      <c r="D470" s="488"/>
      <c r="E470" s="435" t="s">
        <v>720</v>
      </c>
      <c r="F470" s="434">
        <v>20</v>
      </c>
      <c r="G470" s="434">
        <v>7</v>
      </c>
      <c r="H470" s="434"/>
      <c r="I470" s="434">
        <v>649.71</v>
      </c>
      <c r="J470" s="434">
        <v>32</v>
      </c>
      <c r="K470" s="434"/>
      <c r="L470" s="434">
        <v>30</v>
      </c>
      <c r="M470" s="434">
        <v>80</v>
      </c>
      <c r="N470" s="557"/>
      <c r="O470" s="488">
        <f t="shared" si="7"/>
        <v>818.71</v>
      </c>
      <c r="P470" s="807">
        <f>SUM(Q470:V474)</f>
        <v>640.80000000000007</v>
      </c>
      <c r="Q470" s="810">
        <v>376.88</v>
      </c>
      <c r="R470" s="810">
        <v>51.55</v>
      </c>
      <c r="S470" s="810">
        <v>0</v>
      </c>
      <c r="T470" s="810">
        <v>120</v>
      </c>
      <c r="U470" s="810">
        <v>8.6300000000000008</v>
      </c>
      <c r="V470" s="813">
        <v>83.74</v>
      </c>
    </row>
    <row r="471" spans="1:22" ht="35.1" customHeight="1" x14ac:dyDescent="0.25">
      <c r="A471" s="190">
        <v>470</v>
      </c>
      <c r="B471" s="191">
        <v>45221</v>
      </c>
      <c r="C471" s="190"/>
      <c r="D471" s="190"/>
      <c r="E471" s="250"/>
      <c r="F471" s="190"/>
      <c r="G471" s="190"/>
      <c r="H471" s="190"/>
      <c r="I471" s="190"/>
      <c r="J471" s="190"/>
      <c r="K471" s="190"/>
      <c r="L471" s="190"/>
      <c r="M471" s="190"/>
      <c r="N471" s="559"/>
      <c r="O471" s="190"/>
      <c r="P471" s="808"/>
      <c r="Q471" s="811"/>
      <c r="R471" s="811"/>
      <c r="S471" s="811"/>
      <c r="T471" s="811"/>
      <c r="U471" s="811"/>
      <c r="V471" s="814"/>
    </row>
    <row r="472" spans="1:22" ht="35.1" customHeight="1" x14ac:dyDescent="0.25">
      <c r="A472" s="434">
        <v>471</v>
      </c>
      <c r="B472" s="95">
        <v>45222</v>
      </c>
      <c r="C472" s="533"/>
      <c r="D472" s="533"/>
      <c r="E472" s="534"/>
      <c r="F472" s="533"/>
      <c r="G472" s="533">
        <v>3.18</v>
      </c>
      <c r="H472" s="533"/>
      <c r="I472" s="533">
        <v>177.24</v>
      </c>
      <c r="J472" s="533"/>
      <c r="K472" s="533"/>
      <c r="L472" s="533">
        <v>92.58</v>
      </c>
      <c r="M472" s="533">
        <v>179</v>
      </c>
      <c r="N472" s="557"/>
      <c r="O472" s="533">
        <f t="shared" ref="O472" si="9">SUM(G472:N472)+F472+D472</f>
        <v>452</v>
      </c>
      <c r="P472" s="808"/>
      <c r="Q472" s="811"/>
      <c r="R472" s="811"/>
      <c r="S472" s="811"/>
      <c r="T472" s="811"/>
      <c r="U472" s="811"/>
      <c r="V472" s="814"/>
    </row>
    <row r="473" spans="1:22" ht="35.1" customHeight="1" x14ac:dyDescent="0.25">
      <c r="A473" s="434">
        <v>472</v>
      </c>
      <c r="B473" s="95">
        <v>45223</v>
      </c>
      <c r="C473" s="434"/>
      <c r="D473" s="488"/>
      <c r="E473" s="435"/>
      <c r="F473" s="434"/>
      <c r="G473" s="434"/>
      <c r="H473" s="434"/>
      <c r="I473" s="434">
        <f>71.2-26</f>
        <v>45.2</v>
      </c>
      <c r="J473" s="434"/>
      <c r="K473" s="434"/>
      <c r="L473" s="434">
        <v>1</v>
      </c>
      <c r="M473" s="434">
        <v>495</v>
      </c>
      <c r="N473" s="557"/>
      <c r="O473" s="488">
        <f t="shared" si="7"/>
        <v>541.20000000000005</v>
      </c>
      <c r="P473" s="808"/>
      <c r="Q473" s="811"/>
      <c r="R473" s="811"/>
      <c r="S473" s="811"/>
      <c r="T473" s="811"/>
      <c r="U473" s="811"/>
      <c r="V473" s="814"/>
    </row>
    <row r="474" spans="1:22" ht="35.1" customHeight="1" x14ac:dyDescent="0.25">
      <c r="A474" s="434">
        <v>473</v>
      </c>
      <c r="B474" s="95">
        <v>45224</v>
      </c>
      <c r="C474" s="434"/>
      <c r="D474" s="488"/>
      <c r="E474" s="435" t="s">
        <v>721</v>
      </c>
      <c r="F474" s="434">
        <v>10</v>
      </c>
      <c r="G474" s="434"/>
      <c r="H474" s="434"/>
      <c r="I474" s="434">
        <v>130</v>
      </c>
      <c r="J474" s="434"/>
      <c r="K474" s="434"/>
      <c r="L474" s="434"/>
      <c r="M474" s="434">
        <v>600</v>
      </c>
      <c r="N474" s="557"/>
      <c r="O474" s="488">
        <f t="shared" si="7"/>
        <v>740</v>
      </c>
      <c r="P474" s="809"/>
      <c r="Q474" s="812"/>
      <c r="R474" s="812"/>
      <c r="S474" s="812"/>
      <c r="T474" s="812"/>
      <c r="U474" s="812"/>
      <c r="V474" s="815"/>
    </row>
    <row r="475" spans="1:22" ht="35.1" customHeight="1" x14ac:dyDescent="0.25">
      <c r="A475" s="434">
        <v>474</v>
      </c>
      <c r="B475" s="95">
        <v>45225</v>
      </c>
      <c r="C475" s="434"/>
      <c r="D475" s="488"/>
      <c r="E475" s="435"/>
      <c r="F475" s="434"/>
      <c r="G475" s="434"/>
      <c r="H475" s="434"/>
      <c r="I475" s="434">
        <v>114</v>
      </c>
      <c r="J475" s="434"/>
      <c r="K475" s="434"/>
      <c r="L475" s="434">
        <v>11</v>
      </c>
      <c r="M475" s="434">
        <v>83</v>
      </c>
      <c r="N475" s="557"/>
      <c r="O475" s="488">
        <f t="shared" si="7"/>
        <v>208</v>
      </c>
      <c r="P475" s="807">
        <f>SUM(Q475:V481)</f>
        <v>874.65000000000009</v>
      </c>
      <c r="Q475" s="810">
        <v>567.92999999999995</v>
      </c>
      <c r="R475" s="810">
        <v>45.510000000000005</v>
      </c>
      <c r="S475" s="810">
        <v>46.090000000000011</v>
      </c>
      <c r="T475" s="810">
        <v>93.33</v>
      </c>
      <c r="U475" s="810">
        <v>20.58</v>
      </c>
      <c r="V475" s="813">
        <v>101.21</v>
      </c>
    </row>
    <row r="476" spans="1:22" ht="35.1" customHeight="1" x14ac:dyDescent="0.25">
      <c r="A476" s="434">
        <v>475</v>
      </c>
      <c r="B476" s="95">
        <v>45226</v>
      </c>
      <c r="C476" s="434"/>
      <c r="D476" s="488"/>
      <c r="E476" s="435"/>
      <c r="F476" s="434"/>
      <c r="G476" s="434"/>
      <c r="H476" s="434"/>
      <c r="I476" s="434">
        <v>38</v>
      </c>
      <c r="J476" s="434"/>
      <c r="K476" s="434"/>
      <c r="L476" s="434">
        <v>40</v>
      </c>
      <c r="M476" s="434">
        <v>548</v>
      </c>
      <c r="N476" s="557"/>
      <c r="O476" s="488">
        <f t="shared" si="7"/>
        <v>626</v>
      </c>
      <c r="P476" s="808"/>
      <c r="Q476" s="811"/>
      <c r="R476" s="811"/>
      <c r="S476" s="811"/>
      <c r="T476" s="811"/>
      <c r="U476" s="811"/>
      <c r="V476" s="814"/>
    </row>
    <row r="477" spans="1:22" ht="35.1" customHeight="1" x14ac:dyDescent="0.25">
      <c r="A477" s="434">
        <v>476</v>
      </c>
      <c r="B477" s="95">
        <v>45227</v>
      </c>
      <c r="C477" s="434"/>
      <c r="D477" s="488"/>
      <c r="E477" s="435"/>
      <c r="F477" s="434"/>
      <c r="G477" s="434"/>
      <c r="H477" s="434"/>
      <c r="I477" s="434">
        <v>111</v>
      </c>
      <c r="J477" s="434">
        <v>140</v>
      </c>
      <c r="K477" s="434"/>
      <c r="L477" s="434"/>
      <c r="M477" s="434">
        <v>114</v>
      </c>
      <c r="N477" s="557"/>
      <c r="O477" s="488">
        <f t="shared" si="7"/>
        <v>365</v>
      </c>
      <c r="P477" s="808"/>
      <c r="Q477" s="811"/>
      <c r="R477" s="811"/>
      <c r="S477" s="811"/>
      <c r="T477" s="811"/>
      <c r="U477" s="811"/>
      <c r="V477" s="814"/>
    </row>
    <row r="478" spans="1:22" ht="35.1" customHeight="1" x14ac:dyDescent="0.25">
      <c r="A478" s="190">
        <v>477</v>
      </c>
      <c r="B478" s="191">
        <v>45228</v>
      </c>
      <c r="C478" s="190"/>
      <c r="D478" s="190"/>
      <c r="E478" s="250"/>
      <c r="F478" s="190"/>
      <c r="G478" s="190"/>
      <c r="H478" s="190"/>
      <c r="I478" s="190"/>
      <c r="J478" s="190"/>
      <c r="K478" s="190"/>
      <c r="L478" s="190"/>
      <c r="M478" s="190"/>
      <c r="N478" s="559"/>
      <c r="O478" s="190">
        <f t="shared" si="7"/>
        <v>0</v>
      </c>
      <c r="P478" s="808"/>
      <c r="Q478" s="811"/>
      <c r="R478" s="811"/>
      <c r="S478" s="811"/>
      <c r="T478" s="811"/>
      <c r="U478" s="811"/>
      <c r="V478" s="814"/>
    </row>
    <row r="479" spans="1:22" ht="35.1" customHeight="1" x14ac:dyDescent="0.25">
      <c r="A479" s="434">
        <v>478</v>
      </c>
      <c r="B479" s="95">
        <v>45229</v>
      </c>
      <c r="C479" s="434"/>
      <c r="D479" s="488"/>
      <c r="E479" s="435"/>
      <c r="F479" s="434"/>
      <c r="G479" s="434"/>
      <c r="H479" s="434"/>
      <c r="I479" s="434">
        <v>199</v>
      </c>
      <c r="J479" s="434">
        <v>44</v>
      </c>
      <c r="K479" s="434"/>
      <c r="L479" s="434"/>
      <c r="M479" s="434">
        <v>340</v>
      </c>
      <c r="N479" s="557"/>
      <c r="O479" s="488">
        <f t="shared" si="7"/>
        <v>583</v>
      </c>
      <c r="P479" s="808"/>
      <c r="Q479" s="811"/>
      <c r="R479" s="811"/>
      <c r="S479" s="811"/>
      <c r="T479" s="811"/>
      <c r="U479" s="811"/>
      <c r="V479" s="814"/>
    </row>
    <row r="480" spans="1:22" ht="35.1" customHeight="1" x14ac:dyDescent="0.25">
      <c r="A480" s="434">
        <v>479</v>
      </c>
      <c r="B480" s="95">
        <v>45230</v>
      </c>
      <c r="C480" s="434"/>
      <c r="D480" s="488"/>
      <c r="E480" s="435" t="s">
        <v>723</v>
      </c>
      <c r="F480" s="434">
        <v>5</v>
      </c>
      <c r="G480" s="434"/>
      <c r="H480" s="434"/>
      <c r="I480" s="434">
        <v>61</v>
      </c>
      <c r="J480" s="434">
        <v>120</v>
      </c>
      <c r="K480" s="434"/>
      <c r="L480" s="434">
        <v>100</v>
      </c>
      <c r="M480" s="434">
        <v>318</v>
      </c>
      <c r="N480" s="557"/>
      <c r="O480" s="488">
        <f t="shared" si="7"/>
        <v>604</v>
      </c>
      <c r="P480" s="808"/>
      <c r="Q480" s="811"/>
      <c r="R480" s="811"/>
      <c r="S480" s="811"/>
      <c r="T480" s="811"/>
      <c r="U480" s="811"/>
      <c r="V480" s="814"/>
    </row>
    <row r="481" spans="1:22" ht="35.1" customHeight="1" x14ac:dyDescent="0.25">
      <c r="A481" s="434">
        <v>480</v>
      </c>
      <c r="B481" s="95">
        <v>45231</v>
      </c>
      <c r="C481" s="434"/>
      <c r="D481" s="488"/>
      <c r="E481" s="435"/>
      <c r="F481" s="434"/>
      <c r="G481" s="434"/>
      <c r="H481" s="434"/>
      <c r="I481" s="434">
        <v>109</v>
      </c>
      <c r="J481" s="434">
        <v>351</v>
      </c>
      <c r="K481" s="434"/>
      <c r="L481" s="434"/>
      <c r="M481" s="434">
        <v>394</v>
      </c>
      <c r="N481" s="557"/>
      <c r="O481" s="488">
        <f t="shared" si="7"/>
        <v>854</v>
      </c>
      <c r="P481" s="809"/>
      <c r="Q481" s="812"/>
      <c r="R481" s="812"/>
      <c r="S481" s="812"/>
      <c r="T481" s="812"/>
      <c r="U481" s="812"/>
      <c r="V481" s="815"/>
    </row>
    <row r="482" spans="1:22" ht="35.1" customHeight="1" x14ac:dyDescent="0.25">
      <c r="A482" s="434">
        <v>481</v>
      </c>
      <c r="B482" s="95">
        <v>45232</v>
      </c>
      <c r="C482" s="434"/>
      <c r="D482" s="488"/>
      <c r="E482" s="435" t="s">
        <v>726</v>
      </c>
      <c r="F482" s="434">
        <v>15</v>
      </c>
      <c r="G482" s="434"/>
      <c r="H482" s="434"/>
      <c r="I482" s="434">
        <v>1064.58</v>
      </c>
      <c r="J482" s="434">
        <v>412</v>
      </c>
      <c r="K482" s="434"/>
      <c r="L482" s="434">
        <v>37.42</v>
      </c>
      <c r="M482" s="434">
        <v>1904</v>
      </c>
      <c r="N482" s="557"/>
      <c r="O482" s="488">
        <f t="shared" si="7"/>
        <v>3433</v>
      </c>
      <c r="P482" s="389"/>
      <c r="Q482" s="391"/>
      <c r="R482" s="391"/>
      <c r="S482" s="391"/>
      <c r="T482" s="391"/>
      <c r="U482" s="391"/>
      <c r="V482" s="518"/>
    </row>
    <row r="483" spans="1:22" ht="35.1" customHeight="1" x14ac:dyDescent="0.25">
      <c r="A483" s="434">
        <v>482</v>
      </c>
      <c r="B483" s="95">
        <v>45233</v>
      </c>
      <c r="C483" s="434"/>
      <c r="D483" s="488"/>
      <c r="E483" s="435" t="s">
        <v>728</v>
      </c>
      <c r="F483" s="434">
        <f>42+18+56</f>
        <v>116</v>
      </c>
      <c r="G483" s="434"/>
      <c r="H483" s="434"/>
      <c r="I483" s="434">
        <v>298</v>
      </c>
      <c r="J483" s="434">
        <v>21</v>
      </c>
      <c r="K483" s="434"/>
      <c r="L483" s="434">
        <v>52</v>
      </c>
      <c r="M483" s="434">
        <v>2107</v>
      </c>
      <c r="N483" s="557"/>
      <c r="O483" s="488">
        <f t="shared" si="7"/>
        <v>2594</v>
      </c>
      <c r="P483" s="389"/>
      <c r="Q483" s="391"/>
      <c r="R483" s="391"/>
      <c r="S483" s="391"/>
      <c r="T483" s="391"/>
      <c r="U483" s="391"/>
      <c r="V483" s="518"/>
    </row>
    <row r="484" spans="1:22" ht="35.1" customHeight="1" x14ac:dyDescent="0.25">
      <c r="A484" s="434">
        <v>483</v>
      </c>
      <c r="B484" s="95">
        <v>45234</v>
      </c>
      <c r="C484" s="434"/>
      <c r="D484" s="488"/>
      <c r="E484" s="435"/>
      <c r="F484" s="434"/>
      <c r="G484" s="434"/>
      <c r="H484" s="434"/>
      <c r="I484" s="434">
        <v>112.5</v>
      </c>
      <c r="J484" s="434">
        <v>122</v>
      </c>
      <c r="K484" s="434"/>
      <c r="L484" s="434">
        <v>40</v>
      </c>
      <c r="M484" s="434">
        <v>1408</v>
      </c>
      <c r="N484" s="557"/>
      <c r="O484" s="488">
        <f t="shared" si="7"/>
        <v>1682.5</v>
      </c>
      <c r="P484" s="389"/>
      <c r="Q484" s="391"/>
      <c r="R484" s="391"/>
      <c r="S484" s="391"/>
      <c r="T484" s="391"/>
      <c r="U484" s="391"/>
      <c r="V484" s="518"/>
    </row>
    <row r="485" spans="1:22" ht="35.1" customHeight="1" x14ac:dyDescent="0.25">
      <c r="A485" s="190">
        <v>484</v>
      </c>
      <c r="B485" s="191">
        <v>45235</v>
      </c>
      <c r="C485" s="190"/>
      <c r="D485" s="190"/>
      <c r="E485" s="250"/>
      <c r="F485" s="190"/>
      <c r="G485" s="190"/>
      <c r="H485" s="190"/>
      <c r="I485" s="190"/>
      <c r="J485" s="190"/>
      <c r="K485" s="190"/>
      <c r="L485" s="190"/>
      <c r="M485" s="190"/>
      <c r="N485" s="559"/>
      <c r="O485" s="190">
        <f t="shared" si="7"/>
        <v>0</v>
      </c>
      <c r="P485" s="394"/>
      <c r="Q485" s="395"/>
      <c r="R485" s="395"/>
      <c r="S485" s="395"/>
      <c r="T485" s="395"/>
      <c r="U485" s="395"/>
      <c r="V485" s="520"/>
    </row>
    <row r="486" spans="1:22" ht="56.25" customHeight="1" x14ac:dyDescent="0.25">
      <c r="A486" s="434">
        <v>485</v>
      </c>
      <c r="B486" s="95">
        <v>45236</v>
      </c>
      <c r="C486" s="434"/>
      <c r="D486" s="488"/>
      <c r="E486" s="435" t="s">
        <v>730</v>
      </c>
      <c r="F486" s="434">
        <f>30+12+165</f>
        <v>207</v>
      </c>
      <c r="G486" s="434"/>
      <c r="H486" s="434"/>
      <c r="I486" s="434">
        <v>336</v>
      </c>
      <c r="J486" s="434">
        <v>317</v>
      </c>
      <c r="K486" s="434"/>
      <c r="L486" s="434"/>
      <c r="M486" s="434">
        <v>906</v>
      </c>
      <c r="N486" s="557"/>
      <c r="O486" s="488">
        <f t="shared" si="7"/>
        <v>1766</v>
      </c>
      <c r="P486" s="389"/>
      <c r="Q486" s="391"/>
      <c r="R486" s="391"/>
      <c r="S486" s="391"/>
      <c r="T486" s="391"/>
      <c r="U486" s="391"/>
      <c r="V486" s="518"/>
    </row>
    <row r="487" spans="1:22" ht="35.1" customHeight="1" x14ac:dyDescent="0.25">
      <c r="A487" s="434">
        <v>486</v>
      </c>
      <c r="B487" s="95">
        <v>45237</v>
      </c>
      <c r="C487" s="434"/>
      <c r="D487" s="488"/>
      <c r="E487" s="435"/>
      <c r="F487" s="434"/>
      <c r="G487" s="434"/>
      <c r="H487" s="434"/>
      <c r="I487" s="434">
        <v>206</v>
      </c>
      <c r="J487" s="434">
        <v>777</v>
      </c>
      <c r="K487" s="434"/>
      <c r="L487" s="434">
        <v>10</v>
      </c>
      <c r="M487" s="434">
        <v>868</v>
      </c>
      <c r="N487" s="557"/>
      <c r="O487" s="488">
        <f t="shared" si="7"/>
        <v>1861</v>
      </c>
      <c r="P487" s="389"/>
      <c r="Q487" s="391"/>
      <c r="R487" s="391"/>
      <c r="S487" s="391"/>
      <c r="T487" s="391"/>
      <c r="U487" s="391"/>
      <c r="V487" s="518"/>
    </row>
    <row r="488" spans="1:22" ht="35.1" customHeight="1" x14ac:dyDescent="0.25">
      <c r="A488" s="434">
        <v>487</v>
      </c>
      <c r="B488" s="95">
        <v>45238</v>
      </c>
      <c r="C488" s="434"/>
      <c r="D488" s="488"/>
      <c r="E488" s="435"/>
      <c r="F488" s="434"/>
      <c r="G488" s="434"/>
      <c r="H488" s="434"/>
      <c r="I488" s="434">
        <v>95</v>
      </c>
      <c r="J488" s="434"/>
      <c r="K488" s="434"/>
      <c r="L488" s="434"/>
      <c r="M488" s="434">
        <v>1110</v>
      </c>
      <c r="N488" s="557"/>
      <c r="O488" s="488">
        <f t="shared" si="7"/>
        <v>1205</v>
      </c>
      <c r="P488" s="389"/>
      <c r="Q488" s="391"/>
      <c r="R488" s="391"/>
      <c r="S488" s="391"/>
      <c r="T488" s="391"/>
      <c r="U488" s="391"/>
      <c r="V488" s="518"/>
    </row>
    <row r="489" spans="1:22" ht="35.1" customHeight="1" x14ac:dyDescent="0.25">
      <c r="A489" s="434">
        <v>488</v>
      </c>
      <c r="B489" s="95">
        <v>45239</v>
      </c>
      <c r="C489" s="434"/>
      <c r="D489" s="488"/>
      <c r="E489" s="435" t="s">
        <v>731</v>
      </c>
      <c r="F489" s="434">
        <v>170</v>
      </c>
      <c r="G489" s="434"/>
      <c r="H489" s="434"/>
      <c r="I489" s="434">
        <v>53</v>
      </c>
      <c r="J489" s="434">
        <v>1052</v>
      </c>
      <c r="K489" s="434"/>
      <c r="L489" s="434"/>
      <c r="M489" s="434">
        <v>549</v>
      </c>
      <c r="N489" s="557"/>
      <c r="O489" s="488">
        <f t="shared" si="7"/>
        <v>1824</v>
      </c>
      <c r="P489" s="389"/>
      <c r="Q489" s="391"/>
      <c r="R489" s="391"/>
      <c r="S489" s="391"/>
      <c r="T489" s="391"/>
      <c r="U489" s="391"/>
      <c r="V489" s="518"/>
    </row>
    <row r="490" spans="1:22" ht="35.1" customHeight="1" x14ac:dyDescent="0.25">
      <c r="A490" s="434">
        <v>489</v>
      </c>
      <c r="B490" s="95">
        <v>45240</v>
      </c>
      <c r="C490" s="434"/>
      <c r="D490" s="488"/>
      <c r="E490" s="435" t="s">
        <v>733</v>
      </c>
      <c r="F490" s="434">
        <f>32</f>
        <v>32</v>
      </c>
      <c r="G490" s="434"/>
      <c r="H490" s="434">
        <v>207</v>
      </c>
      <c r="I490" s="434">
        <v>69.64</v>
      </c>
      <c r="J490" s="434">
        <v>192</v>
      </c>
      <c r="K490" s="434"/>
      <c r="L490" s="434">
        <v>3</v>
      </c>
      <c r="M490" s="434">
        <v>998</v>
      </c>
      <c r="N490" s="557"/>
      <c r="O490" s="488">
        <f t="shared" si="7"/>
        <v>1501.6399999999999</v>
      </c>
      <c r="P490" s="389"/>
      <c r="Q490" s="391"/>
      <c r="R490" s="391"/>
      <c r="S490" s="391"/>
      <c r="T490" s="391"/>
      <c r="U490" s="391"/>
      <c r="V490" s="518"/>
    </row>
    <row r="491" spans="1:22" ht="35.1" customHeight="1" x14ac:dyDescent="0.25">
      <c r="A491" s="434">
        <v>490</v>
      </c>
      <c r="B491" s="95">
        <v>45241</v>
      </c>
      <c r="C491" s="434"/>
      <c r="D491" s="488"/>
      <c r="E491" s="435"/>
      <c r="F491" s="434"/>
      <c r="G491" s="434"/>
      <c r="H491" s="434"/>
      <c r="I491" s="434">
        <v>68</v>
      </c>
      <c r="J491" s="434">
        <v>584</v>
      </c>
      <c r="K491" s="434"/>
      <c r="L491" s="434"/>
      <c r="M491" s="434">
        <v>681</v>
      </c>
      <c r="N491" s="557"/>
      <c r="O491" s="488">
        <f t="shared" si="7"/>
        <v>1333</v>
      </c>
      <c r="P491" s="389"/>
      <c r="Q491" s="391"/>
      <c r="R491" s="391"/>
      <c r="S491" s="391"/>
      <c r="T491" s="391"/>
      <c r="U491" s="391"/>
      <c r="V491" s="518"/>
    </row>
    <row r="492" spans="1:22" ht="35.1" customHeight="1" x14ac:dyDescent="0.25">
      <c r="A492" s="190">
        <v>491</v>
      </c>
      <c r="B492" s="191">
        <v>45242</v>
      </c>
      <c r="C492" s="190"/>
      <c r="D492" s="190"/>
      <c r="E492" s="250"/>
      <c r="F492" s="190"/>
      <c r="G492" s="190"/>
      <c r="H492" s="190"/>
      <c r="I492" s="190"/>
      <c r="J492" s="190"/>
      <c r="K492" s="190"/>
      <c r="L492" s="190"/>
      <c r="M492" s="190"/>
      <c r="N492" s="559"/>
      <c r="O492" s="190"/>
      <c r="P492" s="394"/>
      <c r="Q492" s="395"/>
      <c r="R492" s="395"/>
      <c r="S492" s="395"/>
      <c r="T492" s="395"/>
      <c r="U492" s="395"/>
      <c r="V492" s="520"/>
    </row>
    <row r="493" spans="1:22" ht="35.1" customHeight="1" x14ac:dyDescent="0.25">
      <c r="A493" s="550">
        <v>492</v>
      </c>
      <c r="B493" s="95">
        <v>45243</v>
      </c>
      <c r="C493" s="434"/>
      <c r="D493" s="488"/>
      <c r="E493" s="435"/>
      <c r="F493" s="434"/>
      <c r="G493" s="434"/>
      <c r="H493" s="434"/>
      <c r="I493" s="434">
        <v>13</v>
      </c>
      <c r="J493" s="434"/>
      <c r="K493" s="434"/>
      <c r="L493" s="434"/>
      <c r="M493" s="434">
        <v>789</v>
      </c>
      <c r="N493" s="557"/>
      <c r="O493" s="488">
        <f t="shared" si="7"/>
        <v>802</v>
      </c>
      <c r="P493" s="389"/>
      <c r="Q493" s="391"/>
      <c r="R493" s="391"/>
      <c r="S493" s="391"/>
      <c r="T493" s="391"/>
      <c r="U493" s="391"/>
      <c r="V493" s="518"/>
    </row>
    <row r="494" spans="1:22" ht="35.1" customHeight="1" x14ac:dyDescent="0.25">
      <c r="A494" s="550">
        <v>493</v>
      </c>
      <c r="B494" s="95">
        <v>45244</v>
      </c>
      <c r="C494" s="434"/>
      <c r="D494" s="488"/>
      <c r="E494" s="435" t="s">
        <v>735</v>
      </c>
      <c r="F494" s="434">
        <v>100</v>
      </c>
      <c r="G494" s="434"/>
      <c r="H494" s="434"/>
      <c r="I494" s="434">
        <v>4</v>
      </c>
      <c r="J494" s="434">
        <v>855</v>
      </c>
      <c r="K494" s="434"/>
      <c r="L494" s="434">
        <v>538</v>
      </c>
      <c r="M494" s="434">
        <v>936</v>
      </c>
      <c r="N494" s="557"/>
      <c r="O494" s="488">
        <f t="shared" si="7"/>
        <v>2433</v>
      </c>
      <c r="P494" s="389"/>
      <c r="Q494" s="391"/>
      <c r="R494" s="391"/>
      <c r="S494" s="391"/>
      <c r="T494" s="391"/>
      <c r="U494" s="391"/>
      <c r="V494" s="518"/>
    </row>
    <row r="495" spans="1:22" ht="35.1" customHeight="1" x14ac:dyDescent="0.25">
      <c r="A495" s="550">
        <v>494</v>
      </c>
      <c r="B495" s="95">
        <v>45245</v>
      </c>
      <c r="C495" s="434"/>
      <c r="D495" s="488"/>
      <c r="E495" s="435"/>
      <c r="F495" s="434"/>
      <c r="G495" s="434"/>
      <c r="H495" s="434"/>
      <c r="I495" s="434">
        <v>118</v>
      </c>
      <c r="J495" s="434">
        <v>32</v>
      </c>
      <c r="K495" s="434"/>
      <c r="L495" s="434">
        <v>200</v>
      </c>
      <c r="M495" s="434">
        <v>746</v>
      </c>
      <c r="N495" s="557"/>
      <c r="O495" s="488">
        <f t="shared" si="7"/>
        <v>1096</v>
      </c>
      <c r="P495" s="389"/>
      <c r="Q495" s="391"/>
      <c r="R495" s="391"/>
      <c r="S495" s="391"/>
      <c r="T495" s="391"/>
      <c r="U495" s="391"/>
      <c r="V495" s="518"/>
    </row>
    <row r="496" spans="1:22" ht="35.1" customHeight="1" x14ac:dyDescent="0.25">
      <c r="A496" s="550">
        <v>495</v>
      </c>
      <c r="B496" s="95">
        <v>45246</v>
      </c>
      <c r="C496" s="434"/>
      <c r="D496" s="488"/>
      <c r="E496" s="435"/>
      <c r="F496" s="434"/>
      <c r="G496" s="434"/>
      <c r="H496" s="434"/>
      <c r="I496" s="434">
        <v>408</v>
      </c>
      <c r="J496" s="434">
        <v>94</v>
      </c>
      <c r="K496" s="434"/>
      <c r="L496" s="434">
        <v>1072</v>
      </c>
      <c r="M496" s="434"/>
      <c r="N496" s="557"/>
      <c r="O496" s="488">
        <f t="shared" si="7"/>
        <v>1574</v>
      </c>
      <c r="P496" s="389"/>
      <c r="Q496" s="391"/>
      <c r="R496" s="391"/>
      <c r="S496" s="391"/>
      <c r="T496" s="391"/>
      <c r="U496" s="391"/>
      <c r="V496" s="518"/>
    </row>
    <row r="497" spans="1:22" ht="35.1" customHeight="1" x14ac:dyDescent="0.25">
      <c r="A497" s="550">
        <v>496</v>
      </c>
      <c r="B497" s="95">
        <v>45247</v>
      </c>
      <c r="C497" s="434"/>
      <c r="D497" s="488"/>
      <c r="E497" s="435" t="s">
        <v>740</v>
      </c>
      <c r="F497" s="434">
        <v>10</v>
      </c>
      <c r="G497" s="434"/>
      <c r="H497" s="434"/>
      <c r="I497" s="434">
        <v>233</v>
      </c>
      <c r="J497" s="434">
        <v>322</v>
      </c>
      <c r="K497" s="434"/>
      <c r="L497" s="434">
        <v>51</v>
      </c>
      <c r="M497" s="434">
        <v>414</v>
      </c>
      <c r="N497" s="557"/>
      <c r="O497" s="488">
        <f t="shared" si="7"/>
        <v>1030</v>
      </c>
      <c r="P497" s="389"/>
      <c r="Q497" s="391"/>
      <c r="R497" s="391"/>
      <c r="S497" s="391"/>
      <c r="T497" s="391"/>
      <c r="U497" s="391"/>
      <c r="V497" s="518"/>
    </row>
    <row r="498" spans="1:22" ht="35.1" customHeight="1" x14ac:dyDescent="0.25">
      <c r="A498" s="190">
        <v>497</v>
      </c>
      <c r="B498" s="191">
        <v>45248</v>
      </c>
      <c r="C498" s="190"/>
      <c r="D498" s="190"/>
      <c r="E498" s="250"/>
      <c r="F498" s="190"/>
      <c r="G498" s="190"/>
      <c r="H498" s="190"/>
      <c r="I498" s="190"/>
      <c r="J498" s="190"/>
      <c r="K498" s="190"/>
      <c r="L498" s="190"/>
      <c r="M498" s="190"/>
      <c r="N498" s="559"/>
      <c r="O498" s="190">
        <f t="shared" si="7"/>
        <v>0</v>
      </c>
      <c r="P498" s="394"/>
      <c r="Q498" s="395"/>
      <c r="R498" s="395"/>
      <c r="S498" s="395"/>
      <c r="T498" s="395"/>
      <c r="U498" s="395"/>
      <c r="V498" s="520"/>
    </row>
    <row r="499" spans="1:22" ht="35.1" customHeight="1" x14ac:dyDescent="0.25">
      <c r="A499" s="190">
        <v>498</v>
      </c>
      <c r="B499" s="191">
        <v>45249</v>
      </c>
      <c r="C499" s="190"/>
      <c r="D499" s="190"/>
      <c r="E499" s="250"/>
      <c r="F499" s="190"/>
      <c r="G499" s="190"/>
      <c r="H499" s="190"/>
      <c r="I499" s="190"/>
      <c r="J499" s="190"/>
      <c r="K499" s="190"/>
      <c r="L499" s="190"/>
      <c r="M499" s="190"/>
      <c r="N499" s="559"/>
      <c r="O499" s="190">
        <f t="shared" si="7"/>
        <v>0</v>
      </c>
      <c r="P499" s="394"/>
      <c r="Q499" s="395"/>
      <c r="R499" s="395"/>
      <c r="S499" s="395"/>
      <c r="T499" s="395"/>
      <c r="U499" s="395"/>
      <c r="V499" s="520"/>
    </row>
    <row r="500" spans="1:22" ht="35.1" customHeight="1" x14ac:dyDescent="0.25">
      <c r="A500" s="550">
        <v>499</v>
      </c>
      <c r="B500" s="95">
        <v>45250</v>
      </c>
      <c r="C500" s="434"/>
      <c r="D500" s="488"/>
      <c r="E500" s="435"/>
      <c r="F500" s="434"/>
      <c r="G500" s="434"/>
      <c r="H500" s="434"/>
      <c r="I500" s="552">
        <v>389</v>
      </c>
      <c r="J500" s="552">
        <v>128</v>
      </c>
      <c r="K500" s="552"/>
      <c r="L500" s="552">
        <v>257</v>
      </c>
      <c r="M500" s="552">
        <v>182</v>
      </c>
      <c r="N500" s="557"/>
      <c r="O500" s="488">
        <f t="shared" si="7"/>
        <v>956</v>
      </c>
      <c r="P500" s="389"/>
      <c r="Q500" s="391"/>
      <c r="R500" s="391"/>
      <c r="S500" s="391"/>
      <c r="T500" s="391"/>
      <c r="U500" s="391"/>
      <c r="V500" s="518"/>
    </row>
    <row r="501" spans="1:22" ht="35.1" customHeight="1" x14ac:dyDescent="0.25">
      <c r="A501" s="550">
        <v>500</v>
      </c>
      <c r="B501" s="95">
        <v>45251</v>
      </c>
      <c r="C501" s="434"/>
      <c r="D501" s="488"/>
      <c r="E501" s="435" t="s">
        <v>745</v>
      </c>
      <c r="F501" s="434">
        <v>87</v>
      </c>
      <c r="G501" s="434"/>
      <c r="H501" s="434"/>
      <c r="I501" s="434">
        <v>505</v>
      </c>
      <c r="J501" s="434"/>
      <c r="K501" s="434"/>
      <c r="L501" s="434">
        <v>141</v>
      </c>
      <c r="M501" s="434">
        <v>810</v>
      </c>
      <c r="N501" s="557"/>
      <c r="O501" s="488">
        <f t="shared" si="7"/>
        <v>1543</v>
      </c>
      <c r="P501" s="389"/>
      <c r="Q501" s="391"/>
      <c r="R501" s="391"/>
      <c r="S501" s="391"/>
      <c r="T501" s="391"/>
      <c r="U501" s="391"/>
      <c r="V501" s="518"/>
    </row>
    <row r="502" spans="1:22" ht="35.1" customHeight="1" x14ac:dyDescent="0.25">
      <c r="A502" s="550">
        <v>501</v>
      </c>
      <c r="B502" s="95">
        <v>45252</v>
      </c>
      <c r="C502" s="434"/>
      <c r="D502" s="488"/>
      <c r="E502" s="435"/>
      <c r="F502" s="434"/>
      <c r="G502" s="434"/>
      <c r="H502" s="434"/>
      <c r="I502" s="434">
        <v>387</v>
      </c>
      <c r="J502" s="434"/>
      <c r="K502" s="434"/>
      <c r="L502" s="434"/>
      <c r="M502" s="434">
        <v>238</v>
      </c>
      <c r="N502" s="557"/>
      <c r="O502" s="488">
        <f t="shared" si="7"/>
        <v>625</v>
      </c>
      <c r="P502" s="389"/>
      <c r="Q502" s="391"/>
      <c r="R502" s="391"/>
      <c r="S502" s="391"/>
      <c r="T502" s="391"/>
      <c r="U502" s="391"/>
      <c r="V502" s="518"/>
    </row>
    <row r="503" spans="1:22" ht="35.1" customHeight="1" x14ac:dyDescent="0.25">
      <c r="A503" s="550">
        <v>502</v>
      </c>
      <c r="B503" s="95">
        <v>45253</v>
      </c>
      <c r="C503" s="434"/>
      <c r="D503" s="488"/>
      <c r="E503" s="435"/>
      <c r="F503" s="434"/>
      <c r="G503" s="434"/>
      <c r="H503" s="434"/>
      <c r="I503" s="434">
        <v>517.32000000000005</v>
      </c>
      <c r="J503" s="434">
        <v>309</v>
      </c>
      <c r="K503" s="434"/>
      <c r="L503" s="434"/>
      <c r="M503" s="434">
        <v>512</v>
      </c>
      <c r="N503" s="557"/>
      <c r="O503" s="488">
        <f t="shared" si="7"/>
        <v>1338.3200000000002</v>
      </c>
      <c r="P503" s="389"/>
      <c r="Q503" s="391"/>
      <c r="R503" s="391"/>
      <c r="S503" s="391"/>
      <c r="T503" s="391"/>
      <c r="U503" s="391"/>
      <c r="V503" s="518"/>
    </row>
    <row r="504" spans="1:22" ht="35.1" customHeight="1" x14ac:dyDescent="0.25">
      <c r="A504" s="550">
        <v>503</v>
      </c>
      <c r="B504" s="95">
        <v>45254</v>
      </c>
      <c r="C504" s="434"/>
      <c r="D504" s="488"/>
      <c r="E504" s="435" t="s">
        <v>746</v>
      </c>
      <c r="F504" s="434">
        <v>24.5</v>
      </c>
      <c r="G504" s="434"/>
      <c r="H504" s="434"/>
      <c r="I504" s="434">
        <v>233</v>
      </c>
      <c r="J504" s="434">
        <v>53</v>
      </c>
      <c r="K504" s="434"/>
      <c r="L504" s="434">
        <v>142.5</v>
      </c>
      <c r="M504" s="434">
        <v>652</v>
      </c>
      <c r="N504" s="557">
        <v>52</v>
      </c>
      <c r="O504" s="488">
        <f t="shared" si="7"/>
        <v>1157</v>
      </c>
      <c r="P504" s="389"/>
      <c r="Q504" s="391"/>
      <c r="R504" s="391"/>
      <c r="S504" s="391"/>
      <c r="T504" s="391"/>
      <c r="U504" s="391"/>
      <c r="V504" s="518"/>
    </row>
    <row r="505" spans="1:22" ht="35.1" customHeight="1" x14ac:dyDescent="0.25">
      <c r="A505" s="550">
        <v>504</v>
      </c>
      <c r="B505" s="95">
        <v>45255</v>
      </c>
      <c r="C505" s="434"/>
      <c r="D505" s="488"/>
      <c r="E505" s="435"/>
      <c r="F505" s="434"/>
      <c r="G505" s="434"/>
      <c r="H505" s="434"/>
      <c r="I505" s="434">
        <v>198.11</v>
      </c>
      <c r="J505" s="434">
        <v>2351</v>
      </c>
      <c r="K505" s="434"/>
      <c r="L505" s="434"/>
      <c r="M505" s="434">
        <v>404</v>
      </c>
      <c r="N505" s="557"/>
      <c r="O505" s="488">
        <f t="shared" ref="O505:O568" si="10">SUM(G505:N505)+F505+D505</f>
        <v>2953.11</v>
      </c>
      <c r="P505" s="389"/>
      <c r="Q505" s="391"/>
      <c r="R505" s="391"/>
      <c r="S505" s="391"/>
      <c r="T505" s="391"/>
      <c r="U505" s="391"/>
      <c r="V505" s="518"/>
    </row>
    <row r="506" spans="1:22" ht="35.1" customHeight="1" x14ac:dyDescent="0.25">
      <c r="A506" s="190">
        <v>505</v>
      </c>
      <c r="B506" s="191">
        <v>45256</v>
      </c>
      <c r="C506" s="190"/>
      <c r="D506" s="190"/>
      <c r="E506" s="250"/>
      <c r="F506" s="190"/>
      <c r="G506" s="190"/>
      <c r="H506" s="190"/>
      <c r="I506" s="190"/>
      <c r="J506" s="190"/>
      <c r="K506" s="190"/>
      <c r="L506" s="190"/>
      <c r="M506" s="190"/>
      <c r="N506" s="559"/>
      <c r="O506" s="190">
        <f t="shared" si="10"/>
        <v>0</v>
      </c>
      <c r="P506" s="394"/>
      <c r="Q506" s="395"/>
      <c r="R506" s="395"/>
      <c r="S506" s="395"/>
      <c r="T506" s="395"/>
      <c r="U506" s="395"/>
      <c r="V506" s="520"/>
    </row>
    <row r="507" spans="1:22" ht="35.1" customHeight="1" x14ac:dyDescent="0.25">
      <c r="A507" s="550">
        <v>506</v>
      </c>
      <c r="B507" s="95">
        <v>45257</v>
      </c>
      <c r="C507" s="434"/>
      <c r="D507" s="488"/>
      <c r="E507" s="435"/>
      <c r="F507" s="434"/>
      <c r="G507" s="434"/>
      <c r="H507" s="434"/>
      <c r="I507" s="434">
        <v>272</v>
      </c>
      <c r="J507" s="434">
        <v>40</v>
      </c>
      <c r="K507" s="434"/>
      <c r="L507" s="434">
        <v>250</v>
      </c>
      <c r="M507" s="434">
        <v>207</v>
      </c>
      <c r="N507" s="557"/>
      <c r="O507" s="488">
        <f t="shared" si="10"/>
        <v>769</v>
      </c>
      <c r="P507" s="389"/>
      <c r="Q507" s="391"/>
      <c r="R507" s="391"/>
      <c r="S507" s="391"/>
      <c r="T507" s="391"/>
      <c r="U507" s="391"/>
      <c r="V507" s="518"/>
    </row>
    <row r="508" spans="1:22" ht="35.1" customHeight="1" x14ac:dyDescent="0.25">
      <c r="A508" s="550">
        <v>507</v>
      </c>
      <c r="B508" s="95">
        <v>45258</v>
      </c>
      <c r="C508" s="434"/>
      <c r="D508" s="488"/>
      <c r="E508" s="435" t="s">
        <v>721</v>
      </c>
      <c r="F508" s="434">
        <v>8</v>
      </c>
      <c r="G508" s="434"/>
      <c r="H508" s="434">
        <v>167</v>
      </c>
      <c r="I508" s="434">
        <v>134</v>
      </c>
      <c r="J508" s="434">
        <v>100</v>
      </c>
      <c r="K508" s="434"/>
      <c r="L508" s="434"/>
      <c r="M508" s="434">
        <v>562</v>
      </c>
      <c r="N508" s="557"/>
      <c r="O508" s="488">
        <f t="shared" si="10"/>
        <v>971</v>
      </c>
      <c r="P508" s="389"/>
      <c r="Q508" s="391"/>
      <c r="R508" s="391"/>
      <c r="S508" s="391"/>
      <c r="T508" s="391"/>
      <c r="U508" s="391"/>
      <c r="V508" s="518"/>
    </row>
    <row r="509" spans="1:22" ht="35.1" customHeight="1" x14ac:dyDescent="0.25">
      <c r="A509" s="550">
        <v>508</v>
      </c>
      <c r="B509" s="95">
        <v>45259</v>
      </c>
      <c r="C509" s="434"/>
      <c r="D509" s="488"/>
      <c r="E509" s="435" t="s">
        <v>753</v>
      </c>
      <c r="F509" s="434">
        <v>150</v>
      </c>
      <c r="G509" s="434"/>
      <c r="H509" s="434">
        <v>150</v>
      </c>
      <c r="I509" s="434">
        <v>298</v>
      </c>
      <c r="J509" s="434">
        <v>453</v>
      </c>
      <c r="K509" s="434"/>
      <c r="L509" s="434"/>
      <c r="M509" s="434">
        <v>1257</v>
      </c>
      <c r="N509" s="557"/>
      <c r="O509" s="488">
        <f t="shared" si="10"/>
        <v>2308</v>
      </c>
      <c r="P509" s="389"/>
      <c r="Q509" s="391"/>
      <c r="R509" s="391"/>
      <c r="S509" s="391"/>
      <c r="T509" s="391"/>
      <c r="U509" s="391"/>
      <c r="V509" s="518"/>
    </row>
    <row r="510" spans="1:22" ht="35.1" customHeight="1" x14ac:dyDescent="0.25">
      <c r="A510" s="550">
        <v>509</v>
      </c>
      <c r="B510" s="95">
        <v>45260</v>
      </c>
      <c r="C510" s="434"/>
      <c r="D510" s="488"/>
      <c r="E510" s="435" t="s">
        <v>756</v>
      </c>
      <c r="F510" s="434">
        <f>5+6</f>
        <v>11</v>
      </c>
      <c r="G510" s="434"/>
      <c r="H510" s="434"/>
      <c r="I510" s="434">
        <v>20</v>
      </c>
      <c r="J510" s="434"/>
      <c r="K510" s="434"/>
      <c r="L510" s="434">
        <v>50</v>
      </c>
      <c r="M510" s="434">
        <v>325</v>
      </c>
      <c r="N510" s="557"/>
      <c r="O510" s="488">
        <f t="shared" si="10"/>
        <v>406</v>
      </c>
      <c r="P510" s="389"/>
      <c r="Q510" s="391"/>
      <c r="R510" s="391"/>
      <c r="S510" s="391"/>
      <c r="T510" s="391"/>
      <c r="U510" s="391"/>
      <c r="V510" s="518"/>
    </row>
    <row r="511" spans="1:22" ht="35.1" customHeight="1" x14ac:dyDescent="0.25">
      <c r="A511" s="550">
        <v>510</v>
      </c>
      <c r="B511" s="95">
        <v>45261</v>
      </c>
      <c r="C511" s="434"/>
      <c r="D511" s="488"/>
      <c r="E511" s="435"/>
      <c r="F511" s="434"/>
      <c r="G511" s="434"/>
      <c r="H511" s="434"/>
      <c r="I511" s="434">
        <v>105</v>
      </c>
      <c r="J511" s="434">
        <v>56</v>
      </c>
      <c r="K511" s="434"/>
      <c r="L511" s="434">
        <v>45</v>
      </c>
      <c r="M511" s="434">
        <v>305</v>
      </c>
      <c r="N511" s="557"/>
      <c r="O511" s="488">
        <f t="shared" si="10"/>
        <v>511</v>
      </c>
      <c r="P511" s="389"/>
      <c r="Q511" s="391"/>
      <c r="R511" s="391"/>
      <c r="S511" s="391"/>
      <c r="T511" s="391"/>
      <c r="U511" s="391"/>
      <c r="V511" s="518"/>
    </row>
    <row r="512" spans="1:22" ht="96.75" customHeight="1" x14ac:dyDescent="0.25">
      <c r="A512" s="550">
        <v>511</v>
      </c>
      <c r="B512" s="95">
        <v>45262</v>
      </c>
      <c r="C512" s="434"/>
      <c r="D512" s="488"/>
      <c r="E512" s="435" t="s">
        <v>758</v>
      </c>
      <c r="F512" s="434">
        <f>13+27+155+67</f>
        <v>262</v>
      </c>
      <c r="G512" s="434"/>
      <c r="H512" s="434"/>
      <c r="I512" s="434">
        <v>90.45</v>
      </c>
      <c r="J512" s="434">
        <v>210</v>
      </c>
      <c r="K512" s="434"/>
      <c r="L512" s="434"/>
      <c r="M512" s="434">
        <v>565</v>
      </c>
      <c r="N512" s="557"/>
      <c r="O512" s="488">
        <f t="shared" si="10"/>
        <v>1127.45</v>
      </c>
      <c r="P512" s="389"/>
      <c r="Q512" s="391"/>
      <c r="R512" s="391"/>
      <c r="S512" s="391"/>
      <c r="T512" s="391"/>
      <c r="U512" s="391"/>
      <c r="V512" s="518"/>
    </row>
    <row r="513" spans="1:22" ht="35.1" customHeight="1" x14ac:dyDescent="0.25">
      <c r="A513" s="190" t="s">
        <v>761</v>
      </c>
      <c r="B513" s="191">
        <v>45263</v>
      </c>
      <c r="C513" s="190"/>
      <c r="D513" s="190"/>
      <c r="E513" s="250"/>
      <c r="F513" s="190"/>
      <c r="G513" s="190"/>
      <c r="H513" s="190"/>
      <c r="I513" s="190"/>
      <c r="J513" s="190"/>
      <c r="K513" s="190"/>
      <c r="L513" s="190"/>
      <c r="M513" s="190"/>
      <c r="N513" s="559"/>
      <c r="O513" s="190">
        <f t="shared" si="10"/>
        <v>0</v>
      </c>
      <c r="P513" s="394"/>
      <c r="Q513" s="395"/>
      <c r="R513" s="395"/>
      <c r="S513" s="395"/>
      <c r="T513" s="395"/>
      <c r="U513" s="395"/>
      <c r="V513" s="520"/>
    </row>
    <row r="514" spans="1:22" ht="116.25" customHeight="1" x14ac:dyDescent="0.25">
      <c r="A514" s="550">
        <v>513</v>
      </c>
      <c r="B514" s="95">
        <v>45264</v>
      </c>
      <c r="C514" s="434"/>
      <c r="D514" s="488"/>
      <c r="E514" s="568" t="s">
        <v>760</v>
      </c>
      <c r="F514" s="434">
        <f>84+30+8+184+24+42</f>
        <v>372</v>
      </c>
      <c r="G514" s="434"/>
      <c r="H514" s="434"/>
      <c r="I514" s="434">
        <v>39.56</v>
      </c>
      <c r="J514" s="434">
        <v>208</v>
      </c>
      <c r="K514" s="434"/>
      <c r="L514" s="434">
        <v>2</v>
      </c>
      <c r="M514" s="434">
        <v>110</v>
      </c>
      <c r="N514" s="557"/>
      <c r="O514" s="488">
        <f t="shared" si="10"/>
        <v>731.56</v>
      </c>
      <c r="P514" s="389"/>
      <c r="Q514" s="391"/>
      <c r="R514" s="391"/>
      <c r="S514" s="391"/>
      <c r="T514" s="391"/>
      <c r="U514" s="391"/>
      <c r="V514" s="518"/>
    </row>
    <row r="515" spans="1:22" ht="35.1" customHeight="1" x14ac:dyDescent="0.25">
      <c r="A515" s="550">
        <v>514</v>
      </c>
      <c r="B515" s="95">
        <v>45265</v>
      </c>
      <c r="C515" s="434"/>
      <c r="D515" s="488"/>
      <c r="E515" s="570"/>
      <c r="F515" s="569"/>
      <c r="G515" s="569">
        <v>7</v>
      </c>
      <c r="H515" s="569"/>
      <c r="I515" s="569">
        <v>252</v>
      </c>
      <c r="J515" s="569">
        <v>289</v>
      </c>
      <c r="K515" s="569"/>
      <c r="L515" s="569">
        <v>8</v>
      </c>
      <c r="M515" s="569">
        <v>198</v>
      </c>
      <c r="N515" s="557"/>
      <c r="O515" s="488">
        <f t="shared" si="10"/>
        <v>754</v>
      </c>
      <c r="P515" s="389"/>
      <c r="Q515" s="391"/>
      <c r="R515" s="391"/>
      <c r="S515" s="391"/>
      <c r="T515" s="391"/>
      <c r="U515" s="391"/>
      <c r="V515" s="518"/>
    </row>
    <row r="516" spans="1:22" ht="35.1" customHeight="1" x14ac:dyDescent="0.25">
      <c r="A516" s="550">
        <v>515</v>
      </c>
      <c r="B516" s="95">
        <v>45266</v>
      </c>
      <c r="C516" s="434"/>
      <c r="D516" s="488"/>
      <c r="E516" s="435"/>
      <c r="F516" s="434"/>
      <c r="G516" s="434"/>
      <c r="H516" s="434"/>
      <c r="I516" s="434">
        <v>131</v>
      </c>
      <c r="J516" s="434">
        <v>15</v>
      </c>
      <c r="K516" s="434"/>
      <c r="L516" s="434"/>
      <c r="M516" s="434">
        <v>140</v>
      </c>
      <c r="N516" s="557"/>
      <c r="O516" s="488">
        <f t="shared" si="10"/>
        <v>286</v>
      </c>
      <c r="P516" s="389"/>
      <c r="Q516" s="391"/>
      <c r="R516" s="391"/>
      <c r="S516" s="391"/>
      <c r="T516" s="391"/>
      <c r="U516" s="391"/>
      <c r="V516" s="518"/>
    </row>
    <row r="517" spans="1:22" ht="35.1" customHeight="1" x14ac:dyDescent="0.25">
      <c r="A517" s="550">
        <v>516</v>
      </c>
      <c r="B517" s="95">
        <v>45267</v>
      </c>
      <c r="C517" s="434"/>
      <c r="D517" s="488"/>
      <c r="E517" s="435" t="s">
        <v>765</v>
      </c>
      <c r="F517" s="434">
        <f>5+7.68</f>
        <v>12.68</v>
      </c>
      <c r="G517" s="434"/>
      <c r="H517" s="434"/>
      <c r="I517" s="434">
        <v>187</v>
      </c>
      <c r="J517" s="434">
        <v>285</v>
      </c>
      <c r="K517" s="434"/>
      <c r="L517" s="434">
        <v>20</v>
      </c>
      <c r="M517" s="434">
        <v>472</v>
      </c>
      <c r="N517" s="557"/>
      <c r="O517" s="488">
        <f t="shared" si="10"/>
        <v>976.68</v>
      </c>
      <c r="P517" s="389"/>
      <c r="Q517" s="391"/>
      <c r="R517" s="391"/>
      <c r="S517" s="391"/>
      <c r="T517" s="391"/>
      <c r="U517" s="391"/>
      <c r="V517" s="518"/>
    </row>
    <row r="518" spans="1:22" ht="35.1" customHeight="1" x14ac:dyDescent="0.25">
      <c r="A518" s="550">
        <v>517</v>
      </c>
      <c r="B518" s="95">
        <v>45268</v>
      </c>
      <c r="C518" s="434"/>
      <c r="D518" s="488"/>
      <c r="E518" s="435" t="s">
        <v>777</v>
      </c>
      <c r="F518" s="434">
        <v>200</v>
      </c>
      <c r="G518" s="434"/>
      <c r="H518" s="434"/>
      <c r="I518" s="434">
        <v>39</v>
      </c>
      <c r="J518" s="434">
        <v>118</v>
      </c>
      <c r="K518" s="434"/>
      <c r="L518" s="434"/>
      <c r="M518" s="434">
        <v>840</v>
      </c>
      <c r="N518" s="557"/>
      <c r="O518" s="488">
        <f t="shared" si="10"/>
        <v>1197</v>
      </c>
      <c r="P518" s="389"/>
      <c r="Q518" s="391"/>
      <c r="R518" s="391"/>
      <c r="S518" s="391"/>
      <c r="T518" s="391"/>
      <c r="U518" s="391"/>
      <c r="V518" s="518"/>
    </row>
    <row r="519" spans="1:22" ht="35.1" customHeight="1" x14ac:dyDescent="0.25">
      <c r="A519" s="550">
        <v>518</v>
      </c>
      <c r="B519" s="95">
        <v>45269</v>
      </c>
      <c r="C519" s="434"/>
      <c r="D519" s="488"/>
      <c r="E519" s="435" t="s">
        <v>778</v>
      </c>
      <c r="F519" s="434">
        <f>20+7</f>
        <v>27</v>
      </c>
      <c r="G519" s="434"/>
      <c r="H519" s="434"/>
      <c r="I519" s="434">
        <v>102</v>
      </c>
      <c r="J519" s="434"/>
      <c r="K519" s="434"/>
      <c r="L519" s="434">
        <v>100</v>
      </c>
      <c r="M519" s="434">
        <f>363-21</f>
        <v>342</v>
      </c>
      <c r="N519" s="557"/>
      <c r="O519" s="488">
        <f t="shared" si="10"/>
        <v>571</v>
      </c>
      <c r="P519" s="389"/>
      <c r="Q519" s="391"/>
      <c r="R519" s="391"/>
      <c r="S519" s="391"/>
      <c r="T519" s="391"/>
      <c r="U519" s="391"/>
      <c r="V519" s="518"/>
    </row>
    <row r="520" spans="1:22" ht="35.1" customHeight="1" x14ac:dyDescent="0.25">
      <c r="A520" s="550">
        <v>519</v>
      </c>
      <c r="B520" s="95">
        <v>45270</v>
      </c>
      <c r="C520" s="434"/>
      <c r="D520" s="488"/>
      <c r="E520" s="435"/>
      <c r="F520" s="434"/>
      <c r="G520" s="434"/>
      <c r="H520" s="434"/>
      <c r="I520" s="434">
        <v>28.82</v>
      </c>
      <c r="J520" s="434"/>
      <c r="K520" s="434"/>
      <c r="L520" s="434">
        <v>58</v>
      </c>
      <c r="M520" s="434">
        <v>66</v>
      </c>
      <c r="N520" s="557"/>
      <c r="O520" s="488">
        <f t="shared" si="10"/>
        <v>152.82</v>
      </c>
      <c r="P520" s="389"/>
      <c r="Q520" s="391"/>
      <c r="R520" s="391"/>
      <c r="S520" s="391"/>
      <c r="T520" s="391"/>
      <c r="U520" s="391"/>
      <c r="V520" s="518"/>
    </row>
    <row r="521" spans="1:22" ht="35.1" customHeight="1" x14ac:dyDescent="0.25">
      <c r="A521" s="550">
        <v>520</v>
      </c>
      <c r="B521" s="95">
        <v>45271</v>
      </c>
      <c r="C521" s="434"/>
      <c r="D521" s="488"/>
      <c r="E521" s="435" t="s">
        <v>721</v>
      </c>
      <c r="F521" s="434">
        <v>28</v>
      </c>
      <c r="G521" s="434"/>
      <c r="H521" s="434"/>
      <c r="I521" s="434">
        <v>72</v>
      </c>
      <c r="J521" s="434"/>
      <c r="K521" s="434"/>
      <c r="L521" s="434">
        <v>44</v>
      </c>
      <c r="M521" s="434">
        <v>410</v>
      </c>
      <c r="N521" s="557"/>
      <c r="O521" s="488">
        <f t="shared" si="10"/>
        <v>554</v>
      </c>
      <c r="P521" s="389"/>
      <c r="Q521" s="391"/>
      <c r="R521" s="391"/>
      <c r="S521" s="391"/>
      <c r="T521" s="391"/>
      <c r="U521" s="391"/>
      <c r="V521" s="518"/>
    </row>
    <row r="522" spans="1:22" ht="35.1" customHeight="1" x14ac:dyDescent="0.25">
      <c r="A522" s="550">
        <v>521</v>
      </c>
      <c r="B522" s="95">
        <v>45272</v>
      </c>
      <c r="C522" s="434"/>
      <c r="D522" s="488"/>
      <c r="E522" s="435" t="s">
        <v>745</v>
      </c>
      <c r="F522" s="434">
        <v>7</v>
      </c>
      <c r="G522" s="434"/>
      <c r="H522" s="434"/>
      <c r="I522" s="434">
        <v>62</v>
      </c>
      <c r="J522" s="434"/>
      <c r="K522" s="434"/>
      <c r="L522" s="434">
        <v>36</v>
      </c>
      <c r="M522" s="434">
        <v>362</v>
      </c>
      <c r="N522" s="557"/>
      <c r="O522" s="488">
        <f t="shared" si="10"/>
        <v>467</v>
      </c>
      <c r="P522" s="389"/>
      <c r="Q522" s="391"/>
      <c r="R522" s="391"/>
      <c r="S522" s="391"/>
      <c r="T522" s="391"/>
      <c r="U522" s="391"/>
      <c r="V522" s="518"/>
    </row>
    <row r="523" spans="1:22" ht="35.1" customHeight="1" x14ac:dyDescent="0.25">
      <c r="A523" s="550">
        <v>522</v>
      </c>
      <c r="B523" s="95">
        <v>45273</v>
      </c>
      <c r="C523" s="434"/>
      <c r="D523" s="488"/>
      <c r="E523" s="435"/>
      <c r="F523" s="434"/>
      <c r="G523" s="434"/>
      <c r="H523" s="434"/>
      <c r="I523" s="434">
        <v>61</v>
      </c>
      <c r="J523" s="434">
        <v>74</v>
      </c>
      <c r="K523" s="434"/>
      <c r="L523" s="434"/>
      <c r="M523" s="434">
        <v>940</v>
      </c>
      <c r="N523" s="557"/>
      <c r="O523" s="488">
        <f t="shared" si="10"/>
        <v>1075</v>
      </c>
      <c r="P523" s="389"/>
      <c r="Q523" s="391"/>
      <c r="R523" s="391"/>
      <c r="S523" s="391"/>
      <c r="T523" s="391"/>
      <c r="U523" s="391"/>
      <c r="V523" s="518"/>
    </row>
    <row r="524" spans="1:22" ht="35.1" customHeight="1" x14ac:dyDescent="0.25">
      <c r="A524" s="550">
        <v>523</v>
      </c>
      <c r="B524" s="95">
        <v>45274</v>
      </c>
      <c r="C524" s="434"/>
      <c r="D524" s="488"/>
      <c r="E524" s="435"/>
      <c r="F524" s="434"/>
      <c r="G524" s="434"/>
      <c r="H524" s="434"/>
      <c r="I524" s="434">
        <v>50</v>
      </c>
      <c r="J524" s="434"/>
      <c r="K524" s="434"/>
      <c r="L524" s="434">
        <v>3</v>
      </c>
      <c r="M524" s="434">
        <v>272</v>
      </c>
      <c r="N524" s="557"/>
      <c r="O524" s="488">
        <f t="shared" si="10"/>
        <v>325</v>
      </c>
      <c r="P524" s="389"/>
      <c r="Q524" s="391"/>
      <c r="R524" s="391"/>
      <c r="S524" s="391"/>
      <c r="T524" s="391"/>
      <c r="U524" s="391"/>
      <c r="V524" s="518"/>
    </row>
    <row r="525" spans="1:22" ht="35.1" customHeight="1" x14ac:dyDescent="0.25">
      <c r="A525" s="550">
        <v>524</v>
      </c>
      <c r="B525" s="95">
        <v>45275</v>
      </c>
      <c r="C525" s="434"/>
      <c r="D525" s="488"/>
      <c r="E525" s="435" t="s">
        <v>787</v>
      </c>
      <c r="F525" s="434">
        <v>30</v>
      </c>
      <c r="G525" s="434"/>
      <c r="H525" s="434"/>
      <c r="I525" s="434"/>
      <c r="J525" s="434">
        <v>80</v>
      </c>
      <c r="K525" s="434"/>
      <c r="L525" s="434">
        <v>48</v>
      </c>
      <c r="M525" s="434">
        <v>262</v>
      </c>
      <c r="N525" s="557"/>
      <c r="O525" s="488">
        <f t="shared" si="10"/>
        <v>420</v>
      </c>
      <c r="P525" s="389"/>
      <c r="Q525" s="391"/>
      <c r="R525" s="391"/>
      <c r="S525" s="391"/>
      <c r="T525" s="391"/>
      <c r="U525" s="391"/>
      <c r="V525" s="518"/>
    </row>
    <row r="526" spans="1:22" ht="35.1" customHeight="1" x14ac:dyDescent="0.25">
      <c r="A526" s="550">
        <v>525</v>
      </c>
      <c r="B526" s="95">
        <v>45276</v>
      </c>
      <c r="C526" s="434"/>
      <c r="D526" s="488"/>
      <c r="E526" s="435" t="s">
        <v>791</v>
      </c>
      <c r="F526" s="434">
        <f>34+28</f>
        <v>62</v>
      </c>
      <c r="G526" s="434"/>
      <c r="H526" s="434"/>
      <c r="I526" s="434">
        <v>233</v>
      </c>
      <c r="J526" s="434">
        <v>124</v>
      </c>
      <c r="K526" s="434"/>
      <c r="L526" s="434">
        <v>56</v>
      </c>
      <c r="M526" s="434">
        <v>428</v>
      </c>
      <c r="N526" s="557"/>
      <c r="O526" s="488">
        <f t="shared" si="10"/>
        <v>903</v>
      </c>
      <c r="P526" s="389"/>
      <c r="Q526" s="391"/>
      <c r="R526" s="391"/>
      <c r="S526" s="391"/>
      <c r="T526" s="391"/>
      <c r="U526" s="391"/>
      <c r="V526" s="518"/>
    </row>
    <row r="527" spans="1:22" ht="35.1" customHeight="1" x14ac:dyDescent="0.25">
      <c r="A527" s="550">
        <v>526</v>
      </c>
      <c r="B527" s="95">
        <v>45277</v>
      </c>
      <c r="C527" s="434"/>
      <c r="D527" s="488"/>
      <c r="E527" s="435"/>
      <c r="F527" s="434"/>
      <c r="G527" s="434"/>
      <c r="H527" s="434"/>
      <c r="I527" s="434">
        <v>181</v>
      </c>
      <c r="J527" s="434"/>
      <c r="K527" s="434"/>
      <c r="L527" s="434">
        <v>6</v>
      </c>
      <c r="M527" s="434">
        <v>62</v>
      </c>
      <c r="N527" s="557"/>
      <c r="O527" s="488">
        <f t="shared" si="10"/>
        <v>249</v>
      </c>
      <c r="P527" s="389"/>
      <c r="Q527" s="391"/>
      <c r="R527" s="391"/>
      <c r="S527" s="391"/>
      <c r="T527" s="391"/>
      <c r="U527" s="391"/>
      <c r="V527" s="518"/>
    </row>
    <row r="528" spans="1:22" ht="35.1" customHeight="1" x14ac:dyDescent="0.25">
      <c r="A528" s="550">
        <v>527</v>
      </c>
      <c r="B528" s="95">
        <v>45278</v>
      </c>
      <c r="C528" s="434"/>
      <c r="D528" s="488"/>
      <c r="E528" s="435"/>
      <c r="F528" s="434"/>
      <c r="G528" s="434"/>
      <c r="H528" s="434"/>
      <c r="I528" s="434"/>
      <c r="J528" s="434"/>
      <c r="K528" s="434"/>
      <c r="L528" s="434"/>
      <c r="M528" s="434"/>
      <c r="N528" s="557"/>
      <c r="O528" s="488">
        <f t="shared" si="10"/>
        <v>0</v>
      </c>
      <c r="P528" s="389"/>
      <c r="Q528" s="391"/>
      <c r="R528" s="391"/>
      <c r="S528" s="391"/>
      <c r="T528" s="391"/>
      <c r="U528" s="391"/>
      <c r="V528" s="518"/>
    </row>
    <row r="529" spans="1:22" ht="35.1" customHeight="1" x14ac:dyDescent="0.25">
      <c r="A529" s="550">
        <v>528</v>
      </c>
      <c r="B529" s="95">
        <v>45279</v>
      </c>
      <c r="C529" s="434"/>
      <c r="D529" s="488"/>
      <c r="E529" s="435"/>
      <c r="F529" s="434"/>
      <c r="G529" s="434"/>
      <c r="H529" s="434"/>
      <c r="I529" s="434"/>
      <c r="J529" s="434"/>
      <c r="K529" s="434"/>
      <c r="L529" s="434"/>
      <c r="M529" s="434"/>
      <c r="N529" s="557"/>
      <c r="O529" s="488">
        <f t="shared" si="10"/>
        <v>0</v>
      </c>
      <c r="P529" s="389"/>
      <c r="Q529" s="391"/>
      <c r="R529" s="391"/>
      <c r="S529" s="391"/>
      <c r="T529" s="391"/>
      <c r="U529" s="391"/>
      <c r="V529" s="518"/>
    </row>
    <row r="530" spans="1:22" ht="35.1" customHeight="1" x14ac:dyDescent="0.25">
      <c r="A530" s="550">
        <v>529</v>
      </c>
      <c r="B530" s="95">
        <v>45280</v>
      </c>
      <c r="C530" s="434"/>
      <c r="D530" s="488"/>
      <c r="E530" s="435"/>
      <c r="F530" s="434"/>
      <c r="G530" s="434"/>
      <c r="H530" s="434"/>
      <c r="I530" s="434"/>
      <c r="J530" s="434"/>
      <c r="K530" s="434"/>
      <c r="L530" s="434"/>
      <c r="M530" s="434"/>
      <c r="N530" s="557"/>
      <c r="O530" s="488">
        <f t="shared" si="10"/>
        <v>0</v>
      </c>
      <c r="P530" s="389"/>
      <c r="Q530" s="391"/>
      <c r="R530" s="391"/>
      <c r="S530" s="391"/>
      <c r="T530" s="391"/>
      <c r="U530" s="391"/>
      <c r="V530" s="518"/>
    </row>
    <row r="531" spans="1:22" ht="35.1" customHeight="1" x14ac:dyDescent="0.25">
      <c r="A531" s="550">
        <v>530</v>
      </c>
      <c r="B531" s="95">
        <v>45281</v>
      </c>
      <c r="C531" s="434"/>
      <c r="D531" s="488"/>
      <c r="E531" s="435"/>
      <c r="F531" s="434"/>
      <c r="G531" s="434"/>
      <c r="H531" s="434"/>
      <c r="I531" s="434"/>
      <c r="J531" s="434"/>
      <c r="K531" s="434"/>
      <c r="L531" s="434"/>
      <c r="M531" s="434"/>
      <c r="N531" s="557"/>
      <c r="O531" s="488">
        <f t="shared" si="10"/>
        <v>0</v>
      </c>
      <c r="P531" s="389"/>
      <c r="Q531" s="391"/>
      <c r="R531" s="391"/>
      <c r="S531" s="391"/>
      <c r="T531" s="391"/>
      <c r="U531" s="391"/>
      <c r="V531" s="518"/>
    </row>
    <row r="532" spans="1:22" ht="35.1" customHeight="1" x14ac:dyDescent="0.25">
      <c r="A532" s="550">
        <v>531</v>
      </c>
      <c r="B532" s="95">
        <v>45282</v>
      </c>
      <c r="C532" s="434"/>
      <c r="D532" s="488"/>
      <c r="E532" s="435"/>
      <c r="F532" s="434"/>
      <c r="G532" s="434"/>
      <c r="H532" s="434"/>
      <c r="I532" s="434"/>
      <c r="J532" s="434"/>
      <c r="K532" s="434"/>
      <c r="L532" s="434"/>
      <c r="M532" s="434"/>
      <c r="N532" s="557"/>
      <c r="O532" s="488">
        <f t="shared" si="10"/>
        <v>0</v>
      </c>
      <c r="P532" s="389"/>
      <c r="Q532" s="391"/>
      <c r="R532" s="391"/>
      <c r="S532" s="391"/>
      <c r="T532" s="391"/>
      <c r="U532" s="391"/>
      <c r="V532" s="518"/>
    </row>
    <row r="533" spans="1:22" ht="35.1" customHeight="1" x14ac:dyDescent="0.25">
      <c r="A533" s="550">
        <v>532</v>
      </c>
      <c r="B533" s="95">
        <v>45283</v>
      </c>
      <c r="C533" s="434"/>
      <c r="D533" s="488"/>
      <c r="E533" s="435"/>
      <c r="F533" s="434"/>
      <c r="G533" s="434"/>
      <c r="H533" s="434"/>
      <c r="I533" s="434"/>
      <c r="J533" s="434"/>
      <c r="K533" s="434"/>
      <c r="L533" s="434"/>
      <c r="M533" s="434"/>
      <c r="N533" s="557"/>
      <c r="O533" s="488">
        <f t="shared" si="10"/>
        <v>0</v>
      </c>
      <c r="P533" s="389"/>
      <c r="Q533" s="391"/>
      <c r="R533" s="391"/>
      <c r="S533" s="391"/>
      <c r="T533" s="391"/>
      <c r="U533" s="391"/>
      <c r="V533" s="518"/>
    </row>
    <row r="534" spans="1:22" ht="35.1" customHeight="1" x14ac:dyDescent="0.25">
      <c r="A534" s="550">
        <v>533</v>
      </c>
      <c r="B534" s="95">
        <v>45284</v>
      </c>
      <c r="C534" s="434"/>
      <c r="D534" s="488"/>
      <c r="E534" s="435"/>
      <c r="F534" s="434"/>
      <c r="G534" s="434"/>
      <c r="H534" s="434"/>
      <c r="I534" s="434"/>
      <c r="J534" s="434"/>
      <c r="K534" s="434"/>
      <c r="L534" s="434"/>
      <c r="M534" s="434"/>
      <c r="N534" s="557"/>
      <c r="O534" s="488">
        <f t="shared" si="10"/>
        <v>0</v>
      </c>
      <c r="P534" s="389"/>
      <c r="Q534" s="391"/>
      <c r="R534" s="391"/>
      <c r="S534" s="391"/>
      <c r="T534" s="391"/>
      <c r="U534" s="391"/>
      <c r="V534" s="518"/>
    </row>
    <row r="535" spans="1:22" ht="35.1" customHeight="1" x14ac:dyDescent="0.25">
      <c r="A535" s="550">
        <v>534</v>
      </c>
      <c r="B535" s="95">
        <v>45285</v>
      </c>
      <c r="C535" s="434"/>
      <c r="D535" s="488"/>
      <c r="E535" s="435"/>
      <c r="F535" s="434"/>
      <c r="G535" s="434"/>
      <c r="H535" s="434"/>
      <c r="I535" s="434"/>
      <c r="J535" s="434"/>
      <c r="K535" s="434"/>
      <c r="L535" s="434"/>
      <c r="M535" s="434"/>
      <c r="N535" s="557"/>
      <c r="O535" s="488">
        <f t="shared" si="10"/>
        <v>0</v>
      </c>
      <c r="P535" s="389"/>
      <c r="Q535" s="391"/>
      <c r="R535" s="391"/>
      <c r="S535" s="391"/>
      <c r="T535" s="391"/>
      <c r="U535" s="391"/>
      <c r="V535" s="518"/>
    </row>
    <row r="536" spans="1:22" ht="35.1" customHeight="1" x14ac:dyDescent="0.25">
      <c r="A536" s="550">
        <v>535</v>
      </c>
      <c r="B536" s="95">
        <v>45286</v>
      </c>
      <c r="C536" s="434"/>
      <c r="D536" s="488"/>
      <c r="E536" s="435"/>
      <c r="F536" s="434"/>
      <c r="G536" s="434"/>
      <c r="H536" s="434"/>
      <c r="I536" s="434"/>
      <c r="J536" s="434"/>
      <c r="K536" s="434"/>
      <c r="L536" s="434"/>
      <c r="M536" s="434"/>
      <c r="N536" s="557"/>
      <c r="O536" s="488">
        <f t="shared" si="10"/>
        <v>0</v>
      </c>
      <c r="P536" s="389"/>
      <c r="Q536" s="391"/>
      <c r="R536" s="391"/>
      <c r="S536" s="391"/>
      <c r="T536" s="391"/>
      <c r="U536" s="391"/>
      <c r="V536" s="518"/>
    </row>
    <row r="537" spans="1:22" ht="35.1" customHeight="1" x14ac:dyDescent="0.25">
      <c r="A537" s="550">
        <v>536</v>
      </c>
      <c r="B537" s="95">
        <v>45287</v>
      </c>
      <c r="C537" s="434"/>
      <c r="D537" s="488"/>
      <c r="E537" s="435"/>
      <c r="F537" s="434"/>
      <c r="G537" s="434"/>
      <c r="H537" s="434"/>
      <c r="I537" s="434"/>
      <c r="J537" s="434"/>
      <c r="K537" s="434"/>
      <c r="L537" s="434"/>
      <c r="M537" s="434"/>
      <c r="N537" s="557"/>
      <c r="O537" s="488">
        <f t="shared" si="10"/>
        <v>0</v>
      </c>
      <c r="P537" s="389"/>
      <c r="Q537" s="391"/>
      <c r="R537" s="391"/>
      <c r="S537" s="391"/>
      <c r="T537" s="391"/>
      <c r="U537" s="391"/>
      <c r="V537" s="518"/>
    </row>
    <row r="538" spans="1:22" ht="35.1" customHeight="1" x14ac:dyDescent="0.25">
      <c r="A538" s="550">
        <v>537</v>
      </c>
      <c r="B538" s="95">
        <v>45288</v>
      </c>
      <c r="C538" s="434"/>
      <c r="D538" s="488"/>
      <c r="E538" s="435"/>
      <c r="F538" s="434"/>
      <c r="G538" s="434"/>
      <c r="H538" s="434"/>
      <c r="I538" s="434"/>
      <c r="J538" s="434"/>
      <c r="K538" s="434"/>
      <c r="L538" s="434"/>
      <c r="M538" s="434"/>
      <c r="N538" s="557"/>
      <c r="O538" s="488">
        <f t="shared" si="10"/>
        <v>0</v>
      </c>
      <c r="P538" s="389"/>
      <c r="Q538" s="391"/>
      <c r="R538" s="391"/>
      <c r="S538" s="391"/>
      <c r="T538" s="391"/>
      <c r="U538" s="391"/>
      <c r="V538" s="518"/>
    </row>
    <row r="539" spans="1:22" ht="35.1" customHeight="1" x14ac:dyDescent="0.25">
      <c r="A539" s="550">
        <v>538</v>
      </c>
      <c r="B539" s="95">
        <v>45289</v>
      </c>
      <c r="C539" s="434"/>
      <c r="D539" s="488"/>
      <c r="E539" s="435"/>
      <c r="F539" s="434"/>
      <c r="G539" s="434"/>
      <c r="H539" s="434"/>
      <c r="I539" s="434"/>
      <c r="J539" s="434"/>
      <c r="K539" s="434"/>
      <c r="L539" s="434"/>
      <c r="M539" s="434"/>
      <c r="N539" s="557"/>
      <c r="O539" s="488">
        <f t="shared" si="10"/>
        <v>0</v>
      </c>
      <c r="P539" s="389"/>
      <c r="Q539" s="391"/>
      <c r="R539" s="391"/>
      <c r="S539" s="391"/>
      <c r="T539" s="391"/>
      <c r="U539" s="391"/>
      <c r="V539" s="518"/>
    </row>
    <row r="540" spans="1:22" ht="35.1" customHeight="1" x14ac:dyDescent="0.25">
      <c r="A540" s="550">
        <v>539</v>
      </c>
      <c r="B540" s="95">
        <v>45290</v>
      </c>
      <c r="C540" s="434"/>
      <c r="D540" s="488"/>
      <c r="E540" s="435"/>
      <c r="F540" s="434"/>
      <c r="G540" s="434"/>
      <c r="H540" s="434"/>
      <c r="I540" s="434"/>
      <c r="J540" s="434"/>
      <c r="K540" s="434"/>
      <c r="L540" s="434"/>
      <c r="M540" s="434"/>
      <c r="N540" s="557"/>
      <c r="O540" s="488">
        <f t="shared" si="10"/>
        <v>0</v>
      </c>
      <c r="P540" s="389"/>
      <c r="Q540" s="391"/>
      <c r="R540" s="391"/>
      <c r="S540" s="391"/>
      <c r="T540" s="391"/>
      <c r="U540" s="391"/>
      <c r="V540" s="518"/>
    </row>
    <row r="541" spans="1:22" ht="35.1" customHeight="1" x14ac:dyDescent="0.25">
      <c r="A541" s="550">
        <v>540</v>
      </c>
      <c r="B541" s="95">
        <v>45291</v>
      </c>
      <c r="C541" s="434"/>
      <c r="D541" s="488"/>
      <c r="E541" s="435"/>
      <c r="F541" s="434"/>
      <c r="G541" s="434"/>
      <c r="H541" s="434"/>
      <c r="I541" s="434"/>
      <c r="J541" s="434"/>
      <c r="K541" s="434"/>
      <c r="L541" s="434"/>
      <c r="M541" s="434"/>
      <c r="N541" s="557"/>
      <c r="O541" s="488">
        <f t="shared" si="10"/>
        <v>0</v>
      </c>
      <c r="P541" s="389"/>
      <c r="Q541" s="391"/>
      <c r="R541" s="391"/>
      <c r="S541" s="391"/>
      <c r="T541" s="391"/>
      <c r="U541" s="391"/>
      <c r="V541" s="518"/>
    </row>
    <row r="542" spans="1:22" ht="35.1" customHeight="1" x14ac:dyDescent="0.25">
      <c r="A542" s="550">
        <v>541</v>
      </c>
      <c r="B542" s="95">
        <v>45292</v>
      </c>
      <c r="C542" s="434"/>
      <c r="D542" s="488"/>
      <c r="E542" s="435"/>
      <c r="F542" s="434"/>
      <c r="G542" s="434"/>
      <c r="H542" s="434"/>
      <c r="I542" s="434"/>
      <c r="J542" s="434"/>
      <c r="K542" s="434"/>
      <c r="L542" s="434"/>
      <c r="M542" s="434"/>
      <c r="N542" s="557"/>
      <c r="O542" s="488">
        <f t="shared" si="10"/>
        <v>0</v>
      </c>
      <c r="P542" s="389"/>
      <c r="Q542" s="391"/>
      <c r="R542" s="391"/>
      <c r="S542" s="391"/>
      <c r="T542" s="391"/>
      <c r="U542" s="391"/>
      <c r="V542" s="518"/>
    </row>
    <row r="543" spans="1:22" ht="35.1" customHeight="1" x14ac:dyDescent="0.25">
      <c r="A543" s="550">
        <v>542</v>
      </c>
      <c r="B543" s="95">
        <v>45293</v>
      </c>
      <c r="C543" s="434"/>
      <c r="D543" s="488"/>
      <c r="E543" s="435"/>
      <c r="F543" s="434"/>
      <c r="G543" s="434"/>
      <c r="H543" s="434"/>
      <c r="I543" s="434"/>
      <c r="J543" s="434"/>
      <c r="K543" s="434"/>
      <c r="L543" s="434"/>
      <c r="M543" s="434"/>
      <c r="N543" s="557"/>
      <c r="O543" s="488">
        <f t="shared" si="10"/>
        <v>0</v>
      </c>
      <c r="P543" s="389"/>
      <c r="Q543" s="391"/>
      <c r="R543" s="391"/>
      <c r="S543" s="391"/>
      <c r="T543" s="391"/>
      <c r="U543" s="391"/>
      <c r="V543" s="518"/>
    </row>
    <row r="544" spans="1:22" ht="35.1" customHeight="1" x14ac:dyDescent="0.25">
      <c r="A544" s="550">
        <v>543</v>
      </c>
      <c r="B544" s="95">
        <v>45294</v>
      </c>
      <c r="C544" s="434"/>
      <c r="D544" s="488"/>
      <c r="E544" s="435"/>
      <c r="F544" s="434"/>
      <c r="G544" s="434"/>
      <c r="H544" s="434"/>
      <c r="I544" s="434"/>
      <c r="J544" s="434"/>
      <c r="K544" s="434"/>
      <c r="L544" s="434"/>
      <c r="M544" s="434"/>
      <c r="N544" s="557"/>
      <c r="O544" s="488">
        <f t="shared" si="10"/>
        <v>0</v>
      </c>
      <c r="P544" s="389"/>
      <c r="Q544" s="391"/>
      <c r="R544" s="391"/>
      <c r="S544" s="391"/>
      <c r="T544" s="391"/>
      <c r="U544" s="391"/>
      <c r="V544" s="518"/>
    </row>
    <row r="545" spans="1:22" ht="35.1" customHeight="1" x14ac:dyDescent="0.25">
      <c r="A545" s="550">
        <v>544</v>
      </c>
      <c r="B545" s="95">
        <v>45295</v>
      </c>
      <c r="C545" s="434"/>
      <c r="D545" s="488"/>
      <c r="E545" s="435"/>
      <c r="F545" s="434"/>
      <c r="G545" s="434"/>
      <c r="H545" s="434"/>
      <c r="I545" s="434"/>
      <c r="J545" s="434"/>
      <c r="K545" s="434"/>
      <c r="L545" s="434"/>
      <c r="M545" s="434"/>
      <c r="N545" s="557"/>
      <c r="O545" s="488">
        <f t="shared" si="10"/>
        <v>0</v>
      </c>
      <c r="P545" s="389"/>
      <c r="Q545" s="391"/>
      <c r="R545" s="391"/>
      <c r="S545" s="391"/>
      <c r="T545" s="391"/>
      <c r="U545" s="391"/>
      <c r="V545" s="518"/>
    </row>
    <row r="546" spans="1:22" ht="35.1" customHeight="1" x14ac:dyDescent="0.25">
      <c r="A546" s="550">
        <v>545</v>
      </c>
      <c r="B546" s="95">
        <v>45296</v>
      </c>
      <c r="C546" s="434"/>
      <c r="D546" s="488"/>
      <c r="E546" s="435"/>
      <c r="F546" s="434"/>
      <c r="G546" s="434"/>
      <c r="H546" s="434"/>
      <c r="I546" s="434"/>
      <c r="J546" s="434"/>
      <c r="K546" s="434"/>
      <c r="L546" s="434"/>
      <c r="M546" s="434"/>
      <c r="N546" s="557"/>
      <c r="O546" s="488">
        <f t="shared" si="10"/>
        <v>0</v>
      </c>
      <c r="P546" s="389"/>
      <c r="Q546" s="391"/>
      <c r="R546" s="391"/>
      <c r="S546" s="391"/>
      <c r="T546" s="391"/>
      <c r="U546" s="391"/>
      <c r="V546" s="518"/>
    </row>
    <row r="547" spans="1:22" ht="35.1" customHeight="1" x14ac:dyDescent="0.25">
      <c r="A547" s="550">
        <v>546</v>
      </c>
      <c r="B547" s="95">
        <v>45297</v>
      </c>
      <c r="C547" s="434"/>
      <c r="D547" s="488"/>
      <c r="E547" s="435"/>
      <c r="F547" s="434"/>
      <c r="G547" s="434"/>
      <c r="H547" s="434"/>
      <c r="I547" s="434"/>
      <c r="J547" s="434"/>
      <c r="K547" s="434"/>
      <c r="L547" s="434"/>
      <c r="M547" s="434"/>
      <c r="N547" s="557"/>
      <c r="O547" s="488">
        <f t="shared" si="10"/>
        <v>0</v>
      </c>
      <c r="P547" s="389"/>
      <c r="Q547" s="391"/>
      <c r="R547" s="391"/>
      <c r="S547" s="391"/>
      <c r="T547" s="391"/>
      <c r="U547" s="391"/>
      <c r="V547" s="518"/>
    </row>
    <row r="548" spans="1:22" ht="35.1" customHeight="1" x14ac:dyDescent="0.25">
      <c r="A548" s="550">
        <v>547</v>
      </c>
      <c r="B548" s="95">
        <v>45298</v>
      </c>
      <c r="C548" s="434"/>
      <c r="D548" s="488"/>
      <c r="E548" s="435"/>
      <c r="F548" s="434"/>
      <c r="G548" s="434"/>
      <c r="H548" s="434"/>
      <c r="I548" s="434"/>
      <c r="J548" s="434"/>
      <c r="K548" s="434"/>
      <c r="L548" s="434"/>
      <c r="M548" s="434"/>
      <c r="N548" s="557"/>
      <c r="O548" s="488">
        <f t="shared" si="10"/>
        <v>0</v>
      </c>
      <c r="P548" s="389"/>
      <c r="Q548" s="391"/>
      <c r="R548" s="391"/>
      <c r="S548" s="391"/>
      <c r="T548" s="391"/>
      <c r="U548" s="391"/>
      <c r="V548" s="518"/>
    </row>
    <row r="549" spans="1:22" ht="35.1" customHeight="1" x14ac:dyDescent="0.25">
      <c r="A549" s="550">
        <v>548</v>
      </c>
      <c r="B549" s="95">
        <v>45299</v>
      </c>
      <c r="C549" s="434"/>
      <c r="D549" s="488"/>
      <c r="E549" s="435"/>
      <c r="F549" s="434"/>
      <c r="G549" s="434"/>
      <c r="H549" s="434"/>
      <c r="I549" s="434"/>
      <c r="J549" s="434"/>
      <c r="K549" s="434"/>
      <c r="L549" s="434"/>
      <c r="M549" s="434"/>
      <c r="N549" s="557"/>
      <c r="O549" s="488">
        <f t="shared" si="10"/>
        <v>0</v>
      </c>
      <c r="P549" s="389"/>
      <c r="Q549" s="391"/>
      <c r="R549" s="391"/>
      <c r="S549" s="391"/>
      <c r="T549" s="391"/>
      <c r="U549" s="391"/>
      <c r="V549" s="518"/>
    </row>
    <row r="550" spans="1:22" ht="35.1" customHeight="1" x14ac:dyDescent="0.25">
      <c r="A550" s="550">
        <v>549</v>
      </c>
      <c r="B550" s="95">
        <v>45300</v>
      </c>
      <c r="C550" s="434"/>
      <c r="D550" s="488"/>
      <c r="E550" s="435"/>
      <c r="F550" s="434"/>
      <c r="G550" s="434"/>
      <c r="H550" s="434"/>
      <c r="I550" s="434"/>
      <c r="J550" s="434"/>
      <c r="K550" s="434"/>
      <c r="L550" s="434"/>
      <c r="M550" s="434"/>
      <c r="N550" s="557"/>
      <c r="O550" s="488">
        <f t="shared" si="10"/>
        <v>0</v>
      </c>
      <c r="P550" s="389"/>
      <c r="Q550" s="391"/>
      <c r="R550" s="391"/>
      <c r="S550" s="391"/>
      <c r="T550" s="391"/>
      <c r="U550" s="391"/>
      <c r="V550" s="518"/>
    </row>
    <row r="551" spans="1:22" ht="35.1" customHeight="1" x14ac:dyDescent="0.25">
      <c r="A551" s="550">
        <v>550</v>
      </c>
      <c r="B551" s="95">
        <v>45301</v>
      </c>
      <c r="C551" s="434"/>
      <c r="D551" s="488"/>
      <c r="E551" s="435"/>
      <c r="F551" s="434"/>
      <c r="G551" s="434"/>
      <c r="H551" s="434"/>
      <c r="I551" s="434"/>
      <c r="J551" s="434"/>
      <c r="K551" s="434"/>
      <c r="L551" s="434"/>
      <c r="M551" s="434"/>
      <c r="N551" s="557"/>
      <c r="O551" s="488">
        <f t="shared" si="10"/>
        <v>0</v>
      </c>
      <c r="P551" s="389"/>
      <c r="Q551" s="391"/>
      <c r="R551" s="391"/>
      <c r="S551" s="391"/>
      <c r="T551" s="391"/>
      <c r="U551" s="391"/>
      <c r="V551" s="518"/>
    </row>
    <row r="552" spans="1:22" ht="35.1" customHeight="1" x14ac:dyDescent="0.25">
      <c r="A552" s="550">
        <v>551</v>
      </c>
      <c r="B552" s="95">
        <v>45302</v>
      </c>
      <c r="C552" s="434"/>
      <c r="D552" s="488"/>
      <c r="E552" s="435"/>
      <c r="F552" s="434"/>
      <c r="G552" s="434"/>
      <c r="H552" s="434"/>
      <c r="I552" s="434"/>
      <c r="J552" s="434"/>
      <c r="K552" s="434"/>
      <c r="L552" s="434"/>
      <c r="M552" s="434"/>
      <c r="N552" s="557"/>
      <c r="O552" s="488">
        <f t="shared" si="10"/>
        <v>0</v>
      </c>
      <c r="P552" s="389"/>
      <c r="Q552" s="391"/>
      <c r="R552" s="391"/>
      <c r="S552" s="391"/>
      <c r="T552" s="391"/>
      <c r="U552" s="391"/>
      <c r="V552" s="518"/>
    </row>
    <row r="553" spans="1:22" ht="35.1" customHeight="1" x14ac:dyDescent="0.25">
      <c r="A553" s="550">
        <v>552</v>
      </c>
      <c r="B553" s="95">
        <v>45303</v>
      </c>
      <c r="C553" s="434"/>
      <c r="D553" s="488"/>
      <c r="E553" s="435"/>
      <c r="F553" s="434"/>
      <c r="G553" s="434"/>
      <c r="H553" s="434"/>
      <c r="I553" s="434"/>
      <c r="J553" s="434"/>
      <c r="K553" s="434"/>
      <c r="L553" s="434"/>
      <c r="M553" s="434"/>
      <c r="N553" s="557"/>
      <c r="O553" s="488">
        <f t="shared" si="10"/>
        <v>0</v>
      </c>
      <c r="P553" s="389"/>
      <c r="Q553" s="391"/>
      <c r="R553" s="391"/>
      <c r="S553" s="391"/>
      <c r="T553" s="391"/>
      <c r="U553" s="391"/>
      <c r="V553" s="518"/>
    </row>
    <row r="554" spans="1:22" ht="35.1" customHeight="1" x14ac:dyDescent="0.25">
      <c r="A554" s="550">
        <v>553</v>
      </c>
      <c r="B554" s="95">
        <v>45304</v>
      </c>
      <c r="C554" s="434"/>
      <c r="D554" s="488"/>
      <c r="E554" s="435"/>
      <c r="F554" s="434"/>
      <c r="G554" s="434"/>
      <c r="H554" s="434"/>
      <c r="I554" s="434"/>
      <c r="J554" s="434"/>
      <c r="K554" s="434"/>
      <c r="L554" s="434"/>
      <c r="M554" s="434"/>
      <c r="N554" s="557"/>
      <c r="O554" s="488">
        <f t="shared" si="10"/>
        <v>0</v>
      </c>
      <c r="P554" s="389"/>
      <c r="Q554" s="391"/>
      <c r="R554" s="391"/>
      <c r="S554" s="391"/>
      <c r="T554" s="391"/>
      <c r="U554" s="391"/>
      <c r="V554" s="518"/>
    </row>
    <row r="555" spans="1:22" ht="35.1" customHeight="1" x14ac:dyDescent="0.25">
      <c r="A555" s="550">
        <v>554</v>
      </c>
      <c r="B555" s="95">
        <v>45305</v>
      </c>
      <c r="C555" s="434"/>
      <c r="D555" s="488"/>
      <c r="E555" s="435"/>
      <c r="F555" s="434"/>
      <c r="G555" s="434"/>
      <c r="H555" s="434"/>
      <c r="I555" s="434"/>
      <c r="J555" s="434"/>
      <c r="K555" s="434"/>
      <c r="L555" s="434"/>
      <c r="M555" s="434"/>
      <c r="N555" s="557"/>
      <c r="O555" s="488">
        <f t="shared" si="10"/>
        <v>0</v>
      </c>
      <c r="P555" s="389"/>
      <c r="Q555" s="391"/>
      <c r="R555" s="391"/>
      <c r="S555" s="391"/>
      <c r="T555" s="391"/>
      <c r="U555" s="391"/>
      <c r="V555" s="518"/>
    </row>
    <row r="556" spans="1:22" ht="35.1" customHeight="1" x14ac:dyDescent="0.25">
      <c r="A556" s="550">
        <v>555</v>
      </c>
      <c r="B556" s="95">
        <v>45306</v>
      </c>
      <c r="C556" s="434"/>
      <c r="D556" s="488"/>
      <c r="E556" s="435"/>
      <c r="F556" s="434"/>
      <c r="G556" s="434"/>
      <c r="H556" s="434"/>
      <c r="I556" s="434"/>
      <c r="J556" s="434"/>
      <c r="K556" s="434"/>
      <c r="L556" s="434"/>
      <c r="M556" s="434"/>
      <c r="N556" s="557"/>
      <c r="O556" s="488">
        <f t="shared" si="10"/>
        <v>0</v>
      </c>
      <c r="P556" s="389"/>
      <c r="Q556" s="391"/>
      <c r="R556" s="391"/>
      <c r="S556" s="391"/>
      <c r="T556" s="391"/>
      <c r="U556" s="391"/>
      <c r="V556" s="518"/>
    </row>
    <row r="557" spans="1:22" ht="35.1" customHeight="1" x14ac:dyDescent="0.25">
      <c r="A557" s="550">
        <v>556</v>
      </c>
      <c r="B557" s="95">
        <v>45307</v>
      </c>
      <c r="C557" s="434"/>
      <c r="D557" s="488"/>
      <c r="E557" s="435"/>
      <c r="F557" s="434"/>
      <c r="G557" s="434"/>
      <c r="H557" s="434"/>
      <c r="I557" s="434"/>
      <c r="J557" s="434"/>
      <c r="K557" s="434"/>
      <c r="L557" s="434"/>
      <c r="M557" s="434"/>
      <c r="N557" s="557"/>
      <c r="O557" s="488">
        <f t="shared" si="10"/>
        <v>0</v>
      </c>
      <c r="P557" s="389"/>
      <c r="Q557" s="391"/>
      <c r="R557" s="391"/>
      <c r="S557" s="391"/>
      <c r="T557" s="391"/>
      <c r="U557" s="391"/>
      <c r="V557" s="518"/>
    </row>
    <row r="558" spans="1:22" ht="35.1" customHeight="1" x14ac:dyDescent="0.25">
      <c r="A558" s="550">
        <v>557</v>
      </c>
      <c r="B558" s="95">
        <v>45308</v>
      </c>
      <c r="C558" s="434"/>
      <c r="D558" s="488"/>
      <c r="E558" s="435"/>
      <c r="F558" s="434"/>
      <c r="G558" s="434"/>
      <c r="H558" s="434"/>
      <c r="I558" s="434"/>
      <c r="J558" s="434"/>
      <c r="K558" s="434"/>
      <c r="L558" s="434"/>
      <c r="M558" s="434"/>
      <c r="N558" s="557"/>
      <c r="O558" s="488">
        <f t="shared" si="10"/>
        <v>0</v>
      </c>
      <c r="P558" s="389"/>
      <c r="Q558" s="391"/>
      <c r="R558" s="391"/>
      <c r="S558" s="391"/>
      <c r="T558" s="391"/>
      <c r="U558" s="391"/>
      <c r="V558" s="518"/>
    </row>
    <row r="559" spans="1:22" ht="35.1" customHeight="1" x14ac:dyDescent="0.25">
      <c r="A559" s="550">
        <v>558</v>
      </c>
      <c r="B559" s="95">
        <v>45309</v>
      </c>
      <c r="C559" s="434"/>
      <c r="D559" s="488"/>
      <c r="E559" s="435"/>
      <c r="F559" s="434"/>
      <c r="G559" s="434"/>
      <c r="H559" s="434"/>
      <c r="I559" s="434"/>
      <c r="J559" s="434"/>
      <c r="K559" s="434"/>
      <c r="L559" s="434"/>
      <c r="M559" s="434"/>
      <c r="N559" s="557"/>
      <c r="O559" s="488">
        <f t="shared" si="10"/>
        <v>0</v>
      </c>
      <c r="P559" s="389"/>
      <c r="Q559" s="391"/>
      <c r="R559" s="391"/>
      <c r="S559" s="391"/>
      <c r="T559" s="391"/>
      <c r="U559" s="391"/>
      <c r="V559" s="518"/>
    </row>
    <row r="560" spans="1:22" ht="35.1" customHeight="1" x14ac:dyDescent="0.25">
      <c r="A560" s="550">
        <v>559</v>
      </c>
      <c r="B560" s="95">
        <v>45310</v>
      </c>
      <c r="C560" s="434"/>
      <c r="D560" s="488"/>
      <c r="E560" s="435"/>
      <c r="F560" s="434"/>
      <c r="G560" s="434"/>
      <c r="H560" s="434"/>
      <c r="I560" s="434"/>
      <c r="J560" s="434"/>
      <c r="K560" s="434"/>
      <c r="L560" s="434"/>
      <c r="M560" s="434"/>
      <c r="N560" s="557"/>
      <c r="O560" s="488">
        <f t="shared" si="10"/>
        <v>0</v>
      </c>
      <c r="P560" s="389"/>
      <c r="Q560" s="391"/>
      <c r="R560" s="391"/>
      <c r="S560" s="391"/>
      <c r="T560" s="391"/>
      <c r="U560" s="391"/>
      <c r="V560" s="518"/>
    </row>
    <row r="561" spans="1:22" ht="35.1" customHeight="1" x14ac:dyDescent="0.25">
      <c r="A561" s="550">
        <v>560</v>
      </c>
      <c r="B561" s="95">
        <v>45311</v>
      </c>
      <c r="C561" s="434"/>
      <c r="D561" s="488"/>
      <c r="E561" s="435"/>
      <c r="F561" s="434"/>
      <c r="G561" s="434"/>
      <c r="H561" s="434"/>
      <c r="I561" s="434"/>
      <c r="J561" s="434"/>
      <c r="K561" s="434"/>
      <c r="L561" s="434"/>
      <c r="M561" s="434"/>
      <c r="N561" s="557"/>
      <c r="O561" s="488">
        <f t="shared" si="10"/>
        <v>0</v>
      </c>
      <c r="P561" s="389"/>
      <c r="Q561" s="391"/>
      <c r="R561" s="391"/>
      <c r="S561" s="391"/>
      <c r="T561" s="391"/>
      <c r="U561" s="391"/>
      <c r="V561" s="518"/>
    </row>
    <row r="562" spans="1:22" ht="35.1" customHeight="1" x14ac:dyDescent="0.25">
      <c r="A562" s="550">
        <v>561</v>
      </c>
      <c r="B562" s="95">
        <v>45312</v>
      </c>
      <c r="C562" s="434"/>
      <c r="D562" s="488"/>
      <c r="E562" s="435"/>
      <c r="F562" s="434"/>
      <c r="G562" s="434"/>
      <c r="H562" s="434"/>
      <c r="I562" s="434"/>
      <c r="J562" s="434"/>
      <c r="K562" s="434"/>
      <c r="L562" s="434"/>
      <c r="M562" s="434"/>
      <c r="N562" s="557"/>
      <c r="O562" s="488">
        <f t="shared" si="10"/>
        <v>0</v>
      </c>
      <c r="P562" s="389"/>
      <c r="Q562" s="391"/>
      <c r="R562" s="391"/>
      <c r="S562" s="391"/>
      <c r="T562" s="391"/>
      <c r="U562" s="391"/>
      <c r="V562" s="518"/>
    </row>
    <row r="563" spans="1:22" ht="35.1" customHeight="1" x14ac:dyDescent="0.25">
      <c r="A563" s="550">
        <v>562</v>
      </c>
      <c r="B563" s="95">
        <v>45313</v>
      </c>
      <c r="C563" s="434"/>
      <c r="D563" s="488"/>
      <c r="E563" s="435"/>
      <c r="F563" s="434"/>
      <c r="G563" s="434"/>
      <c r="H563" s="434"/>
      <c r="I563" s="434"/>
      <c r="J563" s="434"/>
      <c r="K563" s="434"/>
      <c r="L563" s="434"/>
      <c r="M563" s="434"/>
      <c r="N563" s="557"/>
      <c r="O563" s="488">
        <f t="shared" si="10"/>
        <v>0</v>
      </c>
      <c r="P563" s="389"/>
      <c r="Q563" s="391"/>
      <c r="R563" s="391"/>
      <c r="S563" s="391"/>
      <c r="T563" s="391"/>
      <c r="U563" s="391"/>
      <c r="V563" s="518"/>
    </row>
    <row r="564" spans="1:22" ht="35.1" customHeight="1" x14ac:dyDescent="0.25">
      <c r="A564" s="550">
        <v>563</v>
      </c>
      <c r="B564" s="95">
        <v>45314</v>
      </c>
      <c r="C564" s="434"/>
      <c r="D564" s="488"/>
      <c r="E564" s="435"/>
      <c r="F564" s="434"/>
      <c r="G564" s="434"/>
      <c r="H564" s="434"/>
      <c r="I564" s="434"/>
      <c r="J564" s="434"/>
      <c r="K564" s="434"/>
      <c r="L564" s="434"/>
      <c r="M564" s="434"/>
      <c r="N564" s="557"/>
      <c r="O564" s="488">
        <f t="shared" si="10"/>
        <v>0</v>
      </c>
      <c r="P564" s="389"/>
      <c r="Q564" s="391"/>
      <c r="R564" s="391"/>
      <c r="S564" s="391"/>
      <c r="T564" s="391"/>
      <c r="U564" s="391"/>
      <c r="V564" s="518"/>
    </row>
    <row r="565" spans="1:22" ht="35.1" customHeight="1" x14ac:dyDescent="0.25">
      <c r="A565" s="550">
        <v>564</v>
      </c>
      <c r="B565" s="95">
        <v>45315</v>
      </c>
      <c r="C565" s="434"/>
      <c r="D565" s="488"/>
      <c r="E565" s="435"/>
      <c r="F565" s="434"/>
      <c r="G565" s="434"/>
      <c r="H565" s="434"/>
      <c r="I565" s="434"/>
      <c r="J565" s="434"/>
      <c r="K565" s="434"/>
      <c r="L565" s="434"/>
      <c r="M565" s="434"/>
      <c r="N565" s="557"/>
      <c r="O565" s="488">
        <f t="shared" si="10"/>
        <v>0</v>
      </c>
      <c r="P565" s="389"/>
      <c r="Q565" s="391"/>
      <c r="R565" s="391"/>
      <c r="S565" s="391"/>
      <c r="T565" s="391"/>
      <c r="U565" s="391"/>
      <c r="V565" s="518"/>
    </row>
    <row r="566" spans="1:22" ht="35.1" customHeight="1" x14ac:dyDescent="0.25">
      <c r="A566" s="550">
        <v>565</v>
      </c>
      <c r="B566" s="95">
        <v>45316</v>
      </c>
      <c r="C566" s="434"/>
      <c r="D566" s="488"/>
      <c r="E566" s="435"/>
      <c r="F566" s="434"/>
      <c r="G566" s="434"/>
      <c r="H566" s="434"/>
      <c r="I566" s="434"/>
      <c r="J566" s="434"/>
      <c r="K566" s="434"/>
      <c r="L566" s="434"/>
      <c r="M566" s="434"/>
      <c r="N566" s="557"/>
      <c r="O566" s="488">
        <f t="shared" si="10"/>
        <v>0</v>
      </c>
      <c r="P566" s="389"/>
      <c r="Q566" s="391"/>
      <c r="R566" s="391"/>
      <c r="S566" s="391"/>
      <c r="T566" s="391"/>
      <c r="U566" s="391"/>
      <c r="V566" s="518"/>
    </row>
    <row r="567" spans="1:22" ht="35.1" customHeight="1" x14ac:dyDescent="0.25">
      <c r="A567" s="550">
        <v>566</v>
      </c>
      <c r="B567" s="95">
        <v>45317</v>
      </c>
      <c r="C567" s="434"/>
      <c r="D567" s="488"/>
      <c r="E567" s="435"/>
      <c r="F567" s="434"/>
      <c r="G567" s="434"/>
      <c r="H567" s="434"/>
      <c r="I567" s="434"/>
      <c r="J567" s="434"/>
      <c r="K567" s="434"/>
      <c r="L567" s="434"/>
      <c r="M567" s="434"/>
      <c r="N567" s="557"/>
      <c r="O567" s="488">
        <f t="shared" si="10"/>
        <v>0</v>
      </c>
      <c r="P567" s="389"/>
      <c r="Q567" s="391"/>
      <c r="R567" s="391"/>
      <c r="S567" s="391"/>
      <c r="T567" s="391"/>
      <c r="U567" s="391"/>
      <c r="V567" s="518"/>
    </row>
    <row r="568" spans="1:22" ht="35.1" customHeight="1" x14ac:dyDescent="0.25">
      <c r="A568" s="550">
        <v>567</v>
      </c>
      <c r="B568" s="95">
        <v>45318</v>
      </c>
      <c r="C568" s="434"/>
      <c r="D568" s="488"/>
      <c r="E568" s="435"/>
      <c r="F568" s="434"/>
      <c r="G568" s="434"/>
      <c r="H568" s="434"/>
      <c r="I568" s="434"/>
      <c r="J568" s="434"/>
      <c r="K568" s="434"/>
      <c r="L568" s="434"/>
      <c r="M568" s="434"/>
      <c r="N568" s="557"/>
      <c r="O568" s="488">
        <f t="shared" si="10"/>
        <v>0</v>
      </c>
      <c r="P568" s="389"/>
      <c r="Q568" s="391"/>
      <c r="R568" s="391"/>
      <c r="S568" s="391"/>
      <c r="T568" s="391"/>
      <c r="U568" s="391"/>
      <c r="V568" s="518"/>
    </row>
    <row r="569" spans="1:22" ht="35.1" customHeight="1" x14ac:dyDescent="0.25">
      <c r="A569" s="550">
        <v>568</v>
      </c>
      <c r="B569" s="95">
        <v>45319</v>
      </c>
      <c r="C569" s="434"/>
      <c r="D569" s="488"/>
      <c r="E569" s="435"/>
      <c r="F569" s="434"/>
      <c r="G569" s="434"/>
      <c r="H569" s="434"/>
      <c r="I569" s="434"/>
      <c r="J569" s="434"/>
      <c r="K569" s="434"/>
      <c r="L569" s="434"/>
      <c r="M569" s="434"/>
      <c r="N569" s="557"/>
      <c r="O569" s="488">
        <f t="shared" ref="O569:O632" si="11">SUM(G569:N569)+F569+D569</f>
        <v>0</v>
      </c>
      <c r="P569" s="389"/>
      <c r="Q569" s="391"/>
      <c r="R569" s="391"/>
      <c r="S569" s="391"/>
      <c r="T569" s="391"/>
      <c r="U569" s="391"/>
      <c r="V569" s="518"/>
    </row>
    <row r="570" spans="1:22" ht="35.1" customHeight="1" x14ac:dyDescent="0.25">
      <c r="A570" s="550">
        <v>569</v>
      </c>
      <c r="B570" s="95">
        <v>45320</v>
      </c>
      <c r="C570" s="434"/>
      <c r="D570" s="488"/>
      <c r="E570" s="435"/>
      <c r="F570" s="434"/>
      <c r="G570" s="434"/>
      <c r="H570" s="434"/>
      <c r="I570" s="434"/>
      <c r="J570" s="434"/>
      <c r="K570" s="434"/>
      <c r="L570" s="434"/>
      <c r="M570" s="434"/>
      <c r="N570" s="557"/>
      <c r="O570" s="488">
        <f t="shared" si="11"/>
        <v>0</v>
      </c>
      <c r="P570" s="389"/>
      <c r="Q570" s="391"/>
      <c r="R570" s="391"/>
      <c r="S570" s="391"/>
      <c r="T570" s="391"/>
      <c r="U570" s="391"/>
      <c r="V570" s="518"/>
    </row>
    <row r="571" spans="1:22" ht="35.1" customHeight="1" x14ac:dyDescent="0.25">
      <c r="A571" s="550">
        <v>570</v>
      </c>
      <c r="B571" s="95">
        <v>45321</v>
      </c>
      <c r="C571" s="434"/>
      <c r="D571" s="488"/>
      <c r="E571" s="435"/>
      <c r="F571" s="434"/>
      <c r="G571" s="434"/>
      <c r="H571" s="434"/>
      <c r="I571" s="434"/>
      <c r="J571" s="434"/>
      <c r="K571" s="434"/>
      <c r="L571" s="434"/>
      <c r="M571" s="434"/>
      <c r="N571" s="557"/>
      <c r="O571" s="488">
        <f t="shared" si="11"/>
        <v>0</v>
      </c>
      <c r="P571" s="389"/>
      <c r="Q571" s="391"/>
      <c r="R571" s="391"/>
      <c r="S571" s="391"/>
      <c r="T571" s="391"/>
      <c r="U571" s="391"/>
      <c r="V571" s="518"/>
    </row>
    <row r="572" spans="1:22" ht="35.1" customHeight="1" x14ac:dyDescent="0.25">
      <c r="A572" s="550">
        <v>571</v>
      </c>
      <c r="B572" s="95">
        <v>45322</v>
      </c>
      <c r="C572" s="434"/>
      <c r="D572" s="488"/>
      <c r="E572" s="435"/>
      <c r="F572" s="434"/>
      <c r="G572" s="434"/>
      <c r="H572" s="434"/>
      <c r="I572" s="434"/>
      <c r="J572" s="434"/>
      <c r="K572" s="434"/>
      <c r="L572" s="434"/>
      <c r="M572" s="434"/>
      <c r="N572" s="557"/>
      <c r="O572" s="488">
        <f t="shared" si="11"/>
        <v>0</v>
      </c>
      <c r="P572" s="389"/>
      <c r="Q572" s="391"/>
      <c r="R572" s="391"/>
      <c r="S572" s="391"/>
      <c r="T572" s="391"/>
      <c r="U572" s="391"/>
      <c r="V572" s="518"/>
    </row>
    <row r="573" spans="1:22" ht="35.1" customHeight="1" x14ac:dyDescent="0.25">
      <c r="A573" s="550">
        <v>572</v>
      </c>
      <c r="B573" s="95">
        <v>45323</v>
      </c>
      <c r="C573" s="434"/>
      <c r="D573" s="488"/>
      <c r="E573" s="435"/>
      <c r="F573" s="434"/>
      <c r="G573" s="434"/>
      <c r="H573" s="434"/>
      <c r="I573" s="434"/>
      <c r="J573" s="434"/>
      <c r="K573" s="434"/>
      <c r="L573" s="434"/>
      <c r="M573" s="434"/>
      <c r="N573" s="557"/>
      <c r="O573" s="488">
        <f t="shared" si="11"/>
        <v>0</v>
      </c>
      <c r="P573" s="389"/>
      <c r="Q573" s="391"/>
      <c r="R573" s="391"/>
      <c r="S573" s="391"/>
      <c r="T573" s="391"/>
      <c r="U573" s="391"/>
      <c r="V573" s="518"/>
    </row>
    <row r="574" spans="1:22" ht="35.1" customHeight="1" x14ac:dyDescent="0.25">
      <c r="A574" s="550">
        <v>573</v>
      </c>
      <c r="B574" s="95">
        <v>45324</v>
      </c>
      <c r="C574" s="434"/>
      <c r="D574" s="488"/>
      <c r="E574" s="435"/>
      <c r="F574" s="434"/>
      <c r="G574" s="434"/>
      <c r="H574" s="434"/>
      <c r="I574" s="434"/>
      <c r="J574" s="434"/>
      <c r="K574" s="434"/>
      <c r="L574" s="434"/>
      <c r="M574" s="434"/>
      <c r="N574" s="557"/>
      <c r="O574" s="488">
        <f t="shared" si="11"/>
        <v>0</v>
      </c>
      <c r="P574" s="389"/>
      <c r="Q574" s="391"/>
      <c r="R574" s="391"/>
      <c r="S574" s="391"/>
      <c r="T574" s="391"/>
      <c r="U574" s="391"/>
      <c r="V574" s="518"/>
    </row>
    <row r="575" spans="1:22" ht="35.1" customHeight="1" x14ac:dyDescent="0.25">
      <c r="A575" s="550">
        <v>574</v>
      </c>
      <c r="B575" s="95">
        <v>45325</v>
      </c>
      <c r="C575" s="434"/>
      <c r="D575" s="488"/>
      <c r="E575" s="435"/>
      <c r="F575" s="434"/>
      <c r="G575" s="434"/>
      <c r="H575" s="434"/>
      <c r="I575" s="434"/>
      <c r="J575" s="434"/>
      <c r="K575" s="434"/>
      <c r="L575" s="434"/>
      <c r="M575" s="434"/>
      <c r="N575" s="557"/>
      <c r="O575" s="488">
        <f t="shared" si="11"/>
        <v>0</v>
      </c>
      <c r="P575" s="389"/>
      <c r="Q575" s="391"/>
      <c r="R575" s="391"/>
      <c r="S575" s="391"/>
      <c r="T575" s="391"/>
      <c r="U575" s="391"/>
      <c r="V575" s="518"/>
    </row>
    <row r="576" spans="1:22" ht="35.1" customHeight="1" x14ac:dyDescent="0.25">
      <c r="A576" s="550">
        <v>575</v>
      </c>
      <c r="B576" s="95">
        <v>45326</v>
      </c>
      <c r="C576" s="434"/>
      <c r="D576" s="488"/>
      <c r="E576" s="435"/>
      <c r="F576" s="434"/>
      <c r="G576" s="434"/>
      <c r="H576" s="434"/>
      <c r="I576" s="434"/>
      <c r="J576" s="434"/>
      <c r="K576" s="434"/>
      <c r="L576" s="434"/>
      <c r="M576" s="434"/>
      <c r="N576" s="557"/>
      <c r="O576" s="488">
        <f t="shared" si="11"/>
        <v>0</v>
      </c>
      <c r="P576" s="389"/>
      <c r="Q576" s="391"/>
      <c r="R576" s="391"/>
      <c r="S576" s="391"/>
      <c r="T576" s="391"/>
      <c r="U576" s="391"/>
      <c r="V576" s="518"/>
    </row>
    <row r="577" spans="1:22" ht="35.1" customHeight="1" x14ac:dyDescent="0.25">
      <c r="A577" s="550">
        <v>576</v>
      </c>
      <c r="B577" s="95">
        <v>45327</v>
      </c>
      <c r="C577" s="434"/>
      <c r="D577" s="488"/>
      <c r="E577" s="435"/>
      <c r="F577" s="434"/>
      <c r="G577" s="434"/>
      <c r="H577" s="434"/>
      <c r="I577" s="434"/>
      <c r="J577" s="434"/>
      <c r="K577" s="434"/>
      <c r="L577" s="434"/>
      <c r="M577" s="434"/>
      <c r="N577" s="557"/>
      <c r="O577" s="488">
        <f t="shared" si="11"/>
        <v>0</v>
      </c>
      <c r="P577" s="389"/>
      <c r="Q577" s="391"/>
      <c r="R577" s="391"/>
      <c r="S577" s="391"/>
      <c r="T577" s="391"/>
      <c r="U577" s="391"/>
      <c r="V577" s="518"/>
    </row>
    <row r="578" spans="1:22" ht="35.1" customHeight="1" x14ac:dyDescent="0.25">
      <c r="A578" s="550">
        <v>577</v>
      </c>
      <c r="B578" s="95">
        <v>45328</v>
      </c>
      <c r="C578" s="434"/>
      <c r="D578" s="488"/>
      <c r="E578" s="435"/>
      <c r="F578" s="434"/>
      <c r="G578" s="434"/>
      <c r="H578" s="434"/>
      <c r="I578" s="434"/>
      <c r="J578" s="434"/>
      <c r="K578" s="434"/>
      <c r="L578" s="434"/>
      <c r="M578" s="434"/>
      <c r="N578" s="557"/>
      <c r="O578" s="488">
        <f t="shared" si="11"/>
        <v>0</v>
      </c>
      <c r="P578" s="389"/>
      <c r="Q578" s="391"/>
      <c r="R578" s="391"/>
      <c r="S578" s="391"/>
      <c r="T578" s="391"/>
      <c r="U578" s="391"/>
      <c r="V578" s="518"/>
    </row>
    <row r="579" spans="1:22" ht="35.1" customHeight="1" x14ac:dyDescent="0.25">
      <c r="A579" s="550">
        <v>578</v>
      </c>
      <c r="B579" s="95">
        <v>45329</v>
      </c>
      <c r="C579" s="434"/>
      <c r="D579" s="488"/>
      <c r="E579" s="435"/>
      <c r="F579" s="434"/>
      <c r="G579" s="434"/>
      <c r="H579" s="434"/>
      <c r="I579" s="434"/>
      <c r="J579" s="434"/>
      <c r="K579" s="434"/>
      <c r="L579" s="434"/>
      <c r="M579" s="434"/>
      <c r="N579" s="557"/>
      <c r="O579" s="488">
        <f t="shared" si="11"/>
        <v>0</v>
      </c>
      <c r="P579" s="389"/>
      <c r="Q579" s="391"/>
      <c r="R579" s="391"/>
      <c r="S579" s="391"/>
      <c r="T579" s="391"/>
      <c r="U579" s="391"/>
      <c r="V579" s="518"/>
    </row>
    <row r="580" spans="1:22" ht="35.1" customHeight="1" x14ac:dyDescent="0.25">
      <c r="A580" s="550">
        <v>579</v>
      </c>
      <c r="B580" s="95">
        <v>45330</v>
      </c>
      <c r="C580" s="434"/>
      <c r="D580" s="488"/>
      <c r="E580" s="435"/>
      <c r="F580" s="434"/>
      <c r="G580" s="434"/>
      <c r="H580" s="434"/>
      <c r="I580" s="434"/>
      <c r="J580" s="434"/>
      <c r="K580" s="434"/>
      <c r="L580" s="434"/>
      <c r="M580" s="434"/>
      <c r="N580" s="557"/>
      <c r="O580" s="488">
        <f t="shared" si="11"/>
        <v>0</v>
      </c>
      <c r="P580" s="389"/>
      <c r="Q580" s="391"/>
      <c r="R580" s="391"/>
      <c r="S580" s="391"/>
      <c r="T580" s="391"/>
      <c r="U580" s="391"/>
      <c r="V580" s="518"/>
    </row>
    <row r="581" spans="1:22" ht="35.1" customHeight="1" x14ac:dyDescent="0.25">
      <c r="A581" s="550">
        <v>580</v>
      </c>
      <c r="B581" s="95">
        <v>45331</v>
      </c>
      <c r="C581" s="434"/>
      <c r="D581" s="488"/>
      <c r="E581" s="435"/>
      <c r="F581" s="434"/>
      <c r="G581" s="434"/>
      <c r="H581" s="434"/>
      <c r="I581" s="434"/>
      <c r="J581" s="434"/>
      <c r="K581" s="434"/>
      <c r="L581" s="434"/>
      <c r="M581" s="434"/>
      <c r="N581" s="557"/>
      <c r="O581" s="488">
        <f t="shared" si="11"/>
        <v>0</v>
      </c>
      <c r="P581" s="389"/>
      <c r="Q581" s="391"/>
      <c r="R581" s="391"/>
      <c r="S581" s="391"/>
      <c r="T581" s="391"/>
      <c r="U581" s="391"/>
      <c r="V581" s="518"/>
    </row>
    <row r="582" spans="1:22" ht="35.1" customHeight="1" x14ac:dyDescent="0.25">
      <c r="A582" s="550">
        <v>581</v>
      </c>
      <c r="B582" s="95">
        <v>45332</v>
      </c>
      <c r="C582" s="434"/>
      <c r="D582" s="488"/>
      <c r="E582" s="435"/>
      <c r="F582" s="434"/>
      <c r="G582" s="434"/>
      <c r="H582" s="434"/>
      <c r="I582" s="434"/>
      <c r="J582" s="434"/>
      <c r="K582" s="434"/>
      <c r="L582" s="434"/>
      <c r="M582" s="434"/>
      <c r="N582" s="557"/>
      <c r="O582" s="488">
        <f t="shared" si="11"/>
        <v>0</v>
      </c>
      <c r="P582" s="389"/>
      <c r="Q582" s="391"/>
      <c r="R582" s="391"/>
      <c r="S582" s="391"/>
      <c r="T582" s="391"/>
      <c r="U582" s="391"/>
      <c r="V582" s="518"/>
    </row>
    <row r="583" spans="1:22" ht="35.1" customHeight="1" x14ac:dyDescent="0.25">
      <c r="A583" s="550">
        <v>582</v>
      </c>
      <c r="B583" s="95">
        <v>45333</v>
      </c>
      <c r="C583" s="434"/>
      <c r="D583" s="488"/>
      <c r="E583" s="435"/>
      <c r="F583" s="434"/>
      <c r="G583" s="434"/>
      <c r="H583" s="434"/>
      <c r="I583" s="434"/>
      <c r="J583" s="434"/>
      <c r="K583" s="434"/>
      <c r="L583" s="434"/>
      <c r="M583" s="434"/>
      <c r="N583" s="557"/>
      <c r="O583" s="488">
        <f t="shared" si="11"/>
        <v>0</v>
      </c>
      <c r="P583" s="389"/>
      <c r="Q583" s="391"/>
      <c r="R583" s="391"/>
      <c r="S583" s="391"/>
      <c r="T583" s="391"/>
      <c r="U583" s="391"/>
      <c r="V583" s="518"/>
    </row>
    <row r="584" spans="1:22" ht="35.1" customHeight="1" x14ac:dyDescent="0.25">
      <c r="A584" s="550">
        <v>583</v>
      </c>
      <c r="B584" s="95">
        <v>45334</v>
      </c>
      <c r="C584" s="434"/>
      <c r="D584" s="488"/>
      <c r="E584" s="435"/>
      <c r="F584" s="434"/>
      <c r="G584" s="434"/>
      <c r="H584" s="434"/>
      <c r="I584" s="434"/>
      <c r="J584" s="434"/>
      <c r="K584" s="434"/>
      <c r="L584" s="434"/>
      <c r="M584" s="434"/>
      <c r="N584" s="557"/>
      <c r="O584" s="488">
        <f t="shared" si="11"/>
        <v>0</v>
      </c>
      <c r="P584" s="389"/>
      <c r="Q584" s="391"/>
      <c r="R584" s="391"/>
      <c r="S584" s="391"/>
      <c r="T584" s="391"/>
      <c r="U584" s="391"/>
      <c r="V584" s="518"/>
    </row>
    <row r="585" spans="1:22" ht="35.1" customHeight="1" x14ac:dyDescent="0.25">
      <c r="A585" s="550">
        <v>584</v>
      </c>
      <c r="B585" s="95">
        <v>45335</v>
      </c>
      <c r="C585" s="434"/>
      <c r="D585" s="488"/>
      <c r="E585" s="435"/>
      <c r="F585" s="434"/>
      <c r="G585" s="434"/>
      <c r="H585" s="434"/>
      <c r="I585" s="434"/>
      <c r="J585" s="434"/>
      <c r="K585" s="434"/>
      <c r="L585" s="434"/>
      <c r="M585" s="434"/>
      <c r="N585" s="557"/>
      <c r="O585" s="488">
        <f t="shared" si="11"/>
        <v>0</v>
      </c>
      <c r="P585" s="389"/>
      <c r="Q585" s="391"/>
      <c r="R585" s="391"/>
      <c r="S585" s="391"/>
      <c r="T585" s="391"/>
      <c r="U585" s="391"/>
      <c r="V585" s="518"/>
    </row>
    <row r="586" spans="1:22" ht="35.1" customHeight="1" x14ac:dyDescent="0.25">
      <c r="A586" s="550">
        <v>585</v>
      </c>
      <c r="B586" s="95">
        <v>45336</v>
      </c>
      <c r="C586" s="434"/>
      <c r="D586" s="488"/>
      <c r="E586" s="435"/>
      <c r="F586" s="434"/>
      <c r="G586" s="434"/>
      <c r="H586" s="434"/>
      <c r="I586" s="434"/>
      <c r="J586" s="434"/>
      <c r="K586" s="434"/>
      <c r="L586" s="434"/>
      <c r="M586" s="434"/>
      <c r="N586" s="557"/>
      <c r="O586" s="488">
        <f t="shared" si="11"/>
        <v>0</v>
      </c>
      <c r="P586" s="389"/>
      <c r="Q586" s="391"/>
      <c r="R586" s="391"/>
      <c r="S586" s="391"/>
      <c r="T586" s="391"/>
      <c r="U586" s="391"/>
      <c r="V586" s="518"/>
    </row>
    <row r="587" spans="1:22" ht="35.1" customHeight="1" x14ac:dyDescent="0.25">
      <c r="A587" s="550">
        <v>586</v>
      </c>
      <c r="B587" s="95">
        <v>45337</v>
      </c>
      <c r="C587" s="434"/>
      <c r="D587" s="488"/>
      <c r="E587" s="435"/>
      <c r="F587" s="434"/>
      <c r="G587" s="434"/>
      <c r="H587" s="434"/>
      <c r="I587" s="434"/>
      <c r="J587" s="434"/>
      <c r="K587" s="434"/>
      <c r="L587" s="434"/>
      <c r="M587" s="434"/>
      <c r="N587" s="557"/>
      <c r="O587" s="488">
        <f t="shared" si="11"/>
        <v>0</v>
      </c>
      <c r="P587" s="389"/>
      <c r="Q587" s="391"/>
      <c r="R587" s="391"/>
      <c r="S587" s="391"/>
      <c r="T587" s="391"/>
      <c r="U587" s="391"/>
      <c r="V587" s="518"/>
    </row>
    <row r="588" spans="1:22" ht="35.1" customHeight="1" x14ac:dyDescent="0.25">
      <c r="A588" s="550">
        <v>587</v>
      </c>
      <c r="B588" s="95">
        <v>45338</v>
      </c>
      <c r="C588" s="434"/>
      <c r="D588" s="488"/>
      <c r="E588" s="435"/>
      <c r="F588" s="434"/>
      <c r="G588" s="434"/>
      <c r="H588" s="434"/>
      <c r="I588" s="434"/>
      <c r="J588" s="434"/>
      <c r="K588" s="434"/>
      <c r="L588" s="434"/>
      <c r="M588" s="434"/>
      <c r="N588" s="557"/>
      <c r="O588" s="488">
        <f t="shared" si="11"/>
        <v>0</v>
      </c>
      <c r="P588" s="389"/>
      <c r="Q588" s="391"/>
      <c r="R588" s="391"/>
      <c r="S588" s="391"/>
      <c r="T588" s="391"/>
      <c r="U588" s="391"/>
      <c r="V588" s="518"/>
    </row>
    <row r="589" spans="1:22" ht="35.1" customHeight="1" x14ac:dyDescent="0.25">
      <c r="A589" s="550">
        <v>588</v>
      </c>
      <c r="B589" s="95">
        <v>45339</v>
      </c>
      <c r="C589" s="434"/>
      <c r="D589" s="488"/>
      <c r="E589" s="435"/>
      <c r="F589" s="434"/>
      <c r="G589" s="434"/>
      <c r="H589" s="434"/>
      <c r="I589" s="434"/>
      <c r="J589" s="434"/>
      <c r="K589" s="434"/>
      <c r="L589" s="434"/>
      <c r="M589" s="434"/>
      <c r="N589" s="557"/>
      <c r="O589" s="488">
        <f t="shared" si="11"/>
        <v>0</v>
      </c>
      <c r="P589" s="389"/>
      <c r="Q589" s="391"/>
      <c r="R589" s="391"/>
      <c r="S589" s="391"/>
      <c r="T589" s="391"/>
      <c r="U589" s="391"/>
      <c r="V589" s="518"/>
    </row>
    <row r="590" spans="1:22" ht="35.1" customHeight="1" x14ac:dyDescent="0.25">
      <c r="A590" s="550">
        <v>589</v>
      </c>
      <c r="B590" s="95">
        <v>45340</v>
      </c>
      <c r="C590" s="434"/>
      <c r="D590" s="488"/>
      <c r="E590" s="435"/>
      <c r="F590" s="434"/>
      <c r="G590" s="434"/>
      <c r="H590" s="434"/>
      <c r="I590" s="434"/>
      <c r="J590" s="434"/>
      <c r="K590" s="434"/>
      <c r="L590" s="434"/>
      <c r="M590" s="434"/>
      <c r="N590" s="557"/>
      <c r="O590" s="488">
        <f t="shared" si="11"/>
        <v>0</v>
      </c>
      <c r="P590" s="389"/>
      <c r="Q590" s="391"/>
      <c r="R590" s="391"/>
      <c r="S590" s="391"/>
      <c r="T590" s="391"/>
      <c r="U590" s="391"/>
      <c r="V590" s="518"/>
    </row>
    <row r="591" spans="1:22" ht="35.1" customHeight="1" x14ac:dyDescent="0.25">
      <c r="A591" s="550">
        <v>590</v>
      </c>
      <c r="B591" s="95">
        <v>45341</v>
      </c>
      <c r="C591" s="434"/>
      <c r="D591" s="488"/>
      <c r="E591" s="435"/>
      <c r="F591" s="434"/>
      <c r="G591" s="434"/>
      <c r="H591" s="434"/>
      <c r="I591" s="434"/>
      <c r="J591" s="434"/>
      <c r="K591" s="434"/>
      <c r="L591" s="434"/>
      <c r="M591" s="434"/>
      <c r="N591" s="557"/>
      <c r="O591" s="488">
        <f t="shared" si="11"/>
        <v>0</v>
      </c>
      <c r="P591" s="389"/>
      <c r="Q591" s="391"/>
      <c r="R591" s="391"/>
      <c r="S591" s="391"/>
      <c r="T591" s="391"/>
      <c r="U591" s="391"/>
      <c r="V591" s="518"/>
    </row>
    <row r="592" spans="1:22" ht="35.1" customHeight="1" x14ac:dyDescent="0.25">
      <c r="A592" s="550">
        <v>591</v>
      </c>
      <c r="B592" s="95">
        <v>45342</v>
      </c>
      <c r="C592" s="434"/>
      <c r="D592" s="488"/>
      <c r="E592" s="435"/>
      <c r="F592" s="434"/>
      <c r="G592" s="434"/>
      <c r="H592" s="434"/>
      <c r="I592" s="434"/>
      <c r="J592" s="434"/>
      <c r="K592" s="434"/>
      <c r="L592" s="434"/>
      <c r="M592" s="434"/>
      <c r="N592" s="557"/>
      <c r="O592" s="488">
        <f t="shared" si="11"/>
        <v>0</v>
      </c>
      <c r="P592" s="389"/>
      <c r="Q592" s="391"/>
      <c r="R592" s="391"/>
      <c r="S592" s="391"/>
      <c r="T592" s="391"/>
      <c r="U592" s="391"/>
      <c r="V592" s="518"/>
    </row>
    <row r="593" spans="1:22" ht="35.1" customHeight="1" x14ac:dyDescent="0.25">
      <c r="A593" s="550">
        <v>592</v>
      </c>
      <c r="B593" s="95">
        <v>45343</v>
      </c>
      <c r="C593" s="434"/>
      <c r="D593" s="488"/>
      <c r="E593" s="435"/>
      <c r="F593" s="434"/>
      <c r="G593" s="434"/>
      <c r="H593" s="434"/>
      <c r="I593" s="434"/>
      <c r="J593" s="434"/>
      <c r="K593" s="434"/>
      <c r="L593" s="434"/>
      <c r="M593" s="434"/>
      <c r="N593" s="557"/>
      <c r="O593" s="488">
        <f t="shared" si="11"/>
        <v>0</v>
      </c>
      <c r="P593" s="389"/>
      <c r="Q593" s="391"/>
      <c r="R593" s="391"/>
      <c r="S593" s="391"/>
      <c r="T593" s="391"/>
      <c r="U593" s="391"/>
      <c r="V593" s="518"/>
    </row>
    <row r="594" spans="1:22" ht="35.1" customHeight="1" x14ac:dyDescent="0.25">
      <c r="A594" s="550">
        <v>593</v>
      </c>
      <c r="B594" s="95">
        <v>45344</v>
      </c>
      <c r="C594" s="434"/>
      <c r="D594" s="488"/>
      <c r="E594" s="435"/>
      <c r="F594" s="434"/>
      <c r="G594" s="434"/>
      <c r="H594" s="434"/>
      <c r="I594" s="434"/>
      <c r="J594" s="434"/>
      <c r="K594" s="434"/>
      <c r="L594" s="434"/>
      <c r="M594" s="434"/>
      <c r="N594" s="557"/>
      <c r="O594" s="488">
        <f t="shared" si="11"/>
        <v>0</v>
      </c>
      <c r="P594" s="389"/>
      <c r="Q594" s="391"/>
      <c r="R594" s="391"/>
      <c r="S594" s="391"/>
      <c r="T594" s="391"/>
      <c r="U594" s="391"/>
      <c r="V594" s="519"/>
    </row>
    <row r="595" spans="1:22" ht="35.1" customHeight="1" x14ac:dyDescent="0.25">
      <c r="A595" s="550">
        <v>594</v>
      </c>
      <c r="B595" s="95">
        <v>45345</v>
      </c>
      <c r="C595" s="434"/>
      <c r="D595" s="488"/>
      <c r="E595" s="435"/>
      <c r="F595" s="434"/>
      <c r="G595" s="434"/>
      <c r="H595" s="434"/>
      <c r="I595" s="434"/>
      <c r="J595" s="434"/>
      <c r="K595" s="434"/>
      <c r="L595" s="434"/>
      <c r="M595" s="434"/>
      <c r="N595" s="557"/>
      <c r="O595" s="488">
        <f t="shared" si="11"/>
        <v>0</v>
      </c>
      <c r="P595" s="389"/>
      <c r="Q595" s="391"/>
      <c r="R595" s="391"/>
      <c r="S595" s="391"/>
      <c r="T595" s="391"/>
      <c r="U595" s="391"/>
      <c r="V595" s="519"/>
    </row>
    <row r="596" spans="1:22" ht="35.1" customHeight="1" x14ac:dyDescent="0.25">
      <c r="A596" s="550">
        <v>595</v>
      </c>
      <c r="B596" s="95">
        <v>45346</v>
      </c>
      <c r="C596" s="434"/>
      <c r="D596" s="488"/>
      <c r="E596" s="435"/>
      <c r="F596" s="434"/>
      <c r="G596" s="434"/>
      <c r="H596" s="434"/>
      <c r="I596" s="434"/>
      <c r="J596" s="434"/>
      <c r="K596" s="434"/>
      <c r="L596" s="434"/>
      <c r="M596" s="434"/>
      <c r="N596" s="557"/>
      <c r="O596" s="488">
        <f t="shared" si="11"/>
        <v>0</v>
      </c>
      <c r="P596" s="389"/>
      <c r="Q596" s="391"/>
      <c r="R596" s="391"/>
      <c r="S596" s="391"/>
      <c r="T596" s="391"/>
      <c r="U596" s="391"/>
      <c r="V596" s="519"/>
    </row>
    <row r="597" spans="1:22" ht="35.1" customHeight="1" x14ac:dyDescent="0.25">
      <c r="A597" s="550">
        <v>596</v>
      </c>
      <c r="B597" s="95">
        <v>45347</v>
      </c>
      <c r="C597" s="434"/>
      <c r="D597" s="488"/>
      <c r="E597" s="435"/>
      <c r="F597" s="434"/>
      <c r="G597" s="434"/>
      <c r="H597" s="434"/>
      <c r="I597" s="434"/>
      <c r="J597" s="434"/>
      <c r="K597" s="434"/>
      <c r="L597" s="434"/>
      <c r="M597" s="434"/>
      <c r="N597" s="557"/>
      <c r="O597" s="488">
        <f t="shared" si="11"/>
        <v>0</v>
      </c>
      <c r="P597" s="389"/>
      <c r="Q597" s="391"/>
      <c r="R597" s="391"/>
      <c r="S597" s="391"/>
      <c r="T597" s="391"/>
      <c r="U597" s="391"/>
      <c r="V597" s="519"/>
    </row>
    <row r="598" spans="1:22" ht="35.1" customHeight="1" x14ac:dyDescent="0.25">
      <c r="A598" s="550">
        <v>597</v>
      </c>
      <c r="B598" s="95">
        <v>45348</v>
      </c>
      <c r="C598" s="434"/>
      <c r="D598" s="488"/>
      <c r="E598" s="435"/>
      <c r="F598" s="434"/>
      <c r="G598" s="434"/>
      <c r="H598" s="434"/>
      <c r="I598" s="434"/>
      <c r="J598" s="434"/>
      <c r="K598" s="434"/>
      <c r="L598" s="434"/>
      <c r="M598" s="434"/>
      <c r="N598" s="557"/>
      <c r="O598" s="488">
        <f t="shared" si="11"/>
        <v>0</v>
      </c>
      <c r="P598" s="389"/>
      <c r="Q598" s="391"/>
      <c r="R598" s="391"/>
      <c r="S598" s="391"/>
      <c r="T598" s="391"/>
      <c r="U598" s="391"/>
      <c r="V598" s="519"/>
    </row>
    <row r="599" spans="1:22" ht="35.1" customHeight="1" x14ac:dyDescent="0.25">
      <c r="A599" s="550">
        <v>598</v>
      </c>
      <c r="B599" s="95">
        <v>45349</v>
      </c>
      <c r="C599" s="434"/>
      <c r="D599" s="488"/>
      <c r="E599" s="435"/>
      <c r="F599" s="434"/>
      <c r="G599" s="434"/>
      <c r="H599" s="434"/>
      <c r="I599" s="434"/>
      <c r="J599" s="434"/>
      <c r="K599" s="434"/>
      <c r="L599" s="434"/>
      <c r="M599" s="434"/>
      <c r="N599" s="557"/>
      <c r="O599" s="488">
        <f t="shared" si="11"/>
        <v>0</v>
      </c>
      <c r="P599" s="389"/>
      <c r="Q599" s="391"/>
      <c r="R599" s="391"/>
      <c r="S599" s="391"/>
      <c r="T599" s="391"/>
      <c r="U599" s="391"/>
      <c r="V599" s="519"/>
    </row>
    <row r="600" spans="1:22" ht="35.1" customHeight="1" x14ac:dyDescent="0.25">
      <c r="A600" s="550">
        <v>599</v>
      </c>
      <c r="B600" s="95">
        <v>45350</v>
      </c>
      <c r="C600" s="434"/>
      <c r="D600" s="488"/>
      <c r="E600" s="435"/>
      <c r="F600" s="434"/>
      <c r="G600" s="434"/>
      <c r="H600" s="434"/>
      <c r="I600" s="434"/>
      <c r="J600" s="434"/>
      <c r="K600" s="434"/>
      <c r="L600" s="434"/>
      <c r="M600" s="434"/>
      <c r="N600" s="557"/>
      <c r="O600" s="488">
        <f t="shared" si="11"/>
        <v>0</v>
      </c>
      <c r="P600" s="389"/>
      <c r="Q600" s="391"/>
      <c r="R600" s="391"/>
      <c r="S600" s="391"/>
      <c r="T600" s="391"/>
      <c r="U600" s="391"/>
      <c r="V600" s="519"/>
    </row>
    <row r="601" spans="1:22" ht="35.1" customHeight="1" x14ac:dyDescent="0.25">
      <c r="A601" s="550">
        <v>600</v>
      </c>
      <c r="B601" s="95">
        <v>45351</v>
      </c>
      <c r="C601" s="434"/>
      <c r="D601" s="488"/>
      <c r="E601" s="435"/>
      <c r="F601" s="434"/>
      <c r="G601" s="434"/>
      <c r="H601" s="434"/>
      <c r="I601" s="434"/>
      <c r="J601" s="434"/>
      <c r="K601" s="434"/>
      <c r="L601" s="434"/>
      <c r="M601" s="434"/>
      <c r="N601" s="557"/>
      <c r="O601" s="488">
        <f t="shared" si="11"/>
        <v>0</v>
      </c>
      <c r="P601" s="389"/>
      <c r="Q601" s="391"/>
      <c r="R601" s="391"/>
      <c r="S601" s="391"/>
      <c r="T601" s="391"/>
      <c r="U601" s="391"/>
      <c r="V601" s="519"/>
    </row>
    <row r="602" spans="1:22" ht="35.1" customHeight="1" x14ac:dyDescent="0.25">
      <c r="A602" s="550">
        <v>601</v>
      </c>
      <c r="B602" s="95">
        <v>45352</v>
      </c>
      <c r="C602" s="434"/>
      <c r="D602" s="488"/>
      <c r="E602" s="435"/>
      <c r="F602" s="434"/>
      <c r="G602" s="434"/>
      <c r="H602" s="434"/>
      <c r="I602" s="434"/>
      <c r="J602" s="434"/>
      <c r="K602" s="434"/>
      <c r="L602" s="434"/>
      <c r="M602" s="434"/>
      <c r="N602" s="557"/>
      <c r="O602" s="488">
        <f t="shared" si="11"/>
        <v>0</v>
      </c>
      <c r="P602" s="389"/>
      <c r="Q602" s="391"/>
      <c r="R602" s="391"/>
      <c r="S602" s="391"/>
      <c r="T602" s="391"/>
      <c r="U602" s="391"/>
      <c r="V602" s="519"/>
    </row>
    <row r="603" spans="1:22" ht="35.1" customHeight="1" x14ac:dyDescent="0.25">
      <c r="A603" s="550">
        <v>602</v>
      </c>
      <c r="B603" s="95">
        <v>45353</v>
      </c>
      <c r="C603" s="434"/>
      <c r="D603" s="488"/>
      <c r="E603" s="435"/>
      <c r="F603" s="434"/>
      <c r="G603" s="434"/>
      <c r="H603" s="434"/>
      <c r="I603" s="434"/>
      <c r="J603" s="434"/>
      <c r="K603" s="434"/>
      <c r="L603" s="434"/>
      <c r="M603" s="434"/>
      <c r="N603" s="557"/>
      <c r="O603" s="488">
        <f t="shared" si="11"/>
        <v>0</v>
      </c>
      <c r="P603" s="389"/>
      <c r="Q603" s="391"/>
      <c r="R603" s="391"/>
      <c r="S603" s="391"/>
      <c r="T603" s="391"/>
      <c r="U603" s="391"/>
      <c r="V603" s="519"/>
    </row>
    <row r="604" spans="1:22" ht="35.1" customHeight="1" x14ac:dyDescent="0.25">
      <c r="A604" s="550">
        <v>603</v>
      </c>
      <c r="B604" s="95">
        <v>45354</v>
      </c>
      <c r="C604" s="434"/>
      <c r="D604" s="488"/>
      <c r="E604" s="435"/>
      <c r="F604" s="434"/>
      <c r="G604" s="434"/>
      <c r="H604" s="434"/>
      <c r="I604" s="434"/>
      <c r="J604" s="434"/>
      <c r="K604" s="434"/>
      <c r="L604" s="434"/>
      <c r="M604" s="434"/>
      <c r="N604" s="557"/>
      <c r="O604" s="488">
        <f t="shared" si="11"/>
        <v>0</v>
      </c>
      <c r="P604" s="389"/>
      <c r="Q604" s="391"/>
      <c r="R604" s="391"/>
      <c r="S604" s="391"/>
      <c r="T604" s="391"/>
      <c r="U604" s="391"/>
      <c r="V604" s="519"/>
    </row>
    <row r="605" spans="1:22" ht="35.1" customHeight="1" x14ac:dyDescent="0.25">
      <c r="A605" s="550">
        <v>604</v>
      </c>
      <c r="B605" s="95">
        <v>45355</v>
      </c>
      <c r="C605" s="434"/>
      <c r="D605" s="488"/>
      <c r="E605" s="435"/>
      <c r="F605" s="434"/>
      <c r="G605" s="434"/>
      <c r="H605" s="434"/>
      <c r="I605" s="434"/>
      <c r="J605" s="434"/>
      <c r="K605" s="434"/>
      <c r="L605" s="434"/>
      <c r="M605" s="434"/>
      <c r="N605" s="557"/>
      <c r="O605" s="488">
        <f t="shared" si="11"/>
        <v>0</v>
      </c>
      <c r="P605" s="389"/>
      <c r="Q605" s="391"/>
      <c r="R605" s="391"/>
      <c r="S605" s="391"/>
      <c r="T605" s="391"/>
      <c r="U605" s="391"/>
    </row>
    <row r="606" spans="1:22" ht="35.1" customHeight="1" x14ac:dyDescent="0.25">
      <c r="A606" s="550">
        <v>605</v>
      </c>
      <c r="B606" s="95">
        <v>45356</v>
      </c>
      <c r="C606" s="434"/>
      <c r="D606" s="488"/>
      <c r="E606" s="435"/>
      <c r="F606" s="434"/>
      <c r="G606" s="434"/>
      <c r="H606" s="434"/>
      <c r="I606" s="434"/>
      <c r="J606" s="434"/>
      <c r="K606" s="434"/>
      <c r="L606" s="434"/>
      <c r="M606" s="434"/>
      <c r="N606" s="557"/>
      <c r="O606" s="488">
        <f t="shared" si="11"/>
        <v>0</v>
      </c>
      <c r="P606" s="389"/>
      <c r="Q606" s="391"/>
      <c r="R606" s="391"/>
      <c r="S606" s="391"/>
      <c r="T606" s="391"/>
      <c r="U606" s="391"/>
    </row>
    <row r="607" spans="1:22" ht="35.1" customHeight="1" x14ac:dyDescent="0.25">
      <c r="A607" s="550">
        <v>606</v>
      </c>
      <c r="B607" s="95">
        <v>45357</v>
      </c>
      <c r="C607" s="434"/>
      <c r="D607" s="488"/>
      <c r="E607" s="435"/>
      <c r="F607" s="434"/>
      <c r="G607" s="434"/>
      <c r="H607" s="434"/>
      <c r="I607" s="434"/>
      <c r="J607" s="434"/>
      <c r="K607" s="434"/>
      <c r="L607" s="434"/>
      <c r="M607" s="434"/>
      <c r="N607" s="557"/>
      <c r="O607" s="488">
        <f t="shared" si="11"/>
        <v>0</v>
      </c>
      <c r="P607" s="389"/>
      <c r="Q607" s="391"/>
      <c r="R607" s="391"/>
      <c r="S607" s="391"/>
      <c r="T607" s="391"/>
      <c r="U607" s="391"/>
    </row>
    <row r="608" spans="1:22" ht="35.1" customHeight="1" x14ac:dyDescent="0.25">
      <c r="A608" s="550">
        <v>607</v>
      </c>
      <c r="B608" s="95">
        <v>45358</v>
      </c>
      <c r="C608" s="434"/>
      <c r="D608" s="488"/>
      <c r="E608" s="435"/>
      <c r="F608" s="434"/>
      <c r="G608" s="434"/>
      <c r="H608" s="434"/>
      <c r="I608" s="434"/>
      <c r="J608" s="434"/>
      <c r="K608" s="434"/>
      <c r="L608" s="434"/>
      <c r="M608" s="434"/>
      <c r="N608" s="557"/>
      <c r="O608" s="488">
        <f t="shared" si="11"/>
        <v>0</v>
      </c>
      <c r="P608" s="389"/>
      <c r="Q608" s="391"/>
      <c r="R608" s="391"/>
      <c r="S608" s="391"/>
      <c r="T608" s="391"/>
      <c r="U608" s="391"/>
    </row>
    <row r="609" spans="1:21" ht="35.1" customHeight="1" x14ac:dyDescent="0.25">
      <c r="A609" s="550">
        <v>608</v>
      </c>
      <c r="B609" s="95">
        <v>45359</v>
      </c>
      <c r="C609" s="434"/>
      <c r="D609" s="488"/>
      <c r="E609" s="435"/>
      <c r="F609" s="434"/>
      <c r="G609" s="434"/>
      <c r="H609" s="434"/>
      <c r="I609" s="434"/>
      <c r="J609" s="434"/>
      <c r="K609" s="434"/>
      <c r="L609" s="434"/>
      <c r="M609" s="434"/>
      <c r="N609" s="557"/>
      <c r="O609" s="488">
        <f t="shared" si="11"/>
        <v>0</v>
      </c>
      <c r="P609" s="389"/>
      <c r="Q609" s="391"/>
      <c r="R609" s="391"/>
      <c r="S609" s="391"/>
      <c r="T609" s="391"/>
      <c r="U609" s="391"/>
    </row>
    <row r="610" spans="1:21" ht="35.1" customHeight="1" x14ac:dyDescent="0.25">
      <c r="A610" s="550">
        <v>609</v>
      </c>
      <c r="B610" s="95">
        <v>45360</v>
      </c>
      <c r="C610" s="434"/>
      <c r="D610" s="488"/>
      <c r="E610" s="435"/>
      <c r="F610" s="434"/>
      <c r="G610" s="434"/>
      <c r="H610" s="434"/>
      <c r="I610" s="434"/>
      <c r="J610" s="434"/>
      <c r="K610" s="434"/>
      <c r="L610" s="434"/>
      <c r="M610" s="434"/>
      <c r="N610" s="557"/>
      <c r="O610" s="488">
        <f t="shared" si="11"/>
        <v>0</v>
      </c>
      <c r="P610" s="389"/>
      <c r="Q610" s="391"/>
      <c r="R610" s="391"/>
      <c r="S610" s="391"/>
      <c r="T610" s="391"/>
      <c r="U610" s="391"/>
    </row>
    <row r="611" spans="1:21" ht="35.1" customHeight="1" x14ac:dyDescent="0.25">
      <c r="A611" s="550">
        <v>610</v>
      </c>
      <c r="B611" s="95">
        <v>45361</v>
      </c>
      <c r="C611" s="434"/>
      <c r="D611" s="488"/>
      <c r="E611" s="435"/>
      <c r="F611" s="434"/>
      <c r="G611" s="434"/>
      <c r="H611" s="434"/>
      <c r="I611" s="434"/>
      <c r="J611" s="434"/>
      <c r="K611" s="434"/>
      <c r="L611" s="434"/>
      <c r="M611" s="434"/>
      <c r="N611" s="557"/>
      <c r="O611" s="488">
        <f t="shared" si="11"/>
        <v>0</v>
      </c>
      <c r="P611" s="389"/>
      <c r="Q611" s="391"/>
      <c r="R611" s="391"/>
      <c r="S611" s="391"/>
      <c r="T611" s="391"/>
      <c r="U611" s="391"/>
    </row>
    <row r="612" spans="1:21" ht="35.1" customHeight="1" x14ac:dyDescent="0.25">
      <c r="A612" s="550">
        <v>611</v>
      </c>
      <c r="B612" s="95">
        <v>45362</v>
      </c>
      <c r="C612" s="434"/>
      <c r="D612" s="488"/>
      <c r="E612" s="435"/>
      <c r="F612" s="434"/>
      <c r="G612" s="434"/>
      <c r="H612" s="434"/>
      <c r="I612" s="434"/>
      <c r="J612" s="434"/>
      <c r="K612" s="434"/>
      <c r="L612" s="434"/>
      <c r="M612" s="434"/>
      <c r="N612" s="557"/>
      <c r="O612" s="488">
        <f t="shared" si="11"/>
        <v>0</v>
      </c>
      <c r="P612" s="389"/>
      <c r="Q612" s="391"/>
      <c r="R612" s="391"/>
      <c r="S612" s="391"/>
      <c r="T612" s="391"/>
      <c r="U612" s="391"/>
    </row>
    <row r="613" spans="1:21" ht="35.1" customHeight="1" x14ac:dyDescent="0.25">
      <c r="A613" s="550">
        <v>612</v>
      </c>
      <c r="B613" s="95">
        <v>45363</v>
      </c>
      <c r="C613" s="434"/>
      <c r="D613" s="488"/>
      <c r="E613" s="435"/>
      <c r="F613" s="434"/>
      <c r="G613" s="434"/>
      <c r="H613" s="434"/>
      <c r="I613" s="434"/>
      <c r="J613" s="434"/>
      <c r="K613" s="434"/>
      <c r="L613" s="434"/>
      <c r="M613" s="434"/>
      <c r="N613" s="557"/>
      <c r="O613" s="488">
        <f t="shared" si="11"/>
        <v>0</v>
      </c>
      <c r="P613" s="389"/>
      <c r="Q613" s="391"/>
      <c r="R613" s="391"/>
      <c r="S613" s="391"/>
      <c r="T613" s="391"/>
      <c r="U613" s="391"/>
    </row>
    <row r="614" spans="1:21" ht="35.1" customHeight="1" x14ac:dyDescent="0.25">
      <c r="A614" s="550">
        <v>613</v>
      </c>
      <c r="B614" s="95">
        <v>45364</v>
      </c>
      <c r="C614" s="434"/>
      <c r="D614" s="488"/>
      <c r="E614" s="435"/>
      <c r="F614" s="434"/>
      <c r="G614" s="434"/>
      <c r="H614" s="434"/>
      <c r="I614" s="434"/>
      <c r="J614" s="434"/>
      <c r="K614" s="434"/>
      <c r="L614" s="434"/>
      <c r="M614" s="434"/>
      <c r="N614" s="557"/>
      <c r="O614" s="488">
        <f t="shared" si="11"/>
        <v>0</v>
      </c>
      <c r="P614" s="389"/>
      <c r="Q614" s="391"/>
      <c r="R614" s="391"/>
      <c r="S614" s="391"/>
      <c r="T614" s="391"/>
      <c r="U614" s="391"/>
    </row>
    <row r="615" spans="1:21" ht="35.1" customHeight="1" x14ac:dyDescent="0.25">
      <c r="A615" s="550">
        <v>614</v>
      </c>
      <c r="B615" s="95">
        <v>45365</v>
      </c>
      <c r="C615" s="434"/>
      <c r="D615" s="488"/>
      <c r="E615" s="435"/>
      <c r="F615" s="434"/>
      <c r="G615" s="434"/>
      <c r="H615" s="434"/>
      <c r="I615" s="434"/>
      <c r="J615" s="434"/>
      <c r="K615" s="434"/>
      <c r="L615" s="434"/>
      <c r="M615" s="434"/>
      <c r="N615" s="557"/>
      <c r="O615" s="488">
        <f t="shared" si="11"/>
        <v>0</v>
      </c>
      <c r="P615" s="389"/>
      <c r="Q615" s="391"/>
      <c r="R615" s="391"/>
      <c r="S615" s="391"/>
      <c r="T615" s="391"/>
      <c r="U615" s="391"/>
    </row>
    <row r="616" spans="1:21" ht="35.1" customHeight="1" x14ac:dyDescent="0.25">
      <c r="A616" s="550">
        <v>615</v>
      </c>
      <c r="B616" s="95">
        <v>45366</v>
      </c>
      <c r="C616" s="434"/>
      <c r="D616" s="488"/>
      <c r="E616" s="435"/>
      <c r="F616" s="434"/>
      <c r="G616" s="434"/>
      <c r="H616" s="434"/>
      <c r="I616" s="434"/>
      <c r="J616" s="434"/>
      <c r="K616" s="434"/>
      <c r="L616" s="434"/>
      <c r="M616" s="434"/>
      <c r="N616" s="557"/>
      <c r="O616" s="488">
        <f t="shared" si="11"/>
        <v>0</v>
      </c>
      <c r="P616" s="389"/>
      <c r="Q616" s="391"/>
      <c r="R616" s="391"/>
      <c r="S616" s="391"/>
      <c r="T616" s="391"/>
      <c r="U616" s="391"/>
    </row>
    <row r="617" spans="1:21" ht="35.1" customHeight="1" x14ac:dyDescent="0.25">
      <c r="A617" s="550">
        <v>616</v>
      </c>
      <c r="B617" s="95">
        <v>45367</v>
      </c>
      <c r="C617" s="434"/>
      <c r="D617" s="488"/>
      <c r="E617" s="435"/>
      <c r="F617" s="434"/>
      <c r="G617" s="434"/>
      <c r="H617" s="434"/>
      <c r="I617" s="434"/>
      <c r="J617" s="434"/>
      <c r="K617" s="434"/>
      <c r="L617" s="434"/>
      <c r="M617" s="434"/>
      <c r="N617" s="557"/>
      <c r="O617" s="488">
        <f t="shared" si="11"/>
        <v>0</v>
      </c>
      <c r="P617" s="389"/>
      <c r="Q617" s="391"/>
      <c r="R617" s="391"/>
      <c r="S617" s="391"/>
      <c r="T617" s="391"/>
      <c r="U617" s="391"/>
    </row>
    <row r="618" spans="1:21" ht="35.1" customHeight="1" x14ac:dyDescent="0.25">
      <c r="A618" s="550">
        <v>617</v>
      </c>
      <c r="B618" s="95">
        <v>45368</v>
      </c>
      <c r="C618" s="434"/>
      <c r="D618" s="488"/>
      <c r="E618" s="435"/>
      <c r="F618" s="434"/>
      <c r="G618" s="434"/>
      <c r="H618" s="434"/>
      <c r="I618" s="434"/>
      <c r="J618" s="434"/>
      <c r="K618" s="434"/>
      <c r="L618" s="434"/>
      <c r="M618" s="434"/>
      <c r="N618" s="557"/>
      <c r="O618" s="488">
        <f t="shared" si="11"/>
        <v>0</v>
      </c>
      <c r="P618" s="389"/>
      <c r="Q618" s="391"/>
      <c r="R618" s="391"/>
      <c r="S618" s="391"/>
      <c r="T618" s="391"/>
      <c r="U618" s="391"/>
    </row>
    <row r="619" spans="1:21" ht="35.1" customHeight="1" x14ac:dyDescent="0.25">
      <c r="A619" s="550">
        <v>618</v>
      </c>
      <c r="B619" s="95">
        <v>45369</v>
      </c>
      <c r="C619" s="434"/>
      <c r="D619" s="488"/>
      <c r="E619" s="435"/>
      <c r="F619" s="434"/>
      <c r="G619" s="434"/>
      <c r="H619" s="434"/>
      <c r="I619" s="434"/>
      <c r="J619" s="434"/>
      <c r="K619" s="434"/>
      <c r="L619" s="434"/>
      <c r="M619" s="434"/>
      <c r="N619" s="557"/>
      <c r="O619" s="488">
        <f t="shared" si="11"/>
        <v>0</v>
      </c>
      <c r="P619" s="389"/>
      <c r="Q619" s="391"/>
      <c r="R619" s="391"/>
      <c r="S619" s="391"/>
      <c r="T619" s="391"/>
      <c r="U619" s="391"/>
    </row>
    <row r="620" spans="1:21" ht="35.1" customHeight="1" x14ac:dyDescent="0.25">
      <c r="A620" s="550">
        <v>619</v>
      </c>
      <c r="B620" s="95">
        <v>45370</v>
      </c>
      <c r="C620" s="434"/>
      <c r="D620" s="488"/>
      <c r="E620" s="435"/>
      <c r="F620" s="434"/>
      <c r="G620" s="434"/>
      <c r="H620" s="434"/>
      <c r="I620" s="434"/>
      <c r="J620" s="434"/>
      <c r="K620" s="434"/>
      <c r="L620" s="434"/>
      <c r="M620" s="434"/>
      <c r="N620" s="557"/>
      <c r="O620" s="488">
        <f t="shared" si="11"/>
        <v>0</v>
      </c>
      <c r="P620" s="389"/>
      <c r="Q620" s="391"/>
      <c r="R620" s="391"/>
      <c r="S620" s="391"/>
      <c r="T620" s="391"/>
      <c r="U620" s="391"/>
    </row>
    <row r="621" spans="1:21" ht="35.1" customHeight="1" x14ac:dyDescent="0.25">
      <c r="A621" s="550">
        <v>620</v>
      </c>
      <c r="B621" s="95">
        <v>45371</v>
      </c>
      <c r="C621" s="434"/>
      <c r="D621" s="488"/>
      <c r="E621" s="435"/>
      <c r="F621" s="434"/>
      <c r="G621" s="434"/>
      <c r="H621" s="434"/>
      <c r="I621" s="434"/>
      <c r="J621" s="434"/>
      <c r="K621" s="434"/>
      <c r="L621" s="434"/>
      <c r="M621" s="434"/>
      <c r="N621" s="557"/>
      <c r="O621" s="488">
        <f t="shared" si="11"/>
        <v>0</v>
      </c>
      <c r="P621" s="389"/>
      <c r="Q621" s="391"/>
      <c r="R621" s="391"/>
      <c r="S621" s="391"/>
      <c r="T621" s="391"/>
      <c r="U621" s="391"/>
    </row>
    <row r="622" spans="1:21" ht="35.1" customHeight="1" x14ac:dyDescent="0.25">
      <c r="A622" s="550">
        <v>621</v>
      </c>
      <c r="B622" s="95">
        <v>45372</v>
      </c>
      <c r="C622" s="434"/>
      <c r="D622" s="488"/>
      <c r="E622" s="435"/>
      <c r="F622" s="434"/>
      <c r="G622" s="434"/>
      <c r="H622" s="434"/>
      <c r="I622" s="434"/>
      <c r="J622" s="434"/>
      <c r="K622" s="434"/>
      <c r="L622" s="434"/>
      <c r="M622" s="434"/>
      <c r="N622" s="557"/>
      <c r="O622" s="488">
        <f t="shared" si="11"/>
        <v>0</v>
      </c>
      <c r="P622" s="389"/>
      <c r="Q622" s="391"/>
      <c r="R622" s="391"/>
      <c r="S622" s="391"/>
      <c r="T622" s="391"/>
      <c r="U622" s="391"/>
    </row>
    <row r="623" spans="1:21" ht="35.1" customHeight="1" x14ac:dyDescent="0.25">
      <c r="A623" s="550">
        <v>622</v>
      </c>
      <c r="B623" s="95">
        <v>45373</v>
      </c>
      <c r="C623" s="434"/>
      <c r="D623" s="488"/>
      <c r="E623" s="435"/>
      <c r="F623" s="434"/>
      <c r="G623" s="434"/>
      <c r="H623" s="434"/>
      <c r="I623" s="434"/>
      <c r="J623" s="434"/>
      <c r="K623" s="434"/>
      <c r="L623" s="434"/>
      <c r="M623" s="434"/>
      <c r="N623" s="557"/>
      <c r="O623" s="488">
        <f t="shared" si="11"/>
        <v>0</v>
      </c>
      <c r="P623" s="389"/>
      <c r="Q623" s="391"/>
      <c r="R623" s="391"/>
      <c r="S623" s="391"/>
      <c r="T623" s="391"/>
      <c r="U623" s="391"/>
    </row>
    <row r="624" spans="1:21" ht="35.1" customHeight="1" x14ac:dyDescent="0.25">
      <c r="A624" s="550">
        <v>623</v>
      </c>
      <c r="B624" s="95">
        <v>45374</v>
      </c>
      <c r="C624" s="434"/>
      <c r="D624" s="488"/>
      <c r="E624" s="435"/>
      <c r="F624" s="434"/>
      <c r="G624" s="434"/>
      <c r="H624" s="434"/>
      <c r="I624" s="434"/>
      <c r="J624" s="434"/>
      <c r="K624" s="434"/>
      <c r="L624" s="434"/>
      <c r="M624" s="434"/>
      <c r="N624" s="557"/>
      <c r="O624" s="488">
        <f t="shared" si="11"/>
        <v>0</v>
      </c>
      <c r="P624" s="389"/>
      <c r="Q624" s="391"/>
      <c r="R624" s="391"/>
      <c r="S624" s="391"/>
      <c r="T624" s="391"/>
      <c r="U624" s="391"/>
    </row>
    <row r="625" spans="1:21" ht="35.1" customHeight="1" x14ac:dyDescent="0.25">
      <c r="A625" s="550">
        <v>624</v>
      </c>
      <c r="B625" s="95">
        <v>45375</v>
      </c>
      <c r="C625" s="434"/>
      <c r="D625" s="488"/>
      <c r="E625" s="435"/>
      <c r="F625" s="434"/>
      <c r="G625" s="434"/>
      <c r="H625" s="434"/>
      <c r="I625" s="434"/>
      <c r="J625" s="434"/>
      <c r="K625" s="434"/>
      <c r="L625" s="434"/>
      <c r="M625" s="434"/>
      <c r="N625" s="557"/>
      <c r="O625" s="488">
        <f t="shared" si="11"/>
        <v>0</v>
      </c>
      <c r="P625" s="389"/>
      <c r="Q625" s="391"/>
      <c r="R625" s="391"/>
      <c r="S625" s="391"/>
      <c r="T625" s="391"/>
      <c r="U625" s="391"/>
    </row>
    <row r="626" spans="1:21" ht="35.1" customHeight="1" x14ac:dyDescent="0.25">
      <c r="A626" s="550">
        <v>625</v>
      </c>
      <c r="B626" s="95">
        <v>45376</v>
      </c>
      <c r="C626" s="434"/>
      <c r="D626" s="488"/>
      <c r="E626" s="435"/>
      <c r="F626" s="434"/>
      <c r="G626" s="434"/>
      <c r="H626" s="434"/>
      <c r="I626" s="434"/>
      <c r="J626" s="434"/>
      <c r="K626" s="434"/>
      <c r="L626" s="434"/>
      <c r="M626" s="434"/>
      <c r="N626" s="557"/>
      <c r="O626" s="488">
        <f t="shared" si="11"/>
        <v>0</v>
      </c>
      <c r="P626" s="389"/>
      <c r="Q626" s="391"/>
      <c r="R626" s="391"/>
      <c r="S626" s="391"/>
      <c r="T626" s="391"/>
      <c r="U626" s="391"/>
    </row>
    <row r="627" spans="1:21" ht="35.1" customHeight="1" x14ac:dyDescent="0.25">
      <c r="A627" s="550">
        <v>626</v>
      </c>
      <c r="B627" s="95">
        <v>45377</v>
      </c>
      <c r="C627" s="434"/>
      <c r="D627" s="488"/>
      <c r="E627" s="435"/>
      <c r="F627" s="434"/>
      <c r="G627" s="434"/>
      <c r="H627" s="434"/>
      <c r="I627" s="434"/>
      <c r="J627" s="434"/>
      <c r="K627" s="434"/>
      <c r="L627" s="434"/>
      <c r="M627" s="434"/>
      <c r="N627" s="557"/>
      <c r="O627" s="488">
        <f t="shared" si="11"/>
        <v>0</v>
      </c>
      <c r="P627" s="389"/>
      <c r="Q627" s="391"/>
      <c r="R627" s="391"/>
      <c r="S627" s="391"/>
      <c r="T627" s="391"/>
      <c r="U627" s="391"/>
    </row>
    <row r="628" spans="1:21" ht="35.1" customHeight="1" x14ac:dyDescent="0.25">
      <c r="A628" s="550">
        <v>627</v>
      </c>
      <c r="B628" s="95">
        <v>45378</v>
      </c>
      <c r="C628" s="434"/>
      <c r="D628" s="488"/>
      <c r="E628" s="435"/>
      <c r="F628" s="434"/>
      <c r="G628" s="434"/>
      <c r="H628" s="434"/>
      <c r="I628" s="434"/>
      <c r="J628" s="434"/>
      <c r="K628" s="434"/>
      <c r="L628" s="434"/>
      <c r="M628" s="434"/>
      <c r="N628" s="557"/>
      <c r="O628" s="488">
        <f t="shared" si="11"/>
        <v>0</v>
      </c>
      <c r="P628" s="389"/>
      <c r="Q628" s="391"/>
      <c r="R628" s="391"/>
      <c r="S628" s="391"/>
      <c r="T628" s="391"/>
      <c r="U628" s="391"/>
    </row>
    <row r="629" spans="1:21" ht="35.1" customHeight="1" x14ac:dyDescent="0.25">
      <c r="A629" s="550">
        <v>628</v>
      </c>
      <c r="B629" s="95">
        <v>45379</v>
      </c>
      <c r="C629" s="434"/>
      <c r="D629" s="488"/>
      <c r="E629" s="435"/>
      <c r="F629" s="434"/>
      <c r="G629" s="434"/>
      <c r="H629" s="434"/>
      <c r="I629" s="434"/>
      <c r="J629" s="434"/>
      <c r="K629" s="434"/>
      <c r="L629" s="434"/>
      <c r="M629" s="434"/>
      <c r="N629" s="557"/>
      <c r="O629" s="488">
        <f t="shared" si="11"/>
        <v>0</v>
      </c>
      <c r="P629" s="389"/>
      <c r="Q629" s="391"/>
      <c r="R629" s="391"/>
      <c r="S629" s="391"/>
      <c r="T629" s="391"/>
      <c r="U629" s="391"/>
    </row>
    <row r="630" spans="1:21" ht="35.1" customHeight="1" x14ac:dyDescent="0.25">
      <c r="A630" s="550">
        <v>629</v>
      </c>
      <c r="B630" s="95">
        <v>45380</v>
      </c>
      <c r="C630" s="434"/>
      <c r="D630" s="488"/>
      <c r="E630" s="435"/>
      <c r="F630" s="434"/>
      <c r="G630" s="434"/>
      <c r="H630" s="434"/>
      <c r="I630" s="434"/>
      <c r="J630" s="434"/>
      <c r="K630" s="434"/>
      <c r="L630" s="434"/>
      <c r="M630" s="434"/>
      <c r="N630" s="557"/>
      <c r="O630" s="488">
        <f t="shared" si="11"/>
        <v>0</v>
      </c>
      <c r="P630" s="389"/>
      <c r="Q630" s="391"/>
      <c r="R630" s="391"/>
      <c r="S630" s="391"/>
      <c r="T630" s="391"/>
      <c r="U630" s="391"/>
    </row>
    <row r="631" spans="1:21" ht="35.1" customHeight="1" x14ac:dyDescent="0.25">
      <c r="A631" s="550">
        <v>630</v>
      </c>
      <c r="B631" s="95">
        <v>45381</v>
      </c>
      <c r="C631" s="434"/>
      <c r="D631" s="488"/>
      <c r="E631" s="435"/>
      <c r="F631" s="434"/>
      <c r="G631" s="434"/>
      <c r="H631" s="434"/>
      <c r="I631" s="434"/>
      <c r="J631" s="434"/>
      <c r="K631" s="434"/>
      <c r="L631" s="434"/>
      <c r="M631" s="434"/>
      <c r="N631" s="557"/>
      <c r="O631" s="488">
        <f t="shared" si="11"/>
        <v>0</v>
      </c>
      <c r="P631" s="389"/>
      <c r="Q631" s="391"/>
      <c r="R631" s="391"/>
      <c r="S631" s="391"/>
      <c r="T631" s="391"/>
      <c r="U631" s="391"/>
    </row>
    <row r="632" spans="1:21" ht="35.1" customHeight="1" x14ac:dyDescent="0.25">
      <c r="A632" s="550">
        <v>631</v>
      </c>
      <c r="B632" s="95">
        <v>45382</v>
      </c>
      <c r="C632" s="434"/>
      <c r="D632" s="488"/>
      <c r="E632" s="435"/>
      <c r="F632" s="434"/>
      <c r="G632" s="434"/>
      <c r="H632" s="434"/>
      <c r="I632" s="434"/>
      <c r="J632" s="434"/>
      <c r="K632" s="434"/>
      <c r="L632" s="434"/>
      <c r="M632" s="434"/>
      <c r="N632" s="557"/>
      <c r="O632" s="488">
        <f t="shared" si="11"/>
        <v>0</v>
      </c>
      <c r="P632" s="389"/>
      <c r="Q632" s="391"/>
      <c r="R632" s="391"/>
      <c r="S632" s="391"/>
      <c r="T632" s="391"/>
      <c r="U632" s="391"/>
    </row>
    <row r="633" spans="1:21" ht="35.1" customHeight="1" x14ac:dyDescent="0.25">
      <c r="A633" s="550">
        <v>632</v>
      </c>
      <c r="B633" s="95">
        <v>45383</v>
      </c>
      <c r="C633" s="434"/>
      <c r="D633" s="488"/>
      <c r="E633" s="435"/>
      <c r="F633" s="434"/>
      <c r="G633" s="434"/>
      <c r="H633" s="434"/>
      <c r="I633" s="434"/>
      <c r="J633" s="434"/>
      <c r="K633" s="434"/>
      <c r="L633" s="434"/>
      <c r="M633" s="434"/>
      <c r="N633" s="557"/>
      <c r="O633" s="488">
        <f t="shared" ref="O633:O696" si="12">SUM(G633:N633)+F633+D633</f>
        <v>0</v>
      </c>
      <c r="P633" s="389"/>
      <c r="Q633" s="391"/>
      <c r="R633" s="391"/>
      <c r="S633" s="391"/>
      <c r="T633" s="391"/>
      <c r="U633" s="391"/>
    </row>
    <row r="634" spans="1:21" ht="35.1" customHeight="1" x14ac:dyDescent="0.25">
      <c r="A634" s="550">
        <v>633</v>
      </c>
      <c r="B634" s="95">
        <v>45384</v>
      </c>
      <c r="C634" s="434"/>
      <c r="D634" s="488"/>
      <c r="E634" s="435"/>
      <c r="F634" s="434"/>
      <c r="G634" s="434"/>
      <c r="H634" s="434"/>
      <c r="I634" s="434"/>
      <c r="J634" s="434"/>
      <c r="K634" s="434"/>
      <c r="L634" s="434"/>
      <c r="M634" s="434"/>
      <c r="N634" s="557"/>
      <c r="O634" s="488">
        <f t="shared" si="12"/>
        <v>0</v>
      </c>
      <c r="P634" s="389"/>
      <c r="Q634" s="391"/>
      <c r="R634" s="391"/>
      <c r="S634" s="391"/>
      <c r="T634" s="391"/>
      <c r="U634" s="391"/>
    </row>
    <row r="635" spans="1:21" ht="35.1" customHeight="1" x14ac:dyDescent="0.25">
      <c r="A635" s="550">
        <v>634</v>
      </c>
      <c r="B635" s="95">
        <v>45385</v>
      </c>
      <c r="C635" s="434"/>
      <c r="D635" s="488"/>
      <c r="E635" s="435"/>
      <c r="F635" s="434"/>
      <c r="G635" s="434"/>
      <c r="H635" s="434"/>
      <c r="I635" s="434"/>
      <c r="J635" s="434"/>
      <c r="K635" s="434"/>
      <c r="L635" s="434"/>
      <c r="M635" s="434"/>
      <c r="N635" s="557"/>
      <c r="O635" s="488">
        <f t="shared" si="12"/>
        <v>0</v>
      </c>
      <c r="P635" s="389"/>
      <c r="Q635" s="391"/>
      <c r="R635" s="391"/>
      <c r="S635" s="391"/>
      <c r="T635" s="391"/>
      <c r="U635" s="391"/>
    </row>
    <row r="636" spans="1:21" ht="35.1" customHeight="1" x14ac:dyDescent="0.25">
      <c r="A636" s="550">
        <v>635</v>
      </c>
      <c r="B636" s="95">
        <v>45386</v>
      </c>
      <c r="C636" s="434"/>
      <c r="D636" s="488"/>
      <c r="E636" s="435"/>
      <c r="F636" s="434"/>
      <c r="G636" s="434"/>
      <c r="H636" s="434"/>
      <c r="I636" s="434"/>
      <c r="J636" s="434"/>
      <c r="K636" s="434"/>
      <c r="L636" s="434"/>
      <c r="M636" s="434"/>
      <c r="N636" s="557"/>
      <c r="O636" s="488">
        <f t="shared" si="12"/>
        <v>0</v>
      </c>
      <c r="P636" s="389"/>
      <c r="Q636" s="391"/>
      <c r="R636" s="391"/>
      <c r="S636" s="391"/>
      <c r="T636" s="391"/>
      <c r="U636" s="391"/>
    </row>
    <row r="637" spans="1:21" ht="35.1" customHeight="1" x14ac:dyDescent="0.25">
      <c r="A637" s="550">
        <v>636</v>
      </c>
      <c r="B637" s="95">
        <v>45387</v>
      </c>
      <c r="C637" s="434"/>
      <c r="D637" s="488"/>
      <c r="E637" s="435"/>
      <c r="F637" s="434"/>
      <c r="G637" s="434"/>
      <c r="H637" s="434"/>
      <c r="I637" s="434"/>
      <c r="J637" s="434"/>
      <c r="K637" s="434"/>
      <c r="L637" s="434"/>
      <c r="M637" s="434"/>
      <c r="N637" s="557"/>
      <c r="O637" s="488">
        <f t="shared" si="12"/>
        <v>0</v>
      </c>
      <c r="P637" s="389"/>
      <c r="Q637" s="391"/>
      <c r="R637" s="391"/>
      <c r="S637" s="391"/>
      <c r="T637" s="391"/>
      <c r="U637" s="391"/>
    </row>
    <row r="638" spans="1:21" ht="35.1" customHeight="1" x14ac:dyDescent="0.25">
      <c r="A638" s="550">
        <v>637</v>
      </c>
      <c r="B638" s="95">
        <v>45388</v>
      </c>
      <c r="C638" s="434"/>
      <c r="D638" s="488"/>
      <c r="E638" s="435"/>
      <c r="F638" s="434"/>
      <c r="G638" s="434"/>
      <c r="H638" s="434"/>
      <c r="I638" s="434"/>
      <c r="J638" s="434"/>
      <c r="K638" s="434"/>
      <c r="L638" s="434"/>
      <c r="M638" s="434"/>
      <c r="N638" s="557"/>
      <c r="O638" s="488">
        <f t="shared" si="12"/>
        <v>0</v>
      </c>
      <c r="P638" s="389"/>
      <c r="Q638" s="391"/>
      <c r="R638" s="391"/>
      <c r="S638" s="391"/>
      <c r="T638" s="391"/>
      <c r="U638" s="391"/>
    </row>
    <row r="639" spans="1:21" ht="35.1" customHeight="1" x14ac:dyDescent="0.25">
      <c r="A639" s="550">
        <v>638</v>
      </c>
      <c r="B639" s="95">
        <v>45389</v>
      </c>
      <c r="C639" s="434"/>
      <c r="D639" s="488"/>
      <c r="E639" s="435"/>
      <c r="F639" s="434"/>
      <c r="G639" s="434"/>
      <c r="H639" s="434"/>
      <c r="I639" s="434"/>
      <c r="J639" s="434"/>
      <c r="K639" s="434"/>
      <c r="L639" s="434"/>
      <c r="M639" s="434"/>
      <c r="N639" s="557"/>
      <c r="O639" s="488">
        <f t="shared" si="12"/>
        <v>0</v>
      </c>
      <c r="P639" s="389"/>
      <c r="Q639" s="391"/>
      <c r="R639" s="391"/>
      <c r="S639" s="391"/>
      <c r="T639" s="391"/>
      <c r="U639" s="391"/>
    </row>
    <row r="640" spans="1:21" ht="35.1" customHeight="1" x14ac:dyDescent="0.25">
      <c r="A640" s="550">
        <v>639</v>
      </c>
      <c r="B640" s="95">
        <v>45390</v>
      </c>
      <c r="C640" s="434"/>
      <c r="D640" s="488"/>
      <c r="E640" s="435"/>
      <c r="F640" s="434"/>
      <c r="G640" s="434"/>
      <c r="H640" s="434"/>
      <c r="I640" s="434"/>
      <c r="J640" s="434"/>
      <c r="K640" s="434"/>
      <c r="L640" s="434"/>
      <c r="M640" s="434"/>
      <c r="N640" s="557"/>
      <c r="O640" s="488">
        <f t="shared" si="12"/>
        <v>0</v>
      </c>
      <c r="P640" s="389"/>
      <c r="Q640" s="391"/>
      <c r="R640" s="391"/>
      <c r="S640" s="391"/>
      <c r="T640" s="391"/>
      <c r="U640" s="391"/>
    </row>
    <row r="641" spans="1:21" ht="35.1" customHeight="1" x14ac:dyDescent="0.25">
      <c r="A641" s="550">
        <v>640</v>
      </c>
      <c r="B641" s="95">
        <v>45391</v>
      </c>
      <c r="C641" s="434"/>
      <c r="D641" s="488"/>
      <c r="E641" s="435"/>
      <c r="F641" s="434"/>
      <c r="G641" s="434"/>
      <c r="H641" s="434"/>
      <c r="I641" s="434"/>
      <c r="J641" s="434"/>
      <c r="K641" s="434"/>
      <c r="L641" s="434"/>
      <c r="M641" s="434"/>
      <c r="N641" s="557"/>
      <c r="O641" s="488">
        <f t="shared" si="12"/>
        <v>0</v>
      </c>
      <c r="P641" s="389"/>
      <c r="Q641" s="391"/>
      <c r="R641" s="391"/>
      <c r="S641" s="391"/>
      <c r="T641" s="391"/>
      <c r="U641" s="391"/>
    </row>
    <row r="642" spans="1:21" ht="35.1" customHeight="1" x14ac:dyDescent="0.25">
      <c r="A642" s="550">
        <v>641</v>
      </c>
      <c r="B642" s="95">
        <v>45392</v>
      </c>
      <c r="C642" s="434"/>
      <c r="D642" s="488"/>
      <c r="E642" s="435"/>
      <c r="F642" s="434"/>
      <c r="G642" s="434"/>
      <c r="H642" s="434"/>
      <c r="I642" s="434"/>
      <c r="J642" s="434"/>
      <c r="K642" s="434"/>
      <c r="L642" s="434"/>
      <c r="M642" s="434"/>
      <c r="N642" s="557"/>
      <c r="O642" s="488">
        <f t="shared" si="12"/>
        <v>0</v>
      </c>
      <c r="P642" s="389"/>
      <c r="Q642" s="391"/>
      <c r="R642" s="391"/>
      <c r="S642" s="391"/>
      <c r="T642" s="391"/>
      <c r="U642" s="391"/>
    </row>
    <row r="643" spans="1:21" ht="35.1" customHeight="1" x14ac:dyDescent="0.25">
      <c r="A643" s="550">
        <v>642</v>
      </c>
      <c r="B643" s="95">
        <v>45393</v>
      </c>
      <c r="C643" s="434"/>
      <c r="D643" s="488"/>
      <c r="E643" s="435"/>
      <c r="F643" s="434"/>
      <c r="G643" s="434"/>
      <c r="H643" s="434"/>
      <c r="I643" s="434"/>
      <c r="J643" s="434"/>
      <c r="K643" s="434"/>
      <c r="L643" s="434"/>
      <c r="M643" s="434"/>
      <c r="N643" s="557"/>
      <c r="O643" s="488">
        <f t="shared" si="12"/>
        <v>0</v>
      </c>
      <c r="P643" s="389"/>
      <c r="Q643" s="391"/>
      <c r="R643" s="391"/>
      <c r="S643" s="391"/>
      <c r="T643" s="391"/>
      <c r="U643" s="391"/>
    </row>
    <row r="644" spans="1:21" ht="35.1" customHeight="1" x14ac:dyDescent="0.25">
      <c r="A644" s="550">
        <v>643</v>
      </c>
      <c r="B644" s="95">
        <v>45394</v>
      </c>
      <c r="C644" s="434"/>
      <c r="D644" s="488"/>
      <c r="E644" s="435"/>
      <c r="F644" s="434"/>
      <c r="G644" s="434"/>
      <c r="H644" s="434"/>
      <c r="I644" s="434"/>
      <c r="J644" s="434"/>
      <c r="K644" s="434"/>
      <c r="L644" s="434"/>
      <c r="M644" s="434"/>
      <c r="N644" s="557"/>
      <c r="O644" s="488">
        <f t="shared" si="12"/>
        <v>0</v>
      </c>
      <c r="P644" s="389"/>
      <c r="Q644" s="391"/>
      <c r="R644" s="391"/>
      <c r="S644" s="391"/>
      <c r="T644" s="391"/>
      <c r="U644" s="391"/>
    </row>
    <row r="645" spans="1:21" ht="35.1" customHeight="1" x14ac:dyDescent="0.25">
      <c r="A645" s="550">
        <v>644</v>
      </c>
      <c r="B645" s="95">
        <v>45395</v>
      </c>
      <c r="C645" s="434"/>
      <c r="D645" s="488"/>
      <c r="E645" s="435"/>
      <c r="F645" s="434"/>
      <c r="G645" s="434"/>
      <c r="H645" s="434"/>
      <c r="I645" s="434"/>
      <c r="J645" s="434"/>
      <c r="K645" s="434"/>
      <c r="L645" s="434"/>
      <c r="M645" s="434"/>
      <c r="N645" s="557"/>
      <c r="O645" s="488">
        <f t="shared" si="12"/>
        <v>0</v>
      </c>
      <c r="P645" s="389"/>
      <c r="Q645" s="391"/>
      <c r="R645" s="391"/>
      <c r="S645" s="391"/>
      <c r="T645" s="391"/>
      <c r="U645" s="391"/>
    </row>
    <row r="646" spans="1:21" ht="35.1" customHeight="1" x14ac:dyDescent="0.25">
      <c r="A646" s="550">
        <v>645</v>
      </c>
      <c r="B646" s="95">
        <v>45396</v>
      </c>
      <c r="C646" s="434"/>
      <c r="D646" s="488"/>
      <c r="E646" s="435"/>
      <c r="F646" s="434"/>
      <c r="G646" s="434"/>
      <c r="H646" s="434"/>
      <c r="I646" s="434"/>
      <c r="J646" s="434"/>
      <c r="K646" s="434"/>
      <c r="L646" s="434"/>
      <c r="M646" s="434"/>
      <c r="N646" s="557"/>
      <c r="O646" s="488">
        <f t="shared" si="12"/>
        <v>0</v>
      </c>
      <c r="P646" s="389"/>
      <c r="Q646" s="391"/>
      <c r="R646" s="391"/>
      <c r="S646" s="391"/>
      <c r="T646" s="391"/>
      <c r="U646" s="391"/>
    </row>
    <row r="647" spans="1:21" ht="35.1" customHeight="1" x14ac:dyDescent="0.25">
      <c r="A647" s="550">
        <v>646</v>
      </c>
      <c r="B647" s="95">
        <v>45397</v>
      </c>
      <c r="C647" s="434"/>
      <c r="D647" s="488"/>
      <c r="E647" s="435"/>
      <c r="F647" s="434"/>
      <c r="G647" s="434"/>
      <c r="H647" s="434"/>
      <c r="I647" s="434"/>
      <c r="J647" s="434"/>
      <c r="K647" s="434"/>
      <c r="L647" s="434"/>
      <c r="M647" s="434"/>
      <c r="N647" s="557"/>
      <c r="O647" s="488">
        <f t="shared" si="12"/>
        <v>0</v>
      </c>
      <c r="P647" s="389"/>
      <c r="Q647" s="391"/>
      <c r="R647" s="391"/>
      <c r="S647" s="391"/>
      <c r="T647" s="391"/>
      <c r="U647" s="391"/>
    </row>
    <row r="648" spans="1:21" ht="35.1" customHeight="1" x14ac:dyDescent="0.25">
      <c r="A648" s="550">
        <v>647</v>
      </c>
      <c r="B648" s="95">
        <v>45398</v>
      </c>
      <c r="C648" s="434"/>
      <c r="D648" s="488"/>
      <c r="E648" s="435"/>
      <c r="F648" s="434"/>
      <c r="G648" s="434"/>
      <c r="H648" s="434"/>
      <c r="I648" s="434"/>
      <c r="J648" s="434"/>
      <c r="K648" s="434"/>
      <c r="L648" s="434"/>
      <c r="M648" s="434"/>
      <c r="N648" s="557"/>
      <c r="O648" s="488">
        <f t="shared" si="12"/>
        <v>0</v>
      </c>
      <c r="P648" s="389"/>
      <c r="Q648" s="391"/>
      <c r="R648" s="391"/>
      <c r="S648" s="391"/>
      <c r="T648" s="391"/>
      <c r="U648" s="391"/>
    </row>
    <row r="649" spans="1:21" ht="35.1" customHeight="1" x14ac:dyDescent="0.25">
      <c r="A649" s="550">
        <v>648</v>
      </c>
      <c r="B649" s="95">
        <v>45399</v>
      </c>
      <c r="C649" s="434"/>
      <c r="D649" s="488"/>
      <c r="E649" s="435"/>
      <c r="F649" s="434"/>
      <c r="G649" s="434"/>
      <c r="H649" s="434"/>
      <c r="I649" s="434"/>
      <c r="J649" s="434"/>
      <c r="K649" s="434"/>
      <c r="L649" s="434"/>
      <c r="M649" s="434"/>
      <c r="N649" s="557"/>
      <c r="O649" s="488">
        <f t="shared" si="12"/>
        <v>0</v>
      </c>
      <c r="P649" s="389"/>
      <c r="Q649" s="391"/>
      <c r="R649" s="391"/>
      <c r="S649" s="391"/>
      <c r="T649" s="391"/>
      <c r="U649" s="391"/>
    </row>
    <row r="650" spans="1:21" ht="35.1" customHeight="1" x14ac:dyDescent="0.25">
      <c r="A650" s="550">
        <v>649</v>
      </c>
      <c r="B650" s="95">
        <v>45400</v>
      </c>
      <c r="C650" s="434"/>
      <c r="D650" s="488"/>
      <c r="E650" s="435"/>
      <c r="F650" s="434"/>
      <c r="G650" s="434"/>
      <c r="H650" s="434"/>
      <c r="I650" s="434"/>
      <c r="J650" s="434"/>
      <c r="K650" s="434"/>
      <c r="L650" s="434"/>
      <c r="M650" s="434"/>
      <c r="N650" s="557"/>
      <c r="O650" s="488">
        <f t="shared" si="12"/>
        <v>0</v>
      </c>
      <c r="P650" s="389"/>
      <c r="Q650" s="391"/>
      <c r="R650" s="391"/>
      <c r="S650" s="391"/>
      <c r="T650" s="391"/>
      <c r="U650" s="391"/>
    </row>
    <row r="651" spans="1:21" ht="35.1" customHeight="1" x14ac:dyDescent="0.25">
      <c r="A651" s="550">
        <v>650</v>
      </c>
      <c r="B651" s="95">
        <v>45401</v>
      </c>
      <c r="C651" s="434"/>
      <c r="D651" s="488"/>
      <c r="E651" s="435"/>
      <c r="F651" s="434"/>
      <c r="G651" s="434"/>
      <c r="H651" s="434"/>
      <c r="I651" s="434"/>
      <c r="J651" s="434"/>
      <c r="K651" s="434"/>
      <c r="L651" s="434"/>
      <c r="M651" s="434"/>
      <c r="N651" s="557"/>
      <c r="O651" s="488">
        <f t="shared" si="12"/>
        <v>0</v>
      </c>
      <c r="P651" s="389"/>
      <c r="Q651" s="391"/>
      <c r="R651" s="391"/>
      <c r="S651" s="391"/>
      <c r="T651" s="391"/>
      <c r="U651" s="391"/>
    </row>
    <row r="652" spans="1:21" ht="35.1" customHeight="1" x14ac:dyDescent="0.25">
      <c r="A652" s="550">
        <v>651</v>
      </c>
      <c r="B652" s="95">
        <v>45402</v>
      </c>
      <c r="C652" s="434"/>
      <c r="D652" s="488"/>
      <c r="E652" s="435"/>
      <c r="F652" s="434"/>
      <c r="G652" s="434"/>
      <c r="H652" s="434"/>
      <c r="I652" s="434"/>
      <c r="J652" s="434"/>
      <c r="K652" s="434"/>
      <c r="L652" s="434"/>
      <c r="M652" s="434"/>
      <c r="N652" s="557"/>
      <c r="O652" s="488">
        <f t="shared" si="12"/>
        <v>0</v>
      </c>
      <c r="P652" s="389"/>
      <c r="Q652" s="391"/>
      <c r="R652" s="391"/>
      <c r="S652" s="391"/>
      <c r="T652" s="391"/>
      <c r="U652" s="391"/>
    </row>
    <row r="653" spans="1:21" ht="35.1" customHeight="1" x14ac:dyDescent="0.25">
      <c r="A653" s="550">
        <v>652</v>
      </c>
      <c r="B653" s="95">
        <v>45403</v>
      </c>
      <c r="C653" s="434"/>
      <c r="D653" s="488"/>
      <c r="E653" s="435"/>
      <c r="F653" s="434"/>
      <c r="G653" s="434"/>
      <c r="H653" s="434"/>
      <c r="I653" s="434"/>
      <c r="J653" s="434"/>
      <c r="K653" s="434"/>
      <c r="L653" s="434"/>
      <c r="M653" s="434"/>
      <c r="N653" s="557"/>
      <c r="O653" s="488">
        <f t="shared" si="12"/>
        <v>0</v>
      </c>
      <c r="P653" s="389"/>
      <c r="Q653" s="391"/>
      <c r="R653" s="391"/>
      <c r="S653" s="391"/>
      <c r="T653" s="391"/>
      <c r="U653" s="391"/>
    </row>
    <row r="654" spans="1:21" ht="35.1" customHeight="1" x14ac:dyDescent="0.25">
      <c r="A654" s="550">
        <v>653</v>
      </c>
      <c r="B654" s="95">
        <v>45404</v>
      </c>
      <c r="C654" s="434"/>
      <c r="D654" s="488"/>
      <c r="E654" s="435"/>
      <c r="F654" s="434"/>
      <c r="G654" s="434"/>
      <c r="H654" s="434"/>
      <c r="I654" s="434"/>
      <c r="J654" s="434"/>
      <c r="K654" s="434"/>
      <c r="L654" s="434"/>
      <c r="M654" s="434"/>
      <c r="N654" s="557"/>
      <c r="O654" s="488">
        <f t="shared" si="12"/>
        <v>0</v>
      </c>
      <c r="P654" s="389"/>
      <c r="Q654" s="391"/>
      <c r="R654" s="391"/>
      <c r="S654" s="391"/>
      <c r="T654" s="391"/>
      <c r="U654" s="391"/>
    </row>
    <row r="655" spans="1:21" ht="35.1" customHeight="1" x14ac:dyDescent="0.25">
      <c r="A655" s="550">
        <v>654</v>
      </c>
      <c r="B655" s="95">
        <v>45405</v>
      </c>
      <c r="C655" s="434"/>
      <c r="D655" s="488"/>
      <c r="E655" s="435"/>
      <c r="F655" s="434"/>
      <c r="G655" s="434"/>
      <c r="H655" s="434"/>
      <c r="I655" s="434"/>
      <c r="J655" s="434"/>
      <c r="K655" s="434"/>
      <c r="L655" s="434"/>
      <c r="M655" s="434"/>
      <c r="N655" s="557"/>
      <c r="O655" s="488">
        <f t="shared" si="12"/>
        <v>0</v>
      </c>
      <c r="P655" s="389"/>
      <c r="Q655" s="391"/>
      <c r="R655" s="391"/>
      <c r="S655" s="391"/>
      <c r="T655" s="391"/>
      <c r="U655" s="391"/>
    </row>
    <row r="656" spans="1:21" ht="35.1" customHeight="1" x14ac:dyDescent="0.25">
      <c r="A656" s="550">
        <v>655</v>
      </c>
      <c r="B656" s="95">
        <v>45406</v>
      </c>
      <c r="C656" s="434"/>
      <c r="D656" s="488"/>
      <c r="E656" s="435"/>
      <c r="F656" s="434"/>
      <c r="G656" s="434"/>
      <c r="H656" s="434"/>
      <c r="I656" s="434"/>
      <c r="J656" s="434"/>
      <c r="K656" s="434"/>
      <c r="L656" s="434"/>
      <c r="M656" s="434"/>
      <c r="N656" s="557"/>
      <c r="O656" s="488">
        <f t="shared" si="12"/>
        <v>0</v>
      </c>
      <c r="P656" s="389"/>
      <c r="Q656" s="391"/>
      <c r="R656" s="391"/>
      <c r="S656" s="391"/>
      <c r="T656" s="391"/>
      <c r="U656" s="391"/>
    </row>
    <row r="657" spans="1:21" ht="35.1" customHeight="1" x14ac:dyDescent="0.25">
      <c r="A657" s="550">
        <v>656</v>
      </c>
      <c r="B657" s="95">
        <v>45407</v>
      </c>
      <c r="C657" s="434"/>
      <c r="D657" s="488"/>
      <c r="E657" s="435"/>
      <c r="F657" s="434"/>
      <c r="G657" s="434"/>
      <c r="H657" s="434"/>
      <c r="I657" s="434"/>
      <c r="J657" s="434"/>
      <c r="K657" s="434"/>
      <c r="L657" s="434"/>
      <c r="M657" s="434"/>
      <c r="N657" s="557"/>
      <c r="O657" s="488">
        <f t="shared" si="12"/>
        <v>0</v>
      </c>
      <c r="P657" s="389"/>
      <c r="Q657" s="391"/>
      <c r="R657" s="391"/>
      <c r="S657" s="391"/>
      <c r="T657" s="391"/>
      <c r="U657" s="391"/>
    </row>
    <row r="658" spans="1:21" ht="35.1" customHeight="1" x14ac:dyDescent="0.25">
      <c r="A658" s="550">
        <v>657</v>
      </c>
      <c r="B658" s="95">
        <v>45408</v>
      </c>
      <c r="C658" s="434"/>
      <c r="D658" s="488"/>
      <c r="E658" s="435"/>
      <c r="F658" s="434"/>
      <c r="G658" s="434"/>
      <c r="H658" s="434"/>
      <c r="I658" s="434"/>
      <c r="J658" s="434"/>
      <c r="K658" s="434"/>
      <c r="L658" s="434"/>
      <c r="M658" s="434"/>
      <c r="N658" s="557"/>
      <c r="O658" s="488">
        <f t="shared" si="12"/>
        <v>0</v>
      </c>
      <c r="P658" s="389"/>
      <c r="Q658" s="391"/>
      <c r="R658" s="391"/>
      <c r="S658" s="391"/>
      <c r="T658" s="391"/>
      <c r="U658" s="391"/>
    </row>
    <row r="659" spans="1:21" ht="35.1" customHeight="1" x14ac:dyDescent="0.25">
      <c r="A659" s="550">
        <v>658</v>
      </c>
      <c r="B659" s="95">
        <v>45409</v>
      </c>
      <c r="C659" s="434"/>
      <c r="D659" s="488"/>
      <c r="E659" s="435"/>
      <c r="F659" s="434"/>
      <c r="G659" s="434"/>
      <c r="H659" s="434"/>
      <c r="I659" s="434"/>
      <c r="J659" s="434"/>
      <c r="K659" s="434"/>
      <c r="L659" s="434"/>
      <c r="M659" s="434"/>
      <c r="N659" s="557"/>
      <c r="O659" s="488">
        <f t="shared" si="12"/>
        <v>0</v>
      </c>
      <c r="P659" s="389"/>
      <c r="Q659" s="391"/>
      <c r="R659" s="391"/>
      <c r="S659" s="391"/>
      <c r="T659" s="391"/>
      <c r="U659" s="391"/>
    </row>
    <row r="660" spans="1:21" ht="35.1" customHeight="1" x14ac:dyDescent="0.25">
      <c r="A660" s="550">
        <v>659</v>
      </c>
      <c r="B660" s="95">
        <v>45410</v>
      </c>
      <c r="C660" s="434"/>
      <c r="D660" s="488"/>
      <c r="E660" s="435"/>
      <c r="F660" s="434"/>
      <c r="G660" s="434"/>
      <c r="H660" s="434"/>
      <c r="I660" s="434"/>
      <c r="J660" s="434"/>
      <c r="K660" s="434"/>
      <c r="L660" s="434"/>
      <c r="M660" s="434"/>
      <c r="N660" s="557"/>
      <c r="O660" s="488">
        <f t="shared" si="12"/>
        <v>0</v>
      </c>
      <c r="P660" s="389"/>
      <c r="Q660" s="391"/>
      <c r="R660" s="391"/>
      <c r="S660" s="391"/>
      <c r="T660" s="391"/>
      <c r="U660" s="391"/>
    </row>
    <row r="661" spans="1:21" ht="35.1" customHeight="1" x14ac:dyDescent="0.25">
      <c r="A661" s="550">
        <v>660</v>
      </c>
      <c r="B661" s="95">
        <v>45411</v>
      </c>
      <c r="C661" s="434"/>
      <c r="D661" s="488"/>
      <c r="E661" s="435"/>
      <c r="F661" s="434"/>
      <c r="G661" s="434"/>
      <c r="H661" s="434"/>
      <c r="I661" s="434"/>
      <c r="J661" s="434"/>
      <c r="K661" s="434"/>
      <c r="L661" s="434"/>
      <c r="M661" s="434"/>
      <c r="N661" s="557"/>
      <c r="O661" s="488">
        <f t="shared" si="12"/>
        <v>0</v>
      </c>
      <c r="P661" s="389"/>
      <c r="Q661" s="391"/>
      <c r="R661" s="391"/>
      <c r="S661" s="391"/>
      <c r="T661" s="391"/>
      <c r="U661" s="391"/>
    </row>
    <row r="662" spans="1:21" ht="35.1" customHeight="1" x14ac:dyDescent="0.25">
      <c r="A662" s="550">
        <v>661</v>
      </c>
      <c r="B662" s="95">
        <v>45412</v>
      </c>
      <c r="C662" s="434"/>
      <c r="D662" s="488"/>
      <c r="E662" s="435"/>
      <c r="F662" s="434"/>
      <c r="G662" s="434"/>
      <c r="H662" s="434"/>
      <c r="I662" s="434"/>
      <c r="J662" s="434"/>
      <c r="K662" s="434"/>
      <c r="L662" s="434"/>
      <c r="M662" s="434"/>
      <c r="N662" s="557"/>
      <c r="O662" s="488">
        <f t="shared" si="12"/>
        <v>0</v>
      </c>
      <c r="P662" s="389"/>
      <c r="Q662" s="391"/>
      <c r="R662" s="391"/>
      <c r="S662" s="391"/>
      <c r="T662" s="391"/>
      <c r="U662" s="391"/>
    </row>
    <row r="663" spans="1:21" ht="35.1" customHeight="1" x14ac:dyDescent="0.25">
      <c r="A663" s="550">
        <v>662</v>
      </c>
      <c r="B663" s="95">
        <v>45413</v>
      </c>
      <c r="C663" s="434"/>
      <c r="D663" s="488"/>
      <c r="E663" s="435"/>
      <c r="F663" s="434"/>
      <c r="G663" s="434"/>
      <c r="H663" s="434"/>
      <c r="I663" s="434"/>
      <c r="J663" s="434"/>
      <c r="K663" s="434"/>
      <c r="L663" s="434"/>
      <c r="M663" s="434"/>
      <c r="N663" s="557"/>
      <c r="O663" s="488">
        <f t="shared" si="12"/>
        <v>0</v>
      </c>
      <c r="P663" s="389"/>
      <c r="Q663" s="391"/>
      <c r="R663" s="391"/>
      <c r="S663" s="391"/>
      <c r="T663" s="391"/>
      <c r="U663" s="391"/>
    </row>
    <row r="664" spans="1:21" ht="35.1" customHeight="1" x14ac:dyDescent="0.25">
      <c r="A664" s="550">
        <v>663</v>
      </c>
      <c r="B664" s="95">
        <v>45414</v>
      </c>
      <c r="C664" s="434"/>
      <c r="D664" s="488"/>
      <c r="E664" s="435"/>
      <c r="F664" s="434"/>
      <c r="G664" s="434"/>
      <c r="H664" s="434"/>
      <c r="I664" s="434"/>
      <c r="J664" s="434"/>
      <c r="K664" s="434"/>
      <c r="L664" s="434"/>
      <c r="M664" s="434"/>
      <c r="N664" s="557"/>
      <c r="O664" s="488">
        <f t="shared" si="12"/>
        <v>0</v>
      </c>
      <c r="P664" s="389"/>
      <c r="Q664" s="391"/>
      <c r="R664" s="391"/>
      <c r="S664" s="391"/>
      <c r="T664" s="391"/>
      <c r="U664" s="391"/>
    </row>
    <row r="665" spans="1:21" ht="35.1" customHeight="1" x14ac:dyDescent="0.25">
      <c r="A665" s="550">
        <v>664</v>
      </c>
      <c r="B665" s="95">
        <v>45415</v>
      </c>
      <c r="C665" s="434"/>
      <c r="D665" s="488"/>
      <c r="E665" s="435"/>
      <c r="F665" s="434"/>
      <c r="G665" s="434"/>
      <c r="H665" s="434"/>
      <c r="I665" s="434"/>
      <c r="J665" s="434"/>
      <c r="K665" s="434"/>
      <c r="L665" s="434"/>
      <c r="M665" s="434"/>
      <c r="N665" s="557"/>
      <c r="O665" s="488">
        <f t="shared" si="12"/>
        <v>0</v>
      </c>
      <c r="P665" s="389"/>
      <c r="Q665" s="391"/>
      <c r="R665" s="391"/>
      <c r="S665" s="391"/>
      <c r="T665" s="391"/>
      <c r="U665" s="391"/>
    </row>
    <row r="666" spans="1:21" ht="35.1" customHeight="1" x14ac:dyDescent="0.25">
      <c r="A666" s="550">
        <v>665</v>
      </c>
      <c r="B666" s="95">
        <v>45416</v>
      </c>
      <c r="C666" s="434"/>
      <c r="D666" s="488"/>
      <c r="E666" s="435"/>
      <c r="F666" s="434"/>
      <c r="G666" s="434"/>
      <c r="H666" s="434"/>
      <c r="I666" s="434"/>
      <c r="J666" s="434"/>
      <c r="K666" s="434"/>
      <c r="L666" s="434"/>
      <c r="M666" s="434"/>
      <c r="N666" s="557"/>
      <c r="O666" s="488">
        <f t="shared" si="12"/>
        <v>0</v>
      </c>
      <c r="P666" s="389"/>
      <c r="Q666" s="391"/>
      <c r="R666" s="391"/>
      <c r="S666" s="391"/>
      <c r="T666" s="391"/>
      <c r="U666" s="391"/>
    </row>
    <row r="667" spans="1:21" ht="35.1" customHeight="1" x14ac:dyDescent="0.25">
      <c r="A667" s="550">
        <v>666</v>
      </c>
      <c r="B667" s="95">
        <v>45417</v>
      </c>
      <c r="C667" s="434"/>
      <c r="D667" s="488"/>
      <c r="E667" s="435"/>
      <c r="F667" s="434"/>
      <c r="G667" s="434"/>
      <c r="H667" s="434"/>
      <c r="I667" s="434"/>
      <c r="J667" s="434"/>
      <c r="K667" s="434"/>
      <c r="L667" s="434"/>
      <c r="M667" s="434"/>
      <c r="N667" s="557"/>
      <c r="O667" s="488">
        <f t="shared" si="12"/>
        <v>0</v>
      </c>
      <c r="P667" s="389"/>
      <c r="Q667" s="391"/>
      <c r="R667" s="391"/>
      <c r="S667" s="391"/>
      <c r="T667" s="391"/>
      <c r="U667" s="391"/>
    </row>
    <row r="668" spans="1:21" ht="35.1" customHeight="1" x14ac:dyDescent="0.25">
      <c r="A668" s="550">
        <v>667</v>
      </c>
      <c r="B668" s="95">
        <v>45418</v>
      </c>
      <c r="C668" s="434"/>
      <c r="D668" s="488"/>
      <c r="E668" s="435"/>
      <c r="F668" s="434"/>
      <c r="G668" s="434"/>
      <c r="H668" s="434"/>
      <c r="I668" s="434"/>
      <c r="J668" s="434"/>
      <c r="K668" s="434"/>
      <c r="L668" s="434"/>
      <c r="M668" s="434"/>
      <c r="N668" s="557"/>
      <c r="O668" s="488">
        <f t="shared" si="12"/>
        <v>0</v>
      </c>
      <c r="P668" s="389"/>
      <c r="Q668" s="391"/>
      <c r="R668" s="391"/>
      <c r="S668" s="391"/>
      <c r="T668" s="391"/>
      <c r="U668" s="391"/>
    </row>
    <row r="669" spans="1:21" ht="35.1" customHeight="1" x14ac:dyDescent="0.25">
      <c r="A669" s="550">
        <v>668</v>
      </c>
      <c r="B669" s="95">
        <v>45419</v>
      </c>
      <c r="C669" s="434"/>
      <c r="D669" s="488"/>
      <c r="E669" s="435"/>
      <c r="F669" s="434"/>
      <c r="G669" s="434"/>
      <c r="H669" s="434"/>
      <c r="I669" s="434"/>
      <c r="J669" s="434"/>
      <c r="K669" s="434"/>
      <c r="L669" s="434"/>
      <c r="M669" s="434"/>
      <c r="N669" s="557"/>
      <c r="O669" s="488">
        <f t="shared" si="12"/>
        <v>0</v>
      </c>
      <c r="P669" s="389"/>
      <c r="Q669" s="391"/>
      <c r="R669" s="391"/>
      <c r="S669" s="391"/>
      <c r="T669" s="391"/>
      <c r="U669" s="391"/>
    </row>
    <row r="670" spans="1:21" ht="35.1" customHeight="1" x14ac:dyDescent="0.25">
      <c r="A670" s="550">
        <v>669</v>
      </c>
      <c r="B670" s="95">
        <v>45420</v>
      </c>
      <c r="C670" s="434"/>
      <c r="D670" s="488"/>
      <c r="E670" s="435"/>
      <c r="F670" s="434"/>
      <c r="G670" s="434"/>
      <c r="H670" s="434"/>
      <c r="I670" s="434"/>
      <c r="J670" s="434"/>
      <c r="K670" s="434"/>
      <c r="L670" s="434"/>
      <c r="M670" s="434"/>
      <c r="N670" s="557"/>
      <c r="O670" s="488">
        <f t="shared" si="12"/>
        <v>0</v>
      </c>
      <c r="P670" s="389"/>
      <c r="Q670" s="391"/>
      <c r="R670" s="391"/>
      <c r="S670" s="391"/>
      <c r="T670" s="391"/>
      <c r="U670" s="391"/>
    </row>
    <row r="671" spans="1:21" ht="35.1" customHeight="1" x14ac:dyDescent="0.25">
      <c r="A671" s="550">
        <v>670</v>
      </c>
      <c r="B671" s="95">
        <v>45421</v>
      </c>
      <c r="C671" s="434"/>
      <c r="D671" s="488"/>
      <c r="E671" s="435"/>
      <c r="F671" s="434"/>
      <c r="G671" s="434"/>
      <c r="H671" s="434"/>
      <c r="I671" s="434"/>
      <c r="J671" s="434"/>
      <c r="K671" s="434"/>
      <c r="L671" s="434"/>
      <c r="M671" s="434"/>
      <c r="N671" s="557"/>
      <c r="O671" s="488">
        <f t="shared" si="12"/>
        <v>0</v>
      </c>
      <c r="P671" s="389"/>
      <c r="Q671" s="391"/>
      <c r="R671" s="391"/>
      <c r="S671" s="391"/>
      <c r="T671" s="391"/>
      <c r="U671" s="391"/>
    </row>
    <row r="672" spans="1:21" ht="35.1" customHeight="1" x14ac:dyDescent="0.25">
      <c r="A672" s="550">
        <v>671</v>
      </c>
      <c r="B672" s="95">
        <v>45422</v>
      </c>
      <c r="C672" s="434"/>
      <c r="D672" s="488"/>
      <c r="E672" s="435"/>
      <c r="F672" s="434"/>
      <c r="G672" s="434"/>
      <c r="H672" s="434"/>
      <c r="I672" s="434"/>
      <c r="J672" s="434"/>
      <c r="K672" s="434"/>
      <c r="L672" s="434"/>
      <c r="M672" s="434"/>
      <c r="N672" s="557"/>
      <c r="O672" s="488">
        <f t="shared" si="12"/>
        <v>0</v>
      </c>
      <c r="P672" s="389"/>
      <c r="Q672" s="391"/>
      <c r="R672" s="391"/>
      <c r="S672" s="391"/>
      <c r="T672" s="391"/>
      <c r="U672" s="391"/>
    </row>
    <row r="673" spans="1:21" ht="35.1" customHeight="1" x14ac:dyDescent="0.25">
      <c r="A673" s="550">
        <v>672</v>
      </c>
      <c r="B673" s="95">
        <v>45423</v>
      </c>
      <c r="C673" s="434"/>
      <c r="D673" s="488"/>
      <c r="E673" s="435"/>
      <c r="F673" s="434"/>
      <c r="G673" s="434"/>
      <c r="H673" s="434"/>
      <c r="I673" s="434"/>
      <c r="J673" s="434"/>
      <c r="K673" s="434"/>
      <c r="L673" s="434"/>
      <c r="M673" s="434"/>
      <c r="N673" s="557"/>
      <c r="O673" s="488">
        <f t="shared" si="12"/>
        <v>0</v>
      </c>
      <c r="P673" s="389"/>
      <c r="Q673" s="391"/>
      <c r="R673" s="391"/>
      <c r="S673" s="391"/>
      <c r="T673" s="391"/>
      <c r="U673" s="391"/>
    </row>
    <row r="674" spans="1:21" ht="35.1" customHeight="1" x14ac:dyDescent="0.25">
      <c r="A674" s="550">
        <v>673</v>
      </c>
      <c r="B674" s="95">
        <v>45424</v>
      </c>
      <c r="C674" s="434"/>
      <c r="D674" s="488"/>
      <c r="E674" s="435"/>
      <c r="F674" s="434"/>
      <c r="G674" s="434"/>
      <c r="H674" s="434"/>
      <c r="I674" s="434"/>
      <c r="J674" s="434"/>
      <c r="K674" s="434"/>
      <c r="L674" s="434"/>
      <c r="M674" s="434"/>
      <c r="N674" s="557"/>
      <c r="O674" s="488">
        <f t="shared" si="12"/>
        <v>0</v>
      </c>
      <c r="P674" s="389"/>
      <c r="Q674" s="391"/>
      <c r="R674" s="391"/>
      <c r="S674" s="391"/>
      <c r="T674" s="391"/>
      <c r="U674" s="391"/>
    </row>
    <row r="675" spans="1:21" ht="35.1" customHeight="1" x14ac:dyDescent="0.25">
      <c r="A675" s="550">
        <v>674</v>
      </c>
      <c r="B675" s="95">
        <v>45425</v>
      </c>
      <c r="C675" s="434"/>
      <c r="D675" s="488"/>
      <c r="E675" s="435"/>
      <c r="F675" s="434"/>
      <c r="G675" s="434"/>
      <c r="H675" s="434"/>
      <c r="I675" s="434"/>
      <c r="J675" s="434"/>
      <c r="K675" s="434"/>
      <c r="L675" s="434"/>
      <c r="M675" s="434"/>
      <c r="N675" s="557"/>
      <c r="O675" s="488">
        <f t="shared" si="12"/>
        <v>0</v>
      </c>
      <c r="P675" s="389"/>
      <c r="Q675" s="391"/>
      <c r="R675" s="391"/>
      <c r="S675" s="391"/>
      <c r="T675" s="391"/>
      <c r="U675" s="391"/>
    </row>
    <row r="676" spans="1:21" ht="35.1" customHeight="1" x14ac:dyDescent="0.25">
      <c r="A676" s="550">
        <v>675</v>
      </c>
      <c r="B676" s="95">
        <v>45426</v>
      </c>
      <c r="C676" s="434"/>
      <c r="D676" s="488"/>
      <c r="E676" s="435"/>
      <c r="F676" s="434"/>
      <c r="G676" s="434"/>
      <c r="H676" s="434"/>
      <c r="I676" s="434"/>
      <c r="J676" s="434"/>
      <c r="K676" s="434"/>
      <c r="L676" s="434"/>
      <c r="M676" s="434"/>
      <c r="N676" s="557"/>
      <c r="O676" s="488">
        <f t="shared" si="12"/>
        <v>0</v>
      </c>
      <c r="P676" s="389"/>
      <c r="Q676" s="391"/>
      <c r="R676" s="391"/>
      <c r="S676" s="391"/>
      <c r="T676" s="391"/>
      <c r="U676" s="391"/>
    </row>
    <row r="677" spans="1:21" ht="35.1" customHeight="1" x14ac:dyDescent="0.25">
      <c r="A677" s="550">
        <v>676</v>
      </c>
      <c r="B677" s="95">
        <v>45427</v>
      </c>
      <c r="C677" s="434"/>
      <c r="D677" s="488"/>
      <c r="E677" s="435"/>
      <c r="F677" s="434"/>
      <c r="G677" s="434"/>
      <c r="H677" s="434"/>
      <c r="I677" s="434"/>
      <c r="J677" s="434"/>
      <c r="K677" s="434"/>
      <c r="L677" s="434"/>
      <c r="M677" s="434"/>
      <c r="N677" s="557"/>
      <c r="O677" s="488">
        <f t="shared" si="12"/>
        <v>0</v>
      </c>
      <c r="P677" s="389"/>
      <c r="Q677" s="391"/>
      <c r="R677" s="391"/>
      <c r="S677" s="391"/>
      <c r="T677" s="391"/>
      <c r="U677" s="391"/>
    </row>
    <row r="678" spans="1:21" ht="35.1" customHeight="1" x14ac:dyDescent="0.25">
      <c r="A678" s="550">
        <v>677</v>
      </c>
      <c r="B678" s="95">
        <v>45428</v>
      </c>
      <c r="C678" s="434"/>
      <c r="D678" s="488"/>
      <c r="E678" s="435"/>
      <c r="F678" s="434"/>
      <c r="G678" s="434"/>
      <c r="H678" s="434"/>
      <c r="I678" s="434"/>
      <c r="J678" s="434"/>
      <c r="K678" s="434"/>
      <c r="L678" s="434"/>
      <c r="M678" s="434"/>
      <c r="N678" s="557"/>
      <c r="O678" s="488">
        <f t="shared" si="12"/>
        <v>0</v>
      </c>
      <c r="P678" s="389"/>
      <c r="Q678" s="391"/>
      <c r="R678" s="391"/>
      <c r="S678" s="391"/>
      <c r="T678" s="391"/>
      <c r="U678" s="391"/>
    </row>
    <row r="679" spans="1:21" ht="35.1" customHeight="1" x14ac:dyDescent="0.25">
      <c r="A679" s="550">
        <v>678</v>
      </c>
      <c r="B679" s="95">
        <v>45429</v>
      </c>
      <c r="C679" s="434"/>
      <c r="D679" s="488"/>
      <c r="E679" s="435"/>
      <c r="F679" s="434"/>
      <c r="G679" s="434"/>
      <c r="H679" s="434"/>
      <c r="I679" s="434"/>
      <c r="J679" s="434"/>
      <c r="K679" s="434"/>
      <c r="L679" s="434"/>
      <c r="M679" s="434"/>
      <c r="N679" s="557"/>
      <c r="O679" s="488">
        <f t="shared" si="12"/>
        <v>0</v>
      </c>
      <c r="P679" s="389"/>
      <c r="Q679" s="391"/>
      <c r="R679" s="391"/>
      <c r="S679" s="391"/>
      <c r="T679" s="391"/>
      <c r="U679" s="391"/>
    </row>
    <row r="680" spans="1:21" ht="35.1" customHeight="1" x14ac:dyDescent="0.25">
      <c r="A680" s="550">
        <v>679</v>
      </c>
      <c r="B680" s="95">
        <v>45430</v>
      </c>
      <c r="C680" s="434"/>
      <c r="D680" s="488"/>
      <c r="E680" s="435"/>
      <c r="F680" s="434"/>
      <c r="G680" s="434"/>
      <c r="H680" s="434"/>
      <c r="I680" s="434"/>
      <c r="J680" s="434"/>
      <c r="K680" s="434"/>
      <c r="L680" s="434"/>
      <c r="M680" s="434"/>
      <c r="N680" s="557"/>
      <c r="O680" s="488">
        <f t="shared" si="12"/>
        <v>0</v>
      </c>
      <c r="P680" s="389"/>
      <c r="Q680" s="391"/>
      <c r="R680" s="391"/>
      <c r="S680" s="391"/>
      <c r="T680" s="391"/>
      <c r="U680" s="391"/>
    </row>
    <row r="681" spans="1:21" ht="35.1" customHeight="1" x14ac:dyDescent="0.25">
      <c r="A681" s="550">
        <v>680</v>
      </c>
      <c r="B681" s="95">
        <v>45431</v>
      </c>
      <c r="C681" s="434"/>
      <c r="D681" s="488"/>
      <c r="E681" s="435"/>
      <c r="F681" s="434"/>
      <c r="G681" s="434"/>
      <c r="H681" s="434"/>
      <c r="I681" s="434"/>
      <c r="J681" s="434"/>
      <c r="K681" s="434"/>
      <c r="L681" s="434"/>
      <c r="M681" s="434"/>
      <c r="N681" s="557"/>
      <c r="O681" s="488">
        <f t="shared" si="12"/>
        <v>0</v>
      </c>
      <c r="P681" s="389"/>
      <c r="Q681" s="391"/>
      <c r="R681" s="391"/>
      <c r="S681" s="391"/>
      <c r="T681" s="391"/>
      <c r="U681" s="391"/>
    </row>
    <row r="682" spans="1:21" ht="35.1" customHeight="1" x14ac:dyDescent="0.25">
      <c r="A682" s="550">
        <v>681</v>
      </c>
      <c r="B682" s="95">
        <v>45432</v>
      </c>
      <c r="C682" s="434"/>
      <c r="D682" s="488"/>
      <c r="E682" s="435"/>
      <c r="F682" s="434"/>
      <c r="G682" s="434"/>
      <c r="H682" s="434"/>
      <c r="I682" s="434"/>
      <c r="J682" s="434"/>
      <c r="K682" s="434"/>
      <c r="L682" s="434"/>
      <c r="M682" s="434"/>
      <c r="N682" s="557"/>
      <c r="O682" s="488">
        <f t="shared" si="12"/>
        <v>0</v>
      </c>
      <c r="P682" s="389"/>
      <c r="Q682" s="391"/>
      <c r="R682" s="391"/>
      <c r="S682" s="391"/>
      <c r="T682" s="391"/>
      <c r="U682" s="391"/>
    </row>
    <row r="683" spans="1:21" ht="35.1" customHeight="1" x14ac:dyDescent="0.25">
      <c r="A683" s="550">
        <v>682</v>
      </c>
      <c r="B683" s="95">
        <v>45433</v>
      </c>
      <c r="C683" s="434"/>
      <c r="D683" s="488"/>
      <c r="E683" s="435"/>
      <c r="F683" s="434"/>
      <c r="G683" s="434"/>
      <c r="H683" s="434"/>
      <c r="I683" s="434"/>
      <c r="J683" s="434"/>
      <c r="K683" s="434"/>
      <c r="L683" s="434"/>
      <c r="M683" s="434"/>
      <c r="N683" s="557"/>
      <c r="O683" s="488">
        <f t="shared" si="12"/>
        <v>0</v>
      </c>
      <c r="P683" s="389"/>
      <c r="Q683" s="391"/>
      <c r="R683" s="391"/>
      <c r="S683" s="391"/>
      <c r="T683" s="391"/>
      <c r="U683" s="391"/>
    </row>
    <row r="684" spans="1:21" ht="35.1" customHeight="1" x14ac:dyDescent="0.25">
      <c r="A684" s="550">
        <v>683</v>
      </c>
      <c r="B684" s="95">
        <v>45434</v>
      </c>
      <c r="C684" s="434"/>
      <c r="D684" s="488"/>
      <c r="E684" s="435"/>
      <c r="F684" s="434"/>
      <c r="G684" s="434"/>
      <c r="H684" s="434"/>
      <c r="I684" s="434"/>
      <c r="J684" s="434"/>
      <c r="K684" s="434"/>
      <c r="L684" s="434"/>
      <c r="M684" s="434"/>
      <c r="N684" s="557"/>
      <c r="O684" s="488">
        <f t="shared" si="12"/>
        <v>0</v>
      </c>
      <c r="P684" s="389"/>
      <c r="Q684" s="391"/>
      <c r="R684" s="391"/>
      <c r="S684" s="391"/>
      <c r="T684" s="391"/>
      <c r="U684" s="391"/>
    </row>
    <row r="685" spans="1:21" ht="35.1" customHeight="1" x14ac:dyDescent="0.25">
      <c r="A685" s="550">
        <v>684</v>
      </c>
      <c r="B685" s="95">
        <v>45435</v>
      </c>
      <c r="C685" s="434"/>
      <c r="D685" s="488"/>
      <c r="E685" s="435"/>
      <c r="F685" s="434"/>
      <c r="G685" s="434"/>
      <c r="H685" s="434"/>
      <c r="I685" s="434"/>
      <c r="J685" s="434"/>
      <c r="K685" s="434"/>
      <c r="L685" s="434"/>
      <c r="M685" s="434"/>
      <c r="N685" s="557"/>
      <c r="O685" s="488">
        <f t="shared" si="12"/>
        <v>0</v>
      </c>
      <c r="P685" s="389"/>
      <c r="Q685" s="391"/>
      <c r="R685" s="391"/>
      <c r="S685" s="391"/>
      <c r="T685" s="391"/>
      <c r="U685" s="391"/>
    </row>
    <row r="686" spans="1:21" ht="35.1" customHeight="1" x14ac:dyDescent="0.25">
      <c r="A686" s="550">
        <v>685</v>
      </c>
      <c r="B686" s="95">
        <v>45436</v>
      </c>
      <c r="C686" s="434"/>
      <c r="D686" s="488"/>
      <c r="E686" s="435"/>
      <c r="F686" s="434"/>
      <c r="G686" s="434"/>
      <c r="H686" s="434"/>
      <c r="I686" s="434"/>
      <c r="J686" s="434"/>
      <c r="K686" s="434"/>
      <c r="L686" s="434"/>
      <c r="M686" s="434"/>
      <c r="N686" s="557"/>
      <c r="O686" s="488">
        <f t="shared" si="12"/>
        <v>0</v>
      </c>
      <c r="P686" s="389"/>
      <c r="Q686" s="391"/>
      <c r="R686" s="391"/>
      <c r="S686" s="391"/>
      <c r="T686" s="391"/>
      <c r="U686" s="391"/>
    </row>
    <row r="687" spans="1:21" ht="35.1" customHeight="1" x14ac:dyDescent="0.25">
      <c r="A687" s="550">
        <v>686</v>
      </c>
      <c r="B687" s="95">
        <v>45437</v>
      </c>
      <c r="C687" s="434"/>
      <c r="D687" s="488"/>
      <c r="E687" s="435"/>
      <c r="F687" s="434"/>
      <c r="G687" s="434"/>
      <c r="H687" s="434"/>
      <c r="I687" s="434"/>
      <c r="J687" s="434"/>
      <c r="K687" s="434"/>
      <c r="L687" s="434"/>
      <c r="M687" s="434"/>
      <c r="N687" s="557"/>
      <c r="O687" s="488">
        <f t="shared" si="12"/>
        <v>0</v>
      </c>
      <c r="P687" s="389"/>
      <c r="Q687" s="391"/>
      <c r="R687" s="391"/>
      <c r="S687" s="391"/>
      <c r="T687" s="391"/>
      <c r="U687" s="391"/>
    </row>
    <row r="688" spans="1:21" ht="35.1" customHeight="1" x14ac:dyDescent="0.25">
      <c r="A688" s="550">
        <v>687</v>
      </c>
      <c r="B688" s="95">
        <v>45438</v>
      </c>
      <c r="C688" s="434"/>
      <c r="D688" s="488"/>
      <c r="E688" s="435"/>
      <c r="F688" s="434"/>
      <c r="G688" s="434"/>
      <c r="H688" s="434"/>
      <c r="I688" s="434"/>
      <c r="J688" s="434"/>
      <c r="K688" s="434"/>
      <c r="L688" s="434"/>
      <c r="M688" s="434"/>
      <c r="N688" s="557"/>
      <c r="O688" s="488">
        <f t="shared" si="12"/>
        <v>0</v>
      </c>
      <c r="P688" s="389"/>
      <c r="Q688" s="391"/>
      <c r="R688" s="391"/>
      <c r="S688" s="391"/>
      <c r="T688" s="391"/>
      <c r="U688" s="391"/>
    </row>
    <row r="689" spans="1:21" ht="35.1" customHeight="1" x14ac:dyDescent="0.25">
      <c r="A689" s="550">
        <v>688</v>
      </c>
      <c r="B689" s="95">
        <v>45439</v>
      </c>
      <c r="C689" s="434"/>
      <c r="D689" s="488"/>
      <c r="E689" s="435"/>
      <c r="F689" s="434"/>
      <c r="G689" s="434"/>
      <c r="H689" s="434"/>
      <c r="I689" s="434"/>
      <c r="J689" s="434"/>
      <c r="K689" s="434"/>
      <c r="L689" s="434"/>
      <c r="M689" s="434"/>
      <c r="N689" s="557"/>
      <c r="O689" s="488">
        <f t="shared" si="12"/>
        <v>0</v>
      </c>
      <c r="P689" s="389"/>
      <c r="Q689" s="391"/>
      <c r="R689" s="391"/>
      <c r="S689" s="391"/>
      <c r="T689" s="391"/>
      <c r="U689" s="391"/>
    </row>
    <row r="690" spans="1:21" ht="35.1" customHeight="1" x14ac:dyDescent="0.25">
      <c r="A690" s="550">
        <v>689</v>
      </c>
      <c r="B690" s="95">
        <v>45440</v>
      </c>
      <c r="C690" s="434"/>
      <c r="D690" s="488"/>
      <c r="E690" s="435"/>
      <c r="F690" s="434"/>
      <c r="G690" s="434"/>
      <c r="H690" s="434"/>
      <c r="I690" s="434"/>
      <c r="J690" s="434"/>
      <c r="K690" s="434"/>
      <c r="L690" s="434"/>
      <c r="M690" s="434"/>
      <c r="N690" s="557"/>
      <c r="O690" s="488">
        <f t="shared" si="12"/>
        <v>0</v>
      </c>
      <c r="P690" s="389"/>
      <c r="Q690" s="391"/>
      <c r="R690" s="391"/>
      <c r="S690" s="391"/>
      <c r="T690" s="391"/>
      <c r="U690" s="391"/>
    </row>
    <row r="691" spans="1:21" ht="35.1" customHeight="1" x14ac:dyDescent="0.25">
      <c r="A691" s="550">
        <v>690</v>
      </c>
      <c r="B691" s="95">
        <v>45441</v>
      </c>
      <c r="C691" s="434"/>
      <c r="D691" s="488"/>
      <c r="E691" s="435"/>
      <c r="F691" s="434"/>
      <c r="G691" s="434"/>
      <c r="H691" s="434"/>
      <c r="I691" s="434"/>
      <c r="J691" s="434"/>
      <c r="K691" s="434"/>
      <c r="L691" s="434"/>
      <c r="M691" s="434"/>
      <c r="N691" s="557"/>
      <c r="O691" s="488">
        <f t="shared" si="12"/>
        <v>0</v>
      </c>
      <c r="P691" s="389"/>
      <c r="Q691" s="391"/>
      <c r="R691" s="391"/>
      <c r="S691" s="391"/>
      <c r="T691" s="391"/>
      <c r="U691" s="391"/>
    </row>
    <row r="692" spans="1:21" ht="35.1" customHeight="1" x14ac:dyDescent="0.25">
      <c r="A692" s="550">
        <v>691</v>
      </c>
      <c r="B692" s="95">
        <v>45442</v>
      </c>
      <c r="C692" s="434"/>
      <c r="D692" s="488"/>
      <c r="E692" s="435"/>
      <c r="F692" s="434"/>
      <c r="G692" s="434"/>
      <c r="H692" s="434"/>
      <c r="I692" s="434"/>
      <c r="J692" s="434"/>
      <c r="K692" s="434"/>
      <c r="L692" s="434"/>
      <c r="M692" s="434"/>
      <c r="N692" s="557"/>
      <c r="O692" s="488">
        <f t="shared" si="12"/>
        <v>0</v>
      </c>
      <c r="P692" s="389"/>
      <c r="Q692" s="391"/>
      <c r="R692" s="391"/>
      <c r="S692" s="391"/>
      <c r="T692" s="391"/>
      <c r="U692" s="391"/>
    </row>
    <row r="693" spans="1:21" ht="35.1" customHeight="1" x14ac:dyDescent="0.25">
      <c r="A693" s="550">
        <v>692</v>
      </c>
      <c r="B693" s="95">
        <v>45443</v>
      </c>
      <c r="C693" s="434"/>
      <c r="D693" s="488"/>
      <c r="E693" s="435"/>
      <c r="F693" s="434"/>
      <c r="G693" s="434"/>
      <c r="H693" s="434"/>
      <c r="I693" s="434"/>
      <c r="J693" s="434"/>
      <c r="K693" s="434"/>
      <c r="L693" s="434"/>
      <c r="M693" s="434"/>
      <c r="N693" s="557"/>
      <c r="O693" s="488">
        <f t="shared" si="12"/>
        <v>0</v>
      </c>
      <c r="P693" s="389"/>
      <c r="Q693" s="391"/>
      <c r="R693" s="391"/>
      <c r="S693" s="391"/>
      <c r="T693" s="391"/>
      <c r="U693" s="391"/>
    </row>
    <row r="694" spans="1:21" ht="35.1" customHeight="1" x14ac:dyDescent="0.25">
      <c r="A694" s="550">
        <v>693</v>
      </c>
      <c r="B694" s="95">
        <v>45444</v>
      </c>
      <c r="C694" s="434"/>
      <c r="D694" s="488"/>
      <c r="E694" s="435"/>
      <c r="F694" s="434"/>
      <c r="G694" s="434"/>
      <c r="H694" s="434"/>
      <c r="I694" s="434"/>
      <c r="J694" s="434"/>
      <c r="K694" s="434"/>
      <c r="L694" s="434"/>
      <c r="M694" s="434"/>
      <c r="N694" s="557"/>
      <c r="O694" s="488">
        <f t="shared" si="12"/>
        <v>0</v>
      </c>
      <c r="P694" s="389"/>
      <c r="Q694" s="391"/>
      <c r="R694" s="391"/>
      <c r="S694" s="391"/>
      <c r="T694" s="391"/>
      <c r="U694" s="391"/>
    </row>
    <row r="695" spans="1:21" ht="35.1" customHeight="1" x14ac:dyDescent="0.25">
      <c r="A695" s="550">
        <v>694</v>
      </c>
      <c r="B695" s="95">
        <v>45445</v>
      </c>
      <c r="C695" s="434"/>
      <c r="D695" s="488"/>
      <c r="E695" s="435"/>
      <c r="F695" s="434"/>
      <c r="G695" s="434"/>
      <c r="H695" s="434"/>
      <c r="I695" s="434"/>
      <c r="J695" s="434"/>
      <c r="K695" s="434"/>
      <c r="L695" s="434"/>
      <c r="M695" s="434"/>
      <c r="N695" s="557"/>
      <c r="O695" s="488">
        <f t="shared" si="12"/>
        <v>0</v>
      </c>
      <c r="P695" s="389"/>
      <c r="Q695" s="391"/>
      <c r="R695" s="391"/>
      <c r="S695" s="391"/>
      <c r="T695" s="391"/>
      <c r="U695" s="391"/>
    </row>
    <row r="696" spans="1:21" ht="35.1" customHeight="1" x14ac:dyDescent="0.25">
      <c r="A696" s="550">
        <v>695</v>
      </c>
      <c r="B696" s="95">
        <v>45446</v>
      </c>
      <c r="C696" s="434"/>
      <c r="D696" s="488"/>
      <c r="E696" s="435"/>
      <c r="F696" s="434"/>
      <c r="G696" s="434"/>
      <c r="H696" s="434"/>
      <c r="I696" s="434"/>
      <c r="J696" s="434"/>
      <c r="K696" s="434"/>
      <c r="L696" s="434"/>
      <c r="M696" s="434"/>
      <c r="N696" s="557"/>
      <c r="O696" s="488">
        <f t="shared" si="12"/>
        <v>0</v>
      </c>
      <c r="P696" s="389"/>
      <c r="Q696" s="391"/>
      <c r="R696" s="391"/>
      <c r="S696" s="391"/>
      <c r="T696" s="391"/>
      <c r="U696" s="391"/>
    </row>
    <row r="697" spans="1:21" ht="35.1" customHeight="1" x14ac:dyDescent="0.25">
      <c r="A697" s="550">
        <v>696</v>
      </c>
      <c r="B697" s="95">
        <v>45447</v>
      </c>
      <c r="C697" s="434"/>
      <c r="D697" s="488"/>
      <c r="E697" s="435"/>
      <c r="F697" s="434"/>
      <c r="G697" s="434"/>
      <c r="H697" s="434"/>
      <c r="I697" s="434"/>
      <c r="J697" s="434"/>
      <c r="K697" s="434"/>
      <c r="L697" s="434"/>
      <c r="M697" s="434"/>
      <c r="N697" s="557"/>
      <c r="O697" s="488">
        <f t="shared" ref="O697:O760" si="13">SUM(G697:N697)+F697+D697</f>
        <v>0</v>
      </c>
      <c r="P697" s="389"/>
      <c r="Q697" s="391"/>
      <c r="R697" s="391"/>
      <c r="S697" s="391"/>
      <c r="T697" s="391"/>
      <c r="U697" s="391"/>
    </row>
    <row r="698" spans="1:21" ht="35.1" customHeight="1" x14ac:dyDescent="0.25">
      <c r="A698" s="550">
        <v>697</v>
      </c>
      <c r="B698" s="95">
        <v>45448</v>
      </c>
      <c r="C698" s="434"/>
      <c r="D698" s="488"/>
      <c r="E698" s="435"/>
      <c r="F698" s="434"/>
      <c r="G698" s="434"/>
      <c r="H698" s="434"/>
      <c r="I698" s="434"/>
      <c r="J698" s="434"/>
      <c r="K698" s="434"/>
      <c r="L698" s="434"/>
      <c r="M698" s="434"/>
      <c r="N698" s="557"/>
      <c r="O698" s="488">
        <f t="shared" si="13"/>
        <v>0</v>
      </c>
      <c r="P698" s="389"/>
      <c r="Q698" s="391"/>
      <c r="R698" s="391"/>
      <c r="S698" s="391"/>
      <c r="T698" s="391"/>
      <c r="U698" s="391"/>
    </row>
    <row r="699" spans="1:21" ht="35.1" customHeight="1" x14ac:dyDescent="0.25">
      <c r="A699" s="550">
        <v>698</v>
      </c>
      <c r="B699" s="95">
        <v>45449</v>
      </c>
      <c r="C699" s="434"/>
      <c r="D699" s="488"/>
      <c r="E699" s="435"/>
      <c r="F699" s="434"/>
      <c r="G699" s="434"/>
      <c r="H699" s="434"/>
      <c r="I699" s="434"/>
      <c r="J699" s="434"/>
      <c r="K699" s="434"/>
      <c r="L699" s="434"/>
      <c r="M699" s="434"/>
      <c r="N699" s="557"/>
      <c r="O699" s="488">
        <f t="shared" si="13"/>
        <v>0</v>
      </c>
      <c r="P699" s="389"/>
      <c r="Q699" s="391"/>
      <c r="R699" s="391"/>
      <c r="S699" s="391"/>
      <c r="T699" s="391"/>
      <c r="U699" s="391"/>
    </row>
    <row r="700" spans="1:21" ht="35.1" customHeight="1" x14ac:dyDescent="0.25">
      <c r="A700" s="550">
        <v>699</v>
      </c>
      <c r="B700" s="95">
        <v>45450</v>
      </c>
      <c r="C700" s="434"/>
      <c r="D700" s="488"/>
      <c r="E700" s="435"/>
      <c r="F700" s="434"/>
      <c r="G700" s="434"/>
      <c r="H700" s="434"/>
      <c r="I700" s="434"/>
      <c r="J700" s="434"/>
      <c r="K700" s="434"/>
      <c r="L700" s="434"/>
      <c r="M700" s="434"/>
      <c r="N700" s="557"/>
      <c r="O700" s="488">
        <f t="shared" si="13"/>
        <v>0</v>
      </c>
      <c r="P700" s="389"/>
      <c r="Q700" s="391"/>
      <c r="R700" s="391"/>
      <c r="S700" s="391"/>
      <c r="T700" s="391"/>
      <c r="U700" s="391"/>
    </row>
    <row r="701" spans="1:21" ht="35.1" customHeight="1" x14ac:dyDescent="0.25">
      <c r="A701" s="550">
        <v>700</v>
      </c>
      <c r="B701" s="95">
        <v>45451</v>
      </c>
      <c r="C701" s="434"/>
      <c r="D701" s="488"/>
      <c r="E701" s="435"/>
      <c r="F701" s="434"/>
      <c r="G701" s="434"/>
      <c r="H701" s="434"/>
      <c r="I701" s="434"/>
      <c r="J701" s="434"/>
      <c r="K701" s="434"/>
      <c r="L701" s="434"/>
      <c r="M701" s="434"/>
      <c r="N701" s="557"/>
      <c r="O701" s="488">
        <f t="shared" si="13"/>
        <v>0</v>
      </c>
      <c r="P701" s="389"/>
      <c r="Q701" s="391"/>
      <c r="R701" s="391"/>
      <c r="S701" s="391"/>
      <c r="T701" s="391"/>
      <c r="U701" s="391"/>
    </row>
    <row r="702" spans="1:21" ht="35.1" customHeight="1" x14ac:dyDescent="0.25">
      <c r="A702" s="550">
        <v>701</v>
      </c>
      <c r="B702" s="95">
        <v>45452</v>
      </c>
      <c r="C702" s="434"/>
      <c r="D702" s="488"/>
      <c r="E702" s="435"/>
      <c r="F702" s="434"/>
      <c r="G702" s="434"/>
      <c r="H702" s="434"/>
      <c r="I702" s="434"/>
      <c r="J702" s="434"/>
      <c r="K702" s="434"/>
      <c r="L702" s="434"/>
      <c r="M702" s="434"/>
      <c r="N702" s="557"/>
      <c r="O702" s="488">
        <f t="shared" si="13"/>
        <v>0</v>
      </c>
      <c r="P702" s="389"/>
      <c r="Q702" s="391"/>
      <c r="R702" s="391"/>
      <c r="S702" s="391"/>
      <c r="T702" s="391"/>
      <c r="U702" s="391"/>
    </row>
    <row r="703" spans="1:21" ht="35.1" customHeight="1" x14ac:dyDescent="0.25">
      <c r="A703" s="550">
        <v>702</v>
      </c>
      <c r="B703" s="95">
        <v>45453</v>
      </c>
      <c r="C703" s="434"/>
      <c r="D703" s="488"/>
      <c r="E703" s="435"/>
      <c r="F703" s="434"/>
      <c r="G703" s="434"/>
      <c r="H703" s="434"/>
      <c r="I703" s="434"/>
      <c r="J703" s="434"/>
      <c r="K703" s="434"/>
      <c r="L703" s="434"/>
      <c r="M703" s="434"/>
      <c r="N703" s="557"/>
      <c r="O703" s="488">
        <f t="shared" si="13"/>
        <v>0</v>
      </c>
      <c r="P703" s="389"/>
      <c r="Q703" s="391"/>
      <c r="R703" s="391"/>
      <c r="S703" s="391"/>
      <c r="T703" s="391"/>
      <c r="U703" s="391"/>
    </row>
    <row r="704" spans="1:21" ht="35.1" customHeight="1" x14ac:dyDescent="0.25">
      <c r="A704" s="550">
        <v>703</v>
      </c>
      <c r="B704" s="95">
        <v>45454</v>
      </c>
      <c r="C704" s="434"/>
      <c r="D704" s="488"/>
      <c r="E704" s="435"/>
      <c r="F704" s="434"/>
      <c r="G704" s="434"/>
      <c r="H704" s="434"/>
      <c r="I704" s="434"/>
      <c r="J704" s="434"/>
      <c r="K704" s="434"/>
      <c r="L704" s="434"/>
      <c r="M704" s="434"/>
      <c r="N704" s="557"/>
      <c r="O704" s="488">
        <f t="shared" si="13"/>
        <v>0</v>
      </c>
      <c r="P704" s="389"/>
      <c r="Q704" s="391"/>
      <c r="R704" s="391"/>
      <c r="S704" s="391"/>
      <c r="T704" s="391"/>
      <c r="U704" s="391"/>
    </row>
    <row r="705" spans="1:21" ht="35.1" customHeight="1" x14ac:dyDescent="0.25">
      <c r="A705" s="550">
        <v>704</v>
      </c>
      <c r="B705" s="95">
        <v>45455</v>
      </c>
      <c r="C705" s="434"/>
      <c r="D705" s="488"/>
      <c r="E705" s="435"/>
      <c r="F705" s="434"/>
      <c r="G705" s="434"/>
      <c r="H705" s="434"/>
      <c r="I705" s="434"/>
      <c r="J705" s="434"/>
      <c r="K705" s="434"/>
      <c r="L705" s="434"/>
      <c r="M705" s="434"/>
      <c r="N705" s="557"/>
      <c r="O705" s="488">
        <f t="shared" si="13"/>
        <v>0</v>
      </c>
      <c r="P705" s="389"/>
      <c r="Q705" s="391"/>
      <c r="R705" s="391"/>
      <c r="S705" s="391"/>
      <c r="T705" s="391"/>
      <c r="U705" s="391"/>
    </row>
    <row r="706" spans="1:21" ht="35.1" customHeight="1" x14ac:dyDescent="0.25">
      <c r="A706" s="550">
        <v>705</v>
      </c>
      <c r="B706" s="95">
        <v>45456</v>
      </c>
      <c r="C706" s="434"/>
      <c r="D706" s="488"/>
      <c r="E706" s="435"/>
      <c r="F706" s="434"/>
      <c r="G706" s="434"/>
      <c r="H706" s="434"/>
      <c r="I706" s="434"/>
      <c r="J706" s="434"/>
      <c r="K706" s="434"/>
      <c r="L706" s="434"/>
      <c r="M706" s="434"/>
      <c r="N706" s="557"/>
      <c r="O706" s="488">
        <f t="shared" si="13"/>
        <v>0</v>
      </c>
      <c r="P706" s="389"/>
      <c r="Q706" s="391"/>
      <c r="R706" s="391"/>
      <c r="S706" s="391"/>
      <c r="T706" s="391"/>
      <c r="U706" s="391"/>
    </row>
    <row r="707" spans="1:21" ht="35.1" customHeight="1" x14ac:dyDescent="0.25">
      <c r="A707" s="550">
        <v>706</v>
      </c>
      <c r="B707" s="95">
        <v>45457</v>
      </c>
      <c r="C707" s="434"/>
      <c r="D707" s="488"/>
      <c r="E707" s="435"/>
      <c r="F707" s="434"/>
      <c r="G707" s="434"/>
      <c r="H707" s="434"/>
      <c r="I707" s="434"/>
      <c r="J707" s="434"/>
      <c r="K707" s="434"/>
      <c r="L707" s="434"/>
      <c r="M707" s="434"/>
      <c r="N707" s="557"/>
      <c r="O707" s="488">
        <f t="shared" si="13"/>
        <v>0</v>
      </c>
      <c r="P707" s="389"/>
      <c r="Q707" s="391"/>
      <c r="R707" s="391"/>
      <c r="S707" s="391"/>
      <c r="T707" s="391"/>
      <c r="U707" s="391"/>
    </row>
    <row r="708" spans="1:21" ht="35.1" customHeight="1" x14ac:dyDescent="0.25">
      <c r="A708" s="550">
        <v>707</v>
      </c>
      <c r="B708" s="95">
        <v>45458</v>
      </c>
      <c r="C708" s="434"/>
      <c r="D708" s="488"/>
      <c r="E708" s="435"/>
      <c r="F708" s="434"/>
      <c r="G708" s="434"/>
      <c r="H708" s="434"/>
      <c r="I708" s="434"/>
      <c r="J708" s="434"/>
      <c r="K708" s="434"/>
      <c r="L708" s="434"/>
      <c r="M708" s="434"/>
      <c r="N708" s="557"/>
      <c r="O708" s="488">
        <f t="shared" si="13"/>
        <v>0</v>
      </c>
      <c r="P708" s="389"/>
      <c r="Q708" s="391"/>
      <c r="R708" s="391"/>
      <c r="S708" s="391"/>
      <c r="T708" s="391"/>
      <c r="U708" s="391"/>
    </row>
    <row r="709" spans="1:21" ht="35.1" customHeight="1" x14ac:dyDescent="0.25">
      <c r="A709" s="550">
        <v>708</v>
      </c>
      <c r="B709" s="95">
        <v>45459</v>
      </c>
      <c r="C709" s="434"/>
      <c r="D709" s="488"/>
      <c r="E709" s="435"/>
      <c r="F709" s="434"/>
      <c r="G709" s="434"/>
      <c r="H709" s="434"/>
      <c r="I709" s="434"/>
      <c r="J709" s="434"/>
      <c r="K709" s="434"/>
      <c r="L709" s="434"/>
      <c r="M709" s="434"/>
      <c r="N709" s="557"/>
      <c r="O709" s="488">
        <f t="shared" si="13"/>
        <v>0</v>
      </c>
      <c r="P709" s="389"/>
      <c r="Q709" s="391"/>
      <c r="R709" s="391"/>
      <c r="S709" s="391"/>
      <c r="T709" s="391"/>
      <c r="U709" s="391"/>
    </row>
    <row r="710" spans="1:21" ht="35.1" customHeight="1" x14ac:dyDescent="0.25">
      <c r="A710" s="550">
        <v>709</v>
      </c>
      <c r="B710" s="95">
        <v>45460</v>
      </c>
      <c r="C710" s="434"/>
      <c r="D710" s="488"/>
      <c r="E710" s="435"/>
      <c r="F710" s="434"/>
      <c r="G710" s="434"/>
      <c r="H710" s="434"/>
      <c r="I710" s="434"/>
      <c r="J710" s="434"/>
      <c r="K710" s="434"/>
      <c r="L710" s="434"/>
      <c r="M710" s="434"/>
      <c r="N710" s="557"/>
      <c r="O710" s="488">
        <f t="shared" si="13"/>
        <v>0</v>
      </c>
      <c r="P710" s="389"/>
      <c r="Q710" s="391"/>
      <c r="R710" s="391"/>
      <c r="S710" s="391"/>
      <c r="T710" s="391"/>
      <c r="U710" s="391"/>
    </row>
    <row r="711" spans="1:21" ht="35.1" customHeight="1" x14ac:dyDescent="0.25">
      <c r="A711" s="550">
        <v>710</v>
      </c>
      <c r="B711" s="95">
        <v>45461</v>
      </c>
      <c r="C711" s="434"/>
      <c r="D711" s="488"/>
      <c r="E711" s="435"/>
      <c r="F711" s="434"/>
      <c r="G711" s="434"/>
      <c r="H711" s="434"/>
      <c r="I711" s="434"/>
      <c r="J711" s="434"/>
      <c r="K711" s="434"/>
      <c r="L711" s="434"/>
      <c r="M711" s="434"/>
      <c r="N711" s="557"/>
      <c r="O711" s="488">
        <f t="shared" si="13"/>
        <v>0</v>
      </c>
      <c r="P711" s="389"/>
      <c r="Q711" s="391"/>
      <c r="R711" s="391"/>
      <c r="S711" s="391"/>
      <c r="T711" s="391"/>
      <c r="U711" s="391"/>
    </row>
    <row r="712" spans="1:21" ht="35.1" customHeight="1" x14ac:dyDescent="0.25">
      <c r="A712" s="550">
        <v>711</v>
      </c>
      <c r="B712" s="95">
        <v>45462</v>
      </c>
      <c r="C712" s="434"/>
      <c r="D712" s="488"/>
      <c r="E712" s="435"/>
      <c r="F712" s="434"/>
      <c r="G712" s="434"/>
      <c r="H712" s="434"/>
      <c r="I712" s="434"/>
      <c r="J712" s="434"/>
      <c r="K712" s="434"/>
      <c r="L712" s="434"/>
      <c r="M712" s="434"/>
      <c r="N712" s="557"/>
      <c r="O712" s="488">
        <f t="shared" si="13"/>
        <v>0</v>
      </c>
      <c r="P712" s="389"/>
      <c r="Q712" s="391"/>
      <c r="R712" s="391"/>
      <c r="S712" s="391"/>
      <c r="T712" s="391"/>
      <c r="U712" s="391"/>
    </row>
    <row r="713" spans="1:21" ht="35.1" customHeight="1" x14ac:dyDescent="0.25">
      <c r="A713" s="550">
        <v>712</v>
      </c>
      <c r="B713" s="95">
        <v>45463</v>
      </c>
      <c r="C713" s="434"/>
      <c r="D713" s="488"/>
      <c r="E713" s="435"/>
      <c r="F713" s="434"/>
      <c r="G713" s="434"/>
      <c r="H713" s="434"/>
      <c r="I713" s="434"/>
      <c r="J713" s="434"/>
      <c r="K713" s="434"/>
      <c r="L713" s="434"/>
      <c r="M713" s="434"/>
      <c r="N713" s="557"/>
      <c r="O713" s="488">
        <f t="shared" si="13"/>
        <v>0</v>
      </c>
      <c r="P713" s="389"/>
      <c r="Q713" s="391"/>
      <c r="R713" s="391"/>
      <c r="S713" s="391"/>
      <c r="T713" s="391"/>
      <c r="U713" s="391"/>
    </row>
    <row r="714" spans="1:21" ht="35.1" customHeight="1" x14ac:dyDescent="0.25">
      <c r="A714" s="550">
        <v>713</v>
      </c>
      <c r="B714" s="95">
        <v>45464</v>
      </c>
      <c r="C714" s="434"/>
      <c r="D714" s="488"/>
      <c r="E714" s="435"/>
      <c r="F714" s="434"/>
      <c r="G714" s="434"/>
      <c r="H714" s="434"/>
      <c r="I714" s="434"/>
      <c r="J714" s="434"/>
      <c r="K714" s="434"/>
      <c r="L714" s="434"/>
      <c r="M714" s="434"/>
      <c r="N714" s="557"/>
      <c r="O714" s="488">
        <f t="shared" si="13"/>
        <v>0</v>
      </c>
      <c r="P714" s="389"/>
      <c r="Q714" s="391"/>
      <c r="R714" s="391"/>
      <c r="S714" s="391"/>
      <c r="T714" s="391"/>
      <c r="U714" s="391"/>
    </row>
    <row r="715" spans="1:21" ht="35.1" customHeight="1" x14ac:dyDescent="0.25">
      <c r="A715" s="550">
        <v>714</v>
      </c>
      <c r="B715" s="95">
        <v>45465</v>
      </c>
      <c r="C715" s="434"/>
      <c r="D715" s="488"/>
      <c r="E715" s="435"/>
      <c r="F715" s="434"/>
      <c r="G715" s="434"/>
      <c r="H715" s="434"/>
      <c r="I715" s="434"/>
      <c r="J715" s="434"/>
      <c r="K715" s="434"/>
      <c r="L715" s="434"/>
      <c r="M715" s="434"/>
      <c r="N715" s="557"/>
      <c r="O715" s="488">
        <f t="shared" si="13"/>
        <v>0</v>
      </c>
      <c r="P715" s="389"/>
      <c r="Q715" s="391"/>
      <c r="R715" s="391"/>
      <c r="S715" s="391"/>
      <c r="T715" s="391"/>
      <c r="U715" s="391"/>
    </row>
    <row r="716" spans="1:21" ht="35.1" customHeight="1" x14ac:dyDescent="0.25">
      <c r="A716" s="550">
        <v>715</v>
      </c>
      <c r="B716" s="95">
        <v>45466</v>
      </c>
      <c r="C716" s="434"/>
      <c r="D716" s="488"/>
      <c r="E716" s="435"/>
      <c r="F716" s="434"/>
      <c r="G716" s="434"/>
      <c r="H716" s="434"/>
      <c r="I716" s="434"/>
      <c r="J716" s="434"/>
      <c r="K716" s="434"/>
      <c r="L716" s="434"/>
      <c r="M716" s="434"/>
      <c r="N716" s="557"/>
      <c r="O716" s="488">
        <f t="shared" si="13"/>
        <v>0</v>
      </c>
      <c r="P716" s="389"/>
      <c r="Q716" s="391"/>
      <c r="R716" s="391"/>
      <c r="S716" s="391"/>
      <c r="T716" s="391"/>
      <c r="U716" s="391"/>
    </row>
    <row r="717" spans="1:21" ht="35.1" customHeight="1" x14ac:dyDescent="0.25">
      <c r="A717" s="550">
        <v>716</v>
      </c>
      <c r="B717" s="95">
        <v>45467</v>
      </c>
      <c r="C717" s="434"/>
      <c r="D717" s="488"/>
      <c r="E717" s="435"/>
      <c r="F717" s="434"/>
      <c r="G717" s="434"/>
      <c r="H717" s="434"/>
      <c r="I717" s="434"/>
      <c r="J717" s="434"/>
      <c r="K717" s="434"/>
      <c r="L717" s="434"/>
      <c r="M717" s="434"/>
      <c r="N717" s="557"/>
      <c r="O717" s="488">
        <f t="shared" si="13"/>
        <v>0</v>
      </c>
      <c r="P717" s="389"/>
      <c r="Q717" s="391"/>
      <c r="R717" s="391"/>
      <c r="S717" s="391"/>
      <c r="T717" s="391"/>
      <c r="U717" s="391"/>
    </row>
    <row r="718" spans="1:21" ht="35.1" customHeight="1" x14ac:dyDescent="0.25">
      <c r="A718" s="550">
        <v>717</v>
      </c>
      <c r="B718" s="95">
        <v>45468</v>
      </c>
      <c r="C718" s="434"/>
      <c r="D718" s="488"/>
      <c r="E718" s="435"/>
      <c r="F718" s="434"/>
      <c r="G718" s="434"/>
      <c r="H718" s="434"/>
      <c r="I718" s="434"/>
      <c r="J718" s="434"/>
      <c r="K718" s="434"/>
      <c r="L718" s="434"/>
      <c r="M718" s="434"/>
      <c r="N718" s="557"/>
      <c r="O718" s="488">
        <f t="shared" si="13"/>
        <v>0</v>
      </c>
      <c r="P718" s="389"/>
      <c r="Q718" s="391"/>
      <c r="R718" s="391"/>
      <c r="S718" s="391"/>
      <c r="T718" s="391"/>
      <c r="U718" s="391"/>
    </row>
    <row r="719" spans="1:21" ht="35.1" customHeight="1" x14ac:dyDescent="0.25">
      <c r="A719" s="550">
        <v>718</v>
      </c>
      <c r="B719" s="95">
        <v>45469</v>
      </c>
      <c r="C719" s="434"/>
      <c r="D719" s="488"/>
      <c r="E719" s="435"/>
      <c r="F719" s="434"/>
      <c r="G719" s="434"/>
      <c r="H719" s="434"/>
      <c r="I719" s="434"/>
      <c r="J719" s="434"/>
      <c r="K719" s="434"/>
      <c r="L719" s="434"/>
      <c r="M719" s="434"/>
      <c r="N719" s="557"/>
      <c r="O719" s="488">
        <f t="shared" si="13"/>
        <v>0</v>
      </c>
      <c r="P719" s="389"/>
      <c r="Q719" s="391"/>
      <c r="R719" s="391"/>
      <c r="S719" s="391"/>
      <c r="T719" s="391"/>
      <c r="U719" s="391"/>
    </row>
    <row r="720" spans="1:21" ht="35.1" customHeight="1" x14ac:dyDescent="0.25">
      <c r="A720" s="550">
        <v>719</v>
      </c>
      <c r="B720" s="95">
        <v>45470</v>
      </c>
      <c r="C720" s="434"/>
      <c r="D720" s="488"/>
      <c r="E720" s="435"/>
      <c r="F720" s="434"/>
      <c r="G720" s="434"/>
      <c r="H720" s="434"/>
      <c r="I720" s="434"/>
      <c r="J720" s="434"/>
      <c r="K720" s="434"/>
      <c r="L720" s="434"/>
      <c r="M720" s="434"/>
      <c r="N720" s="557"/>
      <c r="O720" s="488">
        <f t="shared" si="13"/>
        <v>0</v>
      </c>
      <c r="P720" s="389"/>
      <c r="Q720" s="391"/>
      <c r="R720" s="391"/>
      <c r="S720" s="391"/>
      <c r="T720" s="391"/>
      <c r="U720" s="391"/>
    </row>
    <row r="721" spans="1:21" ht="35.1" customHeight="1" x14ac:dyDescent="0.25">
      <c r="A721" s="550">
        <v>720</v>
      </c>
      <c r="B721" s="95">
        <v>45471</v>
      </c>
      <c r="C721" s="434"/>
      <c r="D721" s="488"/>
      <c r="E721" s="435"/>
      <c r="F721" s="434"/>
      <c r="G721" s="434"/>
      <c r="H721" s="434"/>
      <c r="I721" s="434"/>
      <c r="J721" s="434"/>
      <c r="K721" s="434"/>
      <c r="L721" s="434"/>
      <c r="M721" s="434"/>
      <c r="N721" s="557"/>
      <c r="O721" s="488">
        <f t="shared" si="13"/>
        <v>0</v>
      </c>
      <c r="P721" s="389"/>
      <c r="Q721" s="391"/>
      <c r="R721" s="391"/>
      <c r="S721" s="391"/>
      <c r="T721" s="391"/>
      <c r="U721" s="391"/>
    </row>
    <row r="722" spans="1:21" ht="35.1" customHeight="1" x14ac:dyDescent="0.25">
      <c r="A722" s="550">
        <v>721</v>
      </c>
      <c r="B722" s="95">
        <v>45472</v>
      </c>
      <c r="C722" s="434"/>
      <c r="D722" s="488"/>
      <c r="E722" s="435"/>
      <c r="F722" s="434"/>
      <c r="G722" s="434"/>
      <c r="H722" s="434"/>
      <c r="I722" s="434"/>
      <c r="J722" s="434"/>
      <c r="K722" s="434"/>
      <c r="L722" s="434"/>
      <c r="M722" s="434"/>
      <c r="N722" s="557"/>
      <c r="O722" s="488">
        <f t="shared" si="13"/>
        <v>0</v>
      </c>
      <c r="P722" s="389"/>
      <c r="Q722" s="391"/>
      <c r="R722" s="391"/>
      <c r="S722" s="391"/>
      <c r="T722" s="391"/>
      <c r="U722" s="391"/>
    </row>
    <row r="723" spans="1:21" ht="35.1" customHeight="1" x14ac:dyDescent="0.25">
      <c r="A723" s="550">
        <v>722</v>
      </c>
      <c r="B723" s="95">
        <v>45473</v>
      </c>
      <c r="C723" s="434"/>
      <c r="D723" s="488"/>
      <c r="E723" s="435"/>
      <c r="F723" s="434"/>
      <c r="G723" s="434"/>
      <c r="H723" s="434"/>
      <c r="I723" s="434"/>
      <c r="J723" s="434"/>
      <c r="K723" s="434"/>
      <c r="L723" s="434"/>
      <c r="M723" s="434"/>
      <c r="N723" s="557"/>
      <c r="O723" s="488">
        <f t="shared" si="13"/>
        <v>0</v>
      </c>
      <c r="P723" s="389"/>
      <c r="Q723" s="391"/>
      <c r="R723" s="391"/>
      <c r="S723" s="391"/>
      <c r="T723" s="391"/>
      <c r="U723" s="391"/>
    </row>
    <row r="724" spans="1:21" ht="35.1" customHeight="1" x14ac:dyDescent="0.25">
      <c r="A724" s="550">
        <v>723</v>
      </c>
      <c r="B724" s="95">
        <v>45474</v>
      </c>
      <c r="C724" s="434"/>
      <c r="D724" s="488"/>
      <c r="E724" s="435"/>
      <c r="F724" s="434"/>
      <c r="G724" s="434"/>
      <c r="H724" s="434"/>
      <c r="I724" s="434"/>
      <c r="J724" s="434"/>
      <c r="K724" s="434"/>
      <c r="L724" s="434"/>
      <c r="M724" s="434"/>
      <c r="N724" s="557"/>
      <c r="O724" s="488">
        <f t="shared" si="13"/>
        <v>0</v>
      </c>
      <c r="P724" s="389"/>
      <c r="Q724" s="391"/>
      <c r="R724" s="391"/>
      <c r="S724" s="391"/>
      <c r="T724" s="391"/>
      <c r="U724" s="391"/>
    </row>
    <row r="725" spans="1:21" ht="35.1" customHeight="1" x14ac:dyDescent="0.25">
      <c r="A725" s="550">
        <v>724</v>
      </c>
      <c r="B725" s="95">
        <v>45475</v>
      </c>
      <c r="C725" s="434"/>
      <c r="D725" s="488"/>
      <c r="E725" s="435"/>
      <c r="F725" s="434"/>
      <c r="G725" s="434"/>
      <c r="H725" s="434"/>
      <c r="I725" s="434"/>
      <c r="J725" s="434"/>
      <c r="K725" s="434"/>
      <c r="L725" s="434"/>
      <c r="M725" s="434"/>
      <c r="N725" s="557"/>
      <c r="O725" s="488">
        <f t="shared" si="13"/>
        <v>0</v>
      </c>
      <c r="P725" s="389"/>
      <c r="Q725" s="391"/>
      <c r="R725" s="391"/>
      <c r="S725" s="391"/>
      <c r="T725" s="391"/>
      <c r="U725" s="391"/>
    </row>
    <row r="726" spans="1:21" ht="35.1" customHeight="1" x14ac:dyDescent="0.25">
      <c r="A726" s="550">
        <v>725</v>
      </c>
      <c r="B726" s="95">
        <v>45476</v>
      </c>
      <c r="C726" s="434"/>
      <c r="D726" s="488"/>
      <c r="E726" s="435"/>
      <c r="F726" s="434"/>
      <c r="G726" s="434"/>
      <c r="H726" s="434"/>
      <c r="I726" s="434"/>
      <c r="J726" s="434"/>
      <c r="K726" s="434"/>
      <c r="L726" s="434"/>
      <c r="M726" s="434"/>
      <c r="N726" s="557"/>
      <c r="O726" s="488">
        <f t="shared" si="13"/>
        <v>0</v>
      </c>
      <c r="P726" s="389"/>
      <c r="Q726" s="391"/>
      <c r="R726" s="391"/>
      <c r="S726" s="391"/>
      <c r="T726" s="391"/>
      <c r="U726" s="391"/>
    </row>
    <row r="727" spans="1:21" ht="35.1" customHeight="1" x14ac:dyDescent="0.25">
      <c r="A727" s="550">
        <v>726</v>
      </c>
      <c r="B727" s="95">
        <v>45477</v>
      </c>
      <c r="C727" s="434"/>
      <c r="D727" s="488"/>
      <c r="E727" s="435"/>
      <c r="F727" s="434"/>
      <c r="G727" s="434"/>
      <c r="H727" s="434"/>
      <c r="I727" s="434"/>
      <c r="J727" s="434"/>
      <c r="K727" s="434"/>
      <c r="L727" s="434"/>
      <c r="M727" s="434"/>
      <c r="N727" s="557"/>
      <c r="O727" s="488">
        <f t="shared" si="13"/>
        <v>0</v>
      </c>
      <c r="P727" s="389"/>
      <c r="Q727" s="391"/>
      <c r="R727" s="391"/>
      <c r="S727" s="391"/>
      <c r="T727" s="391"/>
      <c r="U727" s="391"/>
    </row>
    <row r="728" spans="1:21" ht="35.1" customHeight="1" x14ac:dyDescent="0.25">
      <c r="A728" s="550">
        <v>727</v>
      </c>
      <c r="B728" s="95">
        <v>45478</v>
      </c>
      <c r="C728" s="434"/>
      <c r="D728" s="488"/>
      <c r="E728" s="435"/>
      <c r="F728" s="434"/>
      <c r="G728" s="434"/>
      <c r="H728" s="434"/>
      <c r="I728" s="434"/>
      <c r="J728" s="434"/>
      <c r="K728" s="434"/>
      <c r="L728" s="434"/>
      <c r="M728" s="434"/>
      <c r="N728" s="557"/>
      <c r="O728" s="488">
        <f t="shared" si="13"/>
        <v>0</v>
      </c>
      <c r="P728" s="389"/>
      <c r="Q728" s="391"/>
      <c r="R728" s="391"/>
      <c r="S728" s="391"/>
      <c r="T728" s="391"/>
      <c r="U728" s="391"/>
    </row>
    <row r="729" spans="1:21" ht="35.1" customHeight="1" x14ac:dyDescent="0.25">
      <c r="A729" s="550">
        <v>728</v>
      </c>
      <c r="B729" s="95">
        <v>45479</v>
      </c>
      <c r="C729" s="434"/>
      <c r="D729" s="488"/>
      <c r="E729" s="435"/>
      <c r="F729" s="434"/>
      <c r="G729" s="434"/>
      <c r="H729" s="434"/>
      <c r="I729" s="434"/>
      <c r="J729" s="434"/>
      <c r="K729" s="434"/>
      <c r="L729" s="434"/>
      <c r="M729" s="434"/>
      <c r="N729" s="557"/>
      <c r="O729" s="488">
        <f t="shared" si="13"/>
        <v>0</v>
      </c>
      <c r="P729" s="389"/>
      <c r="Q729" s="391"/>
      <c r="R729" s="391"/>
      <c r="S729" s="391"/>
      <c r="T729" s="391"/>
      <c r="U729" s="391"/>
    </row>
    <row r="730" spans="1:21" ht="35.1" customHeight="1" x14ac:dyDescent="0.25">
      <c r="A730" s="550">
        <v>729</v>
      </c>
      <c r="B730" s="95">
        <v>45480</v>
      </c>
      <c r="C730" s="434"/>
      <c r="D730" s="488"/>
      <c r="E730" s="435"/>
      <c r="F730" s="434"/>
      <c r="G730" s="434"/>
      <c r="H730" s="434"/>
      <c r="I730" s="434"/>
      <c r="J730" s="434"/>
      <c r="K730" s="434"/>
      <c r="L730" s="434"/>
      <c r="M730" s="434"/>
      <c r="N730" s="557"/>
      <c r="O730" s="488">
        <f t="shared" si="13"/>
        <v>0</v>
      </c>
      <c r="P730" s="389"/>
      <c r="Q730" s="391"/>
      <c r="R730" s="391"/>
      <c r="S730" s="391"/>
      <c r="T730" s="391"/>
      <c r="U730" s="391"/>
    </row>
    <row r="731" spans="1:21" ht="35.1" customHeight="1" x14ac:dyDescent="0.25">
      <c r="A731" s="550">
        <v>730</v>
      </c>
      <c r="B731" s="95">
        <v>45481</v>
      </c>
      <c r="C731" s="434"/>
      <c r="D731" s="488"/>
      <c r="E731" s="435"/>
      <c r="F731" s="434"/>
      <c r="G731" s="434"/>
      <c r="H731" s="434"/>
      <c r="I731" s="434"/>
      <c r="J731" s="434"/>
      <c r="K731" s="434"/>
      <c r="L731" s="434"/>
      <c r="M731" s="434"/>
      <c r="N731" s="557"/>
      <c r="O731" s="488">
        <f t="shared" si="13"/>
        <v>0</v>
      </c>
      <c r="P731" s="389"/>
      <c r="Q731" s="391"/>
      <c r="R731" s="391"/>
      <c r="S731" s="391"/>
      <c r="T731" s="391"/>
      <c r="U731" s="391"/>
    </row>
    <row r="732" spans="1:21" ht="35.1" customHeight="1" x14ac:dyDescent="0.25">
      <c r="A732" s="550">
        <v>731</v>
      </c>
      <c r="B732" s="95">
        <v>45482</v>
      </c>
      <c r="C732" s="434"/>
      <c r="D732" s="488"/>
      <c r="E732" s="435"/>
      <c r="F732" s="434"/>
      <c r="G732" s="434"/>
      <c r="H732" s="434"/>
      <c r="I732" s="434"/>
      <c r="J732" s="434"/>
      <c r="K732" s="434"/>
      <c r="L732" s="434"/>
      <c r="M732" s="434"/>
      <c r="N732" s="557"/>
      <c r="O732" s="488">
        <f t="shared" si="13"/>
        <v>0</v>
      </c>
      <c r="P732" s="389"/>
      <c r="Q732" s="391"/>
      <c r="R732" s="391"/>
      <c r="S732" s="391"/>
      <c r="T732" s="391"/>
      <c r="U732" s="391"/>
    </row>
    <row r="733" spans="1:21" ht="35.1" customHeight="1" x14ac:dyDescent="0.25">
      <c r="A733" s="550">
        <v>732</v>
      </c>
      <c r="B733" s="95">
        <v>45483</v>
      </c>
      <c r="C733" s="434"/>
      <c r="D733" s="488"/>
      <c r="E733" s="435"/>
      <c r="F733" s="434"/>
      <c r="G733" s="434"/>
      <c r="H733" s="434"/>
      <c r="I733" s="434"/>
      <c r="J733" s="434"/>
      <c r="K733" s="434"/>
      <c r="L733" s="434"/>
      <c r="M733" s="434"/>
      <c r="N733" s="557"/>
      <c r="O733" s="488">
        <f t="shared" si="13"/>
        <v>0</v>
      </c>
      <c r="P733" s="389"/>
      <c r="Q733" s="391"/>
      <c r="R733" s="391"/>
      <c r="S733" s="391"/>
      <c r="T733" s="391"/>
      <c r="U733" s="391"/>
    </row>
    <row r="734" spans="1:21" ht="35.1" customHeight="1" x14ac:dyDescent="0.25">
      <c r="A734" s="550">
        <v>733</v>
      </c>
      <c r="B734" s="95">
        <v>45484</v>
      </c>
      <c r="C734" s="434"/>
      <c r="D734" s="488"/>
      <c r="E734" s="435"/>
      <c r="F734" s="434"/>
      <c r="G734" s="434"/>
      <c r="H734" s="434"/>
      <c r="I734" s="434"/>
      <c r="J734" s="434"/>
      <c r="K734" s="434"/>
      <c r="L734" s="434"/>
      <c r="M734" s="434"/>
      <c r="N734" s="557"/>
      <c r="O734" s="488">
        <f t="shared" si="13"/>
        <v>0</v>
      </c>
      <c r="P734" s="389"/>
      <c r="Q734" s="391"/>
      <c r="R734" s="391"/>
      <c r="S734" s="391"/>
      <c r="T734" s="391"/>
      <c r="U734" s="391"/>
    </row>
    <row r="735" spans="1:21" ht="35.1" customHeight="1" x14ac:dyDescent="0.25">
      <c r="A735" s="550">
        <v>734</v>
      </c>
      <c r="B735" s="95">
        <v>45485</v>
      </c>
      <c r="C735" s="434"/>
      <c r="D735" s="488"/>
      <c r="E735" s="435"/>
      <c r="F735" s="434"/>
      <c r="G735" s="434"/>
      <c r="H735" s="434"/>
      <c r="I735" s="434"/>
      <c r="J735" s="434"/>
      <c r="K735" s="434"/>
      <c r="L735" s="434"/>
      <c r="M735" s="434"/>
      <c r="N735" s="557"/>
      <c r="O735" s="488">
        <f t="shared" si="13"/>
        <v>0</v>
      </c>
      <c r="P735" s="389"/>
      <c r="Q735" s="391"/>
      <c r="R735" s="391"/>
      <c r="S735" s="391"/>
      <c r="T735" s="391"/>
      <c r="U735" s="391"/>
    </row>
    <row r="736" spans="1:21" ht="35.1" customHeight="1" x14ac:dyDescent="0.25">
      <c r="A736" s="550">
        <v>735</v>
      </c>
      <c r="B736" s="95">
        <v>45486</v>
      </c>
      <c r="C736" s="434"/>
      <c r="D736" s="488"/>
      <c r="E736" s="435"/>
      <c r="F736" s="434"/>
      <c r="G736" s="434"/>
      <c r="H736" s="434"/>
      <c r="I736" s="434"/>
      <c r="J736" s="434"/>
      <c r="K736" s="434"/>
      <c r="L736" s="434"/>
      <c r="M736" s="434"/>
      <c r="N736" s="557"/>
      <c r="O736" s="488">
        <f t="shared" si="13"/>
        <v>0</v>
      </c>
      <c r="P736" s="389"/>
      <c r="Q736" s="391"/>
      <c r="R736" s="391"/>
      <c r="S736" s="391"/>
      <c r="T736" s="391"/>
      <c r="U736" s="391"/>
    </row>
    <row r="737" spans="1:21" ht="35.1" customHeight="1" x14ac:dyDescent="0.25">
      <c r="A737" s="550">
        <v>736</v>
      </c>
      <c r="B737" s="95">
        <v>45487</v>
      </c>
      <c r="C737" s="434"/>
      <c r="D737" s="488"/>
      <c r="E737" s="435"/>
      <c r="F737" s="434"/>
      <c r="G737" s="434"/>
      <c r="H737" s="434"/>
      <c r="I737" s="434"/>
      <c r="J737" s="434"/>
      <c r="K737" s="434"/>
      <c r="L737" s="434"/>
      <c r="M737" s="434"/>
      <c r="N737" s="557"/>
      <c r="O737" s="488">
        <f t="shared" si="13"/>
        <v>0</v>
      </c>
      <c r="P737" s="389"/>
      <c r="Q737" s="391"/>
      <c r="R737" s="391"/>
      <c r="S737" s="391"/>
      <c r="T737" s="391"/>
      <c r="U737" s="391"/>
    </row>
    <row r="738" spans="1:21" ht="35.1" customHeight="1" x14ac:dyDescent="0.25">
      <c r="A738" s="550">
        <v>737</v>
      </c>
      <c r="B738" s="95">
        <v>45488</v>
      </c>
      <c r="C738" s="434"/>
      <c r="D738" s="488"/>
      <c r="E738" s="435"/>
      <c r="F738" s="434"/>
      <c r="G738" s="434"/>
      <c r="H738" s="434"/>
      <c r="I738" s="434"/>
      <c r="J738" s="434"/>
      <c r="K738" s="434"/>
      <c r="L738" s="434"/>
      <c r="M738" s="434"/>
      <c r="N738" s="557"/>
      <c r="O738" s="488">
        <f t="shared" si="13"/>
        <v>0</v>
      </c>
      <c r="P738" s="389"/>
      <c r="Q738" s="391"/>
      <c r="R738" s="391"/>
      <c r="S738" s="391"/>
      <c r="T738" s="391"/>
      <c r="U738" s="391"/>
    </row>
    <row r="739" spans="1:21" ht="35.1" customHeight="1" x14ac:dyDescent="0.25">
      <c r="A739" s="550">
        <v>738</v>
      </c>
      <c r="B739" s="95">
        <v>45489</v>
      </c>
      <c r="C739" s="434"/>
      <c r="D739" s="488"/>
      <c r="E739" s="435"/>
      <c r="F739" s="434"/>
      <c r="G739" s="434"/>
      <c r="H739" s="434"/>
      <c r="I739" s="434"/>
      <c r="J739" s="434"/>
      <c r="K739" s="434"/>
      <c r="L739" s="434"/>
      <c r="M739" s="434"/>
      <c r="N739" s="557"/>
      <c r="O739" s="488">
        <f t="shared" si="13"/>
        <v>0</v>
      </c>
      <c r="P739" s="389"/>
      <c r="Q739" s="391"/>
      <c r="R739" s="391"/>
      <c r="S739" s="391"/>
      <c r="T739" s="391"/>
      <c r="U739" s="391"/>
    </row>
    <row r="740" spans="1:21" ht="35.1" customHeight="1" x14ac:dyDescent="0.25">
      <c r="A740" s="550">
        <v>739</v>
      </c>
      <c r="B740" s="95">
        <v>45490</v>
      </c>
      <c r="C740" s="434"/>
      <c r="D740" s="488"/>
      <c r="E740" s="435"/>
      <c r="F740" s="434"/>
      <c r="G740" s="434"/>
      <c r="H740" s="434"/>
      <c r="I740" s="434"/>
      <c r="J740" s="434"/>
      <c r="K740" s="434"/>
      <c r="L740" s="434"/>
      <c r="M740" s="434"/>
      <c r="N740" s="557"/>
      <c r="O740" s="488">
        <f t="shared" si="13"/>
        <v>0</v>
      </c>
      <c r="P740" s="389"/>
      <c r="Q740" s="391"/>
      <c r="R740" s="391"/>
      <c r="S740" s="391"/>
      <c r="T740" s="391"/>
      <c r="U740" s="391"/>
    </row>
    <row r="741" spans="1:21" ht="35.1" customHeight="1" x14ac:dyDescent="0.25">
      <c r="A741" s="550">
        <v>740</v>
      </c>
      <c r="B741" s="95">
        <v>45491</v>
      </c>
      <c r="C741" s="434"/>
      <c r="D741" s="488"/>
      <c r="E741" s="435"/>
      <c r="F741" s="434"/>
      <c r="G741" s="434"/>
      <c r="H741" s="434"/>
      <c r="I741" s="434"/>
      <c r="J741" s="434"/>
      <c r="K741" s="434"/>
      <c r="L741" s="434"/>
      <c r="M741" s="434"/>
      <c r="N741" s="557"/>
      <c r="O741" s="488">
        <f t="shared" si="13"/>
        <v>0</v>
      </c>
      <c r="P741" s="389"/>
      <c r="Q741" s="391"/>
      <c r="R741" s="391"/>
      <c r="S741" s="391"/>
      <c r="T741" s="391"/>
      <c r="U741" s="391"/>
    </row>
    <row r="742" spans="1:21" ht="35.1" customHeight="1" x14ac:dyDescent="0.25">
      <c r="A742" s="550">
        <v>741</v>
      </c>
      <c r="B742" s="95">
        <v>45492</v>
      </c>
      <c r="C742" s="434"/>
      <c r="D742" s="488"/>
      <c r="E742" s="435"/>
      <c r="F742" s="434"/>
      <c r="G742" s="434"/>
      <c r="H742" s="434"/>
      <c r="I742" s="434"/>
      <c r="J742" s="434"/>
      <c r="K742" s="434"/>
      <c r="L742" s="434"/>
      <c r="M742" s="434"/>
      <c r="N742" s="557"/>
      <c r="O742" s="488">
        <f t="shared" si="13"/>
        <v>0</v>
      </c>
      <c r="P742" s="389"/>
      <c r="Q742" s="391"/>
      <c r="R742" s="391"/>
      <c r="S742" s="391"/>
      <c r="T742" s="391"/>
      <c r="U742" s="391"/>
    </row>
    <row r="743" spans="1:21" ht="35.1" customHeight="1" x14ac:dyDescent="0.25">
      <c r="A743" s="550">
        <v>742</v>
      </c>
      <c r="B743" s="95">
        <v>45493</v>
      </c>
      <c r="C743" s="434"/>
      <c r="D743" s="488"/>
      <c r="E743" s="435"/>
      <c r="F743" s="434"/>
      <c r="G743" s="434"/>
      <c r="H743" s="434"/>
      <c r="I743" s="434"/>
      <c r="J743" s="434"/>
      <c r="K743" s="434"/>
      <c r="L743" s="434"/>
      <c r="M743" s="434"/>
      <c r="N743" s="557"/>
      <c r="O743" s="488">
        <f t="shared" si="13"/>
        <v>0</v>
      </c>
      <c r="P743" s="389"/>
      <c r="Q743" s="391"/>
      <c r="R743" s="391"/>
      <c r="S743" s="391"/>
      <c r="T743" s="391"/>
      <c r="U743" s="391"/>
    </row>
    <row r="744" spans="1:21" ht="35.1" customHeight="1" x14ac:dyDescent="0.25">
      <c r="A744" s="550">
        <v>743</v>
      </c>
      <c r="B744" s="95">
        <v>45494</v>
      </c>
      <c r="C744" s="434"/>
      <c r="D744" s="488"/>
      <c r="E744" s="435"/>
      <c r="F744" s="434"/>
      <c r="G744" s="434"/>
      <c r="H744" s="434"/>
      <c r="I744" s="434"/>
      <c r="J744" s="434"/>
      <c r="K744" s="434"/>
      <c r="L744" s="434"/>
      <c r="M744" s="434"/>
      <c r="N744" s="557"/>
      <c r="O744" s="488">
        <f t="shared" si="13"/>
        <v>0</v>
      </c>
      <c r="P744" s="389"/>
      <c r="Q744" s="391"/>
      <c r="R744" s="391"/>
      <c r="S744" s="391"/>
      <c r="T744" s="391"/>
      <c r="U744" s="391"/>
    </row>
    <row r="745" spans="1:21" ht="35.1" customHeight="1" x14ac:dyDescent="0.25">
      <c r="A745" s="550">
        <v>744</v>
      </c>
      <c r="B745" s="95">
        <v>45495</v>
      </c>
      <c r="C745" s="434"/>
      <c r="D745" s="488"/>
      <c r="E745" s="435"/>
      <c r="F745" s="434"/>
      <c r="G745" s="434"/>
      <c r="H745" s="434"/>
      <c r="I745" s="434"/>
      <c r="J745" s="434"/>
      <c r="K745" s="434"/>
      <c r="L745" s="434"/>
      <c r="M745" s="434"/>
      <c r="N745" s="557"/>
      <c r="O745" s="488">
        <f t="shared" si="13"/>
        <v>0</v>
      </c>
      <c r="P745" s="389"/>
      <c r="Q745" s="391"/>
      <c r="R745" s="391"/>
      <c r="S745" s="391"/>
      <c r="T745" s="391"/>
      <c r="U745" s="391"/>
    </row>
    <row r="746" spans="1:21" ht="35.1" customHeight="1" x14ac:dyDescent="0.25">
      <c r="A746" s="550">
        <v>745</v>
      </c>
      <c r="B746" s="95">
        <v>45496</v>
      </c>
      <c r="C746" s="434"/>
      <c r="D746" s="488"/>
      <c r="E746" s="435"/>
      <c r="F746" s="434"/>
      <c r="G746" s="434"/>
      <c r="H746" s="434"/>
      <c r="I746" s="434"/>
      <c r="J746" s="434"/>
      <c r="K746" s="434"/>
      <c r="L746" s="434"/>
      <c r="M746" s="434"/>
      <c r="N746" s="557"/>
      <c r="O746" s="488">
        <f t="shared" si="13"/>
        <v>0</v>
      </c>
      <c r="P746" s="389"/>
      <c r="Q746" s="391"/>
      <c r="R746" s="391"/>
      <c r="S746" s="391"/>
      <c r="T746" s="391"/>
      <c r="U746" s="391"/>
    </row>
    <row r="747" spans="1:21" ht="35.1" customHeight="1" x14ac:dyDescent="0.25">
      <c r="A747" s="550">
        <v>746</v>
      </c>
      <c r="B747" s="95">
        <v>45497</v>
      </c>
      <c r="C747" s="434"/>
      <c r="D747" s="488"/>
      <c r="E747" s="435"/>
      <c r="F747" s="434"/>
      <c r="G747" s="434"/>
      <c r="H747" s="434"/>
      <c r="I747" s="434"/>
      <c r="J747" s="434"/>
      <c r="K747" s="434"/>
      <c r="L747" s="434"/>
      <c r="M747" s="434"/>
      <c r="N747" s="557"/>
      <c r="O747" s="488">
        <f t="shared" si="13"/>
        <v>0</v>
      </c>
      <c r="P747" s="389"/>
      <c r="Q747" s="391"/>
      <c r="R747" s="391"/>
      <c r="S747" s="391"/>
      <c r="T747" s="391"/>
      <c r="U747" s="391"/>
    </row>
    <row r="748" spans="1:21" ht="35.1" customHeight="1" x14ac:dyDescent="0.25">
      <c r="A748" s="550">
        <v>747</v>
      </c>
      <c r="B748" s="95">
        <v>45498</v>
      </c>
      <c r="C748" s="434"/>
      <c r="D748" s="488"/>
      <c r="E748" s="435"/>
      <c r="F748" s="434"/>
      <c r="G748" s="434"/>
      <c r="H748" s="434"/>
      <c r="I748" s="434"/>
      <c r="J748" s="434"/>
      <c r="K748" s="434"/>
      <c r="L748" s="434"/>
      <c r="M748" s="434"/>
      <c r="N748" s="557"/>
      <c r="O748" s="488">
        <f t="shared" si="13"/>
        <v>0</v>
      </c>
      <c r="P748" s="389"/>
      <c r="Q748" s="391"/>
      <c r="R748" s="391"/>
      <c r="S748" s="391"/>
      <c r="T748" s="391"/>
      <c r="U748" s="391"/>
    </row>
    <row r="749" spans="1:21" ht="35.1" customHeight="1" x14ac:dyDescent="0.25">
      <c r="A749" s="550">
        <v>748</v>
      </c>
      <c r="B749" s="95">
        <v>45499</v>
      </c>
      <c r="C749" s="434"/>
      <c r="D749" s="488"/>
      <c r="E749" s="435"/>
      <c r="F749" s="434"/>
      <c r="G749" s="434"/>
      <c r="H749" s="434"/>
      <c r="I749" s="434"/>
      <c r="J749" s="434"/>
      <c r="K749" s="434"/>
      <c r="L749" s="434"/>
      <c r="M749" s="434"/>
      <c r="N749" s="557"/>
      <c r="O749" s="488">
        <f t="shared" si="13"/>
        <v>0</v>
      </c>
      <c r="P749" s="389"/>
      <c r="Q749" s="391"/>
      <c r="R749" s="391"/>
      <c r="S749" s="391"/>
      <c r="T749" s="391"/>
      <c r="U749" s="391"/>
    </row>
    <row r="750" spans="1:21" ht="35.1" customHeight="1" x14ac:dyDescent="0.25">
      <c r="A750" s="550">
        <v>749</v>
      </c>
      <c r="B750" s="95">
        <v>45500</v>
      </c>
      <c r="C750" s="434"/>
      <c r="D750" s="488"/>
      <c r="E750" s="435"/>
      <c r="F750" s="434"/>
      <c r="G750" s="434"/>
      <c r="H750" s="434"/>
      <c r="I750" s="434"/>
      <c r="J750" s="434"/>
      <c r="K750" s="434"/>
      <c r="L750" s="434"/>
      <c r="M750" s="434"/>
      <c r="N750" s="557"/>
      <c r="O750" s="488">
        <f t="shared" si="13"/>
        <v>0</v>
      </c>
      <c r="P750" s="389"/>
      <c r="Q750" s="391"/>
      <c r="R750" s="391"/>
      <c r="S750" s="391"/>
      <c r="T750" s="391"/>
      <c r="U750" s="391"/>
    </row>
    <row r="751" spans="1:21" ht="35.1" customHeight="1" x14ac:dyDescent="0.25">
      <c r="A751" s="550">
        <v>750</v>
      </c>
      <c r="B751" s="95">
        <v>45501</v>
      </c>
      <c r="C751" s="434"/>
      <c r="D751" s="488"/>
      <c r="E751" s="435"/>
      <c r="F751" s="434"/>
      <c r="G751" s="434"/>
      <c r="H751" s="434"/>
      <c r="I751" s="434"/>
      <c r="J751" s="434"/>
      <c r="K751" s="434"/>
      <c r="L751" s="434"/>
      <c r="M751" s="434"/>
      <c r="N751" s="557"/>
      <c r="O751" s="488">
        <f t="shared" si="13"/>
        <v>0</v>
      </c>
      <c r="P751" s="389"/>
      <c r="Q751" s="391"/>
      <c r="R751" s="391"/>
      <c r="S751" s="391"/>
      <c r="T751" s="391"/>
      <c r="U751" s="391"/>
    </row>
    <row r="752" spans="1:21" ht="35.1" customHeight="1" x14ac:dyDescent="0.25">
      <c r="A752" s="550">
        <v>751</v>
      </c>
      <c r="B752" s="95">
        <v>45502</v>
      </c>
      <c r="C752" s="434"/>
      <c r="D752" s="488"/>
      <c r="E752" s="435"/>
      <c r="F752" s="434"/>
      <c r="G752" s="434"/>
      <c r="H752" s="434"/>
      <c r="I752" s="434"/>
      <c r="J752" s="434"/>
      <c r="K752" s="434"/>
      <c r="L752" s="434"/>
      <c r="M752" s="434"/>
      <c r="N752" s="557"/>
      <c r="O752" s="488">
        <f t="shared" si="13"/>
        <v>0</v>
      </c>
      <c r="P752" s="389"/>
      <c r="Q752" s="391"/>
      <c r="R752" s="391"/>
      <c r="S752" s="391"/>
      <c r="T752" s="391"/>
      <c r="U752" s="391"/>
    </row>
    <row r="753" spans="1:21" ht="35.1" customHeight="1" x14ac:dyDescent="0.25">
      <c r="A753" s="550">
        <v>752</v>
      </c>
      <c r="B753" s="95">
        <v>45503</v>
      </c>
      <c r="C753" s="434"/>
      <c r="D753" s="488"/>
      <c r="E753" s="435"/>
      <c r="F753" s="434"/>
      <c r="G753" s="434"/>
      <c r="H753" s="434"/>
      <c r="I753" s="434"/>
      <c r="J753" s="434"/>
      <c r="K753" s="434"/>
      <c r="L753" s="434"/>
      <c r="M753" s="434"/>
      <c r="N753" s="557"/>
      <c r="O753" s="488">
        <f t="shared" si="13"/>
        <v>0</v>
      </c>
      <c r="P753" s="389"/>
      <c r="Q753" s="391"/>
      <c r="R753" s="391"/>
      <c r="S753" s="391"/>
      <c r="T753" s="391"/>
      <c r="U753" s="391"/>
    </row>
    <row r="754" spans="1:21" ht="35.1" customHeight="1" x14ac:dyDescent="0.25">
      <c r="A754" s="550">
        <v>753</v>
      </c>
      <c r="B754" s="95">
        <v>45504</v>
      </c>
      <c r="C754" s="434"/>
      <c r="D754" s="488"/>
      <c r="E754" s="435"/>
      <c r="F754" s="434"/>
      <c r="G754" s="434"/>
      <c r="H754" s="434"/>
      <c r="I754" s="434"/>
      <c r="J754" s="434"/>
      <c r="K754" s="434"/>
      <c r="L754" s="434"/>
      <c r="M754" s="434"/>
      <c r="N754" s="557"/>
      <c r="O754" s="488">
        <f t="shared" si="13"/>
        <v>0</v>
      </c>
      <c r="P754" s="389"/>
      <c r="Q754" s="391"/>
      <c r="R754" s="391"/>
      <c r="S754" s="391"/>
      <c r="T754" s="391"/>
      <c r="U754" s="391"/>
    </row>
    <row r="755" spans="1:21" ht="35.1" customHeight="1" x14ac:dyDescent="0.25">
      <c r="A755" s="550">
        <v>754</v>
      </c>
      <c r="B755" s="95">
        <v>45505</v>
      </c>
      <c r="C755" s="434"/>
      <c r="D755" s="488"/>
      <c r="E755" s="435"/>
      <c r="F755" s="434"/>
      <c r="G755" s="434"/>
      <c r="H755" s="434"/>
      <c r="I755" s="434"/>
      <c r="J755" s="434"/>
      <c r="K755" s="434"/>
      <c r="L755" s="434"/>
      <c r="M755" s="434"/>
      <c r="N755" s="557"/>
      <c r="O755" s="488">
        <f t="shared" si="13"/>
        <v>0</v>
      </c>
      <c r="P755" s="389"/>
      <c r="Q755" s="391"/>
      <c r="R755" s="391"/>
      <c r="S755" s="391"/>
      <c r="T755" s="391"/>
      <c r="U755" s="391"/>
    </row>
    <row r="756" spans="1:21" ht="35.1" customHeight="1" x14ac:dyDescent="0.25">
      <c r="A756" s="550">
        <v>755</v>
      </c>
      <c r="B756" s="95">
        <v>45506</v>
      </c>
      <c r="C756" s="434"/>
      <c r="D756" s="488"/>
      <c r="E756" s="435"/>
      <c r="F756" s="434"/>
      <c r="G756" s="434"/>
      <c r="H756" s="434"/>
      <c r="I756" s="434"/>
      <c r="J756" s="434"/>
      <c r="K756" s="434"/>
      <c r="L756" s="434"/>
      <c r="M756" s="434"/>
      <c r="N756" s="557"/>
      <c r="O756" s="488">
        <f t="shared" si="13"/>
        <v>0</v>
      </c>
      <c r="P756" s="389"/>
      <c r="Q756" s="391"/>
      <c r="R756" s="391"/>
      <c r="S756" s="391"/>
      <c r="T756" s="391"/>
      <c r="U756" s="391"/>
    </row>
    <row r="757" spans="1:21" ht="35.1" customHeight="1" x14ac:dyDescent="0.25">
      <c r="A757" s="550">
        <v>756</v>
      </c>
      <c r="B757" s="95">
        <v>45507</v>
      </c>
      <c r="C757" s="434"/>
      <c r="D757" s="488"/>
      <c r="E757" s="435"/>
      <c r="F757" s="434"/>
      <c r="G757" s="434"/>
      <c r="H757" s="434"/>
      <c r="I757" s="434"/>
      <c r="J757" s="434"/>
      <c r="K757" s="434"/>
      <c r="L757" s="434"/>
      <c r="M757" s="434"/>
      <c r="N757" s="557"/>
      <c r="O757" s="488">
        <f t="shared" si="13"/>
        <v>0</v>
      </c>
      <c r="P757" s="389"/>
      <c r="Q757" s="391"/>
      <c r="R757" s="391"/>
      <c r="S757" s="391"/>
      <c r="T757" s="391"/>
      <c r="U757" s="391"/>
    </row>
    <row r="758" spans="1:21" ht="35.1" customHeight="1" x14ac:dyDescent="0.25">
      <c r="A758" s="550">
        <v>757</v>
      </c>
      <c r="B758" s="95">
        <v>45508</v>
      </c>
      <c r="C758" s="434"/>
      <c r="D758" s="488"/>
      <c r="E758" s="435"/>
      <c r="F758" s="434"/>
      <c r="G758" s="434"/>
      <c r="H758" s="434"/>
      <c r="I758" s="434"/>
      <c r="J758" s="434"/>
      <c r="K758" s="434"/>
      <c r="L758" s="434"/>
      <c r="M758" s="434"/>
      <c r="N758" s="557"/>
      <c r="O758" s="488">
        <f t="shared" si="13"/>
        <v>0</v>
      </c>
      <c r="P758" s="389"/>
      <c r="Q758" s="391"/>
      <c r="R758" s="391"/>
      <c r="S758" s="391"/>
      <c r="T758" s="391"/>
      <c r="U758" s="391"/>
    </row>
    <row r="759" spans="1:21" ht="35.1" customHeight="1" x14ac:dyDescent="0.25">
      <c r="A759" s="550">
        <v>758</v>
      </c>
      <c r="B759" s="95">
        <v>45509</v>
      </c>
      <c r="C759" s="434"/>
      <c r="D759" s="488"/>
      <c r="E759" s="435"/>
      <c r="F759" s="434"/>
      <c r="G759" s="434"/>
      <c r="H759" s="434"/>
      <c r="I759" s="434"/>
      <c r="J759" s="434"/>
      <c r="K759" s="434"/>
      <c r="L759" s="434"/>
      <c r="M759" s="434"/>
      <c r="N759" s="557"/>
      <c r="O759" s="488">
        <f t="shared" si="13"/>
        <v>0</v>
      </c>
      <c r="P759" s="389"/>
      <c r="Q759" s="391"/>
      <c r="R759" s="391"/>
      <c r="S759" s="391"/>
      <c r="T759" s="391"/>
      <c r="U759" s="391"/>
    </row>
    <row r="760" spans="1:21" ht="35.1" customHeight="1" x14ac:dyDescent="0.25">
      <c r="A760" s="550">
        <v>759</v>
      </c>
      <c r="B760" s="95">
        <v>45510</v>
      </c>
      <c r="C760" s="434"/>
      <c r="D760" s="488"/>
      <c r="E760" s="435"/>
      <c r="F760" s="434"/>
      <c r="G760" s="434"/>
      <c r="H760" s="434"/>
      <c r="I760" s="434"/>
      <c r="J760" s="434"/>
      <c r="K760" s="434"/>
      <c r="L760" s="434"/>
      <c r="M760" s="434"/>
      <c r="N760" s="557"/>
      <c r="O760" s="488">
        <f t="shared" si="13"/>
        <v>0</v>
      </c>
      <c r="P760" s="389"/>
      <c r="Q760" s="391"/>
      <c r="R760" s="391"/>
      <c r="S760" s="391"/>
      <c r="T760" s="391"/>
      <c r="U760" s="391"/>
    </row>
    <row r="761" spans="1:21" ht="35.1" customHeight="1" x14ac:dyDescent="0.25">
      <c r="A761" s="550">
        <v>760</v>
      </c>
      <c r="B761" s="95">
        <v>45511</v>
      </c>
      <c r="C761" s="434"/>
      <c r="D761" s="488"/>
      <c r="E761" s="435"/>
      <c r="F761" s="434"/>
      <c r="G761" s="434"/>
      <c r="H761" s="434"/>
      <c r="I761" s="434"/>
      <c r="J761" s="434"/>
      <c r="K761" s="434"/>
      <c r="L761" s="434"/>
      <c r="M761" s="434"/>
      <c r="N761" s="557"/>
      <c r="O761" s="488">
        <f t="shared" ref="O761:O824" si="14">SUM(G761:N761)+F761+D761</f>
        <v>0</v>
      </c>
      <c r="P761" s="389"/>
      <c r="Q761" s="391"/>
      <c r="R761" s="391"/>
      <c r="S761" s="391"/>
      <c r="T761" s="391"/>
      <c r="U761" s="391"/>
    </row>
    <row r="762" spans="1:21" ht="35.1" customHeight="1" x14ac:dyDescent="0.25">
      <c r="A762" s="550">
        <v>761</v>
      </c>
      <c r="B762" s="95">
        <v>45512</v>
      </c>
      <c r="C762" s="434"/>
      <c r="D762" s="488"/>
      <c r="E762" s="435"/>
      <c r="F762" s="434"/>
      <c r="G762" s="434"/>
      <c r="H762" s="434"/>
      <c r="I762" s="434"/>
      <c r="J762" s="434"/>
      <c r="K762" s="434"/>
      <c r="L762" s="434"/>
      <c r="M762" s="434"/>
      <c r="N762" s="557"/>
      <c r="O762" s="488">
        <f t="shared" si="14"/>
        <v>0</v>
      </c>
      <c r="P762" s="389"/>
      <c r="Q762" s="391"/>
      <c r="R762" s="391"/>
      <c r="S762" s="391"/>
      <c r="T762" s="391"/>
      <c r="U762" s="391"/>
    </row>
    <row r="763" spans="1:21" ht="35.1" customHeight="1" x14ac:dyDescent="0.25">
      <c r="A763" s="550">
        <v>762</v>
      </c>
      <c r="B763" s="95">
        <v>45513</v>
      </c>
      <c r="C763" s="434"/>
      <c r="D763" s="488"/>
      <c r="E763" s="435"/>
      <c r="F763" s="434"/>
      <c r="G763" s="434"/>
      <c r="H763" s="434"/>
      <c r="I763" s="434"/>
      <c r="J763" s="434"/>
      <c r="K763" s="434"/>
      <c r="L763" s="434"/>
      <c r="M763" s="434"/>
      <c r="N763" s="557"/>
      <c r="O763" s="488">
        <f t="shared" si="14"/>
        <v>0</v>
      </c>
      <c r="P763" s="389"/>
      <c r="Q763" s="391"/>
      <c r="R763" s="391"/>
      <c r="S763" s="391"/>
      <c r="T763" s="391"/>
      <c r="U763" s="391"/>
    </row>
    <row r="764" spans="1:21" ht="35.1" customHeight="1" x14ac:dyDescent="0.25">
      <c r="A764" s="550">
        <v>763</v>
      </c>
      <c r="B764" s="95">
        <v>45514</v>
      </c>
      <c r="C764" s="434"/>
      <c r="D764" s="488"/>
      <c r="E764" s="435"/>
      <c r="F764" s="434"/>
      <c r="G764" s="434"/>
      <c r="H764" s="434"/>
      <c r="I764" s="434"/>
      <c r="J764" s="434"/>
      <c r="K764" s="434"/>
      <c r="L764" s="434"/>
      <c r="M764" s="434"/>
      <c r="N764" s="557"/>
      <c r="O764" s="488">
        <f t="shared" si="14"/>
        <v>0</v>
      </c>
      <c r="P764" s="389"/>
      <c r="Q764" s="391"/>
      <c r="R764" s="391"/>
      <c r="S764" s="391"/>
      <c r="T764" s="391"/>
      <c r="U764" s="391"/>
    </row>
    <row r="765" spans="1:21" ht="35.1" customHeight="1" x14ac:dyDescent="0.25">
      <c r="A765" s="550">
        <v>764</v>
      </c>
      <c r="B765" s="95">
        <v>45515</v>
      </c>
      <c r="C765" s="434"/>
      <c r="D765" s="488"/>
      <c r="E765" s="435"/>
      <c r="F765" s="434"/>
      <c r="G765" s="434"/>
      <c r="H765" s="434"/>
      <c r="I765" s="434"/>
      <c r="J765" s="434"/>
      <c r="K765" s="434"/>
      <c r="L765" s="434"/>
      <c r="M765" s="434"/>
      <c r="N765" s="557"/>
      <c r="O765" s="488">
        <f t="shared" si="14"/>
        <v>0</v>
      </c>
      <c r="P765" s="389"/>
      <c r="Q765" s="391"/>
      <c r="R765" s="391"/>
      <c r="S765" s="391"/>
      <c r="T765" s="391"/>
      <c r="U765" s="391"/>
    </row>
    <row r="766" spans="1:21" ht="35.1" customHeight="1" x14ac:dyDescent="0.25">
      <c r="A766" s="550">
        <v>765</v>
      </c>
      <c r="B766" s="95">
        <v>45516</v>
      </c>
      <c r="C766" s="434"/>
      <c r="D766" s="488"/>
      <c r="E766" s="435"/>
      <c r="F766" s="434"/>
      <c r="G766" s="434"/>
      <c r="H766" s="434"/>
      <c r="I766" s="434"/>
      <c r="J766" s="434"/>
      <c r="K766" s="434"/>
      <c r="L766" s="434"/>
      <c r="M766" s="434"/>
      <c r="N766" s="557"/>
      <c r="O766" s="488">
        <f t="shared" si="14"/>
        <v>0</v>
      </c>
      <c r="P766" s="389"/>
      <c r="Q766" s="391"/>
      <c r="R766" s="391"/>
      <c r="S766" s="391"/>
      <c r="T766" s="391"/>
      <c r="U766" s="391"/>
    </row>
    <row r="767" spans="1:21" ht="35.1" customHeight="1" x14ac:dyDescent="0.25">
      <c r="A767" s="550">
        <v>766</v>
      </c>
      <c r="B767" s="95">
        <v>45517</v>
      </c>
      <c r="C767" s="434"/>
      <c r="D767" s="488"/>
      <c r="E767" s="435"/>
      <c r="F767" s="434"/>
      <c r="G767" s="434"/>
      <c r="H767" s="434"/>
      <c r="I767" s="434"/>
      <c r="J767" s="434"/>
      <c r="K767" s="434"/>
      <c r="L767" s="434"/>
      <c r="M767" s="434"/>
      <c r="N767" s="557"/>
      <c r="O767" s="488">
        <f t="shared" si="14"/>
        <v>0</v>
      </c>
      <c r="P767" s="389"/>
      <c r="Q767" s="391"/>
      <c r="R767" s="391"/>
      <c r="S767" s="391"/>
      <c r="T767" s="391"/>
      <c r="U767" s="391"/>
    </row>
    <row r="768" spans="1:21" ht="35.1" customHeight="1" x14ac:dyDescent="0.25">
      <c r="A768" s="550">
        <v>767</v>
      </c>
      <c r="B768" s="95">
        <v>45518</v>
      </c>
      <c r="C768" s="434"/>
      <c r="D768" s="488"/>
      <c r="E768" s="435"/>
      <c r="F768" s="434"/>
      <c r="G768" s="434"/>
      <c r="H768" s="434"/>
      <c r="I768" s="434"/>
      <c r="J768" s="434"/>
      <c r="K768" s="434"/>
      <c r="L768" s="434"/>
      <c r="M768" s="434"/>
      <c r="N768" s="557"/>
      <c r="O768" s="488">
        <f t="shared" si="14"/>
        <v>0</v>
      </c>
      <c r="P768" s="389"/>
      <c r="Q768" s="391"/>
      <c r="R768" s="391"/>
      <c r="S768" s="391"/>
      <c r="T768" s="391"/>
      <c r="U768" s="391"/>
    </row>
    <row r="769" spans="1:21" ht="35.1" customHeight="1" x14ac:dyDescent="0.25">
      <c r="A769" s="550">
        <v>768</v>
      </c>
      <c r="B769" s="95">
        <v>45519</v>
      </c>
      <c r="C769" s="434"/>
      <c r="D769" s="488"/>
      <c r="E769" s="435"/>
      <c r="F769" s="434"/>
      <c r="G769" s="434"/>
      <c r="H769" s="434"/>
      <c r="I769" s="434"/>
      <c r="J769" s="434"/>
      <c r="K769" s="434"/>
      <c r="L769" s="434"/>
      <c r="M769" s="434"/>
      <c r="N769" s="557"/>
      <c r="O769" s="488">
        <f t="shared" si="14"/>
        <v>0</v>
      </c>
      <c r="P769" s="389"/>
      <c r="Q769" s="391"/>
      <c r="R769" s="391"/>
      <c r="S769" s="391"/>
      <c r="T769" s="391"/>
      <c r="U769" s="391"/>
    </row>
    <row r="770" spans="1:21" ht="35.1" customHeight="1" x14ac:dyDescent="0.25">
      <c r="A770" s="550">
        <v>769</v>
      </c>
      <c r="B770" s="95">
        <v>45520</v>
      </c>
      <c r="C770" s="434"/>
      <c r="D770" s="488"/>
      <c r="E770" s="435"/>
      <c r="F770" s="434"/>
      <c r="G770" s="434"/>
      <c r="H770" s="434"/>
      <c r="I770" s="434"/>
      <c r="J770" s="434"/>
      <c r="K770" s="434"/>
      <c r="L770" s="434"/>
      <c r="M770" s="434"/>
      <c r="N770" s="557"/>
      <c r="O770" s="488">
        <f t="shared" si="14"/>
        <v>0</v>
      </c>
      <c r="P770" s="389"/>
      <c r="Q770" s="391"/>
      <c r="R770" s="391"/>
      <c r="S770" s="391"/>
      <c r="T770" s="391"/>
      <c r="U770" s="391"/>
    </row>
    <row r="771" spans="1:21" ht="35.1" customHeight="1" x14ac:dyDescent="0.25">
      <c r="A771" s="550">
        <v>770</v>
      </c>
      <c r="B771" s="95">
        <v>45521</v>
      </c>
      <c r="C771" s="434"/>
      <c r="D771" s="488"/>
      <c r="E771" s="435"/>
      <c r="F771" s="434"/>
      <c r="G771" s="434"/>
      <c r="H771" s="434"/>
      <c r="I771" s="434"/>
      <c r="J771" s="434"/>
      <c r="K771" s="434"/>
      <c r="L771" s="434"/>
      <c r="M771" s="434"/>
      <c r="N771" s="557"/>
      <c r="O771" s="488">
        <f t="shared" si="14"/>
        <v>0</v>
      </c>
      <c r="P771" s="389"/>
      <c r="Q771" s="391"/>
      <c r="R771" s="391"/>
      <c r="S771" s="391"/>
      <c r="T771" s="391"/>
      <c r="U771" s="391"/>
    </row>
    <row r="772" spans="1:21" ht="35.1" customHeight="1" x14ac:dyDescent="0.25">
      <c r="A772" s="550">
        <v>771</v>
      </c>
      <c r="B772" s="95">
        <v>45522</v>
      </c>
      <c r="C772" s="434"/>
      <c r="D772" s="488"/>
      <c r="E772" s="435"/>
      <c r="F772" s="434"/>
      <c r="G772" s="434"/>
      <c r="H772" s="434"/>
      <c r="I772" s="434"/>
      <c r="J772" s="434"/>
      <c r="K772" s="434"/>
      <c r="L772" s="434"/>
      <c r="M772" s="434"/>
      <c r="N772" s="557"/>
      <c r="O772" s="488">
        <f t="shared" si="14"/>
        <v>0</v>
      </c>
      <c r="P772" s="389"/>
      <c r="Q772" s="391"/>
      <c r="R772" s="391"/>
      <c r="S772" s="391"/>
      <c r="T772" s="391"/>
      <c r="U772" s="391"/>
    </row>
    <row r="773" spans="1:21" ht="35.1" customHeight="1" x14ac:dyDescent="0.25">
      <c r="A773" s="550">
        <v>772</v>
      </c>
      <c r="B773" s="95">
        <v>45523</v>
      </c>
      <c r="C773" s="434"/>
      <c r="D773" s="488"/>
      <c r="E773" s="435"/>
      <c r="F773" s="434"/>
      <c r="G773" s="434"/>
      <c r="H773" s="434"/>
      <c r="I773" s="434"/>
      <c r="J773" s="434"/>
      <c r="K773" s="434"/>
      <c r="L773" s="434"/>
      <c r="M773" s="434"/>
      <c r="N773" s="557"/>
      <c r="O773" s="488">
        <f t="shared" si="14"/>
        <v>0</v>
      </c>
      <c r="P773" s="389"/>
      <c r="Q773" s="391"/>
      <c r="R773" s="391"/>
      <c r="S773" s="391"/>
      <c r="T773" s="391"/>
      <c r="U773" s="391"/>
    </row>
    <row r="774" spans="1:21" ht="35.1" customHeight="1" x14ac:dyDescent="0.25">
      <c r="A774" s="550">
        <v>773</v>
      </c>
      <c r="B774" s="95">
        <v>45524</v>
      </c>
      <c r="C774" s="434"/>
      <c r="D774" s="488"/>
      <c r="E774" s="435"/>
      <c r="F774" s="434"/>
      <c r="G774" s="434"/>
      <c r="H774" s="434"/>
      <c r="I774" s="434"/>
      <c r="J774" s="434"/>
      <c r="K774" s="434"/>
      <c r="L774" s="434"/>
      <c r="M774" s="434"/>
      <c r="N774" s="557"/>
      <c r="O774" s="488">
        <f t="shared" si="14"/>
        <v>0</v>
      </c>
      <c r="P774" s="389"/>
      <c r="Q774" s="391"/>
      <c r="R774" s="391"/>
      <c r="S774" s="391"/>
      <c r="T774" s="391"/>
      <c r="U774" s="391"/>
    </row>
    <row r="775" spans="1:21" ht="35.1" customHeight="1" x14ac:dyDescent="0.25">
      <c r="A775" s="550">
        <v>774</v>
      </c>
      <c r="B775" s="95">
        <v>45525</v>
      </c>
      <c r="C775" s="434"/>
      <c r="D775" s="488"/>
      <c r="E775" s="435"/>
      <c r="F775" s="434"/>
      <c r="G775" s="434"/>
      <c r="H775" s="434"/>
      <c r="I775" s="434"/>
      <c r="J775" s="434"/>
      <c r="K775" s="434"/>
      <c r="L775" s="434"/>
      <c r="M775" s="434"/>
      <c r="N775" s="557"/>
      <c r="O775" s="488">
        <f t="shared" si="14"/>
        <v>0</v>
      </c>
      <c r="P775" s="389"/>
      <c r="Q775" s="391"/>
      <c r="R775" s="391"/>
      <c r="S775" s="391"/>
      <c r="T775" s="391"/>
      <c r="U775" s="391"/>
    </row>
    <row r="776" spans="1:21" ht="35.1" customHeight="1" x14ac:dyDescent="0.25">
      <c r="A776" s="550">
        <v>775</v>
      </c>
      <c r="B776" s="95">
        <v>45526</v>
      </c>
      <c r="C776" s="434"/>
      <c r="D776" s="488"/>
      <c r="E776" s="435"/>
      <c r="F776" s="434"/>
      <c r="G776" s="434"/>
      <c r="H776" s="434"/>
      <c r="I776" s="434"/>
      <c r="J776" s="434"/>
      <c r="K776" s="434"/>
      <c r="L776" s="434"/>
      <c r="M776" s="434"/>
      <c r="N776" s="557"/>
      <c r="O776" s="488">
        <f t="shared" si="14"/>
        <v>0</v>
      </c>
      <c r="P776" s="389"/>
      <c r="Q776" s="391"/>
      <c r="R776" s="391"/>
      <c r="S776" s="391"/>
      <c r="T776" s="391"/>
      <c r="U776" s="391"/>
    </row>
    <row r="777" spans="1:21" ht="35.1" customHeight="1" x14ac:dyDescent="0.25">
      <c r="A777" s="550">
        <v>776</v>
      </c>
      <c r="B777" s="95">
        <v>45527</v>
      </c>
      <c r="C777" s="434"/>
      <c r="D777" s="488"/>
      <c r="E777" s="435"/>
      <c r="F777" s="434"/>
      <c r="G777" s="434"/>
      <c r="H777" s="434"/>
      <c r="I777" s="434"/>
      <c r="J777" s="434"/>
      <c r="K777" s="434"/>
      <c r="L777" s="434"/>
      <c r="M777" s="434"/>
      <c r="N777" s="557"/>
      <c r="O777" s="488">
        <f t="shared" si="14"/>
        <v>0</v>
      </c>
      <c r="P777" s="389"/>
      <c r="Q777" s="391"/>
      <c r="R777" s="391"/>
      <c r="S777" s="391"/>
      <c r="T777" s="391"/>
      <c r="U777" s="391"/>
    </row>
    <row r="778" spans="1:21" ht="35.1" customHeight="1" x14ac:dyDescent="0.25">
      <c r="A778" s="550">
        <v>777</v>
      </c>
      <c r="B778" s="95">
        <v>45528</v>
      </c>
      <c r="C778" s="434"/>
      <c r="D778" s="488"/>
      <c r="E778" s="435"/>
      <c r="F778" s="434"/>
      <c r="G778" s="434"/>
      <c r="H778" s="434"/>
      <c r="I778" s="434"/>
      <c r="J778" s="434"/>
      <c r="K778" s="434"/>
      <c r="L778" s="434"/>
      <c r="M778" s="434"/>
      <c r="N778" s="557"/>
      <c r="O778" s="488">
        <f t="shared" si="14"/>
        <v>0</v>
      </c>
      <c r="P778" s="389"/>
      <c r="Q778" s="391"/>
      <c r="R778" s="391"/>
      <c r="S778" s="391"/>
      <c r="T778" s="391"/>
      <c r="U778" s="391"/>
    </row>
    <row r="779" spans="1:21" ht="35.1" customHeight="1" x14ac:dyDescent="0.25">
      <c r="A779" s="550">
        <v>778</v>
      </c>
      <c r="B779" s="95">
        <v>45529</v>
      </c>
      <c r="C779" s="434"/>
      <c r="D779" s="488"/>
      <c r="E779" s="435"/>
      <c r="F779" s="434"/>
      <c r="G779" s="434"/>
      <c r="H779" s="434"/>
      <c r="I779" s="434"/>
      <c r="J779" s="434"/>
      <c r="K779" s="434"/>
      <c r="L779" s="434"/>
      <c r="M779" s="434"/>
      <c r="N779" s="557"/>
      <c r="O779" s="488">
        <f t="shared" si="14"/>
        <v>0</v>
      </c>
      <c r="P779" s="389"/>
      <c r="Q779" s="391"/>
      <c r="R779" s="391"/>
      <c r="S779" s="391"/>
      <c r="T779" s="391"/>
      <c r="U779" s="391"/>
    </row>
    <row r="780" spans="1:21" ht="35.1" customHeight="1" x14ac:dyDescent="0.25">
      <c r="A780" s="550">
        <v>779</v>
      </c>
      <c r="B780" s="95">
        <v>45530</v>
      </c>
      <c r="C780" s="434"/>
      <c r="D780" s="488"/>
      <c r="E780" s="435"/>
      <c r="F780" s="434"/>
      <c r="G780" s="434"/>
      <c r="H780" s="434"/>
      <c r="I780" s="434"/>
      <c r="J780" s="434"/>
      <c r="K780" s="434"/>
      <c r="L780" s="434"/>
      <c r="M780" s="434"/>
      <c r="N780" s="557"/>
      <c r="O780" s="488">
        <f t="shared" si="14"/>
        <v>0</v>
      </c>
      <c r="P780" s="389"/>
      <c r="Q780" s="391"/>
      <c r="R780" s="391"/>
      <c r="S780" s="391"/>
      <c r="T780" s="391"/>
      <c r="U780" s="391"/>
    </row>
    <row r="781" spans="1:21" ht="35.1" customHeight="1" x14ac:dyDescent="0.25">
      <c r="A781" s="550">
        <v>780</v>
      </c>
      <c r="B781" s="95">
        <v>45531</v>
      </c>
      <c r="C781" s="434"/>
      <c r="D781" s="488"/>
      <c r="E781" s="435"/>
      <c r="F781" s="434"/>
      <c r="G781" s="434"/>
      <c r="H781" s="434"/>
      <c r="I781" s="434"/>
      <c r="J781" s="434"/>
      <c r="K781" s="434"/>
      <c r="L781" s="434"/>
      <c r="M781" s="434"/>
      <c r="N781" s="557"/>
      <c r="O781" s="488">
        <f t="shared" si="14"/>
        <v>0</v>
      </c>
      <c r="P781" s="389"/>
      <c r="Q781" s="391"/>
      <c r="R781" s="391"/>
      <c r="S781" s="391"/>
      <c r="T781" s="391"/>
      <c r="U781" s="391"/>
    </row>
    <row r="782" spans="1:21" ht="35.1" customHeight="1" x14ac:dyDescent="0.25">
      <c r="A782" s="550">
        <v>781</v>
      </c>
      <c r="B782" s="95">
        <v>45532</v>
      </c>
      <c r="C782" s="434"/>
      <c r="D782" s="488"/>
      <c r="E782" s="435"/>
      <c r="F782" s="434"/>
      <c r="G782" s="434"/>
      <c r="H782" s="434"/>
      <c r="I782" s="434"/>
      <c r="J782" s="434"/>
      <c r="K782" s="434"/>
      <c r="L782" s="434"/>
      <c r="M782" s="434"/>
      <c r="N782" s="557"/>
      <c r="O782" s="488">
        <f t="shared" si="14"/>
        <v>0</v>
      </c>
      <c r="P782" s="389"/>
      <c r="Q782" s="391"/>
      <c r="R782" s="391"/>
      <c r="S782" s="391"/>
      <c r="T782" s="391"/>
      <c r="U782" s="391"/>
    </row>
    <row r="783" spans="1:21" ht="35.1" customHeight="1" x14ac:dyDescent="0.25">
      <c r="A783" s="550">
        <v>782</v>
      </c>
      <c r="B783" s="95">
        <v>45533</v>
      </c>
      <c r="C783" s="434"/>
      <c r="D783" s="488"/>
      <c r="E783" s="435"/>
      <c r="F783" s="434"/>
      <c r="G783" s="434"/>
      <c r="H783" s="434"/>
      <c r="I783" s="434"/>
      <c r="J783" s="434"/>
      <c r="K783" s="434"/>
      <c r="L783" s="434"/>
      <c r="M783" s="434"/>
      <c r="N783" s="557"/>
      <c r="O783" s="488">
        <f t="shared" si="14"/>
        <v>0</v>
      </c>
      <c r="P783" s="389"/>
      <c r="Q783" s="391"/>
      <c r="R783" s="391"/>
      <c r="S783" s="391"/>
      <c r="T783" s="391"/>
      <c r="U783" s="391"/>
    </row>
    <row r="784" spans="1:21" ht="35.1" customHeight="1" x14ac:dyDescent="0.25">
      <c r="A784" s="550">
        <v>783</v>
      </c>
      <c r="B784" s="95">
        <v>45534</v>
      </c>
      <c r="C784" s="434"/>
      <c r="D784" s="488"/>
      <c r="E784" s="435"/>
      <c r="F784" s="434"/>
      <c r="G784" s="434"/>
      <c r="H784" s="434"/>
      <c r="I784" s="434"/>
      <c r="J784" s="434"/>
      <c r="K784" s="434"/>
      <c r="L784" s="434"/>
      <c r="M784" s="434"/>
      <c r="N784" s="557"/>
      <c r="O784" s="488">
        <f t="shared" si="14"/>
        <v>0</v>
      </c>
      <c r="P784" s="389"/>
      <c r="Q784" s="391"/>
      <c r="R784" s="391"/>
      <c r="S784" s="391"/>
      <c r="T784" s="391"/>
      <c r="U784" s="391"/>
    </row>
    <row r="785" spans="1:21" ht="35.1" customHeight="1" x14ac:dyDescent="0.25">
      <c r="A785" s="550">
        <v>784</v>
      </c>
      <c r="B785" s="95">
        <v>45535</v>
      </c>
      <c r="C785" s="434"/>
      <c r="D785" s="488"/>
      <c r="E785" s="435"/>
      <c r="F785" s="434"/>
      <c r="G785" s="434"/>
      <c r="H785" s="434"/>
      <c r="I785" s="434"/>
      <c r="J785" s="434"/>
      <c r="K785" s="434"/>
      <c r="L785" s="434"/>
      <c r="M785" s="434"/>
      <c r="N785" s="557"/>
      <c r="O785" s="488">
        <f t="shared" si="14"/>
        <v>0</v>
      </c>
      <c r="P785" s="389"/>
      <c r="Q785" s="391"/>
      <c r="R785" s="391"/>
      <c r="S785" s="391"/>
      <c r="T785" s="391"/>
      <c r="U785" s="391"/>
    </row>
    <row r="786" spans="1:21" ht="35.1" customHeight="1" x14ac:dyDescent="0.25">
      <c r="A786" s="550">
        <v>785</v>
      </c>
      <c r="B786" s="95">
        <v>45536</v>
      </c>
      <c r="C786" s="434"/>
      <c r="D786" s="488"/>
      <c r="E786" s="435"/>
      <c r="F786" s="434"/>
      <c r="G786" s="434"/>
      <c r="H786" s="434"/>
      <c r="I786" s="434"/>
      <c r="J786" s="434"/>
      <c r="K786" s="434"/>
      <c r="L786" s="434"/>
      <c r="M786" s="434"/>
      <c r="N786" s="557"/>
      <c r="O786" s="488">
        <f t="shared" si="14"/>
        <v>0</v>
      </c>
      <c r="P786" s="389"/>
      <c r="Q786" s="391"/>
      <c r="R786" s="391"/>
      <c r="S786" s="391"/>
      <c r="T786" s="391"/>
      <c r="U786" s="391"/>
    </row>
    <row r="787" spans="1:21" ht="35.1" customHeight="1" x14ac:dyDescent="0.25">
      <c r="A787" s="550">
        <v>786</v>
      </c>
      <c r="B787" s="95">
        <v>45537</v>
      </c>
      <c r="C787" s="434"/>
      <c r="D787" s="488"/>
      <c r="E787" s="435"/>
      <c r="F787" s="434"/>
      <c r="G787" s="434"/>
      <c r="H787" s="434"/>
      <c r="I787" s="434"/>
      <c r="J787" s="434"/>
      <c r="K787" s="434"/>
      <c r="L787" s="434"/>
      <c r="M787" s="434"/>
      <c r="N787" s="557"/>
      <c r="O787" s="488">
        <f t="shared" si="14"/>
        <v>0</v>
      </c>
      <c r="P787" s="389"/>
      <c r="Q787" s="391"/>
      <c r="R787" s="391"/>
      <c r="S787" s="391"/>
      <c r="T787" s="391"/>
      <c r="U787" s="391"/>
    </row>
    <row r="788" spans="1:21" ht="35.1" customHeight="1" x14ac:dyDescent="0.25">
      <c r="A788" s="550">
        <v>787</v>
      </c>
      <c r="B788" s="95">
        <v>45538</v>
      </c>
      <c r="C788" s="434"/>
      <c r="D788" s="488"/>
      <c r="E788" s="435"/>
      <c r="F788" s="434"/>
      <c r="G788" s="434"/>
      <c r="H788" s="434"/>
      <c r="I788" s="434"/>
      <c r="J788" s="434"/>
      <c r="K788" s="434"/>
      <c r="L788" s="434"/>
      <c r="M788" s="434"/>
      <c r="N788" s="557"/>
      <c r="O788" s="488">
        <f t="shared" si="14"/>
        <v>0</v>
      </c>
      <c r="P788" s="389"/>
      <c r="Q788" s="391"/>
      <c r="R788" s="391"/>
      <c r="S788" s="391"/>
      <c r="T788" s="391"/>
      <c r="U788" s="391"/>
    </row>
    <row r="789" spans="1:21" ht="35.1" customHeight="1" x14ac:dyDescent="0.25">
      <c r="A789" s="550">
        <v>788</v>
      </c>
      <c r="B789" s="95">
        <v>45539</v>
      </c>
      <c r="C789" s="434"/>
      <c r="D789" s="488"/>
      <c r="E789" s="435"/>
      <c r="F789" s="434"/>
      <c r="G789" s="434"/>
      <c r="H789" s="434"/>
      <c r="I789" s="434"/>
      <c r="J789" s="434"/>
      <c r="K789" s="434"/>
      <c r="L789" s="434"/>
      <c r="M789" s="434"/>
      <c r="N789" s="557"/>
      <c r="O789" s="488">
        <f t="shared" si="14"/>
        <v>0</v>
      </c>
      <c r="P789" s="389"/>
      <c r="Q789" s="391"/>
      <c r="R789" s="391"/>
      <c r="S789" s="391"/>
      <c r="T789" s="391"/>
      <c r="U789" s="391"/>
    </row>
    <row r="790" spans="1:21" ht="35.1" customHeight="1" x14ac:dyDescent="0.25">
      <c r="A790" s="550">
        <v>789</v>
      </c>
      <c r="B790" s="95">
        <v>45540</v>
      </c>
      <c r="C790" s="434"/>
      <c r="D790" s="488"/>
      <c r="E790" s="435"/>
      <c r="F790" s="434"/>
      <c r="G790" s="434"/>
      <c r="H790" s="434"/>
      <c r="I790" s="434"/>
      <c r="J790" s="434"/>
      <c r="K790" s="434"/>
      <c r="L790" s="434"/>
      <c r="M790" s="434"/>
      <c r="N790" s="557"/>
      <c r="O790" s="488">
        <f t="shared" si="14"/>
        <v>0</v>
      </c>
      <c r="P790" s="389"/>
      <c r="Q790" s="391"/>
      <c r="R790" s="391"/>
      <c r="S790" s="391"/>
      <c r="T790" s="391"/>
      <c r="U790" s="391"/>
    </row>
    <row r="791" spans="1:21" ht="35.1" customHeight="1" x14ac:dyDescent="0.25">
      <c r="A791" s="550">
        <v>790</v>
      </c>
      <c r="B791" s="95">
        <v>45541</v>
      </c>
      <c r="C791" s="434"/>
      <c r="D791" s="488"/>
      <c r="E791" s="435"/>
      <c r="F791" s="434"/>
      <c r="G791" s="434"/>
      <c r="H791" s="434"/>
      <c r="I791" s="434"/>
      <c r="J791" s="434"/>
      <c r="K791" s="434"/>
      <c r="L791" s="434"/>
      <c r="M791" s="434"/>
      <c r="N791" s="557"/>
      <c r="O791" s="488">
        <f t="shared" si="14"/>
        <v>0</v>
      </c>
      <c r="P791" s="389"/>
      <c r="Q791" s="391"/>
      <c r="R791" s="391"/>
      <c r="S791" s="391"/>
      <c r="T791" s="391"/>
      <c r="U791" s="391"/>
    </row>
    <row r="792" spans="1:21" ht="35.1" customHeight="1" x14ac:dyDescent="0.25">
      <c r="A792" s="550">
        <v>791</v>
      </c>
      <c r="B792" s="95">
        <v>45542</v>
      </c>
      <c r="C792" s="434"/>
      <c r="D792" s="488"/>
      <c r="E792" s="435"/>
      <c r="F792" s="434"/>
      <c r="G792" s="434"/>
      <c r="H792" s="434"/>
      <c r="I792" s="434"/>
      <c r="J792" s="434"/>
      <c r="K792" s="434"/>
      <c r="L792" s="434"/>
      <c r="M792" s="434"/>
      <c r="N792" s="557"/>
      <c r="O792" s="488">
        <f t="shared" si="14"/>
        <v>0</v>
      </c>
      <c r="P792" s="389"/>
      <c r="Q792" s="391"/>
      <c r="R792" s="391"/>
      <c r="S792" s="391"/>
      <c r="T792" s="391"/>
      <c r="U792" s="391"/>
    </row>
    <row r="793" spans="1:21" ht="35.1" customHeight="1" x14ac:dyDescent="0.25">
      <c r="A793" s="550">
        <v>792</v>
      </c>
      <c r="B793" s="95">
        <v>45543</v>
      </c>
      <c r="C793" s="434"/>
      <c r="D793" s="488"/>
      <c r="E793" s="435"/>
      <c r="F793" s="434"/>
      <c r="G793" s="434"/>
      <c r="H793" s="434"/>
      <c r="I793" s="434"/>
      <c r="J793" s="434"/>
      <c r="K793" s="434"/>
      <c r="L793" s="434"/>
      <c r="M793" s="434"/>
      <c r="N793" s="557"/>
      <c r="O793" s="488">
        <f t="shared" si="14"/>
        <v>0</v>
      </c>
      <c r="P793" s="389"/>
      <c r="Q793" s="391"/>
      <c r="R793" s="391"/>
      <c r="S793" s="391"/>
      <c r="T793" s="391"/>
      <c r="U793" s="391"/>
    </row>
    <row r="794" spans="1:21" ht="35.1" customHeight="1" x14ac:dyDescent="0.25">
      <c r="A794" s="550">
        <v>793</v>
      </c>
      <c r="B794" s="95">
        <v>45544</v>
      </c>
      <c r="C794" s="434"/>
      <c r="D794" s="488"/>
      <c r="E794" s="435"/>
      <c r="F794" s="434"/>
      <c r="G794" s="434"/>
      <c r="H794" s="434"/>
      <c r="I794" s="434"/>
      <c r="J794" s="434"/>
      <c r="K794" s="434"/>
      <c r="L794" s="434"/>
      <c r="M794" s="434"/>
      <c r="N794" s="557"/>
      <c r="O794" s="488">
        <f t="shared" si="14"/>
        <v>0</v>
      </c>
      <c r="P794" s="389"/>
      <c r="Q794" s="391"/>
      <c r="R794" s="391"/>
      <c r="S794" s="391"/>
      <c r="T794" s="391"/>
      <c r="U794" s="391"/>
    </row>
    <row r="795" spans="1:21" ht="35.1" customHeight="1" x14ac:dyDescent="0.25">
      <c r="A795" s="550">
        <v>794</v>
      </c>
      <c r="B795" s="95">
        <v>45545</v>
      </c>
      <c r="C795" s="434"/>
      <c r="D795" s="488"/>
      <c r="E795" s="435"/>
      <c r="F795" s="434"/>
      <c r="G795" s="434"/>
      <c r="H795" s="434"/>
      <c r="I795" s="434"/>
      <c r="J795" s="434"/>
      <c r="K795" s="434"/>
      <c r="L795" s="434"/>
      <c r="M795" s="434"/>
      <c r="N795" s="557"/>
      <c r="O795" s="488">
        <f t="shared" si="14"/>
        <v>0</v>
      </c>
      <c r="P795" s="389"/>
      <c r="Q795" s="391"/>
      <c r="R795" s="391"/>
      <c r="S795" s="391"/>
      <c r="T795" s="391"/>
      <c r="U795" s="391"/>
    </row>
    <row r="796" spans="1:21" ht="35.1" customHeight="1" x14ac:dyDescent="0.25">
      <c r="A796" s="550">
        <v>795</v>
      </c>
      <c r="B796" s="95">
        <v>45546</v>
      </c>
      <c r="C796" s="434"/>
      <c r="D796" s="488"/>
      <c r="E796" s="435"/>
      <c r="F796" s="434"/>
      <c r="G796" s="434"/>
      <c r="H796" s="434"/>
      <c r="I796" s="434"/>
      <c r="J796" s="434"/>
      <c r="K796" s="434"/>
      <c r="L796" s="434"/>
      <c r="M796" s="434"/>
      <c r="N796" s="557"/>
      <c r="O796" s="488">
        <f t="shared" si="14"/>
        <v>0</v>
      </c>
      <c r="P796" s="389"/>
      <c r="Q796" s="391"/>
      <c r="R796" s="391"/>
      <c r="S796" s="391"/>
      <c r="T796" s="391"/>
      <c r="U796" s="391"/>
    </row>
    <row r="797" spans="1:21" ht="35.1" customHeight="1" x14ac:dyDescent="0.25">
      <c r="A797" s="550">
        <v>796</v>
      </c>
      <c r="B797" s="95">
        <v>45547</v>
      </c>
      <c r="C797" s="434"/>
      <c r="D797" s="488"/>
      <c r="E797" s="435"/>
      <c r="F797" s="434"/>
      <c r="G797" s="434"/>
      <c r="H797" s="434"/>
      <c r="I797" s="434"/>
      <c r="J797" s="434"/>
      <c r="K797" s="434"/>
      <c r="L797" s="434"/>
      <c r="M797" s="434"/>
      <c r="N797" s="557"/>
      <c r="O797" s="488">
        <f t="shared" si="14"/>
        <v>0</v>
      </c>
      <c r="P797" s="389"/>
      <c r="Q797" s="391"/>
      <c r="R797" s="391"/>
      <c r="S797" s="391"/>
      <c r="T797" s="391"/>
      <c r="U797" s="391"/>
    </row>
    <row r="798" spans="1:21" ht="35.1" customHeight="1" x14ac:dyDescent="0.25">
      <c r="A798" s="550">
        <v>797</v>
      </c>
      <c r="B798" s="95">
        <v>45548</v>
      </c>
      <c r="C798" s="434"/>
      <c r="D798" s="488"/>
      <c r="E798" s="435"/>
      <c r="F798" s="434"/>
      <c r="G798" s="434"/>
      <c r="H798" s="434"/>
      <c r="I798" s="434"/>
      <c r="J798" s="434"/>
      <c r="K798" s="434"/>
      <c r="L798" s="434"/>
      <c r="M798" s="434"/>
      <c r="N798" s="557"/>
      <c r="O798" s="488">
        <f t="shared" si="14"/>
        <v>0</v>
      </c>
      <c r="P798" s="389"/>
      <c r="Q798" s="391"/>
      <c r="R798" s="391"/>
      <c r="S798" s="391"/>
      <c r="T798" s="391"/>
      <c r="U798" s="391"/>
    </row>
    <row r="799" spans="1:21" ht="35.1" customHeight="1" x14ac:dyDescent="0.25">
      <c r="A799" s="550">
        <v>798</v>
      </c>
      <c r="B799" s="95">
        <v>45549</v>
      </c>
      <c r="C799" s="434"/>
      <c r="D799" s="488"/>
      <c r="E799" s="435"/>
      <c r="F799" s="434"/>
      <c r="G799" s="434"/>
      <c r="H799" s="434"/>
      <c r="I799" s="434"/>
      <c r="J799" s="434"/>
      <c r="K799" s="434"/>
      <c r="L799" s="434"/>
      <c r="M799" s="434"/>
      <c r="N799" s="557"/>
      <c r="O799" s="488">
        <f t="shared" si="14"/>
        <v>0</v>
      </c>
      <c r="P799" s="389"/>
      <c r="Q799" s="391"/>
      <c r="R799" s="391"/>
      <c r="S799" s="391"/>
      <c r="T799" s="391"/>
      <c r="U799" s="391"/>
    </row>
    <row r="800" spans="1:21" ht="35.1" customHeight="1" x14ac:dyDescent="0.25">
      <c r="A800" s="550">
        <v>799</v>
      </c>
      <c r="B800" s="95">
        <v>45550</v>
      </c>
      <c r="C800" s="434"/>
      <c r="D800" s="488"/>
      <c r="E800" s="435"/>
      <c r="F800" s="434"/>
      <c r="G800" s="434"/>
      <c r="H800" s="434"/>
      <c r="I800" s="434"/>
      <c r="J800" s="434"/>
      <c r="K800" s="434"/>
      <c r="L800" s="434"/>
      <c r="M800" s="434"/>
      <c r="N800" s="557"/>
      <c r="O800" s="488">
        <f t="shared" si="14"/>
        <v>0</v>
      </c>
      <c r="P800" s="389"/>
      <c r="Q800" s="391"/>
      <c r="R800" s="391"/>
      <c r="S800" s="391"/>
      <c r="T800" s="391"/>
      <c r="U800" s="391"/>
    </row>
    <row r="801" spans="1:21" ht="35.1" customHeight="1" x14ac:dyDescent="0.25">
      <c r="A801" s="550">
        <v>800</v>
      </c>
      <c r="B801" s="95">
        <v>45551</v>
      </c>
      <c r="C801" s="434"/>
      <c r="D801" s="488"/>
      <c r="E801" s="435"/>
      <c r="F801" s="434"/>
      <c r="G801" s="434"/>
      <c r="H801" s="434"/>
      <c r="I801" s="434"/>
      <c r="J801" s="434"/>
      <c r="K801" s="434"/>
      <c r="L801" s="434"/>
      <c r="M801" s="434"/>
      <c r="N801" s="557"/>
      <c r="O801" s="488">
        <f t="shared" si="14"/>
        <v>0</v>
      </c>
      <c r="P801" s="389"/>
      <c r="Q801" s="391"/>
      <c r="R801" s="391"/>
      <c r="S801" s="391"/>
      <c r="T801" s="391"/>
      <c r="U801" s="391"/>
    </row>
    <row r="802" spans="1:21" ht="35.1" customHeight="1" x14ac:dyDescent="0.25">
      <c r="A802" s="550">
        <v>801</v>
      </c>
      <c r="B802" s="95">
        <v>45552</v>
      </c>
      <c r="C802" s="434"/>
      <c r="D802" s="488"/>
      <c r="E802" s="435"/>
      <c r="F802" s="434"/>
      <c r="G802" s="434"/>
      <c r="H802" s="434"/>
      <c r="I802" s="434"/>
      <c r="J802" s="434"/>
      <c r="K802" s="434"/>
      <c r="L802" s="434"/>
      <c r="M802" s="434"/>
      <c r="N802" s="557"/>
      <c r="O802" s="488">
        <f t="shared" si="14"/>
        <v>0</v>
      </c>
      <c r="P802" s="389"/>
      <c r="Q802" s="391"/>
      <c r="R802" s="391"/>
      <c r="S802" s="391"/>
      <c r="T802" s="391"/>
      <c r="U802" s="391"/>
    </row>
    <row r="803" spans="1:21" ht="35.1" customHeight="1" x14ac:dyDescent="0.25">
      <c r="A803" s="550">
        <v>802</v>
      </c>
      <c r="B803" s="95">
        <v>45553</v>
      </c>
      <c r="C803" s="434"/>
      <c r="D803" s="488"/>
      <c r="E803" s="435"/>
      <c r="F803" s="434"/>
      <c r="G803" s="434"/>
      <c r="H803" s="434"/>
      <c r="I803" s="434"/>
      <c r="J803" s="434"/>
      <c r="K803" s="434"/>
      <c r="L803" s="434"/>
      <c r="M803" s="434"/>
      <c r="N803" s="557"/>
      <c r="O803" s="488">
        <f t="shared" si="14"/>
        <v>0</v>
      </c>
      <c r="P803" s="389"/>
      <c r="Q803" s="391"/>
      <c r="R803" s="391"/>
      <c r="S803" s="391"/>
      <c r="T803" s="391"/>
      <c r="U803" s="391"/>
    </row>
    <row r="804" spans="1:21" ht="35.1" customHeight="1" x14ac:dyDescent="0.25">
      <c r="A804" s="550">
        <v>803</v>
      </c>
      <c r="B804" s="95">
        <v>45554</v>
      </c>
      <c r="C804" s="434"/>
      <c r="D804" s="488"/>
      <c r="E804" s="435"/>
      <c r="F804" s="434"/>
      <c r="G804" s="434"/>
      <c r="H804" s="434"/>
      <c r="I804" s="434"/>
      <c r="J804" s="434"/>
      <c r="K804" s="434"/>
      <c r="L804" s="434"/>
      <c r="M804" s="434"/>
      <c r="N804" s="557"/>
      <c r="O804" s="488">
        <f t="shared" si="14"/>
        <v>0</v>
      </c>
      <c r="P804" s="389"/>
      <c r="Q804" s="391"/>
      <c r="R804" s="391"/>
      <c r="S804" s="391"/>
      <c r="T804" s="391"/>
      <c r="U804" s="391"/>
    </row>
    <row r="805" spans="1:21" ht="35.1" customHeight="1" x14ac:dyDescent="0.25">
      <c r="A805" s="550">
        <v>804</v>
      </c>
      <c r="B805" s="95">
        <v>45555</v>
      </c>
      <c r="C805" s="434"/>
      <c r="D805" s="488"/>
      <c r="E805" s="435"/>
      <c r="F805" s="434"/>
      <c r="G805" s="434"/>
      <c r="H805" s="434"/>
      <c r="I805" s="434"/>
      <c r="J805" s="434"/>
      <c r="K805" s="434"/>
      <c r="L805" s="434"/>
      <c r="M805" s="434"/>
      <c r="N805" s="557"/>
      <c r="O805" s="488">
        <f t="shared" si="14"/>
        <v>0</v>
      </c>
      <c r="P805" s="389"/>
      <c r="Q805" s="391"/>
      <c r="R805" s="391"/>
      <c r="S805" s="391"/>
      <c r="T805" s="391"/>
      <c r="U805" s="391"/>
    </row>
    <row r="806" spans="1:21" ht="35.1" customHeight="1" x14ac:dyDescent="0.25">
      <c r="A806" s="550">
        <v>805</v>
      </c>
      <c r="B806" s="95">
        <v>45556</v>
      </c>
      <c r="C806" s="434"/>
      <c r="D806" s="488"/>
      <c r="E806" s="435"/>
      <c r="F806" s="434"/>
      <c r="G806" s="434"/>
      <c r="H806" s="434"/>
      <c r="I806" s="434"/>
      <c r="J806" s="434"/>
      <c r="K806" s="434"/>
      <c r="L806" s="434"/>
      <c r="M806" s="434"/>
      <c r="N806" s="557"/>
      <c r="O806" s="488">
        <f t="shared" si="14"/>
        <v>0</v>
      </c>
      <c r="P806" s="389"/>
      <c r="Q806" s="391"/>
      <c r="R806" s="391"/>
      <c r="S806" s="391"/>
      <c r="T806" s="391"/>
      <c r="U806" s="391"/>
    </row>
    <row r="807" spans="1:21" ht="35.1" customHeight="1" x14ac:dyDescent="0.25">
      <c r="A807" s="550">
        <v>806</v>
      </c>
      <c r="B807" s="95">
        <v>45557</v>
      </c>
      <c r="C807" s="434"/>
      <c r="D807" s="488"/>
      <c r="E807" s="435"/>
      <c r="F807" s="434"/>
      <c r="G807" s="434"/>
      <c r="H807" s="434"/>
      <c r="I807" s="434"/>
      <c r="J807" s="434"/>
      <c r="K807" s="434"/>
      <c r="L807" s="434"/>
      <c r="M807" s="434"/>
      <c r="N807" s="557"/>
      <c r="O807" s="488">
        <f t="shared" si="14"/>
        <v>0</v>
      </c>
      <c r="P807" s="389"/>
      <c r="Q807" s="391"/>
      <c r="R807" s="391"/>
      <c r="S807" s="391"/>
      <c r="T807" s="391"/>
      <c r="U807" s="391"/>
    </row>
    <row r="808" spans="1:21" ht="35.1" customHeight="1" x14ac:dyDescent="0.25">
      <c r="A808" s="550">
        <v>807</v>
      </c>
      <c r="B808" s="95">
        <v>45558</v>
      </c>
      <c r="C808" s="434"/>
      <c r="D808" s="488"/>
      <c r="E808" s="435"/>
      <c r="F808" s="434"/>
      <c r="G808" s="434"/>
      <c r="H808" s="434"/>
      <c r="I808" s="434"/>
      <c r="J808" s="434"/>
      <c r="K808" s="434"/>
      <c r="L808" s="434"/>
      <c r="M808" s="434"/>
      <c r="N808" s="557"/>
      <c r="O808" s="488">
        <f t="shared" si="14"/>
        <v>0</v>
      </c>
      <c r="P808" s="389"/>
      <c r="Q808" s="391"/>
      <c r="R808" s="391"/>
      <c r="S808" s="391"/>
      <c r="T808" s="391"/>
      <c r="U808" s="391"/>
    </row>
    <row r="809" spans="1:21" ht="35.1" customHeight="1" x14ac:dyDescent="0.25">
      <c r="A809" s="550">
        <v>808</v>
      </c>
      <c r="B809" s="95">
        <v>45559</v>
      </c>
      <c r="C809" s="434"/>
      <c r="D809" s="488"/>
      <c r="E809" s="435"/>
      <c r="F809" s="434"/>
      <c r="G809" s="434"/>
      <c r="H809" s="434"/>
      <c r="I809" s="434"/>
      <c r="J809" s="434"/>
      <c r="K809" s="434"/>
      <c r="L809" s="434"/>
      <c r="M809" s="434"/>
      <c r="N809" s="557"/>
      <c r="O809" s="488">
        <f t="shared" si="14"/>
        <v>0</v>
      </c>
      <c r="P809" s="389"/>
      <c r="Q809" s="391"/>
      <c r="R809" s="391"/>
      <c r="S809" s="391"/>
      <c r="T809" s="391"/>
      <c r="U809" s="391"/>
    </row>
    <row r="810" spans="1:21" ht="35.1" customHeight="1" x14ac:dyDescent="0.25">
      <c r="A810" s="550">
        <v>809</v>
      </c>
      <c r="B810" s="95">
        <v>45560</v>
      </c>
      <c r="C810" s="434"/>
      <c r="D810" s="488"/>
      <c r="E810" s="435"/>
      <c r="F810" s="434"/>
      <c r="G810" s="434"/>
      <c r="H810" s="434"/>
      <c r="I810" s="434"/>
      <c r="J810" s="434"/>
      <c r="K810" s="434"/>
      <c r="L810" s="434"/>
      <c r="M810" s="434"/>
      <c r="N810" s="557"/>
      <c r="O810" s="488">
        <f t="shared" si="14"/>
        <v>0</v>
      </c>
      <c r="P810" s="389"/>
      <c r="Q810" s="391"/>
      <c r="R810" s="391"/>
      <c r="S810" s="391"/>
      <c r="T810" s="391"/>
      <c r="U810" s="391"/>
    </row>
    <row r="811" spans="1:21" ht="35.1" customHeight="1" x14ac:dyDescent="0.25">
      <c r="A811" s="550">
        <v>810</v>
      </c>
      <c r="B811" s="95">
        <v>45561</v>
      </c>
      <c r="C811" s="434"/>
      <c r="D811" s="488"/>
      <c r="E811" s="435"/>
      <c r="F811" s="434"/>
      <c r="G811" s="434"/>
      <c r="H811" s="434"/>
      <c r="I811" s="434"/>
      <c r="J811" s="434"/>
      <c r="K811" s="434"/>
      <c r="L811" s="434"/>
      <c r="M811" s="434"/>
      <c r="N811" s="557"/>
      <c r="O811" s="488">
        <f t="shared" si="14"/>
        <v>0</v>
      </c>
      <c r="P811" s="389"/>
      <c r="Q811" s="391"/>
      <c r="R811" s="391"/>
      <c r="S811" s="391"/>
      <c r="T811" s="391"/>
      <c r="U811" s="391"/>
    </row>
    <row r="812" spans="1:21" ht="35.1" customHeight="1" x14ac:dyDescent="0.25">
      <c r="A812" s="550">
        <v>811</v>
      </c>
      <c r="B812" s="95">
        <v>45562</v>
      </c>
      <c r="C812" s="434"/>
      <c r="D812" s="488"/>
      <c r="E812" s="435"/>
      <c r="F812" s="434"/>
      <c r="G812" s="434"/>
      <c r="H812" s="434"/>
      <c r="I812" s="434"/>
      <c r="J812" s="434"/>
      <c r="K812" s="434"/>
      <c r="L812" s="434"/>
      <c r="M812" s="434"/>
      <c r="N812" s="557"/>
      <c r="O812" s="488">
        <f t="shared" si="14"/>
        <v>0</v>
      </c>
      <c r="P812" s="389"/>
      <c r="Q812" s="391"/>
      <c r="R812" s="391"/>
      <c r="S812" s="391"/>
      <c r="T812" s="391"/>
      <c r="U812" s="391"/>
    </row>
    <row r="813" spans="1:21" ht="35.1" customHeight="1" x14ac:dyDescent="0.25">
      <c r="A813" s="550">
        <v>812</v>
      </c>
      <c r="B813" s="95">
        <v>45563</v>
      </c>
      <c r="C813" s="434"/>
      <c r="D813" s="488"/>
      <c r="E813" s="435"/>
      <c r="F813" s="434"/>
      <c r="G813" s="434"/>
      <c r="H813" s="434"/>
      <c r="I813" s="434"/>
      <c r="J813" s="434"/>
      <c r="K813" s="434"/>
      <c r="L813" s="434"/>
      <c r="M813" s="434"/>
      <c r="N813" s="557"/>
      <c r="O813" s="488">
        <f t="shared" si="14"/>
        <v>0</v>
      </c>
      <c r="P813" s="389"/>
      <c r="Q813" s="391"/>
      <c r="R813" s="391"/>
      <c r="S813" s="391"/>
      <c r="T813" s="391"/>
      <c r="U813" s="391"/>
    </row>
    <row r="814" spans="1:21" ht="35.1" customHeight="1" x14ac:dyDescent="0.25">
      <c r="A814" s="550">
        <v>813</v>
      </c>
      <c r="B814" s="95">
        <v>45564</v>
      </c>
      <c r="C814" s="434"/>
      <c r="D814" s="488"/>
      <c r="E814" s="435"/>
      <c r="F814" s="434"/>
      <c r="G814" s="434"/>
      <c r="H814" s="434"/>
      <c r="I814" s="434"/>
      <c r="J814" s="434"/>
      <c r="K814" s="434"/>
      <c r="L814" s="434"/>
      <c r="M814" s="434"/>
      <c r="N814" s="557"/>
      <c r="O814" s="488">
        <f t="shared" si="14"/>
        <v>0</v>
      </c>
      <c r="P814" s="389"/>
      <c r="Q814" s="391"/>
      <c r="R814" s="391"/>
      <c r="S814" s="391"/>
      <c r="T814" s="391"/>
      <c r="U814" s="391"/>
    </row>
    <row r="815" spans="1:21" ht="35.1" customHeight="1" x14ac:dyDescent="0.25">
      <c r="A815" s="550">
        <v>814</v>
      </c>
      <c r="B815" s="95">
        <v>45565</v>
      </c>
      <c r="C815" s="434"/>
      <c r="D815" s="488"/>
      <c r="E815" s="435"/>
      <c r="F815" s="434"/>
      <c r="G815" s="434"/>
      <c r="H815" s="434"/>
      <c r="I815" s="434"/>
      <c r="J815" s="434"/>
      <c r="K815" s="434"/>
      <c r="L815" s="434"/>
      <c r="M815" s="434"/>
      <c r="N815" s="557"/>
      <c r="O815" s="488">
        <f t="shared" si="14"/>
        <v>0</v>
      </c>
      <c r="P815" s="389"/>
      <c r="Q815" s="391"/>
      <c r="R815" s="391"/>
      <c r="S815" s="391"/>
      <c r="T815" s="391"/>
      <c r="U815" s="391"/>
    </row>
    <row r="816" spans="1:21" ht="35.1" customHeight="1" x14ac:dyDescent="0.25">
      <c r="A816" s="550">
        <v>815</v>
      </c>
      <c r="B816" s="95">
        <v>45566</v>
      </c>
      <c r="C816" s="434"/>
      <c r="D816" s="488"/>
      <c r="E816" s="435"/>
      <c r="F816" s="434"/>
      <c r="G816" s="434"/>
      <c r="H816" s="434"/>
      <c r="I816" s="434"/>
      <c r="J816" s="434"/>
      <c r="K816" s="434"/>
      <c r="L816" s="434"/>
      <c r="M816" s="434"/>
      <c r="N816" s="557"/>
      <c r="O816" s="488">
        <f t="shared" si="14"/>
        <v>0</v>
      </c>
      <c r="P816" s="389"/>
      <c r="Q816" s="391"/>
      <c r="R816" s="391"/>
      <c r="S816" s="391"/>
      <c r="T816" s="391"/>
      <c r="U816" s="391"/>
    </row>
    <row r="817" spans="1:21" ht="35.1" customHeight="1" x14ac:dyDescent="0.25">
      <c r="A817" s="550">
        <v>816</v>
      </c>
      <c r="B817" s="95">
        <v>45567</v>
      </c>
      <c r="C817" s="434"/>
      <c r="D817" s="488"/>
      <c r="E817" s="435"/>
      <c r="F817" s="434"/>
      <c r="G817" s="434"/>
      <c r="H817" s="434"/>
      <c r="I817" s="434"/>
      <c r="J817" s="434"/>
      <c r="K817" s="434"/>
      <c r="L817" s="434"/>
      <c r="M817" s="434"/>
      <c r="N817" s="557"/>
      <c r="O817" s="488">
        <f t="shared" si="14"/>
        <v>0</v>
      </c>
      <c r="P817" s="389"/>
      <c r="Q817" s="391"/>
      <c r="R817" s="391"/>
      <c r="S817" s="391"/>
      <c r="T817" s="391"/>
      <c r="U817" s="391"/>
    </row>
    <row r="818" spans="1:21" ht="35.1" customHeight="1" x14ac:dyDescent="0.25">
      <c r="A818" s="550">
        <v>817</v>
      </c>
      <c r="B818" s="95">
        <v>45568</v>
      </c>
      <c r="C818" s="434"/>
      <c r="D818" s="488"/>
      <c r="E818" s="435"/>
      <c r="F818" s="434"/>
      <c r="G818" s="434"/>
      <c r="H818" s="434"/>
      <c r="I818" s="434"/>
      <c r="J818" s="434"/>
      <c r="K818" s="434"/>
      <c r="L818" s="434"/>
      <c r="M818" s="434"/>
      <c r="N818" s="557"/>
      <c r="O818" s="488">
        <f t="shared" si="14"/>
        <v>0</v>
      </c>
      <c r="P818" s="389"/>
      <c r="Q818" s="391"/>
      <c r="R818" s="391"/>
      <c r="S818" s="391"/>
      <c r="T818" s="391"/>
      <c r="U818" s="391"/>
    </row>
    <row r="819" spans="1:21" ht="35.1" customHeight="1" x14ac:dyDescent="0.25">
      <c r="A819" s="550">
        <v>818</v>
      </c>
      <c r="B819" s="95">
        <v>45569</v>
      </c>
      <c r="C819" s="434"/>
      <c r="D819" s="488"/>
      <c r="E819" s="435"/>
      <c r="F819" s="434"/>
      <c r="G819" s="434"/>
      <c r="H819" s="434"/>
      <c r="I819" s="434"/>
      <c r="J819" s="434"/>
      <c r="K819" s="434"/>
      <c r="L819" s="434"/>
      <c r="M819" s="434"/>
      <c r="N819" s="557"/>
      <c r="O819" s="488">
        <f t="shared" si="14"/>
        <v>0</v>
      </c>
      <c r="P819" s="389"/>
      <c r="Q819" s="391"/>
      <c r="R819" s="391"/>
      <c r="S819" s="391"/>
      <c r="T819" s="391"/>
      <c r="U819" s="391"/>
    </row>
    <row r="820" spans="1:21" ht="35.1" customHeight="1" x14ac:dyDescent="0.25">
      <c r="A820" s="550">
        <v>819</v>
      </c>
      <c r="B820" s="95">
        <v>45570</v>
      </c>
      <c r="C820" s="434"/>
      <c r="D820" s="488"/>
      <c r="E820" s="435"/>
      <c r="F820" s="434"/>
      <c r="G820" s="434"/>
      <c r="H820" s="434"/>
      <c r="I820" s="434"/>
      <c r="J820" s="434"/>
      <c r="K820" s="434"/>
      <c r="L820" s="434"/>
      <c r="M820" s="434"/>
      <c r="N820" s="557"/>
      <c r="O820" s="488">
        <f t="shared" si="14"/>
        <v>0</v>
      </c>
      <c r="P820" s="389"/>
      <c r="Q820" s="391"/>
      <c r="R820" s="391"/>
      <c r="S820" s="391"/>
      <c r="T820" s="391"/>
      <c r="U820" s="391"/>
    </row>
    <row r="821" spans="1:21" ht="35.1" customHeight="1" x14ac:dyDescent="0.25">
      <c r="A821" s="550">
        <v>820</v>
      </c>
      <c r="B821" s="95">
        <v>45571</v>
      </c>
      <c r="C821" s="434"/>
      <c r="D821" s="488"/>
      <c r="E821" s="435"/>
      <c r="F821" s="434"/>
      <c r="G821" s="434"/>
      <c r="H821" s="434"/>
      <c r="I821" s="434"/>
      <c r="J821" s="434"/>
      <c r="K821" s="434"/>
      <c r="L821" s="434"/>
      <c r="M821" s="434"/>
      <c r="N821" s="557"/>
      <c r="O821" s="488">
        <f t="shared" si="14"/>
        <v>0</v>
      </c>
      <c r="P821" s="389"/>
      <c r="Q821" s="391"/>
      <c r="R821" s="391"/>
      <c r="S821" s="391"/>
      <c r="T821" s="391"/>
      <c r="U821" s="391"/>
    </row>
    <row r="822" spans="1:21" ht="35.1" customHeight="1" x14ac:dyDescent="0.25">
      <c r="A822" s="550">
        <v>821</v>
      </c>
      <c r="B822" s="95">
        <v>45572</v>
      </c>
      <c r="C822" s="434"/>
      <c r="D822" s="488"/>
      <c r="E822" s="435"/>
      <c r="F822" s="434"/>
      <c r="G822" s="434"/>
      <c r="H822" s="434"/>
      <c r="I822" s="434"/>
      <c r="J822" s="434"/>
      <c r="K822" s="434"/>
      <c r="L822" s="434"/>
      <c r="M822" s="434"/>
      <c r="N822" s="557"/>
      <c r="O822" s="488">
        <f t="shared" si="14"/>
        <v>0</v>
      </c>
      <c r="P822" s="389"/>
      <c r="Q822" s="391"/>
      <c r="R822" s="391"/>
      <c r="S822" s="391"/>
      <c r="T822" s="391"/>
      <c r="U822" s="391"/>
    </row>
    <row r="823" spans="1:21" ht="35.1" customHeight="1" x14ac:dyDescent="0.25">
      <c r="A823" s="550">
        <v>822</v>
      </c>
      <c r="B823" s="95">
        <v>45573</v>
      </c>
      <c r="C823" s="434"/>
      <c r="D823" s="488"/>
      <c r="E823" s="435"/>
      <c r="F823" s="434"/>
      <c r="G823" s="434"/>
      <c r="H823" s="434"/>
      <c r="I823" s="434"/>
      <c r="J823" s="434"/>
      <c r="K823" s="434"/>
      <c r="L823" s="434"/>
      <c r="M823" s="434"/>
      <c r="N823" s="557"/>
      <c r="O823" s="488">
        <f t="shared" si="14"/>
        <v>0</v>
      </c>
      <c r="P823" s="389"/>
      <c r="Q823" s="391"/>
      <c r="R823" s="391"/>
      <c r="S823" s="391"/>
      <c r="T823" s="391"/>
      <c r="U823" s="391"/>
    </row>
    <row r="824" spans="1:21" ht="35.1" customHeight="1" x14ac:dyDescent="0.25">
      <c r="A824" s="550">
        <v>823</v>
      </c>
      <c r="B824" s="95">
        <v>45574</v>
      </c>
      <c r="C824" s="434"/>
      <c r="D824" s="488"/>
      <c r="E824" s="435"/>
      <c r="F824" s="434"/>
      <c r="G824" s="434"/>
      <c r="H824" s="434"/>
      <c r="I824" s="434"/>
      <c r="J824" s="434"/>
      <c r="K824" s="434"/>
      <c r="L824" s="434"/>
      <c r="M824" s="434"/>
      <c r="N824" s="557"/>
      <c r="O824" s="488">
        <f t="shared" si="14"/>
        <v>0</v>
      </c>
      <c r="P824" s="389"/>
      <c r="Q824" s="391"/>
      <c r="R824" s="391"/>
      <c r="S824" s="391"/>
      <c r="T824" s="391"/>
      <c r="U824" s="391"/>
    </row>
    <row r="825" spans="1:21" ht="35.1" customHeight="1" x14ac:dyDescent="0.25">
      <c r="A825" s="550">
        <v>824</v>
      </c>
      <c r="B825" s="95">
        <v>45575</v>
      </c>
      <c r="C825" s="434"/>
      <c r="D825" s="488"/>
      <c r="E825" s="435"/>
      <c r="F825" s="434"/>
      <c r="G825" s="434"/>
      <c r="H825" s="434"/>
      <c r="I825" s="434"/>
      <c r="J825" s="434"/>
      <c r="K825" s="434"/>
      <c r="L825" s="434"/>
      <c r="M825" s="434"/>
      <c r="N825" s="557"/>
      <c r="O825" s="488">
        <f t="shared" ref="O825:O888" si="15">SUM(G825:N825)+F825+D825</f>
        <v>0</v>
      </c>
      <c r="P825" s="389"/>
      <c r="Q825" s="391"/>
      <c r="R825" s="391"/>
      <c r="S825" s="391"/>
      <c r="T825" s="391"/>
      <c r="U825" s="391"/>
    </row>
    <row r="826" spans="1:21" ht="35.1" customHeight="1" x14ac:dyDescent="0.25">
      <c r="A826" s="550">
        <v>825</v>
      </c>
      <c r="B826" s="95">
        <v>45576</v>
      </c>
      <c r="C826" s="434"/>
      <c r="D826" s="488"/>
      <c r="E826" s="435"/>
      <c r="F826" s="434"/>
      <c r="G826" s="434"/>
      <c r="H826" s="434"/>
      <c r="I826" s="434"/>
      <c r="J826" s="434"/>
      <c r="K826" s="434"/>
      <c r="L826" s="434"/>
      <c r="M826" s="434"/>
      <c r="N826" s="557"/>
      <c r="O826" s="488">
        <f t="shared" si="15"/>
        <v>0</v>
      </c>
      <c r="P826" s="389"/>
      <c r="Q826" s="391"/>
      <c r="R826" s="391"/>
      <c r="S826" s="391"/>
      <c r="T826" s="391"/>
      <c r="U826" s="391"/>
    </row>
    <row r="827" spans="1:21" ht="35.1" customHeight="1" x14ac:dyDescent="0.25">
      <c r="A827" s="550">
        <v>826</v>
      </c>
      <c r="B827" s="95">
        <v>45577</v>
      </c>
      <c r="C827" s="434"/>
      <c r="D827" s="488"/>
      <c r="E827" s="435"/>
      <c r="F827" s="434"/>
      <c r="G827" s="434"/>
      <c r="H827" s="434"/>
      <c r="I827" s="434"/>
      <c r="J827" s="434"/>
      <c r="K827" s="434"/>
      <c r="L827" s="434"/>
      <c r="M827" s="434"/>
      <c r="N827" s="557"/>
      <c r="O827" s="488">
        <f t="shared" si="15"/>
        <v>0</v>
      </c>
      <c r="P827" s="389"/>
      <c r="Q827" s="391"/>
      <c r="R827" s="391"/>
      <c r="S827" s="391"/>
      <c r="T827" s="391"/>
      <c r="U827" s="391"/>
    </row>
    <row r="828" spans="1:21" ht="35.1" customHeight="1" x14ac:dyDescent="0.25">
      <c r="A828" s="550">
        <v>827</v>
      </c>
      <c r="B828" s="95">
        <v>45578</v>
      </c>
      <c r="C828" s="434"/>
      <c r="D828" s="488"/>
      <c r="E828" s="435"/>
      <c r="F828" s="434"/>
      <c r="G828" s="434"/>
      <c r="H828" s="434"/>
      <c r="I828" s="434"/>
      <c r="J828" s="434"/>
      <c r="K828" s="434"/>
      <c r="L828" s="434"/>
      <c r="M828" s="434"/>
      <c r="N828" s="557"/>
      <c r="O828" s="488">
        <f t="shared" si="15"/>
        <v>0</v>
      </c>
      <c r="P828" s="389"/>
      <c r="Q828" s="391"/>
      <c r="R828" s="391"/>
      <c r="S828" s="391"/>
      <c r="T828" s="391"/>
      <c r="U828" s="391"/>
    </row>
    <row r="829" spans="1:21" ht="35.1" customHeight="1" x14ac:dyDescent="0.25">
      <c r="A829" s="550">
        <v>828</v>
      </c>
      <c r="B829" s="95">
        <v>45579</v>
      </c>
      <c r="C829" s="434"/>
      <c r="D829" s="488"/>
      <c r="E829" s="435"/>
      <c r="F829" s="434"/>
      <c r="G829" s="434"/>
      <c r="H829" s="434"/>
      <c r="I829" s="434"/>
      <c r="J829" s="434"/>
      <c r="K829" s="434"/>
      <c r="L829" s="434"/>
      <c r="M829" s="434"/>
      <c r="N829" s="557"/>
      <c r="O829" s="488">
        <f t="shared" si="15"/>
        <v>0</v>
      </c>
      <c r="P829" s="389"/>
      <c r="Q829" s="391"/>
      <c r="R829" s="391"/>
      <c r="S829" s="391"/>
      <c r="T829" s="391"/>
      <c r="U829" s="391"/>
    </row>
    <row r="830" spans="1:21" ht="35.1" customHeight="1" x14ac:dyDescent="0.25">
      <c r="A830" s="550">
        <v>829</v>
      </c>
      <c r="B830" s="95">
        <v>45580</v>
      </c>
      <c r="C830" s="434"/>
      <c r="D830" s="488"/>
      <c r="E830" s="435"/>
      <c r="F830" s="434"/>
      <c r="G830" s="434"/>
      <c r="H830" s="434"/>
      <c r="I830" s="434"/>
      <c r="J830" s="434"/>
      <c r="K830" s="434"/>
      <c r="L830" s="434"/>
      <c r="M830" s="434"/>
      <c r="N830" s="557"/>
      <c r="O830" s="488">
        <f t="shared" si="15"/>
        <v>0</v>
      </c>
      <c r="P830" s="389"/>
      <c r="Q830" s="391"/>
      <c r="R830" s="391"/>
      <c r="S830" s="391"/>
      <c r="T830" s="391"/>
      <c r="U830" s="391"/>
    </row>
    <row r="831" spans="1:21" ht="35.1" customHeight="1" x14ac:dyDescent="0.25">
      <c r="A831" s="550">
        <v>830</v>
      </c>
      <c r="B831" s="95">
        <v>45581</v>
      </c>
      <c r="C831" s="434"/>
      <c r="D831" s="488"/>
      <c r="E831" s="435"/>
      <c r="F831" s="434"/>
      <c r="G831" s="434"/>
      <c r="H831" s="434"/>
      <c r="I831" s="434"/>
      <c r="J831" s="434"/>
      <c r="K831" s="434"/>
      <c r="L831" s="434"/>
      <c r="M831" s="434"/>
      <c r="N831" s="557"/>
      <c r="O831" s="488">
        <f t="shared" si="15"/>
        <v>0</v>
      </c>
      <c r="P831" s="389"/>
      <c r="Q831" s="391"/>
      <c r="R831" s="391"/>
      <c r="S831" s="391"/>
      <c r="T831" s="391"/>
      <c r="U831" s="391"/>
    </row>
    <row r="832" spans="1:21" ht="35.1" customHeight="1" x14ac:dyDescent="0.25">
      <c r="A832" s="550">
        <v>831</v>
      </c>
      <c r="B832" s="95">
        <v>45582</v>
      </c>
      <c r="C832" s="434"/>
      <c r="D832" s="488"/>
      <c r="E832" s="435"/>
      <c r="F832" s="434"/>
      <c r="G832" s="434"/>
      <c r="H832" s="434"/>
      <c r="I832" s="434"/>
      <c r="J832" s="434"/>
      <c r="K832" s="434"/>
      <c r="L832" s="434"/>
      <c r="M832" s="434"/>
      <c r="N832" s="557"/>
      <c r="O832" s="488">
        <f t="shared" si="15"/>
        <v>0</v>
      </c>
      <c r="P832" s="389"/>
      <c r="Q832" s="391"/>
      <c r="R832" s="391"/>
      <c r="S832" s="391"/>
      <c r="T832" s="391"/>
      <c r="U832" s="391"/>
    </row>
    <row r="833" spans="1:21" ht="35.1" customHeight="1" x14ac:dyDescent="0.25">
      <c r="A833" s="550">
        <v>832</v>
      </c>
      <c r="B833" s="95">
        <v>45583</v>
      </c>
      <c r="C833" s="434"/>
      <c r="D833" s="488"/>
      <c r="E833" s="435"/>
      <c r="F833" s="434"/>
      <c r="G833" s="434"/>
      <c r="H833" s="434"/>
      <c r="I833" s="434"/>
      <c r="J833" s="434"/>
      <c r="K833" s="434"/>
      <c r="L833" s="434"/>
      <c r="M833" s="434"/>
      <c r="N833" s="557"/>
      <c r="O833" s="488">
        <f t="shared" si="15"/>
        <v>0</v>
      </c>
      <c r="P833" s="389"/>
      <c r="Q833" s="391"/>
      <c r="R833" s="391"/>
      <c r="S833" s="391"/>
      <c r="T833" s="391"/>
      <c r="U833" s="391"/>
    </row>
    <row r="834" spans="1:21" ht="35.1" customHeight="1" x14ac:dyDescent="0.25">
      <c r="A834" s="550">
        <v>833</v>
      </c>
      <c r="B834" s="95">
        <v>45584</v>
      </c>
      <c r="C834" s="434"/>
      <c r="D834" s="488"/>
      <c r="E834" s="435"/>
      <c r="F834" s="434"/>
      <c r="G834" s="434"/>
      <c r="H834" s="434"/>
      <c r="I834" s="434"/>
      <c r="J834" s="434"/>
      <c r="K834" s="434"/>
      <c r="L834" s="434"/>
      <c r="M834" s="434"/>
      <c r="N834" s="557"/>
      <c r="O834" s="488">
        <f t="shared" si="15"/>
        <v>0</v>
      </c>
      <c r="P834" s="389"/>
      <c r="Q834" s="391"/>
      <c r="R834" s="391"/>
      <c r="S834" s="391"/>
      <c r="T834" s="391"/>
      <c r="U834" s="391"/>
    </row>
    <row r="835" spans="1:21" ht="35.1" customHeight="1" x14ac:dyDescent="0.25">
      <c r="A835" s="550">
        <v>834</v>
      </c>
      <c r="B835" s="95">
        <v>45585</v>
      </c>
      <c r="C835" s="434"/>
      <c r="D835" s="488"/>
      <c r="E835" s="435"/>
      <c r="F835" s="434"/>
      <c r="G835" s="434"/>
      <c r="H835" s="434"/>
      <c r="I835" s="434"/>
      <c r="J835" s="434"/>
      <c r="K835" s="434"/>
      <c r="L835" s="434"/>
      <c r="M835" s="434"/>
      <c r="N835" s="557"/>
      <c r="O835" s="488">
        <f t="shared" si="15"/>
        <v>0</v>
      </c>
      <c r="P835" s="389"/>
      <c r="Q835" s="391"/>
      <c r="R835" s="391"/>
      <c r="S835" s="391"/>
      <c r="T835" s="391"/>
      <c r="U835" s="391"/>
    </row>
    <row r="836" spans="1:21" ht="35.1" customHeight="1" x14ac:dyDescent="0.25">
      <c r="A836" s="550">
        <v>835</v>
      </c>
      <c r="B836" s="95">
        <v>45586</v>
      </c>
      <c r="C836" s="434"/>
      <c r="D836" s="488"/>
      <c r="E836" s="435"/>
      <c r="F836" s="434"/>
      <c r="G836" s="434"/>
      <c r="H836" s="434"/>
      <c r="I836" s="434"/>
      <c r="J836" s="434"/>
      <c r="K836" s="434"/>
      <c r="L836" s="434"/>
      <c r="M836" s="434"/>
      <c r="N836" s="557"/>
      <c r="O836" s="488">
        <f t="shared" si="15"/>
        <v>0</v>
      </c>
      <c r="P836" s="389"/>
      <c r="Q836" s="391"/>
      <c r="R836" s="391"/>
      <c r="S836" s="391"/>
      <c r="T836" s="391"/>
      <c r="U836" s="391"/>
    </row>
    <row r="837" spans="1:21" ht="35.1" customHeight="1" x14ac:dyDescent="0.25">
      <c r="A837" s="550">
        <v>836</v>
      </c>
      <c r="B837" s="95">
        <v>45587</v>
      </c>
      <c r="C837" s="434"/>
      <c r="D837" s="488"/>
      <c r="E837" s="435"/>
      <c r="F837" s="434"/>
      <c r="G837" s="434"/>
      <c r="H837" s="434"/>
      <c r="I837" s="434"/>
      <c r="J837" s="434"/>
      <c r="K837" s="434"/>
      <c r="L837" s="434"/>
      <c r="M837" s="434"/>
      <c r="N837" s="557"/>
      <c r="O837" s="488">
        <f t="shared" si="15"/>
        <v>0</v>
      </c>
      <c r="P837" s="389"/>
      <c r="Q837" s="391"/>
      <c r="R837" s="391"/>
      <c r="S837" s="391"/>
      <c r="T837" s="391"/>
      <c r="U837" s="391"/>
    </row>
    <row r="838" spans="1:21" ht="35.1" customHeight="1" x14ac:dyDescent="0.25">
      <c r="A838" s="550">
        <v>837</v>
      </c>
      <c r="B838" s="95">
        <v>45588</v>
      </c>
      <c r="C838" s="434"/>
      <c r="D838" s="488"/>
      <c r="E838" s="435"/>
      <c r="F838" s="434"/>
      <c r="G838" s="434"/>
      <c r="H838" s="434"/>
      <c r="I838" s="434"/>
      <c r="J838" s="434"/>
      <c r="K838" s="434"/>
      <c r="L838" s="434"/>
      <c r="M838" s="434"/>
      <c r="N838" s="557"/>
      <c r="O838" s="488">
        <f t="shared" si="15"/>
        <v>0</v>
      </c>
      <c r="P838" s="389"/>
      <c r="Q838" s="391"/>
      <c r="R838" s="391"/>
      <c r="S838" s="391"/>
      <c r="T838" s="391"/>
      <c r="U838" s="391"/>
    </row>
    <row r="839" spans="1:21" ht="35.1" customHeight="1" x14ac:dyDescent="0.25">
      <c r="A839" s="550">
        <v>838</v>
      </c>
      <c r="B839" s="95">
        <v>45589</v>
      </c>
      <c r="C839" s="434"/>
      <c r="D839" s="488"/>
      <c r="E839" s="435"/>
      <c r="F839" s="434"/>
      <c r="G839" s="434"/>
      <c r="H839" s="434"/>
      <c r="I839" s="434"/>
      <c r="J839" s="434"/>
      <c r="K839" s="434"/>
      <c r="L839" s="434"/>
      <c r="M839" s="434"/>
      <c r="N839" s="557"/>
      <c r="O839" s="488">
        <f t="shared" si="15"/>
        <v>0</v>
      </c>
      <c r="P839" s="389"/>
      <c r="Q839" s="391"/>
      <c r="R839" s="391"/>
      <c r="S839" s="391"/>
      <c r="T839" s="391"/>
      <c r="U839" s="391"/>
    </row>
    <row r="840" spans="1:21" ht="35.1" customHeight="1" x14ac:dyDescent="0.25">
      <c r="A840" s="550">
        <v>839</v>
      </c>
      <c r="B840" s="95">
        <v>45590</v>
      </c>
      <c r="C840" s="434"/>
      <c r="D840" s="488"/>
      <c r="E840" s="435"/>
      <c r="F840" s="434"/>
      <c r="G840" s="434"/>
      <c r="H840" s="434"/>
      <c r="I840" s="434"/>
      <c r="J840" s="434"/>
      <c r="K840" s="434"/>
      <c r="L840" s="434"/>
      <c r="M840" s="434"/>
      <c r="N840" s="557"/>
      <c r="O840" s="488">
        <f t="shared" si="15"/>
        <v>0</v>
      </c>
      <c r="P840" s="389"/>
      <c r="Q840" s="391"/>
      <c r="R840" s="391"/>
      <c r="S840" s="391"/>
      <c r="T840" s="391"/>
      <c r="U840" s="391"/>
    </row>
    <row r="841" spans="1:21" ht="35.1" customHeight="1" x14ac:dyDescent="0.25">
      <c r="A841" s="550">
        <v>840</v>
      </c>
      <c r="B841" s="95">
        <v>45591</v>
      </c>
      <c r="C841" s="434"/>
      <c r="D841" s="488"/>
      <c r="E841" s="435"/>
      <c r="F841" s="434"/>
      <c r="G841" s="434"/>
      <c r="H841" s="434"/>
      <c r="I841" s="434"/>
      <c r="J841" s="434"/>
      <c r="K841" s="434"/>
      <c r="L841" s="434"/>
      <c r="M841" s="434"/>
      <c r="N841" s="557"/>
      <c r="O841" s="488">
        <f t="shared" si="15"/>
        <v>0</v>
      </c>
      <c r="P841" s="389"/>
      <c r="Q841" s="391"/>
      <c r="R841" s="391"/>
      <c r="S841" s="391"/>
      <c r="T841" s="391"/>
      <c r="U841" s="391"/>
    </row>
    <row r="842" spans="1:21" ht="35.1" customHeight="1" x14ac:dyDescent="0.25">
      <c r="A842" s="550">
        <v>841</v>
      </c>
      <c r="B842" s="95">
        <v>45592</v>
      </c>
      <c r="C842" s="434"/>
      <c r="D842" s="488"/>
      <c r="E842" s="435"/>
      <c r="F842" s="434"/>
      <c r="G842" s="434"/>
      <c r="H842" s="434"/>
      <c r="I842" s="434"/>
      <c r="J842" s="434"/>
      <c r="K842" s="434"/>
      <c r="L842" s="434"/>
      <c r="M842" s="434"/>
      <c r="N842" s="557"/>
      <c r="O842" s="488">
        <f t="shared" si="15"/>
        <v>0</v>
      </c>
      <c r="P842" s="389"/>
      <c r="Q842" s="391"/>
      <c r="R842" s="391"/>
      <c r="S842" s="391"/>
      <c r="T842" s="391"/>
      <c r="U842" s="391"/>
    </row>
    <row r="843" spans="1:21" ht="35.1" customHeight="1" x14ac:dyDescent="0.25">
      <c r="A843" s="550">
        <v>842</v>
      </c>
      <c r="B843" s="95">
        <v>45593</v>
      </c>
      <c r="C843" s="434"/>
      <c r="D843" s="488"/>
      <c r="E843" s="435"/>
      <c r="F843" s="434"/>
      <c r="G843" s="434"/>
      <c r="H843" s="434"/>
      <c r="I843" s="434"/>
      <c r="J843" s="434"/>
      <c r="K843" s="434"/>
      <c r="L843" s="434"/>
      <c r="M843" s="434"/>
      <c r="N843" s="557"/>
      <c r="O843" s="488">
        <f t="shared" si="15"/>
        <v>0</v>
      </c>
      <c r="P843" s="389"/>
      <c r="Q843" s="391"/>
      <c r="R843" s="391"/>
      <c r="S843" s="391"/>
      <c r="T843" s="391"/>
      <c r="U843" s="391"/>
    </row>
    <row r="844" spans="1:21" ht="35.1" customHeight="1" x14ac:dyDescent="0.25">
      <c r="A844" s="550">
        <v>843</v>
      </c>
      <c r="B844" s="95">
        <v>45594</v>
      </c>
      <c r="C844" s="434"/>
      <c r="D844" s="488"/>
      <c r="E844" s="435"/>
      <c r="F844" s="434"/>
      <c r="G844" s="434"/>
      <c r="H844" s="434"/>
      <c r="I844" s="434"/>
      <c r="J844" s="434"/>
      <c r="K844" s="434"/>
      <c r="L844" s="434"/>
      <c r="M844" s="434"/>
      <c r="N844" s="557"/>
      <c r="O844" s="488">
        <f t="shared" si="15"/>
        <v>0</v>
      </c>
      <c r="P844" s="389"/>
      <c r="Q844" s="391"/>
      <c r="R844" s="391"/>
      <c r="S844" s="391"/>
      <c r="T844" s="391"/>
      <c r="U844" s="391"/>
    </row>
    <row r="845" spans="1:21" ht="35.1" customHeight="1" x14ac:dyDescent="0.25">
      <c r="A845" s="550">
        <v>844</v>
      </c>
      <c r="B845" s="95">
        <v>45595</v>
      </c>
      <c r="C845" s="434"/>
      <c r="D845" s="488"/>
      <c r="E845" s="435"/>
      <c r="F845" s="434"/>
      <c r="G845" s="434"/>
      <c r="H845" s="434"/>
      <c r="I845" s="434"/>
      <c r="J845" s="434"/>
      <c r="K845" s="434"/>
      <c r="L845" s="434"/>
      <c r="M845" s="434"/>
      <c r="N845" s="557"/>
      <c r="O845" s="488">
        <f t="shared" si="15"/>
        <v>0</v>
      </c>
      <c r="P845" s="389"/>
      <c r="Q845" s="391"/>
      <c r="R845" s="391"/>
      <c r="S845" s="391"/>
      <c r="T845" s="391"/>
      <c r="U845" s="391"/>
    </row>
    <row r="846" spans="1:21" ht="35.1" customHeight="1" x14ac:dyDescent="0.25">
      <c r="A846" s="550">
        <v>845</v>
      </c>
      <c r="B846" s="95">
        <v>45596</v>
      </c>
      <c r="C846" s="434"/>
      <c r="D846" s="488"/>
      <c r="E846" s="435"/>
      <c r="F846" s="434"/>
      <c r="G846" s="434"/>
      <c r="H846" s="434"/>
      <c r="I846" s="434"/>
      <c r="J846" s="434"/>
      <c r="K846" s="434"/>
      <c r="L846" s="434"/>
      <c r="M846" s="434"/>
      <c r="N846" s="557"/>
      <c r="O846" s="488">
        <f t="shared" si="15"/>
        <v>0</v>
      </c>
      <c r="P846" s="389"/>
      <c r="Q846" s="391"/>
      <c r="R846" s="391"/>
      <c r="S846" s="391"/>
      <c r="T846" s="391"/>
      <c r="U846" s="391"/>
    </row>
    <row r="847" spans="1:21" ht="35.1" customHeight="1" x14ac:dyDescent="0.25">
      <c r="A847" s="550">
        <v>846</v>
      </c>
      <c r="B847" s="95">
        <v>45597</v>
      </c>
      <c r="C847" s="434"/>
      <c r="D847" s="488"/>
      <c r="E847" s="435"/>
      <c r="F847" s="434"/>
      <c r="G847" s="434"/>
      <c r="H847" s="434"/>
      <c r="I847" s="434"/>
      <c r="J847" s="434"/>
      <c r="K847" s="434"/>
      <c r="L847" s="434"/>
      <c r="M847" s="434"/>
      <c r="N847" s="557"/>
      <c r="O847" s="488">
        <f t="shared" si="15"/>
        <v>0</v>
      </c>
      <c r="P847" s="389"/>
      <c r="Q847" s="391"/>
      <c r="R847" s="391"/>
      <c r="S847" s="391"/>
      <c r="T847" s="391"/>
      <c r="U847" s="391"/>
    </row>
    <row r="848" spans="1:21" ht="35.1" customHeight="1" x14ac:dyDescent="0.25">
      <c r="A848" s="550">
        <v>847</v>
      </c>
      <c r="B848" s="95">
        <v>45598</v>
      </c>
      <c r="C848" s="434"/>
      <c r="D848" s="488"/>
      <c r="E848" s="435"/>
      <c r="F848" s="434"/>
      <c r="G848" s="434"/>
      <c r="H848" s="434"/>
      <c r="I848" s="434"/>
      <c r="J848" s="434"/>
      <c r="K848" s="434"/>
      <c r="L848" s="434"/>
      <c r="M848" s="434"/>
      <c r="N848" s="557"/>
      <c r="O848" s="488">
        <f t="shared" si="15"/>
        <v>0</v>
      </c>
      <c r="P848" s="389"/>
      <c r="Q848" s="391"/>
      <c r="R848" s="391"/>
      <c r="S848" s="391"/>
      <c r="T848" s="391"/>
      <c r="U848" s="391"/>
    </row>
    <row r="849" spans="1:21" ht="35.1" customHeight="1" x14ac:dyDescent="0.25">
      <c r="A849" s="550">
        <v>848</v>
      </c>
      <c r="B849" s="95">
        <v>45599</v>
      </c>
      <c r="C849" s="434"/>
      <c r="D849" s="488"/>
      <c r="E849" s="435"/>
      <c r="F849" s="434"/>
      <c r="G849" s="434"/>
      <c r="H849" s="434"/>
      <c r="I849" s="434"/>
      <c r="J849" s="434"/>
      <c r="K849" s="434"/>
      <c r="L849" s="434"/>
      <c r="M849" s="434"/>
      <c r="N849" s="557"/>
      <c r="O849" s="488">
        <f t="shared" si="15"/>
        <v>0</v>
      </c>
      <c r="P849" s="389"/>
      <c r="Q849" s="391"/>
      <c r="R849" s="391"/>
      <c r="S849" s="391"/>
      <c r="T849" s="391"/>
      <c r="U849" s="391"/>
    </row>
    <row r="850" spans="1:21" ht="35.1" customHeight="1" x14ac:dyDescent="0.25">
      <c r="A850" s="550">
        <v>849</v>
      </c>
      <c r="B850" s="95">
        <v>45600</v>
      </c>
      <c r="C850" s="434"/>
      <c r="D850" s="488"/>
      <c r="E850" s="435"/>
      <c r="F850" s="434"/>
      <c r="G850" s="434"/>
      <c r="H850" s="434"/>
      <c r="I850" s="434"/>
      <c r="J850" s="434"/>
      <c r="K850" s="434"/>
      <c r="L850" s="434"/>
      <c r="M850" s="434"/>
      <c r="N850" s="557"/>
      <c r="O850" s="488">
        <f t="shared" si="15"/>
        <v>0</v>
      </c>
      <c r="P850" s="389"/>
      <c r="Q850" s="391"/>
      <c r="R850" s="391"/>
      <c r="S850" s="391"/>
      <c r="T850" s="391"/>
      <c r="U850" s="391"/>
    </row>
    <row r="851" spans="1:21" ht="35.1" customHeight="1" x14ac:dyDescent="0.25">
      <c r="A851" s="550">
        <v>850</v>
      </c>
      <c r="B851" s="95">
        <v>45601</v>
      </c>
      <c r="C851" s="434"/>
      <c r="D851" s="488"/>
      <c r="E851" s="435"/>
      <c r="F851" s="434"/>
      <c r="G851" s="434"/>
      <c r="H851" s="434"/>
      <c r="I851" s="434"/>
      <c r="J851" s="434"/>
      <c r="K851" s="434"/>
      <c r="L851" s="434"/>
      <c r="M851" s="434"/>
      <c r="N851" s="557"/>
      <c r="O851" s="488">
        <f t="shared" si="15"/>
        <v>0</v>
      </c>
      <c r="P851" s="389"/>
      <c r="Q851" s="391"/>
      <c r="R851" s="391"/>
      <c r="S851" s="391"/>
      <c r="T851" s="391"/>
      <c r="U851" s="391"/>
    </row>
    <row r="852" spans="1:21" ht="35.1" customHeight="1" x14ac:dyDescent="0.25">
      <c r="A852" s="550">
        <v>851</v>
      </c>
      <c r="B852" s="95">
        <v>45602</v>
      </c>
      <c r="C852" s="434"/>
      <c r="D852" s="488"/>
      <c r="E852" s="435"/>
      <c r="F852" s="434"/>
      <c r="G852" s="434"/>
      <c r="H852" s="434"/>
      <c r="I852" s="434"/>
      <c r="J852" s="434"/>
      <c r="K852" s="434"/>
      <c r="L852" s="434"/>
      <c r="M852" s="434"/>
      <c r="N852" s="557"/>
      <c r="O852" s="488">
        <f t="shared" si="15"/>
        <v>0</v>
      </c>
      <c r="P852" s="389"/>
      <c r="Q852" s="391"/>
      <c r="R852" s="391"/>
      <c r="S852" s="391"/>
      <c r="T852" s="391"/>
      <c r="U852" s="391"/>
    </row>
    <row r="853" spans="1:21" ht="35.1" customHeight="1" x14ac:dyDescent="0.25">
      <c r="A853" s="550">
        <v>852</v>
      </c>
      <c r="B853" s="95">
        <v>45603</v>
      </c>
      <c r="C853" s="434"/>
      <c r="D853" s="488"/>
      <c r="E853" s="435"/>
      <c r="F853" s="434"/>
      <c r="G853" s="434"/>
      <c r="H853" s="434"/>
      <c r="I853" s="434"/>
      <c r="J853" s="434"/>
      <c r="K853" s="434"/>
      <c r="L853" s="434"/>
      <c r="M853" s="434"/>
      <c r="N853" s="557"/>
      <c r="O853" s="488">
        <f t="shared" si="15"/>
        <v>0</v>
      </c>
      <c r="P853" s="389"/>
      <c r="Q853" s="391"/>
      <c r="R853" s="391"/>
      <c r="S853" s="391"/>
      <c r="T853" s="391"/>
      <c r="U853" s="391"/>
    </row>
    <row r="854" spans="1:21" ht="35.1" customHeight="1" x14ac:dyDescent="0.25">
      <c r="A854" s="550">
        <v>853</v>
      </c>
      <c r="B854" s="95">
        <v>45604</v>
      </c>
      <c r="C854" s="434"/>
      <c r="D854" s="488"/>
      <c r="E854" s="435"/>
      <c r="F854" s="434"/>
      <c r="G854" s="434"/>
      <c r="H854" s="434"/>
      <c r="I854" s="434"/>
      <c r="J854" s="434"/>
      <c r="K854" s="434"/>
      <c r="L854" s="434"/>
      <c r="M854" s="434"/>
      <c r="N854" s="557"/>
      <c r="O854" s="488">
        <f t="shared" si="15"/>
        <v>0</v>
      </c>
      <c r="P854" s="389"/>
      <c r="Q854" s="391"/>
      <c r="R854" s="391"/>
      <c r="S854" s="391"/>
      <c r="T854" s="391"/>
      <c r="U854" s="391"/>
    </row>
    <row r="855" spans="1:21" ht="35.1" customHeight="1" x14ac:dyDescent="0.25">
      <c r="A855" s="550">
        <v>854</v>
      </c>
      <c r="B855" s="95">
        <v>45605</v>
      </c>
      <c r="C855" s="434"/>
      <c r="D855" s="488"/>
      <c r="E855" s="435"/>
      <c r="F855" s="434"/>
      <c r="G855" s="434"/>
      <c r="H855" s="434"/>
      <c r="I855" s="434"/>
      <c r="J855" s="434"/>
      <c r="K855" s="434"/>
      <c r="L855" s="434"/>
      <c r="M855" s="434"/>
      <c r="N855" s="557"/>
      <c r="O855" s="488">
        <f t="shared" si="15"/>
        <v>0</v>
      </c>
      <c r="P855" s="389"/>
      <c r="Q855" s="391"/>
      <c r="R855" s="391"/>
      <c r="S855" s="391"/>
      <c r="T855" s="391"/>
      <c r="U855" s="391"/>
    </row>
    <row r="856" spans="1:21" ht="35.1" customHeight="1" x14ac:dyDescent="0.25">
      <c r="A856" s="550">
        <v>855</v>
      </c>
      <c r="B856" s="95">
        <v>45606</v>
      </c>
      <c r="C856" s="434"/>
      <c r="D856" s="488"/>
      <c r="E856" s="435"/>
      <c r="F856" s="434"/>
      <c r="G856" s="434"/>
      <c r="H856" s="434"/>
      <c r="I856" s="434"/>
      <c r="J856" s="434"/>
      <c r="K856" s="434"/>
      <c r="L856" s="434"/>
      <c r="M856" s="434"/>
      <c r="N856" s="557"/>
      <c r="O856" s="488">
        <f t="shared" si="15"/>
        <v>0</v>
      </c>
      <c r="P856" s="389"/>
      <c r="Q856" s="391"/>
      <c r="R856" s="391"/>
      <c r="S856" s="391"/>
      <c r="T856" s="391"/>
      <c r="U856" s="391"/>
    </row>
    <row r="857" spans="1:21" ht="35.1" customHeight="1" x14ac:dyDescent="0.25">
      <c r="A857" s="550">
        <v>856</v>
      </c>
      <c r="B857" s="95">
        <v>45607</v>
      </c>
      <c r="C857" s="434"/>
      <c r="D857" s="488"/>
      <c r="E857" s="435"/>
      <c r="F857" s="434"/>
      <c r="G857" s="434"/>
      <c r="H857" s="434"/>
      <c r="I857" s="434"/>
      <c r="J857" s="434"/>
      <c r="K857" s="434"/>
      <c r="L857" s="434"/>
      <c r="M857" s="434"/>
      <c r="N857" s="557"/>
      <c r="O857" s="488">
        <f t="shared" si="15"/>
        <v>0</v>
      </c>
      <c r="P857" s="389"/>
      <c r="Q857" s="391"/>
      <c r="R857" s="391"/>
      <c r="S857" s="391"/>
      <c r="T857" s="391"/>
      <c r="U857" s="391"/>
    </row>
    <row r="858" spans="1:21" ht="35.1" customHeight="1" x14ac:dyDescent="0.25">
      <c r="A858" s="550">
        <v>857</v>
      </c>
      <c r="B858" s="95">
        <v>45608</v>
      </c>
      <c r="C858" s="434"/>
      <c r="D858" s="488"/>
      <c r="E858" s="435"/>
      <c r="F858" s="434"/>
      <c r="G858" s="434"/>
      <c r="H858" s="434"/>
      <c r="I858" s="434"/>
      <c r="J858" s="434"/>
      <c r="K858" s="434"/>
      <c r="L858" s="434"/>
      <c r="M858" s="434"/>
      <c r="N858" s="557"/>
      <c r="O858" s="488">
        <f t="shared" si="15"/>
        <v>0</v>
      </c>
      <c r="P858" s="389"/>
      <c r="Q858" s="391"/>
      <c r="R858" s="391"/>
      <c r="S858" s="391"/>
      <c r="T858" s="391"/>
      <c r="U858" s="391"/>
    </row>
    <row r="859" spans="1:21" ht="35.1" customHeight="1" x14ac:dyDescent="0.25">
      <c r="A859" s="550">
        <v>858</v>
      </c>
      <c r="B859" s="95">
        <v>45609</v>
      </c>
      <c r="C859" s="434"/>
      <c r="D859" s="488"/>
      <c r="E859" s="435"/>
      <c r="F859" s="434"/>
      <c r="G859" s="434"/>
      <c r="H859" s="434"/>
      <c r="I859" s="434"/>
      <c r="J859" s="434"/>
      <c r="K859" s="434"/>
      <c r="L859" s="434"/>
      <c r="M859" s="434"/>
      <c r="N859" s="557"/>
      <c r="O859" s="488">
        <f t="shared" si="15"/>
        <v>0</v>
      </c>
      <c r="P859" s="389"/>
      <c r="Q859" s="391"/>
      <c r="R859" s="391"/>
      <c r="S859" s="391"/>
      <c r="T859" s="391"/>
      <c r="U859" s="391"/>
    </row>
    <row r="860" spans="1:21" ht="35.1" customHeight="1" x14ac:dyDescent="0.25">
      <c r="A860" s="550">
        <v>859</v>
      </c>
      <c r="B860" s="95">
        <v>45610</v>
      </c>
      <c r="C860" s="434"/>
      <c r="D860" s="488"/>
      <c r="E860" s="435"/>
      <c r="F860" s="434"/>
      <c r="G860" s="434"/>
      <c r="H860" s="434"/>
      <c r="I860" s="434"/>
      <c r="J860" s="434"/>
      <c r="K860" s="434"/>
      <c r="L860" s="434"/>
      <c r="M860" s="434"/>
      <c r="N860" s="557"/>
      <c r="O860" s="488">
        <f t="shared" si="15"/>
        <v>0</v>
      </c>
      <c r="P860" s="389"/>
      <c r="Q860" s="391"/>
      <c r="R860" s="391"/>
      <c r="S860" s="391"/>
      <c r="T860" s="391"/>
      <c r="U860" s="391"/>
    </row>
    <row r="861" spans="1:21" ht="35.1" customHeight="1" x14ac:dyDescent="0.25">
      <c r="A861" s="550">
        <v>860</v>
      </c>
      <c r="B861" s="95">
        <v>45611</v>
      </c>
      <c r="C861" s="434"/>
      <c r="D861" s="488"/>
      <c r="E861" s="435"/>
      <c r="F861" s="434"/>
      <c r="G861" s="434"/>
      <c r="H861" s="434"/>
      <c r="I861" s="434"/>
      <c r="J861" s="434"/>
      <c r="K861" s="434"/>
      <c r="L861" s="434"/>
      <c r="M861" s="434"/>
      <c r="N861" s="557"/>
      <c r="O861" s="488">
        <f t="shared" si="15"/>
        <v>0</v>
      </c>
      <c r="P861" s="389"/>
      <c r="Q861" s="391"/>
      <c r="R861" s="391"/>
      <c r="S861" s="391"/>
      <c r="T861" s="391"/>
      <c r="U861" s="391"/>
    </row>
    <row r="862" spans="1:21" ht="35.1" customHeight="1" x14ac:dyDescent="0.25">
      <c r="A862" s="550">
        <v>861</v>
      </c>
      <c r="B862" s="95">
        <v>45612</v>
      </c>
      <c r="C862" s="434"/>
      <c r="D862" s="488"/>
      <c r="E862" s="435"/>
      <c r="F862" s="434"/>
      <c r="G862" s="434"/>
      <c r="H862" s="434"/>
      <c r="I862" s="434"/>
      <c r="J862" s="434"/>
      <c r="K862" s="434"/>
      <c r="L862" s="434"/>
      <c r="M862" s="434"/>
      <c r="N862" s="557"/>
      <c r="O862" s="488">
        <f t="shared" si="15"/>
        <v>0</v>
      </c>
      <c r="P862" s="389"/>
      <c r="Q862" s="391"/>
      <c r="R862" s="391"/>
      <c r="S862" s="391"/>
      <c r="T862" s="391"/>
      <c r="U862" s="391"/>
    </row>
    <row r="863" spans="1:21" ht="35.1" customHeight="1" x14ac:dyDescent="0.25">
      <c r="A863" s="550">
        <v>862</v>
      </c>
      <c r="B863" s="95">
        <v>45613</v>
      </c>
      <c r="C863" s="434"/>
      <c r="D863" s="488"/>
      <c r="E863" s="435"/>
      <c r="F863" s="434"/>
      <c r="G863" s="434"/>
      <c r="H863" s="434"/>
      <c r="I863" s="434"/>
      <c r="J863" s="434"/>
      <c r="K863" s="434"/>
      <c r="L863" s="434"/>
      <c r="M863" s="434"/>
      <c r="N863" s="557"/>
      <c r="O863" s="488">
        <f t="shared" si="15"/>
        <v>0</v>
      </c>
      <c r="P863" s="389"/>
      <c r="Q863" s="391"/>
      <c r="R863" s="391"/>
      <c r="S863" s="391"/>
      <c r="T863" s="391"/>
      <c r="U863" s="391"/>
    </row>
    <row r="864" spans="1:21" ht="35.1" customHeight="1" x14ac:dyDescent="0.25">
      <c r="A864" s="550">
        <v>863</v>
      </c>
      <c r="B864" s="95">
        <v>45614</v>
      </c>
      <c r="C864" s="434"/>
      <c r="D864" s="488"/>
      <c r="E864" s="435"/>
      <c r="F864" s="434"/>
      <c r="G864" s="434"/>
      <c r="H864" s="434"/>
      <c r="I864" s="434"/>
      <c r="J864" s="434"/>
      <c r="K864" s="434"/>
      <c r="L864" s="434"/>
      <c r="M864" s="434"/>
      <c r="N864" s="557"/>
      <c r="O864" s="488">
        <f t="shared" si="15"/>
        <v>0</v>
      </c>
      <c r="P864" s="389"/>
      <c r="Q864" s="391"/>
      <c r="R864" s="391"/>
      <c r="S864" s="391"/>
      <c r="T864" s="391"/>
      <c r="U864" s="391"/>
    </row>
    <row r="865" spans="1:21" ht="35.1" customHeight="1" x14ac:dyDescent="0.25">
      <c r="A865" s="550">
        <v>864</v>
      </c>
      <c r="B865" s="95">
        <v>45615</v>
      </c>
      <c r="C865" s="434"/>
      <c r="D865" s="488"/>
      <c r="E865" s="435"/>
      <c r="F865" s="434"/>
      <c r="G865" s="434"/>
      <c r="H865" s="434"/>
      <c r="I865" s="434"/>
      <c r="J865" s="434"/>
      <c r="K865" s="434"/>
      <c r="L865" s="434"/>
      <c r="M865" s="434"/>
      <c r="N865" s="557"/>
      <c r="O865" s="488">
        <f t="shared" si="15"/>
        <v>0</v>
      </c>
      <c r="P865" s="389"/>
      <c r="Q865" s="391"/>
      <c r="R865" s="391"/>
      <c r="S865" s="391"/>
      <c r="T865" s="391"/>
      <c r="U865" s="391"/>
    </row>
    <row r="866" spans="1:21" ht="35.1" customHeight="1" x14ac:dyDescent="0.25">
      <c r="A866" s="550">
        <v>865</v>
      </c>
      <c r="B866" s="95">
        <v>45616</v>
      </c>
      <c r="C866" s="434"/>
      <c r="D866" s="488"/>
      <c r="E866" s="435"/>
      <c r="F866" s="434"/>
      <c r="G866" s="434"/>
      <c r="H866" s="434"/>
      <c r="I866" s="434"/>
      <c r="J866" s="434"/>
      <c r="K866" s="434"/>
      <c r="L866" s="434"/>
      <c r="M866" s="434"/>
      <c r="N866" s="557"/>
      <c r="O866" s="488">
        <f t="shared" si="15"/>
        <v>0</v>
      </c>
      <c r="P866" s="389"/>
      <c r="Q866" s="391"/>
      <c r="R866" s="391"/>
      <c r="S866" s="391"/>
      <c r="T866" s="391"/>
      <c r="U866" s="391"/>
    </row>
    <row r="867" spans="1:21" ht="35.1" customHeight="1" x14ac:dyDescent="0.25">
      <c r="A867" s="550">
        <v>866</v>
      </c>
      <c r="B867" s="95">
        <v>45617</v>
      </c>
      <c r="C867" s="434"/>
      <c r="D867" s="488"/>
      <c r="E867" s="435"/>
      <c r="F867" s="434"/>
      <c r="G867" s="434"/>
      <c r="H867" s="434"/>
      <c r="I867" s="434"/>
      <c r="J867" s="434"/>
      <c r="K867" s="434"/>
      <c r="L867" s="434"/>
      <c r="M867" s="434"/>
      <c r="N867" s="557"/>
      <c r="O867" s="488">
        <f t="shared" si="15"/>
        <v>0</v>
      </c>
      <c r="P867" s="389"/>
      <c r="Q867" s="391"/>
      <c r="R867" s="391"/>
      <c r="S867" s="391"/>
      <c r="T867" s="391"/>
      <c r="U867" s="391"/>
    </row>
    <row r="868" spans="1:21" ht="35.1" customHeight="1" x14ac:dyDescent="0.25">
      <c r="A868" s="550">
        <v>867</v>
      </c>
      <c r="B868" s="95">
        <v>45618</v>
      </c>
      <c r="C868" s="434"/>
      <c r="D868" s="488"/>
      <c r="E868" s="435"/>
      <c r="F868" s="434"/>
      <c r="G868" s="434"/>
      <c r="H868" s="434"/>
      <c r="I868" s="434"/>
      <c r="J868" s="434"/>
      <c r="K868" s="434"/>
      <c r="L868" s="434"/>
      <c r="M868" s="434"/>
      <c r="N868" s="557"/>
      <c r="O868" s="488">
        <f t="shared" si="15"/>
        <v>0</v>
      </c>
      <c r="P868" s="389"/>
      <c r="Q868" s="391"/>
      <c r="R868" s="391"/>
      <c r="S868" s="391"/>
      <c r="T868" s="391"/>
      <c r="U868" s="391"/>
    </row>
    <row r="869" spans="1:21" ht="35.1" customHeight="1" x14ac:dyDescent="0.25">
      <c r="A869" s="550">
        <v>868</v>
      </c>
      <c r="B869" s="95">
        <v>45619</v>
      </c>
      <c r="C869" s="434"/>
      <c r="D869" s="488"/>
      <c r="E869" s="435"/>
      <c r="F869" s="434"/>
      <c r="G869" s="434"/>
      <c r="H869" s="434"/>
      <c r="I869" s="434"/>
      <c r="J869" s="434"/>
      <c r="K869" s="434"/>
      <c r="L869" s="434"/>
      <c r="M869" s="434"/>
      <c r="N869" s="557"/>
      <c r="O869" s="488">
        <f t="shared" si="15"/>
        <v>0</v>
      </c>
      <c r="P869" s="389"/>
      <c r="Q869" s="391"/>
      <c r="R869" s="391"/>
      <c r="S869" s="391"/>
      <c r="T869" s="391"/>
      <c r="U869" s="391"/>
    </row>
    <row r="870" spans="1:21" ht="35.1" customHeight="1" x14ac:dyDescent="0.25">
      <c r="A870" s="550">
        <v>869</v>
      </c>
      <c r="B870" s="95">
        <v>45620</v>
      </c>
      <c r="C870" s="434"/>
      <c r="D870" s="488"/>
      <c r="E870" s="435"/>
      <c r="F870" s="434"/>
      <c r="G870" s="434"/>
      <c r="H870" s="434"/>
      <c r="I870" s="434"/>
      <c r="J870" s="434"/>
      <c r="K870" s="434"/>
      <c r="L870" s="434"/>
      <c r="M870" s="434"/>
      <c r="N870" s="557"/>
      <c r="O870" s="488">
        <f t="shared" si="15"/>
        <v>0</v>
      </c>
      <c r="P870" s="389"/>
      <c r="Q870" s="391"/>
      <c r="R870" s="391"/>
      <c r="S870" s="391"/>
      <c r="T870" s="391"/>
      <c r="U870" s="391"/>
    </row>
    <row r="871" spans="1:21" ht="35.1" customHeight="1" x14ac:dyDescent="0.25">
      <c r="A871" s="550">
        <v>870</v>
      </c>
      <c r="B871" s="95">
        <v>45621</v>
      </c>
      <c r="C871" s="434"/>
      <c r="D871" s="488"/>
      <c r="E871" s="435"/>
      <c r="F871" s="434"/>
      <c r="G871" s="434"/>
      <c r="H871" s="434"/>
      <c r="I871" s="434"/>
      <c r="J871" s="434"/>
      <c r="K871" s="434"/>
      <c r="L871" s="434"/>
      <c r="M871" s="434"/>
      <c r="N871" s="557"/>
      <c r="O871" s="488">
        <f t="shared" si="15"/>
        <v>0</v>
      </c>
      <c r="P871" s="389"/>
      <c r="Q871" s="391"/>
      <c r="R871" s="391"/>
      <c r="S871" s="391"/>
      <c r="T871" s="391"/>
      <c r="U871" s="391"/>
    </row>
    <row r="872" spans="1:21" ht="35.1" customHeight="1" x14ac:dyDescent="0.25">
      <c r="A872" s="550">
        <v>871</v>
      </c>
      <c r="B872" s="95">
        <v>45622</v>
      </c>
      <c r="C872" s="434"/>
      <c r="D872" s="488"/>
      <c r="E872" s="435"/>
      <c r="F872" s="434"/>
      <c r="G872" s="434"/>
      <c r="H872" s="434"/>
      <c r="I872" s="434"/>
      <c r="J872" s="434"/>
      <c r="K872" s="434"/>
      <c r="L872" s="434"/>
      <c r="M872" s="434"/>
      <c r="N872" s="557"/>
      <c r="O872" s="488">
        <f t="shared" si="15"/>
        <v>0</v>
      </c>
      <c r="P872" s="389"/>
      <c r="Q872" s="391"/>
      <c r="R872" s="391"/>
      <c r="S872" s="391"/>
      <c r="T872" s="391"/>
      <c r="U872" s="391"/>
    </row>
    <row r="873" spans="1:21" ht="35.1" customHeight="1" x14ac:dyDescent="0.25">
      <c r="A873" s="550">
        <v>872</v>
      </c>
      <c r="B873" s="95">
        <v>45623</v>
      </c>
      <c r="C873" s="434"/>
      <c r="D873" s="488"/>
      <c r="E873" s="435"/>
      <c r="F873" s="434"/>
      <c r="G873" s="434"/>
      <c r="H873" s="434"/>
      <c r="I873" s="434"/>
      <c r="J873" s="434"/>
      <c r="K873" s="434"/>
      <c r="L873" s="434"/>
      <c r="M873" s="434"/>
      <c r="N873" s="557"/>
      <c r="O873" s="488">
        <f t="shared" si="15"/>
        <v>0</v>
      </c>
      <c r="P873" s="389"/>
      <c r="Q873" s="391"/>
      <c r="R873" s="391"/>
      <c r="S873" s="391"/>
      <c r="T873" s="391"/>
      <c r="U873" s="391"/>
    </row>
    <row r="874" spans="1:21" ht="35.1" customHeight="1" x14ac:dyDescent="0.25">
      <c r="A874" s="550">
        <v>873</v>
      </c>
      <c r="B874" s="95">
        <v>45624</v>
      </c>
      <c r="C874" s="434"/>
      <c r="D874" s="488"/>
      <c r="E874" s="435"/>
      <c r="F874" s="434"/>
      <c r="G874" s="434"/>
      <c r="H874" s="434"/>
      <c r="I874" s="434"/>
      <c r="J874" s="434"/>
      <c r="K874" s="434"/>
      <c r="L874" s="434"/>
      <c r="M874" s="434"/>
      <c r="N874" s="557"/>
      <c r="O874" s="488">
        <f t="shared" si="15"/>
        <v>0</v>
      </c>
      <c r="P874" s="389"/>
      <c r="Q874" s="391"/>
      <c r="R874" s="391"/>
      <c r="S874" s="391"/>
      <c r="T874" s="391"/>
      <c r="U874" s="391"/>
    </row>
    <row r="875" spans="1:21" ht="35.1" customHeight="1" x14ac:dyDescent="0.25">
      <c r="A875" s="550">
        <v>874</v>
      </c>
      <c r="B875" s="95">
        <v>45625</v>
      </c>
      <c r="C875" s="434"/>
      <c r="D875" s="488"/>
      <c r="E875" s="435"/>
      <c r="F875" s="434"/>
      <c r="G875" s="434"/>
      <c r="H875" s="434"/>
      <c r="I875" s="434"/>
      <c r="J875" s="434"/>
      <c r="K875" s="434"/>
      <c r="L875" s="434"/>
      <c r="M875" s="434"/>
      <c r="N875" s="557"/>
      <c r="O875" s="488">
        <f t="shared" si="15"/>
        <v>0</v>
      </c>
      <c r="P875" s="389"/>
      <c r="Q875" s="391"/>
      <c r="R875" s="391"/>
      <c r="S875" s="391"/>
      <c r="T875" s="391"/>
      <c r="U875" s="391"/>
    </row>
    <row r="876" spans="1:21" ht="35.1" customHeight="1" x14ac:dyDescent="0.25">
      <c r="A876" s="550">
        <v>875</v>
      </c>
      <c r="B876" s="95">
        <v>45626</v>
      </c>
      <c r="C876" s="434"/>
      <c r="D876" s="488"/>
      <c r="E876" s="435"/>
      <c r="F876" s="434"/>
      <c r="G876" s="434"/>
      <c r="H876" s="434"/>
      <c r="I876" s="434"/>
      <c r="J876" s="434"/>
      <c r="K876" s="434"/>
      <c r="L876" s="434"/>
      <c r="M876" s="434"/>
      <c r="N876" s="557"/>
      <c r="O876" s="488">
        <f t="shared" si="15"/>
        <v>0</v>
      </c>
      <c r="P876" s="389"/>
      <c r="Q876" s="391"/>
      <c r="R876" s="391"/>
      <c r="S876" s="391"/>
      <c r="T876" s="391"/>
      <c r="U876" s="391"/>
    </row>
    <row r="877" spans="1:21" ht="35.1" customHeight="1" x14ac:dyDescent="0.25">
      <c r="A877" s="550">
        <v>876</v>
      </c>
      <c r="B877" s="95">
        <v>45627</v>
      </c>
      <c r="C877" s="434"/>
      <c r="D877" s="488"/>
      <c r="E877" s="435"/>
      <c r="F877" s="434"/>
      <c r="G877" s="434"/>
      <c r="H877" s="434"/>
      <c r="I877" s="434"/>
      <c r="J877" s="434"/>
      <c r="K877" s="434"/>
      <c r="L877" s="434"/>
      <c r="M877" s="434"/>
      <c r="N877" s="557"/>
      <c r="O877" s="488">
        <f t="shared" si="15"/>
        <v>0</v>
      </c>
      <c r="P877" s="389"/>
      <c r="Q877" s="391"/>
      <c r="R877" s="391"/>
      <c r="S877" s="391"/>
      <c r="T877" s="391"/>
      <c r="U877" s="391"/>
    </row>
    <row r="878" spans="1:21" ht="35.1" customHeight="1" x14ac:dyDescent="0.25">
      <c r="A878" s="550">
        <v>877</v>
      </c>
      <c r="B878" s="95">
        <v>45628</v>
      </c>
      <c r="C878" s="434"/>
      <c r="D878" s="488"/>
      <c r="E878" s="435"/>
      <c r="F878" s="434"/>
      <c r="G878" s="434"/>
      <c r="H878" s="434"/>
      <c r="I878" s="434"/>
      <c r="J878" s="434"/>
      <c r="K878" s="434"/>
      <c r="L878" s="434"/>
      <c r="M878" s="434"/>
      <c r="N878" s="557"/>
      <c r="O878" s="488">
        <f t="shared" si="15"/>
        <v>0</v>
      </c>
      <c r="P878" s="389"/>
      <c r="Q878" s="391"/>
      <c r="R878" s="391"/>
      <c r="S878" s="391"/>
      <c r="T878" s="391"/>
      <c r="U878" s="391"/>
    </row>
    <row r="879" spans="1:21" ht="35.1" customHeight="1" x14ac:dyDescent="0.25">
      <c r="A879" s="550">
        <v>878</v>
      </c>
      <c r="B879" s="95">
        <v>45629</v>
      </c>
      <c r="C879" s="434"/>
      <c r="D879" s="488"/>
      <c r="E879" s="435"/>
      <c r="F879" s="434"/>
      <c r="G879" s="434"/>
      <c r="H879" s="434"/>
      <c r="I879" s="434"/>
      <c r="J879" s="434"/>
      <c r="K879" s="434"/>
      <c r="L879" s="434"/>
      <c r="M879" s="434"/>
      <c r="N879" s="557"/>
      <c r="O879" s="488">
        <f t="shared" si="15"/>
        <v>0</v>
      </c>
      <c r="P879" s="389"/>
      <c r="Q879" s="391"/>
      <c r="R879" s="391"/>
      <c r="S879" s="391"/>
      <c r="T879" s="391"/>
      <c r="U879" s="391"/>
    </row>
    <row r="880" spans="1:21" ht="35.1" customHeight="1" x14ac:dyDescent="0.25">
      <c r="A880" s="550">
        <v>879</v>
      </c>
      <c r="B880" s="95">
        <v>45630</v>
      </c>
      <c r="C880" s="434"/>
      <c r="D880" s="488"/>
      <c r="E880" s="435"/>
      <c r="F880" s="434"/>
      <c r="G880" s="434"/>
      <c r="H880" s="434"/>
      <c r="I880" s="434"/>
      <c r="J880" s="434"/>
      <c r="K880" s="434"/>
      <c r="L880" s="434"/>
      <c r="M880" s="434"/>
      <c r="N880" s="557"/>
      <c r="O880" s="488">
        <f t="shared" si="15"/>
        <v>0</v>
      </c>
      <c r="P880" s="389"/>
      <c r="Q880" s="391"/>
      <c r="R880" s="391"/>
      <c r="S880" s="391"/>
      <c r="T880" s="391"/>
      <c r="U880" s="391"/>
    </row>
    <row r="881" spans="1:21" ht="35.1" customHeight="1" x14ac:dyDescent="0.25">
      <c r="A881" s="550">
        <v>880</v>
      </c>
      <c r="B881" s="95">
        <v>45631</v>
      </c>
      <c r="C881" s="434"/>
      <c r="D881" s="488"/>
      <c r="E881" s="435"/>
      <c r="F881" s="434"/>
      <c r="G881" s="434"/>
      <c r="H881" s="434"/>
      <c r="I881" s="434"/>
      <c r="J881" s="434"/>
      <c r="K881" s="434"/>
      <c r="L881" s="434"/>
      <c r="M881" s="434"/>
      <c r="N881" s="557"/>
      <c r="O881" s="488">
        <f t="shared" si="15"/>
        <v>0</v>
      </c>
      <c r="P881" s="389"/>
      <c r="Q881" s="391"/>
      <c r="R881" s="391"/>
      <c r="S881" s="391"/>
      <c r="T881" s="391"/>
      <c r="U881" s="391"/>
    </row>
    <row r="882" spans="1:21" ht="35.1" customHeight="1" x14ac:dyDescent="0.25">
      <c r="A882" s="550">
        <v>881</v>
      </c>
      <c r="B882" s="95">
        <v>45632</v>
      </c>
      <c r="C882" s="434"/>
      <c r="D882" s="488"/>
      <c r="E882" s="435"/>
      <c r="F882" s="434"/>
      <c r="G882" s="434"/>
      <c r="H882" s="434"/>
      <c r="I882" s="434"/>
      <c r="J882" s="434"/>
      <c r="K882" s="434"/>
      <c r="L882" s="434"/>
      <c r="M882" s="434"/>
      <c r="N882" s="557"/>
      <c r="O882" s="488">
        <f t="shared" si="15"/>
        <v>0</v>
      </c>
      <c r="P882" s="389"/>
      <c r="Q882" s="391"/>
      <c r="R882" s="391"/>
      <c r="S882" s="391"/>
      <c r="T882" s="391"/>
      <c r="U882" s="391"/>
    </row>
    <row r="883" spans="1:21" ht="35.1" customHeight="1" x14ac:dyDescent="0.25">
      <c r="A883" s="550">
        <v>882</v>
      </c>
      <c r="B883" s="95">
        <v>45633</v>
      </c>
      <c r="C883" s="434"/>
      <c r="D883" s="488"/>
      <c r="E883" s="435"/>
      <c r="F883" s="434"/>
      <c r="G883" s="434"/>
      <c r="H883" s="434"/>
      <c r="I883" s="434"/>
      <c r="J883" s="434"/>
      <c r="K883" s="434"/>
      <c r="L883" s="434"/>
      <c r="M883" s="434"/>
      <c r="N883" s="557"/>
      <c r="O883" s="488">
        <f t="shared" si="15"/>
        <v>0</v>
      </c>
      <c r="P883" s="389"/>
      <c r="Q883" s="391"/>
      <c r="R883" s="391"/>
      <c r="S883" s="391"/>
      <c r="T883" s="391"/>
      <c r="U883" s="391"/>
    </row>
    <row r="884" spans="1:21" ht="35.1" customHeight="1" x14ac:dyDescent="0.25">
      <c r="A884" s="550">
        <v>883</v>
      </c>
      <c r="B884" s="95">
        <v>45634</v>
      </c>
      <c r="C884" s="434"/>
      <c r="D884" s="488"/>
      <c r="E884" s="435"/>
      <c r="F884" s="434"/>
      <c r="G884" s="434"/>
      <c r="H884" s="434"/>
      <c r="I884" s="434"/>
      <c r="J884" s="434"/>
      <c r="K884" s="434"/>
      <c r="L884" s="434"/>
      <c r="M884" s="434"/>
      <c r="N884" s="557"/>
      <c r="O884" s="488">
        <f t="shared" si="15"/>
        <v>0</v>
      </c>
      <c r="P884" s="389"/>
      <c r="Q884" s="391"/>
      <c r="R884" s="391"/>
      <c r="S884" s="391"/>
      <c r="T884" s="391"/>
      <c r="U884" s="391"/>
    </row>
    <row r="885" spans="1:21" ht="35.1" customHeight="1" x14ac:dyDescent="0.25">
      <c r="A885" s="550">
        <v>884</v>
      </c>
      <c r="B885" s="95">
        <v>45635</v>
      </c>
      <c r="C885" s="434"/>
      <c r="D885" s="488"/>
      <c r="E885" s="435"/>
      <c r="F885" s="434"/>
      <c r="G885" s="434"/>
      <c r="H885" s="434"/>
      <c r="I885" s="434"/>
      <c r="J885" s="434"/>
      <c r="K885" s="434"/>
      <c r="L885" s="434"/>
      <c r="M885" s="434"/>
      <c r="N885" s="557"/>
      <c r="O885" s="488">
        <f t="shared" si="15"/>
        <v>0</v>
      </c>
      <c r="P885" s="389"/>
      <c r="Q885" s="391"/>
      <c r="R885" s="391"/>
      <c r="S885" s="391"/>
      <c r="T885" s="391"/>
      <c r="U885" s="391"/>
    </row>
    <row r="886" spans="1:21" ht="35.1" customHeight="1" x14ac:dyDescent="0.25">
      <c r="A886" s="550">
        <v>885</v>
      </c>
      <c r="B886" s="95">
        <v>45636</v>
      </c>
      <c r="C886" s="434"/>
      <c r="D886" s="488"/>
      <c r="E886" s="435"/>
      <c r="F886" s="434"/>
      <c r="G886" s="434"/>
      <c r="H886" s="434"/>
      <c r="I886" s="434"/>
      <c r="J886" s="434"/>
      <c r="K886" s="434"/>
      <c r="L886" s="434"/>
      <c r="M886" s="434"/>
      <c r="N886" s="557"/>
      <c r="O886" s="488">
        <f t="shared" si="15"/>
        <v>0</v>
      </c>
      <c r="P886" s="389"/>
      <c r="Q886" s="391"/>
      <c r="R886" s="391"/>
      <c r="S886" s="391"/>
      <c r="T886" s="391"/>
      <c r="U886" s="391"/>
    </row>
    <row r="887" spans="1:21" ht="35.1" customHeight="1" x14ac:dyDescent="0.25">
      <c r="A887" s="550">
        <v>886</v>
      </c>
      <c r="B887" s="95">
        <v>45637</v>
      </c>
      <c r="C887" s="434"/>
      <c r="D887" s="488"/>
      <c r="E887" s="435"/>
      <c r="F887" s="434"/>
      <c r="G887" s="434"/>
      <c r="H887" s="434"/>
      <c r="I887" s="434"/>
      <c r="J887" s="434"/>
      <c r="K887" s="434"/>
      <c r="L887" s="434"/>
      <c r="M887" s="434"/>
      <c r="N887" s="557"/>
      <c r="O887" s="488">
        <f t="shared" si="15"/>
        <v>0</v>
      </c>
      <c r="P887" s="389"/>
      <c r="Q887" s="391"/>
      <c r="R887" s="391"/>
      <c r="S887" s="391"/>
      <c r="T887" s="391"/>
      <c r="U887" s="391"/>
    </row>
    <row r="888" spans="1:21" ht="35.1" customHeight="1" x14ac:dyDescent="0.25">
      <c r="A888" s="550">
        <v>887</v>
      </c>
      <c r="B888" s="95">
        <v>45638</v>
      </c>
      <c r="C888" s="434"/>
      <c r="D888" s="488"/>
      <c r="E888" s="435"/>
      <c r="F888" s="434"/>
      <c r="G888" s="434"/>
      <c r="H888" s="434"/>
      <c r="I888" s="434"/>
      <c r="J888" s="434"/>
      <c r="K888" s="434"/>
      <c r="L888" s="434"/>
      <c r="M888" s="434"/>
      <c r="N888" s="557"/>
      <c r="O888" s="488">
        <f t="shared" si="15"/>
        <v>0</v>
      </c>
      <c r="P888" s="389"/>
      <c r="Q888" s="391"/>
      <c r="R888" s="391"/>
      <c r="S888" s="391"/>
      <c r="T888" s="391"/>
      <c r="U888" s="391"/>
    </row>
    <row r="889" spans="1:21" ht="35.1" customHeight="1" x14ac:dyDescent="0.25">
      <c r="A889" s="550">
        <v>888</v>
      </c>
      <c r="B889" s="95">
        <v>45639</v>
      </c>
      <c r="C889" s="434"/>
      <c r="D889" s="488"/>
      <c r="E889" s="435"/>
      <c r="F889" s="434"/>
      <c r="G889" s="434"/>
      <c r="H889" s="434"/>
      <c r="I889" s="434"/>
      <c r="J889" s="434"/>
      <c r="K889" s="434"/>
      <c r="L889" s="434"/>
      <c r="M889" s="434"/>
      <c r="N889" s="557"/>
      <c r="O889" s="488">
        <f t="shared" ref="O889:O911" si="16">SUM(G889:N889)+F889+D889</f>
        <v>0</v>
      </c>
      <c r="P889" s="389"/>
      <c r="Q889" s="391"/>
      <c r="R889" s="391"/>
      <c r="S889" s="391"/>
      <c r="T889" s="391"/>
      <c r="U889" s="391"/>
    </row>
    <row r="890" spans="1:21" ht="35.1" customHeight="1" x14ac:dyDescent="0.25">
      <c r="A890" s="550">
        <v>889</v>
      </c>
      <c r="B890" s="95">
        <v>45640</v>
      </c>
      <c r="C890" s="434"/>
      <c r="D890" s="488"/>
      <c r="E890" s="435"/>
      <c r="F890" s="434"/>
      <c r="G890" s="434"/>
      <c r="H890" s="434"/>
      <c r="I890" s="434"/>
      <c r="J890" s="434"/>
      <c r="K890" s="434"/>
      <c r="L890" s="434"/>
      <c r="M890" s="434"/>
      <c r="N890" s="557"/>
      <c r="O890" s="488">
        <f t="shared" si="16"/>
        <v>0</v>
      </c>
      <c r="P890" s="389"/>
      <c r="Q890" s="391"/>
      <c r="R890" s="391"/>
      <c r="S890" s="391"/>
      <c r="T890" s="391"/>
      <c r="U890" s="391"/>
    </row>
    <row r="891" spans="1:21" ht="35.1" customHeight="1" x14ac:dyDescent="0.25">
      <c r="A891" s="550">
        <v>890</v>
      </c>
      <c r="B891" s="95">
        <v>45641</v>
      </c>
      <c r="C891" s="434"/>
      <c r="D891" s="488"/>
      <c r="E891" s="435"/>
      <c r="F891" s="434"/>
      <c r="G891" s="434"/>
      <c r="H891" s="434"/>
      <c r="I891" s="434"/>
      <c r="J891" s="434"/>
      <c r="K891" s="434"/>
      <c r="L891" s="434"/>
      <c r="M891" s="434"/>
      <c r="N891" s="557"/>
      <c r="O891" s="488">
        <f t="shared" si="16"/>
        <v>0</v>
      </c>
      <c r="P891" s="389"/>
      <c r="Q891" s="391"/>
      <c r="R891" s="391"/>
      <c r="S891" s="391"/>
      <c r="T891" s="391"/>
      <c r="U891" s="391"/>
    </row>
    <row r="892" spans="1:21" ht="35.1" customHeight="1" x14ac:dyDescent="0.25">
      <c r="A892" s="550">
        <v>891</v>
      </c>
      <c r="B892" s="95">
        <v>45642</v>
      </c>
      <c r="C892" s="434"/>
      <c r="D892" s="488"/>
      <c r="E892" s="435"/>
      <c r="F892" s="434"/>
      <c r="G892" s="434"/>
      <c r="H892" s="434"/>
      <c r="I892" s="434"/>
      <c r="J892" s="434"/>
      <c r="K892" s="434"/>
      <c r="L892" s="434"/>
      <c r="M892" s="434"/>
      <c r="N892" s="557"/>
      <c r="O892" s="488">
        <f t="shared" si="16"/>
        <v>0</v>
      </c>
      <c r="P892" s="389"/>
      <c r="Q892" s="391"/>
      <c r="R892" s="391"/>
      <c r="S892" s="391"/>
      <c r="T892" s="391"/>
      <c r="U892" s="391"/>
    </row>
    <row r="893" spans="1:21" ht="35.1" customHeight="1" x14ac:dyDescent="0.25">
      <c r="A893" s="550">
        <v>892</v>
      </c>
      <c r="B893" s="95">
        <v>45643</v>
      </c>
      <c r="C893" s="434"/>
      <c r="D893" s="488"/>
      <c r="E893" s="435"/>
      <c r="F893" s="434"/>
      <c r="G893" s="434"/>
      <c r="H893" s="434"/>
      <c r="I893" s="434"/>
      <c r="J893" s="434"/>
      <c r="K893" s="434"/>
      <c r="L893" s="434"/>
      <c r="M893" s="434"/>
      <c r="N893" s="557"/>
      <c r="O893" s="488">
        <f t="shared" si="16"/>
        <v>0</v>
      </c>
      <c r="P893" s="389"/>
      <c r="Q893" s="391"/>
      <c r="R893" s="391"/>
      <c r="S893" s="391"/>
      <c r="T893" s="391"/>
      <c r="U893" s="391"/>
    </row>
    <row r="894" spans="1:21" ht="35.1" customHeight="1" x14ac:dyDescent="0.25">
      <c r="A894" s="550">
        <v>893</v>
      </c>
      <c r="B894" s="95">
        <v>45644</v>
      </c>
      <c r="C894" s="434"/>
      <c r="D894" s="488"/>
      <c r="E894" s="435"/>
      <c r="F894" s="434"/>
      <c r="G894" s="434"/>
      <c r="H894" s="434"/>
      <c r="I894" s="434"/>
      <c r="J894" s="434"/>
      <c r="K894" s="434"/>
      <c r="L894" s="434"/>
      <c r="M894" s="434"/>
      <c r="N894" s="557"/>
      <c r="O894" s="488">
        <f t="shared" si="16"/>
        <v>0</v>
      </c>
      <c r="P894" s="389"/>
      <c r="Q894" s="391"/>
      <c r="R894" s="391"/>
      <c r="S894" s="391"/>
      <c r="T894" s="391"/>
      <c r="U894" s="391"/>
    </row>
    <row r="895" spans="1:21" ht="35.1" customHeight="1" x14ac:dyDescent="0.25">
      <c r="A895" s="550">
        <v>894</v>
      </c>
      <c r="B895" s="95">
        <v>45645</v>
      </c>
      <c r="C895" s="434"/>
      <c r="D895" s="488"/>
      <c r="E895" s="435"/>
      <c r="F895" s="434"/>
      <c r="G895" s="434"/>
      <c r="H895" s="434"/>
      <c r="I895" s="434"/>
      <c r="J895" s="434"/>
      <c r="K895" s="434"/>
      <c r="L895" s="434"/>
      <c r="M895" s="434"/>
      <c r="N895" s="557"/>
      <c r="O895" s="488">
        <f t="shared" si="16"/>
        <v>0</v>
      </c>
      <c r="P895" s="389"/>
      <c r="Q895" s="391"/>
      <c r="R895" s="391"/>
      <c r="S895" s="391"/>
      <c r="T895" s="391"/>
      <c r="U895" s="391"/>
    </row>
    <row r="896" spans="1:21" ht="35.1" customHeight="1" x14ac:dyDescent="0.25">
      <c r="A896" s="550">
        <v>895</v>
      </c>
      <c r="B896" s="95">
        <v>45646</v>
      </c>
      <c r="C896" s="434"/>
      <c r="D896" s="488"/>
      <c r="E896" s="435"/>
      <c r="F896" s="434"/>
      <c r="G896" s="434"/>
      <c r="H896" s="434"/>
      <c r="I896" s="434"/>
      <c r="J896" s="434"/>
      <c r="K896" s="434"/>
      <c r="L896" s="434"/>
      <c r="M896" s="434"/>
      <c r="N896" s="557"/>
      <c r="O896" s="488">
        <f t="shared" si="16"/>
        <v>0</v>
      </c>
      <c r="P896" s="389"/>
      <c r="Q896" s="391"/>
      <c r="R896" s="391"/>
      <c r="S896" s="391"/>
      <c r="T896" s="391"/>
      <c r="U896" s="391"/>
    </row>
    <row r="897" spans="1:21" ht="35.1" customHeight="1" x14ac:dyDescent="0.25">
      <c r="A897" s="550">
        <v>896</v>
      </c>
      <c r="B897" s="95">
        <v>45647</v>
      </c>
      <c r="C897" s="434"/>
      <c r="D897" s="488"/>
      <c r="E897" s="435"/>
      <c r="F897" s="434"/>
      <c r="G897" s="434"/>
      <c r="H897" s="434"/>
      <c r="I897" s="434"/>
      <c r="J897" s="434"/>
      <c r="K897" s="434"/>
      <c r="L897" s="434"/>
      <c r="M897" s="434"/>
      <c r="N897" s="557"/>
      <c r="O897" s="488">
        <f t="shared" si="16"/>
        <v>0</v>
      </c>
      <c r="P897" s="389"/>
      <c r="Q897" s="391"/>
      <c r="R897" s="391"/>
      <c r="S897" s="391"/>
      <c r="T897" s="391"/>
      <c r="U897" s="391"/>
    </row>
    <row r="898" spans="1:21" ht="35.1" customHeight="1" x14ac:dyDescent="0.25">
      <c r="A898" s="550">
        <v>897</v>
      </c>
      <c r="B898" s="95">
        <v>45648</v>
      </c>
      <c r="C898" s="434"/>
      <c r="D898" s="488"/>
      <c r="E898" s="435"/>
      <c r="F898" s="434"/>
      <c r="G898" s="434"/>
      <c r="H898" s="434"/>
      <c r="I898" s="434"/>
      <c r="J898" s="434"/>
      <c r="K898" s="434"/>
      <c r="L898" s="434"/>
      <c r="M898" s="434"/>
      <c r="N898" s="557"/>
      <c r="O898" s="488">
        <f t="shared" si="16"/>
        <v>0</v>
      </c>
      <c r="P898" s="389"/>
      <c r="Q898" s="391"/>
      <c r="R898" s="391"/>
      <c r="S898" s="391"/>
      <c r="T898" s="391"/>
      <c r="U898" s="391"/>
    </row>
    <row r="899" spans="1:21" ht="35.1" customHeight="1" x14ac:dyDescent="0.25">
      <c r="A899" s="550">
        <v>898</v>
      </c>
      <c r="B899" s="95">
        <v>45649</v>
      </c>
      <c r="C899" s="434"/>
      <c r="D899" s="488"/>
      <c r="E899" s="435"/>
      <c r="F899" s="434"/>
      <c r="G899" s="434"/>
      <c r="H899" s="434"/>
      <c r="I899" s="434"/>
      <c r="J899" s="434"/>
      <c r="K899" s="434"/>
      <c r="L899" s="434"/>
      <c r="M899" s="434"/>
      <c r="N899" s="557"/>
      <c r="O899" s="488">
        <f t="shared" si="16"/>
        <v>0</v>
      </c>
      <c r="P899" s="389"/>
      <c r="Q899" s="391"/>
      <c r="R899" s="391"/>
      <c r="S899" s="391"/>
      <c r="T899" s="391"/>
      <c r="U899" s="391"/>
    </row>
    <row r="900" spans="1:21" ht="35.1" customHeight="1" x14ac:dyDescent="0.25">
      <c r="A900" s="550">
        <v>899</v>
      </c>
      <c r="B900" s="95">
        <v>45650</v>
      </c>
      <c r="C900" s="434"/>
      <c r="D900" s="488"/>
      <c r="E900" s="435"/>
      <c r="F900" s="434"/>
      <c r="G900" s="434"/>
      <c r="H900" s="434"/>
      <c r="I900" s="434"/>
      <c r="J900" s="434"/>
      <c r="K900" s="434"/>
      <c r="L900" s="434"/>
      <c r="M900" s="434"/>
      <c r="N900" s="557"/>
      <c r="O900" s="488">
        <f t="shared" si="16"/>
        <v>0</v>
      </c>
      <c r="P900" s="389"/>
      <c r="Q900" s="391"/>
      <c r="R900" s="391"/>
      <c r="S900" s="391"/>
      <c r="T900" s="391"/>
      <c r="U900" s="391"/>
    </row>
    <row r="901" spans="1:21" ht="35.1" customHeight="1" x14ac:dyDescent="0.25">
      <c r="A901" s="550">
        <v>900</v>
      </c>
      <c r="B901" s="95">
        <v>45651</v>
      </c>
      <c r="C901" s="434"/>
      <c r="D901" s="488"/>
      <c r="E901" s="435"/>
      <c r="F901" s="434"/>
      <c r="G901" s="434"/>
      <c r="H901" s="434"/>
      <c r="I901" s="434"/>
      <c r="J901" s="434"/>
      <c r="K901" s="434"/>
      <c r="L901" s="434"/>
      <c r="M901" s="434"/>
      <c r="N901" s="557"/>
      <c r="O901" s="488">
        <f t="shared" si="16"/>
        <v>0</v>
      </c>
      <c r="P901" s="389"/>
      <c r="Q901" s="391"/>
      <c r="R901" s="391"/>
      <c r="S901" s="391"/>
      <c r="T901" s="391"/>
      <c r="U901" s="391"/>
    </row>
    <row r="902" spans="1:21" ht="35.1" customHeight="1" x14ac:dyDescent="0.25">
      <c r="A902" s="550">
        <v>901</v>
      </c>
      <c r="B902" s="95">
        <v>45652</v>
      </c>
      <c r="C902" s="434"/>
      <c r="D902" s="488"/>
      <c r="E902" s="435"/>
      <c r="F902" s="434"/>
      <c r="G902" s="434"/>
      <c r="H902" s="434"/>
      <c r="I902" s="434"/>
      <c r="J902" s="434"/>
      <c r="K902" s="434"/>
      <c r="L902" s="434"/>
      <c r="M902" s="434"/>
      <c r="N902" s="557"/>
      <c r="O902" s="488">
        <f t="shared" si="16"/>
        <v>0</v>
      </c>
      <c r="P902" s="389"/>
      <c r="Q902" s="391"/>
      <c r="R902" s="391"/>
      <c r="S902" s="391"/>
      <c r="T902" s="391"/>
      <c r="U902" s="391"/>
    </row>
    <row r="903" spans="1:21" ht="35.1" customHeight="1" x14ac:dyDescent="0.25">
      <c r="A903" s="550">
        <v>902</v>
      </c>
      <c r="B903" s="95">
        <v>45653</v>
      </c>
      <c r="C903" s="434"/>
      <c r="D903" s="488"/>
      <c r="E903" s="435"/>
      <c r="F903" s="434"/>
      <c r="G903" s="434"/>
      <c r="H903" s="434"/>
      <c r="I903" s="434"/>
      <c r="J903" s="434"/>
      <c r="K903" s="434"/>
      <c r="L903" s="434"/>
      <c r="M903" s="434"/>
      <c r="N903" s="557"/>
      <c r="O903" s="488">
        <f t="shared" si="16"/>
        <v>0</v>
      </c>
      <c r="P903" s="389"/>
      <c r="Q903" s="391"/>
      <c r="R903" s="391"/>
      <c r="S903" s="391"/>
      <c r="T903" s="391"/>
      <c r="U903" s="391"/>
    </row>
    <row r="904" spans="1:21" ht="35.1" customHeight="1" x14ac:dyDescent="0.25">
      <c r="A904" s="550">
        <v>903</v>
      </c>
      <c r="B904" s="95">
        <v>45654</v>
      </c>
      <c r="C904" s="434"/>
      <c r="D904" s="488"/>
      <c r="E904" s="435"/>
      <c r="F904" s="434"/>
      <c r="G904" s="434"/>
      <c r="H904" s="434"/>
      <c r="I904" s="434"/>
      <c r="J904" s="434"/>
      <c r="K904" s="434"/>
      <c r="L904" s="434"/>
      <c r="M904" s="434"/>
      <c r="N904" s="557"/>
      <c r="O904" s="488">
        <f t="shared" si="16"/>
        <v>0</v>
      </c>
      <c r="P904" s="389"/>
      <c r="Q904" s="391"/>
      <c r="R904" s="391"/>
      <c r="S904" s="391"/>
      <c r="T904" s="391"/>
      <c r="U904" s="391"/>
    </row>
    <row r="905" spans="1:21" ht="35.1" customHeight="1" x14ac:dyDescent="0.25">
      <c r="A905" s="550">
        <v>904</v>
      </c>
      <c r="B905" s="95">
        <v>45655</v>
      </c>
      <c r="C905" s="434"/>
      <c r="D905" s="488"/>
      <c r="E905" s="435"/>
      <c r="F905" s="434"/>
      <c r="G905" s="434"/>
      <c r="H905" s="434"/>
      <c r="I905" s="434"/>
      <c r="J905" s="434"/>
      <c r="K905" s="434"/>
      <c r="L905" s="434"/>
      <c r="M905" s="434"/>
      <c r="N905" s="557"/>
      <c r="O905" s="488">
        <f t="shared" si="16"/>
        <v>0</v>
      </c>
      <c r="P905" s="389"/>
      <c r="Q905" s="391"/>
      <c r="R905" s="391"/>
      <c r="S905" s="391"/>
      <c r="T905" s="391"/>
      <c r="U905" s="391"/>
    </row>
    <row r="906" spans="1:21" ht="35.1" customHeight="1" x14ac:dyDescent="0.25">
      <c r="A906" s="550">
        <v>905</v>
      </c>
      <c r="B906" s="95">
        <v>45656</v>
      </c>
      <c r="C906" s="434"/>
      <c r="D906" s="488"/>
      <c r="E906" s="435"/>
      <c r="F906" s="434"/>
      <c r="G906" s="434"/>
      <c r="H906" s="434"/>
      <c r="I906" s="434"/>
      <c r="J906" s="434"/>
      <c r="K906" s="434"/>
      <c r="L906" s="434"/>
      <c r="M906" s="434"/>
      <c r="N906" s="557"/>
      <c r="O906" s="488">
        <f t="shared" si="16"/>
        <v>0</v>
      </c>
      <c r="P906" s="389"/>
      <c r="Q906" s="391"/>
      <c r="R906" s="391"/>
      <c r="S906" s="391"/>
      <c r="T906" s="391"/>
      <c r="U906" s="391"/>
    </row>
    <row r="907" spans="1:21" ht="35.1" customHeight="1" x14ac:dyDescent="0.25">
      <c r="A907" s="550">
        <v>906</v>
      </c>
      <c r="B907" s="95">
        <v>45657</v>
      </c>
      <c r="C907" s="434"/>
      <c r="D907" s="488"/>
      <c r="E907" s="435"/>
      <c r="F907" s="434"/>
      <c r="G907" s="434"/>
      <c r="H907" s="434"/>
      <c r="I907" s="434"/>
      <c r="J907" s="434"/>
      <c r="K907" s="434"/>
      <c r="L907" s="434"/>
      <c r="M907" s="434"/>
      <c r="N907" s="557"/>
      <c r="O907" s="488">
        <f t="shared" si="16"/>
        <v>0</v>
      </c>
      <c r="P907" s="389"/>
      <c r="Q907" s="391"/>
      <c r="R907" s="391"/>
      <c r="S907" s="391"/>
      <c r="T907" s="391"/>
      <c r="U907" s="391"/>
    </row>
    <row r="908" spans="1:21" ht="35.1" customHeight="1" x14ac:dyDescent="0.25">
      <c r="A908" s="550">
        <v>907</v>
      </c>
      <c r="B908" s="95">
        <v>45658</v>
      </c>
      <c r="C908" s="434"/>
      <c r="D908" s="488"/>
      <c r="E908" s="435"/>
      <c r="F908" s="434"/>
      <c r="G908" s="434"/>
      <c r="H908" s="434"/>
      <c r="I908" s="434"/>
      <c r="J908" s="434"/>
      <c r="K908" s="434"/>
      <c r="L908" s="434"/>
      <c r="M908" s="434"/>
      <c r="N908" s="557"/>
      <c r="O908" s="488">
        <f t="shared" si="16"/>
        <v>0</v>
      </c>
      <c r="P908" s="389"/>
      <c r="Q908" s="391"/>
      <c r="R908" s="391"/>
      <c r="S908" s="391"/>
      <c r="T908" s="391"/>
      <c r="U908" s="391"/>
    </row>
    <row r="909" spans="1:21" ht="35.1" customHeight="1" x14ac:dyDescent="0.25">
      <c r="A909" s="550">
        <v>908</v>
      </c>
      <c r="B909" s="95">
        <v>45659</v>
      </c>
      <c r="C909" s="434"/>
      <c r="D909" s="488"/>
      <c r="E909" s="435"/>
      <c r="F909" s="434"/>
      <c r="G909" s="434"/>
      <c r="H909" s="434"/>
      <c r="I909" s="434"/>
      <c r="J909" s="434"/>
      <c r="K909" s="434"/>
      <c r="L909" s="434"/>
      <c r="M909" s="434"/>
      <c r="N909" s="557"/>
      <c r="O909" s="488">
        <f t="shared" si="16"/>
        <v>0</v>
      </c>
      <c r="P909" s="389"/>
      <c r="Q909" s="391"/>
      <c r="R909" s="391"/>
      <c r="S909" s="391"/>
      <c r="T909" s="391"/>
      <c r="U909" s="391"/>
    </row>
    <row r="910" spans="1:21" ht="35.1" customHeight="1" x14ac:dyDescent="0.25">
      <c r="A910" s="550">
        <v>909</v>
      </c>
      <c r="B910" s="95">
        <v>45660</v>
      </c>
      <c r="C910" s="434"/>
      <c r="D910" s="488"/>
      <c r="E910" s="435"/>
      <c r="F910" s="434"/>
      <c r="G910" s="434"/>
      <c r="H910" s="434"/>
      <c r="I910" s="434"/>
      <c r="J910" s="434"/>
      <c r="K910" s="434"/>
      <c r="L910" s="434"/>
      <c r="M910" s="434"/>
      <c r="N910" s="557"/>
      <c r="O910" s="488">
        <f t="shared" si="16"/>
        <v>0</v>
      </c>
      <c r="P910" s="389"/>
      <c r="Q910" s="391"/>
      <c r="R910" s="391"/>
      <c r="S910" s="391"/>
      <c r="T910" s="391"/>
      <c r="U910" s="391"/>
    </row>
    <row r="911" spans="1:21" x14ac:dyDescent="0.25">
      <c r="A911" s="550">
        <v>910</v>
      </c>
      <c r="B911" s="95">
        <v>45661</v>
      </c>
      <c r="C911" s="434"/>
      <c r="D911" s="488"/>
      <c r="E911" s="435"/>
      <c r="F911" s="434"/>
      <c r="G911" s="434"/>
      <c r="H911" s="434"/>
      <c r="I911" s="434"/>
      <c r="J911" s="434"/>
      <c r="K911" s="434"/>
      <c r="L911" s="434"/>
      <c r="M911" s="434"/>
      <c r="N911" s="557"/>
      <c r="O911" s="488">
        <f t="shared" si="16"/>
        <v>0</v>
      </c>
    </row>
  </sheetData>
  <mergeCells count="23">
    <mergeCell ref="P470:P474"/>
    <mergeCell ref="E1:F1"/>
    <mergeCell ref="P39:V39"/>
    <mergeCell ref="P441:P445"/>
    <mergeCell ref="Q441:Q445"/>
    <mergeCell ref="R441:R445"/>
    <mergeCell ref="S441:S445"/>
    <mergeCell ref="T441:T445"/>
    <mergeCell ref="U441:U445"/>
    <mergeCell ref="V441:V445"/>
    <mergeCell ref="Q470:Q474"/>
    <mergeCell ref="V470:V474"/>
    <mergeCell ref="U470:U474"/>
    <mergeCell ref="T470:T474"/>
    <mergeCell ref="R470:R474"/>
    <mergeCell ref="S470:S474"/>
    <mergeCell ref="P475:P481"/>
    <mergeCell ref="Q475:Q481"/>
    <mergeCell ref="V475:V481"/>
    <mergeCell ref="U475:U481"/>
    <mergeCell ref="T475:T481"/>
    <mergeCell ref="S475:S481"/>
    <mergeCell ref="R475:R48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Q1048575"/>
  <sheetViews>
    <sheetView workbookViewId="0">
      <pane ySplit="1" topLeftCell="A326" activePane="bottomLeft" state="frozen"/>
      <selection pane="bottomLeft" activeCell="G339" sqref="G339"/>
    </sheetView>
  </sheetViews>
  <sheetFormatPr baseColWidth="10" defaultRowHeight="24.95" customHeight="1" x14ac:dyDescent="0.25"/>
  <cols>
    <col min="1" max="1" width="3.42578125" customWidth="1"/>
    <col min="2" max="2" width="45.140625" style="468" customWidth="1"/>
    <col min="3" max="3" width="25.42578125" style="468" customWidth="1"/>
    <col min="4" max="4" width="12.5703125" style="590" customWidth="1"/>
    <col min="5" max="5" width="17" style="477" customWidth="1"/>
    <col min="6" max="6" width="11.42578125" style="476"/>
    <col min="7" max="7" width="16.7109375" style="540" customWidth="1"/>
    <col min="8" max="8" width="28.5703125" customWidth="1"/>
  </cols>
  <sheetData>
    <row r="1" spans="1:17" ht="43.5" customHeight="1" x14ac:dyDescent="0.25">
      <c r="A1" s="8"/>
      <c r="B1" s="580" t="s">
        <v>191</v>
      </c>
      <c r="C1" s="581" t="s">
        <v>360</v>
      </c>
      <c r="D1" s="588" t="s">
        <v>782</v>
      </c>
      <c r="E1" s="582" t="s">
        <v>297</v>
      </c>
      <c r="F1" s="583" t="s">
        <v>192</v>
      </c>
      <c r="G1" s="579" t="s">
        <v>359</v>
      </c>
      <c r="H1" s="579" t="s">
        <v>780</v>
      </c>
    </row>
    <row r="2" spans="1:17" ht="24.95" customHeight="1" x14ac:dyDescent="0.25">
      <c r="A2" s="8"/>
      <c r="B2" s="576" t="s">
        <v>752</v>
      </c>
      <c r="C2" s="474" t="s">
        <v>303</v>
      </c>
      <c r="D2" s="576"/>
      <c r="E2" s="132">
        <v>44965</v>
      </c>
      <c r="F2" s="474">
        <v>46</v>
      </c>
      <c r="G2" s="309" t="s">
        <v>102</v>
      </c>
      <c r="H2" s="309"/>
      <c r="Q2" t="s">
        <v>362</v>
      </c>
    </row>
    <row r="3" spans="1:17" ht="24.95" customHeight="1" x14ac:dyDescent="0.25">
      <c r="A3" s="8"/>
      <c r="B3" s="474" t="s">
        <v>300</v>
      </c>
      <c r="C3" s="576" t="s">
        <v>303</v>
      </c>
      <c r="D3" s="576"/>
      <c r="E3" s="132">
        <v>44965</v>
      </c>
      <c r="F3" s="474">
        <v>151</v>
      </c>
      <c r="G3" s="309" t="s">
        <v>363</v>
      </c>
      <c r="H3" s="309"/>
      <c r="Q3" t="s">
        <v>303</v>
      </c>
    </row>
    <row r="4" spans="1:17" ht="24.95" customHeight="1" x14ac:dyDescent="0.25">
      <c r="A4" s="8"/>
      <c r="B4" s="474" t="s">
        <v>300</v>
      </c>
      <c r="C4" s="576" t="s">
        <v>362</v>
      </c>
      <c r="D4" s="576"/>
      <c r="E4" s="132">
        <v>44965</v>
      </c>
      <c r="F4" s="474" t="s">
        <v>336</v>
      </c>
      <c r="G4" s="309" t="s">
        <v>336</v>
      </c>
      <c r="H4" s="309"/>
      <c r="Q4" t="s">
        <v>595</v>
      </c>
    </row>
    <row r="5" spans="1:17" ht="24.95" customHeight="1" x14ac:dyDescent="0.25">
      <c r="A5" s="8"/>
      <c r="B5" s="474" t="s">
        <v>325</v>
      </c>
      <c r="C5" s="576" t="s">
        <v>303</v>
      </c>
      <c r="D5" s="576"/>
      <c r="E5" s="132">
        <v>44965</v>
      </c>
      <c r="F5" s="474">
        <v>476</v>
      </c>
      <c r="G5" s="309" t="s">
        <v>363</v>
      </c>
      <c r="H5" s="309"/>
      <c r="I5" s="309"/>
      <c r="Q5" t="s">
        <v>361</v>
      </c>
    </row>
    <row r="6" spans="1:17" ht="24.95" customHeight="1" x14ac:dyDescent="0.25">
      <c r="A6" s="8"/>
      <c r="B6" s="474" t="s">
        <v>325</v>
      </c>
      <c r="C6" s="576" t="s">
        <v>362</v>
      </c>
      <c r="D6" s="576"/>
      <c r="E6" s="132">
        <v>44965</v>
      </c>
      <c r="F6" s="474" t="s">
        <v>336</v>
      </c>
      <c r="G6" s="309" t="s">
        <v>336</v>
      </c>
      <c r="H6" s="309"/>
    </row>
    <row r="7" spans="1:17" ht="24.95" customHeight="1" x14ac:dyDescent="0.25">
      <c r="A7" s="8"/>
      <c r="B7" s="474" t="s">
        <v>351</v>
      </c>
      <c r="C7" s="576" t="s">
        <v>303</v>
      </c>
      <c r="D7" s="576"/>
      <c r="E7" s="132">
        <v>44965</v>
      </c>
      <c r="F7" s="474">
        <v>130</v>
      </c>
      <c r="G7" s="309" t="s">
        <v>363</v>
      </c>
      <c r="H7" s="309"/>
    </row>
    <row r="8" spans="1:17" ht="24.95" customHeight="1" x14ac:dyDescent="0.25">
      <c r="A8" s="8"/>
      <c r="B8" s="474" t="s">
        <v>351</v>
      </c>
      <c r="C8" s="576" t="s">
        <v>362</v>
      </c>
      <c r="D8" s="576"/>
      <c r="E8" s="132">
        <v>44965</v>
      </c>
      <c r="F8" s="474" t="s">
        <v>336</v>
      </c>
      <c r="G8" s="309" t="s">
        <v>336</v>
      </c>
      <c r="H8" s="309"/>
    </row>
    <row r="9" spans="1:17" ht="24.95" customHeight="1" x14ac:dyDescent="0.25">
      <c r="A9" s="8"/>
      <c r="B9" s="474" t="s">
        <v>310</v>
      </c>
      <c r="C9" s="576" t="s">
        <v>303</v>
      </c>
      <c r="D9" s="576"/>
      <c r="E9" s="132">
        <v>44965</v>
      </c>
      <c r="F9" s="474">
        <v>30</v>
      </c>
      <c r="G9" s="309" t="s">
        <v>363</v>
      </c>
      <c r="H9" s="309"/>
    </row>
    <row r="10" spans="1:17" ht="24.95" customHeight="1" x14ac:dyDescent="0.25">
      <c r="A10" s="8"/>
      <c r="B10" s="474" t="s">
        <v>310</v>
      </c>
      <c r="C10" s="576" t="s">
        <v>362</v>
      </c>
      <c r="D10" s="576"/>
      <c r="E10" s="132">
        <v>44965</v>
      </c>
      <c r="F10" s="474" t="s">
        <v>336</v>
      </c>
      <c r="G10" s="309" t="s">
        <v>336</v>
      </c>
      <c r="H10" s="309"/>
    </row>
    <row r="11" spans="1:17" ht="24.95" customHeight="1" x14ac:dyDescent="0.25">
      <c r="A11" s="8"/>
      <c r="B11" s="474" t="s">
        <v>332</v>
      </c>
      <c r="C11" s="576" t="s">
        <v>303</v>
      </c>
      <c r="D11" s="576"/>
      <c r="E11" s="132">
        <v>44965</v>
      </c>
      <c r="F11" s="474">
        <v>18</v>
      </c>
      <c r="G11" s="309" t="s">
        <v>363</v>
      </c>
      <c r="H11" s="309"/>
    </row>
    <row r="12" spans="1:17" ht="24.95" customHeight="1" x14ac:dyDescent="0.25">
      <c r="A12" s="8"/>
      <c r="B12" s="474" t="s">
        <v>332</v>
      </c>
      <c r="C12" s="576" t="s">
        <v>303</v>
      </c>
      <c r="D12" s="576"/>
      <c r="E12" s="132">
        <v>44972</v>
      </c>
      <c r="F12" s="474">
        <v>10</v>
      </c>
      <c r="G12" s="309" t="s">
        <v>363</v>
      </c>
      <c r="H12" s="309"/>
    </row>
    <row r="13" spans="1:17" ht="24.95" customHeight="1" x14ac:dyDescent="0.25">
      <c r="A13" s="8"/>
      <c r="B13" s="474" t="s">
        <v>458</v>
      </c>
      <c r="C13" s="576" t="s">
        <v>361</v>
      </c>
      <c r="D13" s="576"/>
      <c r="E13" s="132">
        <v>44984</v>
      </c>
      <c r="F13" s="474">
        <v>34</v>
      </c>
      <c r="G13" s="309" t="s">
        <v>336</v>
      </c>
      <c r="H13" s="309"/>
    </row>
    <row r="14" spans="1:17" ht="24.95" customHeight="1" x14ac:dyDescent="0.25">
      <c r="B14" s="474" t="s">
        <v>472</v>
      </c>
      <c r="C14" s="576" t="s">
        <v>361</v>
      </c>
      <c r="D14" s="576"/>
      <c r="E14" s="132">
        <v>44984</v>
      </c>
      <c r="F14" s="474">
        <v>380</v>
      </c>
      <c r="G14" s="309" t="s">
        <v>336</v>
      </c>
      <c r="H14" s="309"/>
    </row>
    <row r="15" spans="1:17" ht="24.95" customHeight="1" x14ac:dyDescent="0.25">
      <c r="B15" s="474" t="s">
        <v>351</v>
      </c>
      <c r="C15" s="576" t="s">
        <v>361</v>
      </c>
      <c r="D15" s="576"/>
      <c r="E15" s="132">
        <v>44987</v>
      </c>
      <c r="F15" s="474">
        <v>130</v>
      </c>
      <c r="G15" s="309" t="s">
        <v>336</v>
      </c>
      <c r="H15" s="309"/>
    </row>
    <row r="16" spans="1:17" ht="24.95" customHeight="1" x14ac:dyDescent="0.25">
      <c r="B16" s="474" t="s">
        <v>332</v>
      </c>
      <c r="C16" s="576" t="s">
        <v>303</v>
      </c>
      <c r="D16" s="576"/>
      <c r="E16" s="132">
        <v>44987</v>
      </c>
      <c r="F16" s="474">
        <v>10</v>
      </c>
      <c r="G16" s="309" t="s">
        <v>363</v>
      </c>
      <c r="H16" s="309"/>
    </row>
    <row r="17" spans="2:8" ht="24.95" customHeight="1" x14ac:dyDescent="0.25">
      <c r="B17" s="474" t="s">
        <v>472</v>
      </c>
      <c r="C17" s="576" t="s">
        <v>361</v>
      </c>
      <c r="D17" s="576"/>
      <c r="E17" s="132">
        <v>44992</v>
      </c>
      <c r="F17" s="474">
        <v>57</v>
      </c>
      <c r="G17" s="309" t="s">
        <v>336</v>
      </c>
      <c r="H17" s="309"/>
    </row>
    <row r="18" spans="2:8" ht="24.95" customHeight="1" x14ac:dyDescent="0.25">
      <c r="B18" s="474" t="s">
        <v>351</v>
      </c>
      <c r="C18" s="576" t="s">
        <v>303</v>
      </c>
      <c r="D18" s="576"/>
      <c r="E18" s="132">
        <v>44993</v>
      </c>
      <c r="F18" s="474">
        <v>130</v>
      </c>
      <c r="G18" s="309" t="s">
        <v>102</v>
      </c>
      <c r="H18" s="309"/>
    </row>
    <row r="19" spans="2:8" ht="24.95" customHeight="1" x14ac:dyDescent="0.25">
      <c r="B19" s="474" t="s">
        <v>351</v>
      </c>
      <c r="C19" s="576" t="s">
        <v>362</v>
      </c>
      <c r="D19" s="576"/>
      <c r="E19" s="132">
        <v>44993</v>
      </c>
      <c r="F19" s="474" t="s">
        <v>336</v>
      </c>
      <c r="G19" s="309" t="s">
        <v>336</v>
      </c>
      <c r="H19" s="309"/>
    </row>
    <row r="20" spans="2:8" ht="24.95" customHeight="1" x14ac:dyDescent="0.25">
      <c r="B20" s="474" t="s">
        <v>461</v>
      </c>
      <c r="C20" s="576" t="s">
        <v>361</v>
      </c>
      <c r="D20" s="576"/>
      <c r="E20" s="132">
        <v>44994</v>
      </c>
      <c r="F20" s="474">
        <v>100</v>
      </c>
      <c r="G20" s="309" t="s">
        <v>336</v>
      </c>
      <c r="H20" s="309"/>
    </row>
    <row r="21" spans="2:8" ht="24.95" customHeight="1" x14ac:dyDescent="0.25">
      <c r="B21" s="474" t="s">
        <v>317</v>
      </c>
      <c r="C21" s="576" t="s">
        <v>303</v>
      </c>
      <c r="D21" s="576"/>
      <c r="E21" s="132">
        <v>44994</v>
      </c>
      <c r="F21" s="474">
        <v>36</v>
      </c>
      <c r="G21" s="309" t="s">
        <v>363</v>
      </c>
      <c r="H21" s="309"/>
    </row>
    <row r="22" spans="2:8" ht="24.95" customHeight="1" x14ac:dyDescent="0.25">
      <c r="B22" s="474" t="s">
        <v>317</v>
      </c>
      <c r="C22" s="576" t="s">
        <v>362</v>
      </c>
      <c r="D22" s="576"/>
      <c r="E22" s="132">
        <v>44994</v>
      </c>
      <c r="F22" s="474" t="s">
        <v>336</v>
      </c>
      <c r="G22" s="309" t="s">
        <v>336</v>
      </c>
      <c r="H22" s="309"/>
    </row>
    <row r="23" spans="2:8" ht="24.95" customHeight="1" x14ac:dyDescent="0.25">
      <c r="B23" s="474" t="s">
        <v>458</v>
      </c>
      <c r="C23" s="576" t="s">
        <v>303</v>
      </c>
      <c r="D23" s="576"/>
      <c r="E23" s="132">
        <v>44996</v>
      </c>
      <c r="F23" s="474">
        <v>34</v>
      </c>
      <c r="G23" s="309" t="s">
        <v>363</v>
      </c>
      <c r="H23" s="309"/>
    </row>
    <row r="24" spans="2:8" ht="24.95" customHeight="1" x14ac:dyDescent="0.25">
      <c r="B24" s="474" t="s">
        <v>458</v>
      </c>
      <c r="C24" s="576" t="s">
        <v>362</v>
      </c>
      <c r="D24" s="576"/>
      <c r="E24" s="132">
        <v>44996</v>
      </c>
      <c r="F24" s="474" t="s">
        <v>336</v>
      </c>
      <c r="G24" s="309" t="s">
        <v>336</v>
      </c>
      <c r="H24" s="309"/>
    </row>
    <row r="25" spans="2:8" ht="24.95" customHeight="1" x14ac:dyDescent="0.25">
      <c r="B25" s="474" t="s">
        <v>278</v>
      </c>
      <c r="C25" s="576" t="s">
        <v>361</v>
      </c>
      <c r="D25" s="576">
        <v>1589</v>
      </c>
      <c r="E25" s="132">
        <v>44998</v>
      </c>
      <c r="F25" s="474">
        <v>29</v>
      </c>
      <c r="G25" s="309" t="s">
        <v>336</v>
      </c>
      <c r="H25" s="309"/>
    </row>
    <row r="26" spans="2:8" ht="24.95" customHeight="1" x14ac:dyDescent="0.25">
      <c r="B26" s="474" t="s">
        <v>472</v>
      </c>
      <c r="C26" s="576" t="s">
        <v>303</v>
      </c>
      <c r="D26" s="576"/>
      <c r="E26" s="132">
        <v>45001</v>
      </c>
      <c r="F26" s="474">
        <v>380</v>
      </c>
      <c r="G26" s="309" t="s">
        <v>363</v>
      </c>
      <c r="H26" s="309"/>
    </row>
    <row r="27" spans="2:8" ht="24.95" customHeight="1" x14ac:dyDescent="0.25">
      <c r="B27" s="474" t="s">
        <v>332</v>
      </c>
      <c r="C27" s="576" t="s">
        <v>303</v>
      </c>
      <c r="D27" s="576"/>
      <c r="E27" s="132">
        <v>45001</v>
      </c>
      <c r="F27" s="474">
        <v>10</v>
      </c>
      <c r="G27" s="309" t="s">
        <v>363</v>
      </c>
      <c r="H27" s="309"/>
    </row>
    <row r="28" spans="2:8" ht="24.95" customHeight="1" x14ac:dyDescent="0.25">
      <c r="B28" s="474" t="s">
        <v>472</v>
      </c>
      <c r="C28" s="576" t="s">
        <v>303</v>
      </c>
      <c r="D28" s="576"/>
      <c r="E28" s="132">
        <v>45001</v>
      </c>
      <c r="F28" s="474">
        <v>57</v>
      </c>
      <c r="G28" s="309" t="s">
        <v>363</v>
      </c>
      <c r="H28" s="309"/>
    </row>
    <row r="29" spans="2:8" ht="24.95" customHeight="1" x14ac:dyDescent="0.25">
      <c r="B29" s="474" t="s">
        <v>472</v>
      </c>
      <c r="C29" s="576" t="s">
        <v>361</v>
      </c>
      <c r="D29" s="576"/>
      <c r="E29" s="132">
        <v>45005</v>
      </c>
      <c r="F29" s="474">
        <v>114</v>
      </c>
      <c r="G29" s="309" t="s">
        <v>336</v>
      </c>
      <c r="H29" s="309"/>
    </row>
    <row r="30" spans="2:8" ht="24.95" customHeight="1" x14ac:dyDescent="0.25">
      <c r="B30" s="474" t="s">
        <v>475</v>
      </c>
      <c r="C30" s="576" t="s">
        <v>361</v>
      </c>
      <c r="D30" s="576"/>
      <c r="E30" s="132">
        <v>45005</v>
      </c>
      <c r="F30" s="474">
        <v>145</v>
      </c>
      <c r="G30" s="309" t="s">
        <v>336</v>
      </c>
      <c r="H30" s="309"/>
    </row>
    <row r="31" spans="2:8" ht="24.95" customHeight="1" x14ac:dyDescent="0.25">
      <c r="B31" s="474" t="s">
        <v>278</v>
      </c>
      <c r="C31" s="576" t="s">
        <v>595</v>
      </c>
      <c r="D31" s="576">
        <v>1811</v>
      </c>
      <c r="E31" s="132">
        <v>45012</v>
      </c>
      <c r="F31" s="474">
        <v>125</v>
      </c>
      <c r="G31" s="309" t="s">
        <v>336</v>
      </c>
      <c r="H31" s="309"/>
    </row>
    <row r="32" spans="2:8" ht="24.95" customHeight="1" x14ac:dyDescent="0.25">
      <c r="B32" s="474" t="s">
        <v>351</v>
      </c>
      <c r="C32" s="576" t="s">
        <v>361</v>
      </c>
      <c r="D32" s="576"/>
      <c r="E32" s="132">
        <v>45012</v>
      </c>
      <c r="F32" s="474">
        <v>8</v>
      </c>
      <c r="G32" s="309" t="s">
        <v>336</v>
      </c>
      <c r="H32" s="309"/>
    </row>
    <row r="33" spans="2:8" ht="24.95" customHeight="1" x14ac:dyDescent="0.25">
      <c r="B33" s="474" t="s">
        <v>351</v>
      </c>
      <c r="C33" s="576" t="s">
        <v>303</v>
      </c>
      <c r="D33" s="576"/>
      <c r="E33" s="132">
        <v>45016</v>
      </c>
      <c r="F33" s="474">
        <v>8</v>
      </c>
      <c r="G33" s="309" t="s">
        <v>363</v>
      </c>
      <c r="H33" s="309"/>
    </row>
    <row r="34" spans="2:8" ht="24.95" customHeight="1" x14ac:dyDescent="0.25">
      <c r="B34" s="474" t="s">
        <v>351</v>
      </c>
      <c r="C34" s="576" t="s">
        <v>362</v>
      </c>
      <c r="D34" s="576"/>
      <c r="E34" s="132">
        <v>45016</v>
      </c>
      <c r="F34" s="474" t="s">
        <v>336</v>
      </c>
      <c r="G34" s="309" t="s">
        <v>336</v>
      </c>
      <c r="H34" s="309"/>
    </row>
    <row r="35" spans="2:8" ht="24.95" customHeight="1" x14ac:dyDescent="0.25">
      <c r="B35" s="474" t="s">
        <v>472</v>
      </c>
      <c r="C35" s="576" t="s">
        <v>303</v>
      </c>
      <c r="D35" s="576"/>
      <c r="E35" s="132">
        <v>45026</v>
      </c>
      <c r="F35" s="474">
        <v>114</v>
      </c>
      <c r="G35" s="309" t="s">
        <v>363</v>
      </c>
      <c r="H35" s="309"/>
    </row>
    <row r="36" spans="2:8" ht="24.95" customHeight="1" x14ac:dyDescent="0.25">
      <c r="B36" s="474" t="s">
        <v>472</v>
      </c>
      <c r="C36" s="576" t="s">
        <v>362</v>
      </c>
      <c r="D36" s="576"/>
      <c r="E36" s="132">
        <v>45026</v>
      </c>
      <c r="F36" s="474" t="s">
        <v>336</v>
      </c>
      <c r="G36" s="309" t="s">
        <v>336</v>
      </c>
      <c r="H36" s="309"/>
    </row>
    <row r="37" spans="2:8" ht="24.95" customHeight="1" x14ac:dyDescent="0.25">
      <c r="B37" s="474" t="s">
        <v>475</v>
      </c>
      <c r="C37" s="576" t="s">
        <v>303</v>
      </c>
      <c r="D37" s="576"/>
      <c r="E37" s="132">
        <v>45026</v>
      </c>
      <c r="F37" s="474">
        <v>36</v>
      </c>
      <c r="G37" s="309" t="s">
        <v>363</v>
      </c>
      <c r="H37" s="309"/>
    </row>
    <row r="38" spans="2:8" ht="24.95" customHeight="1" x14ac:dyDescent="0.25">
      <c r="B38" s="474" t="s">
        <v>332</v>
      </c>
      <c r="C38" s="576" t="s">
        <v>303</v>
      </c>
      <c r="D38" s="576"/>
      <c r="E38" s="132">
        <v>45026</v>
      </c>
      <c r="F38" s="474">
        <v>10</v>
      </c>
      <c r="G38" s="309" t="s">
        <v>363</v>
      </c>
      <c r="H38" s="309"/>
    </row>
    <row r="39" spans="2:8" ht="24.95" customHeight="1" x14ac:dyDescent="0.25">
      <c r="B39" s="474" t="s">
        <v>300</v>
      </c>
      <c r="C39" s="576" t="s">
        <v>361</v>
      </c>
      <c r="D39" s="576"/>
      <c r="E39" s="132">
        <v>45034</v>
      </c>
      <c r="F39" s="474">
        <v>489</v>
      </c>
      <c r="G39" s="309" t="s">
        <v>336</v>
      </c>
      <c r="H39" s="309"/>
    </row>
    <row r="40" spans="2:8" ht="24.95" customHeight="1" x14ac:dyDescent="0.25">
      <c r="B40" s="474" t="s">
        <v>472</v>
      </c>
      <c r="C40" s="576" t="s">
        <v>361</v>
      </c>
      <c r="D40" s="576"/>
      <c r="E40" s="132">
        <v>45034</v>
      </c>
      <c r="F40" s="474">
        <v>209.95</v>
      </c>
      <c r="G40" s="309" t="s">
        <v>336</v>
      </c>
      <c r="H40" s="309"/>
    </row>
    <row r="41" spans="2:8" ht="24.95" customHeight="1" x14ac:dyDescent="0.25">
      <c r="B41" s="474" t="s">
        <v>497</v>
      </c>
      <c r="C41" s="576" t="s">
        <v>361</v>
      </c>
      <c r="D41" s="576"/>
      <c r="E41" s="132">
        <v>45034</v>
      </c>
      <c r="F41" s="474">
        <v>33</v>
      </c>
      <c r="G41" s="309" t="s">
        <v>336</v>
      </c>
      <c r="H41" s="309"/>
    </row>
    <row r="42" spans="2:8" ht="24.95" customHeight="1" x14ac:dyDescent="0.25">
      <c r="B42" s="474" t="s">
        <v>300</v>
      </c>
      <c r="C42" s="576" t="s">
        <v>303</v>
      </c>
      <c r="D42" s="576"/>
      <c r="E42" s="132">
        <v>45035</v>
      </c>
      <c r="F42" s="474">
        <v>160</v>
      </c>
      <c r="G42" s="309" t="s">
        <v>363</v>
      </c>
      <c r="H42" s="309"/>
    </row>
    <row r="43" spans="2:8" ht="24.95" customHeight="1" x14ac:dyDescent="0.25">
      <c r="B43" s="474" t="s">
        <v>472</v>
      </c>
      <c r="C43" s="576" t="s">
        <v>361</v>
      </c>
      <c r="D43" s="576"/>
      <c r="E43" s="132">
        <v>45036</v>
      </c>
      <c r="F43" s="474">
        <v>142.5</v>
      </c>
      <c r="G43" s="309" t="s">
        <v>336</v>
      </c>
      <c r="H43" s="309"/>
    </row>
    <row r="44" spans="2:8" ht="24.95" customHeight="1" x14ac:dyDescent="0.25">
      <c r="B44" s="474" t="s">
        <v>475</v>
      </c>
      <c r="C44" s="576" t="s">
        <v>303</v>
      </c>
      <c r="D44" s="576"/>
      <c r="E44" s="132">
        <v>45036</v>
      </c>
      <c r="F44" s="474">
        <v>36</v>
      </c>
      <c r="G44" s="309" t="s">
        <v>363</v>
      </c>
      <c r="H44" s="309"/>
    </row>
    <row r="45" spans="2:8" ht="24.95" customHeight="1" x14ac:dyDescent="0.25">
      <c r="B45" s="474" t="s">
        <v>300</v>
      </c>
      <c r="C45" s="576" t="s">
        <v>361</v>
      </c>
      <c r="D45" s="576"/>
      <c r="E45" s="132">
        <v>45040</v>
      </c>
      <c r="F45" s="474">
        <v>112</v>
      </c>
      <c r="G45" s="309" t="s">
        <v>336</v>
      </c>
      <c r="H45" s="309"/>
    </row>
    <row r="46" spans="2:8" ht="24.95" customHeight="1" x14ac:dyDescent="0.25">
      <c r="B46" s="474" t="s">
        <v>300</v>
      </c>
      <c r="C46" s="576" t="s">
        <v>303</v>
      </c>
      <c r="D46" s="576"/>
      <c r="E46" s="132">
        <v>45045</v>
      </c>
      <c r="F46" s="474">
        <v>150</v>
      </c>
      <c r="G46" s="309" t="s">
        <v>363</v>
      </c>
      <c r="H46" s="309"/>
    </row>
    <row r="47" spans="2:8" ht="24.95" customHeight="1" x14ac:dyDescent="0.25">
      <c r="B47" s="576" t="s">
        <v>497</v>
      </c>
      <c r="C47" s="576" t="s">
        <v>303</v>
      </c>
      <c r="D47" s="576"/>
      <c r="E47" s="132">
        <v>45045</v>
      </c>
      <c r="F47" s="474">
        <v>33</v>
      </c>
      <c r="G47" s="309" t="s">
        <v>363</v>
      </c>
      <c r="H47" s="309"/>
    </row>
    <row r="48" spans="2:8" ht="24.95" customHeight="1" x14ac:dyDescent="0.25">
      <c r="B48" s="576" t="s">
        <v>497</v>
      </c>
      <c r="C48" s="576" t="s">
        <v>362</v>
      </c>
      <c r="D48" s="576"/>
      <c r="E48" s="132">
        <v>45045</v>
      </c>
      <c r="F48" s="474" t="s">
        <v>336</v>
      </c>
      <c r="G48" s="309" t="s">
        <v>336</v>
      </c>
      <c r="H48" s="309"/>
    </row>
    <row r="49" spans="2:8" ht="24.95" customHeight="1" x14ac:dyDescent="0.25">
      <c r="B49" s="474" t="s">
        <v>501</v>
      </c>
      <c r="C49" s="576" t="s">
        <v>361</v>
      </c>
      <c r="D49" s="576"/>
      <c r="E49" s="132">
        <v>45055</v>
      </c>
      <c r="F49" s="474">
        <v>98</v>
      </c>
      <c r="G49" s="309" t="s">
        <v>336</v>
      </c>
      <c r="H49" s="309"/>
    </row>
    <row r="50" spans="2:8" ht="24.95" customHeight="1" x14ac:dyDescent="0.25">
      <c r="B50" s="474" t="s">
        <v>475</v>
      </c>
      <c r="C50" s="576" t="s">
        <v>303</v>
      </c>
      <c r="D50" s="576"/>
      <c r="E50" s="132">
        <v>45056</v>
      </c>
      <c r="F50" s="474">
        <v>36</v>
      </c>
      <c r="G50" s="309" t="s">
        <v>363</v>
      </c>
      <c r="H50" s="309"/>
    </row>
    <row r="51" spans="2:8" ht="24.95" customHeight="1" x14ac:dyDescent="0.25">
      <c r="B51" s="474" t="s">
        <v>332</v>
      </c>
      <c r="C51" s="576" t="s">
        <v>303</v>
      </c>
      <c r="D51" s="576"/>
      <c r="E51" s="132">
        <v>45056</v>
      </c>
      <c r="F51" s="474">
        <v>20</v>
      </c>
      <c r="G51" s="309" t="s">
        <v>363</v>
      </c>
      <c r="H51" s="309"/>
    </row>
    <row r="52" spans="2:8" ht="24.95" customHeight="1" x14ac:dyDescent="0.25">
      <c r="B52" s="474" t="s">
        <v>502</v>
      </c>
      <c r="C52" s="576" t="s">
        <v>303</v>
      </c>
      <c r="D52" s="576"/>
      <c r="E52" s="132">
        <v>45056</v>
      </c>
      <c r="F52" s="474">
        <v>114</v>
      </c>
      <c r="G52" s="309" t="s">
        <v>363</v>
      </c>
      <c r="H52" s="309"/>
    </row>
    <row r="53" spans="2:8" ht="24.95" customHeight="1" x14ac:dyDescent="0.25">
      <c r="B53" s="474" t="s">
        <v>332</v>
      </c>
      <c r="C53" s="576" t="s">
        <v>362</v>
      </c>
      <c r="D53" s="576"/>
      <c r="E53" s="132">
        <v>45056</v>
      </c>
      <c r="F53" s="474" t="s">
        <v>336</v>
      </c>
      <c r="G53" s="309" t="s">
        <v>336</v>
      </c>
      <c r="H53" s="309"/>
    </row>
    <row r="54" spans="2:8" ht="24.95" customHeight="1" x14ac:dyDescent="0.25">
      <c r="B54" s="474" t="s">
        <v>475</v>
      </c>
      <c r="C54" s="576" t="s">
        <v>303</v>
      </c>
      <c r="D54" s="576"/>
      <c r="E54" s="132">
        <v>45058</v>
      </c>
      <c r="F54" s="474">
        <v>37</v>
      </c>
      <c r="G54" s="309" t="s">
        <v>363</v>
      </c>
      <c r="H54" s="309"/>
    </row>
    <row r="55" spans="2:8" ht="24.95" customHeight="1" x14ac:dyDescent="0.25">
      <c r="B55" s="474" t="s">
        <v>475</v>
      </c>
      <c r="C55" s="576" t="s">
        <v>362</v>
      </c>
      <c r="D55" s="576"/>
      <c r="E55" s="132">
        <v>45058</v>
      </c>
      <c r="F55" s="474" t="s">
        <v>336</v>
      </c>
      <c r="G55" s="309" t="s">
        <v>336</v>
      </c>
      <c r="H55" s="309"/>
    </row>
    <row r="56" spans="2:8" ht="24.95" customHeight="1" x14ac:dyDescent="0.25">
      <c r="B56" s="474" t="s">
        <v>472</v>
      </c>
      <c r="C56" s="576" t="s">
        <v>303</v>
      </c>
      <c r="D56" s="576"/>
      <c r="E56" s="132">
        <v>45061</v>
      </c>
      <c r="F56" s="474">
        <v>352</v>
      </c>
      <c r="G56" s="309" t="s">
        <v>363</v>
      </c>
      <c r="H56" s="309"/>
    </row>
    <row r="57" spans="2:8" ht="24.95" customHeight="1" x14ac:dyDescent="0.25">
      <c r="B57" s="474" t="s">
        <v>472</v>
      </c>
      <c r="C57" s="576" t="s">
        <v>362</v>
      </c>
      <c r="D57" s="576"/>
      <c r="E57" s="132">
        <v>45061</v>
      </c>
      <c r="F57" s="474" t="s">
        <v>336</v>
      </c>
      <c r="G57" s="309" t="s">
        <v>336</v>
      </c>
      <c r="H57" s="309"/>
    </row>
    <row r="58" spans="2:8" ht="24.95" customHeight="1" x14ac:dyDescent="0.25">
      <c r="B58" s="474" t="s">
        <v>472</v>
      </c>
      <c r="C58" s="576" t="s">
        <v>361</v>
      </c>
      <c r="D58" s="576"/>
      <c r="E58" s="132">
        <v>45061</v>
      </c>
      <c r="F58" s="474">
        <v>766</v>
      </c>
      <c r="G58" s="309" t="s">
        <v>336</v>
      </c>
      <c r="H58" s="309"/>
    </row>
    <row r="59" spans="2:8" ht="24.95" customHeight="1" x14ac:dyDescent="0.25">
      <c r="B59" s="474" t="s">
        <v>300</v>
      </c>
      <c r="C59" s="576" t="s">
        <v>303</v>
      </c>
      <c r="D59" s="576"/>
      <c r="E59" s="132">
        <v>45062</v>
      </c>
      <c r="F59" s="474">
        <v>60</v>
      </c>
      <c r="G59" s="309" t="s">
        <v>363</v>
      </c>
      <c r="H59" s="309"/>
    </row>
    <row r="60" spans="2:8" ht="24.95" customHeight="1" x14ac:dyDescent="0.25">
      <c r="B60" s="474" t="s">
        <v>300</v>
      </c>
      <c r="C60" s="576" t="s">
        <v>303</v>
      </c>
      <c r="D60" s="576"/>
      <c r="E60" s="132">
        <v>45062</v>
      </c>
      <c r="F60" s="474">
        <v>141</v>
      </c>
      <c r="G60" s="309" t="s">
        <v>363</v>
      </c>
      <c r="H60" s="309"/>
    </row>
    <row r="61" spans="2:8" ht="24.95" customHeight="1" x14ac:dyDescent="0.25">
      <c r="B61" s="474" t="s">
        <v>461</v>
      </c>
      <c r="C61" s="576" t="s">
        <v>303</v>
      </c>
      <c r="D61" s="576"/>
      <c r="E61" s="132">
        <v>45065</v>
      </c>
      <c r="F61" s="474">
        <v>100</v>
      </c>
      <c r="G61" s="309" t="s">
        <v>102</v>
      </c>
      <c r="H61" s="309"/>
    </row>
    <row r="62" spans="2:8" ht="24.95" customHeight="1" x14ac:dyDescent="0.25">
      <c r="B62" s="474" t="s">
        <v>461</v>
      </c>
      <c r="C62" s="576" t="s">
        <v>362</v>
      </c>
      <c r="D62" s="576"/>
      <c r="E62" s="132">
        <v>45065</v>
      </c>
      <c r="F62" s="474" t="s">
        <v>336</v>
      </c>
      <c r="G62" s="309" t="s">
        <v>336</v>
      </c>
      <c r="H62" s="309"/>
    </row>
    <row r="63" spans="2:8" ht="24.95" customHeight="1" x14ac:dyDescent="0.25">
      <c r="B63" s="474" t="s">
        <v>507</v>
      </c>
      <c r="C63" s="576" t="s">
        <v>361</v>
      </c>
      <c r="D63" s="576"/>
      <c r="E63" s="132">
        <v>45066</v>
      </c>
      <c r="F63" s="474">
        <v>15</v>
      </c>
      <c r="G63" s="309" t="s">
        <v>336</v>
      </c>
      <c r="H63" s="309"/>
    </row>
    <row r="64" spans="2:8" ht="24.95" customHeight="1" x14ac:dyDescent="0.25">
      <c r="B64" s="474" t="s">
        <v>508</v>
      </c>
      <c r="C64" s="576" t="s">
        <v>361</v>
      </c>
      <c r="D64" s="576"/>
      <c r="E64" s="132">
        <v>45066</v>
      </c>
      <c r="F64" s="474">
        <v>48</v>
      </c>
      <c r="G64" s="309" t="s">
        <v>336</v>
      </c>
      <c r="H64" s="309"/>
    </row>
    <row r="65" spans="2:8" ht="24.95" customHeight="1" x14ac:dyDescent="0.25">
      <c r="B65" s="474" t="s">
        <v>510</v>
      </c>
      <c r="C65" s="576" t="s">
        <v>361</v>
      </c>
      <c r="D65" s="576"/>
      <c r="E65" s="132">
        <v>45066</v>
      </c>
      <c r="F65" s="474">
        <v>199</v>
      </c>
      <c r="G65" s="309" t="s">
        <v>336</v>
      </c>
      <c r="H65" s="309"/>
    </row>
    <row r="66" spans="2:8" ht="24.95" customHeight="1" x14ac:dyDescent="0.25">
      <c r="B66" s="474" t="s">
        <v>514</v>
      </c>
      <c r="C66" s="576" t="s">
        <v>361</v>
      </c>
      <c r="D66" s="576"/>
      <c r="E66" s="132">
        <v>45066</v>
      </c>
      <c r="F66" s="474">
        <v>266</v>
      </c>
      <c r="G66" s="309" t="s">
        <v>336</v>
      </c>
      <c r="H66" s="309"/>
    </row>
    <row r="67" spans="2:8" ht="24.95" customHeight="1" x14ac:dyDescent="0.25">
      <c r="B67" s="474" t="s">
        <v>501</v>
      </c>
      <c r="C67" s="576" t="s">
        <v>303</v>
      </c>
      <c r="D67" s="576"/>
      <c r="E67" s="132">
        <v>45068</v>
      </c>
      <c r="F67" s="474">
        <v>98</v>
      </c>
      <c r="G67" s="309" t="s">
        <v>363</v>
      </c>
      <c r="H67" s="309"/>
    </row>
    <row r="68" spans="2:8" ht="24.95" customHeight="1" x14ac:dyDescent="0.25">
      <c r="B68" s="474" t="s">
        <v>501</v>
      </c>
      <c r="C68" s="576" t="s">
        <v>362</v>
      </c>
      <c r="D68" s="576"/>
      <c r="E68" s="132">
        <v>45068</v>
      </c>
      <c r="F68" s="474" t="s">
        <v>336</v>
      </c>
      <c r="G68" s="309" t="s">
        <v>336</v>
      </c>
      <c r="H68" s="309"/>
    </row>
    <row r="69" spans="2:8" ht="24.95" customHeight="1" x14ac:dyDescent="0.25">
      <c r="B69" s="474" t="s">
        <v>278</v>
      </c>
      <c r="C69" s="576" t="s">
        <v>595</v>
      </c>
      <c r="D69" s="576">
        <v>2867</v>
      </c>
      <c r="E69" s="132">
        <v>45069</v>
      </c>
      <c r="F69" s="474">
        <v>150</v>
      </c>
      <c r="G69" s="309" t="s">
        <v>336</v>
      </c>
      <c r="H69" s="309"/>
    </row>
    <row r="70" spans="2:8" ht="24.95" customHeight="1" x14ac:dyDescent="0.25">
      <c r="B70" s="474" t="s">
        <v>513</v>
      </c>
      <c r="C70" s="576" t="s">
        <v>361</v>
      </c>
      <c r="D70" s="576"/>
      <c r="E70" s="132">
        <v>45070</v>
      </c>
      <c r="F70" s="474">
        <v>385</v>
      </c>
      <c r="G70" s="309" t="s">
        <v>336</v>
      </c>
      <c r="H70" s="309"/>
    </row>
    <row r="71" spans="2:8" ht="24.95" customHeight="1" x14ac:dyDescent="0.25">
      <c r="B71" s="474" t="s">
        <v>514</v>
      </c>
      <c r="C71" s="576" t="s">
        <v>303</v>
      </c>
      <c r="D71" s="576"/>
      <c r="E71" s="132">
        <v>45070</v>
      </c>
      <c r="F71" s="474">
        <v>65</v>
      </c>
      <c r="G71" s="309" t="s">
        <v>363</v>
      </c>
      <c r="H71" s="309"/>
    </row>
    <row r="72" spans="2:8" ht="24.95" customHeight="1" x14ac:dyDescent="0.25">
      <c r="B72" s="474" t="s">
        <v>514</v>
      </c>
      <c r="C72" s="576" t="s">
        <v>362</v>
      </c>
      <c r="D72" s="576"/>
      <c r="E72" s="132">
        <v>45070</v>
      </c>
      <c r="F72" s="474" t="s">
        <v>336</v>
      </c>
      <c r="G72" s="309" t="s">
        <v>336</v>
      </c>
      <c r="H72" s="309"/>
    </row>
    <row r="73" spans="2:8" ht="24.95" customHeight="1" x14ac:dyDescent="0.25">
      <c r="B73" s="474" t="s">
        <v>510</v>
      </c>
      <c r="C73" s="576" t="s">
        <v>303</v>
      </c>
      <c r="D73" s="576"/>
      <c r="E73" s="132">
        <v>45070</v>
      </c>
      <c r="F73" s="474">
        <v>199</v>
      </c>
      <c r="G73" s="309" t="s">
        <v>516</v>
      </c>
      <c r="H73" s="309"/>
    </row>
    <row r="74" spans="2:8" ht="24.95" customHeight="1" x14ac:dyDescent="0.25">
      <c r="B74" s="474" t="s">
        <v>510</v>
      </c>
      <c r="C74" s="576" t="s">
        <v>362</v>
      </c>
      <c r="D74" s="576"/>
      <c r="E74" s="132">
        <v>45070</v>
      </c>
      <c r="F74" s="474" t="s">
        <v>336</v>
      </c>
      <c r="G74" s="309" t="s">
        <v>336</v>
      </c>
      <c r="H74" s="309"/>
    </row>
    <row r="75" spans="2:8" ht="24.95" customHeight="1" x14ac:dyDescent="0.25">
      <c r="B75" s="576" t="s">
        <v>600</v>
      </c>
      <c r="C75" s="576" t="s">
        <v>361</v>
      </c>
      <c r="D75" s="576"/>
      <c r="E75" s="132">
        <v>45071</v>
      </c>
      <c r="F75" s="474">
        <v>388.3</v>
      </c>
      <c r="G75" s="309" t="s">
        <v>336</v>
      </c>
      <c r="H75" s="309"/>
    </row>
    <row r="76" spans="2:8" ht="24.95" customHeight="1" x14ac:dyDescent="0.25">
      <c r="B76" s="576" t="s">
        <v>600</v>
      </c>
      <c r="C76" s="576" t="s">
        <v>303</v>
      </c>
      <c r="D76" s="576"/>
      <c r="E76" s="132">
        <v>45072</v>
      </c>
      <c r="F76" s="474">
        <v>388.3</v>
      </c>
      <c r="G76" s="309" t="s">
        <v>102</v>
      </c>
      <c r="H76" s="309"/>
    </row>
    <row r="77" spans="2:8" ht="24.95" customHeight="1" x14ac:dyDescent="0.25">
      <c r="B77" s="576" t="s">
        <v>600</v>
      </c>
      <c r="C77" s="576" t="s">
        <v>362</v>
      </c>
      <c r="D77" s="576"/>
      <c r="E77" s="132">
        <v>45072</v>
      </c>
      <c r="F77" s="474" t="s">
        <v>336</v>
      </c>
      <c r="G77" s="309" t="s">
        <v>336</v>
      </c>
      <c r="H77" s="309"/>
    </row>
    <row r="78" spans="2:8" ht="24.95" customHeight="1" x14ac:dyDescent="0.25">
      <c r="B78" s="474" t="s">
        <v>518</v>
      </c>
      <c r="C78" s="576" t="s">
        <v>361</v>
      </c>
      <c r="D78" s="576"/>
      <c r="E78" s="132">
        <v>45072</v>
      </c>
      <c r="F78" s="474">
        <v>565</v>
      </c>
      <c r="G78" s="309" t="s">
        <v>336</v>
      </c>
      <c r="H78" s="309"/>
    </row>
    <row r="79" spans="2:8" ht="24.95" customHeight="1" x14ac:dyDescent="0.25">
      <c r="B79" s="474" t="s">
        <v>518</v>
      </c>
      <c r="C79" s="576" t="s">
        <v>303</v>
      </c>
      <c r="D79" s="576"/>
      <c r="E79" s="132">
        <v>45073</v>
      </c>
      <c r="F79" s="474">
        <v>282.5</v>
      </c>
      <c r="G79" s="309" t="s">
        <v>102</v>
      </c>
      <c r="H79" s="309"/>
    </row>
    <row r="80" spans="2:8" ht="24.95" customHeight="1" x14ac:dyDescent="0.25">
      <c r="B80" s="474" t="s">
        <v>300</v>
      </c>
      <c r="C80" s="576" t="s">
        <v>303</v>
      </c>
      <c r="D80" s="576"/>
      <c r="E80" s="132">
        <v>45075</v>
      </c>
      <c r="F80" s="474">
        <v>90</v>
      </c>
      <c r="G80" s="309" t="s">
        <v>363</v>
      </c>
      <c r="H80" s="309"/>
    </row>
    <row r="81" spans="2:8" ht="24.95" customHeight="1" x14ac:dyDescent="0.25">
      <c r="B81" s="474" t="s">
        <v>300</v>
      </c>
      <c r="C81" s="576" t="s">
        <v>362</v>
      </c>
      <c r="D81" s="576"/>
      <c r="E81" s="132">
        <v>45075</v>
      </c>
      <c r="F81" s="474" t="s">
        <v>336</v>
      </c>
      <c r="G81" s="309" t="s">
        <v>336</v>
      </c>
      <c r="H81" s="309"/>
    </row>
    <row r="82" spans="2:8" ht="24.95" customHeight="1" x14ac:dyDescent="0.25">
      <c r="B82" s="576" t="s">
        <v>600</v>
      </c>
      <c r="C82" s="576" t="s">
        <v>361</v>
      </c>
      <c r="D82" s="576"/>
      <c r="E82" s="132">
        <v>45075</v>
      </c>
      <c r="F82" s="474">
        <v>135</v>
      </c>
      <c r="G82" s="309" t="s">
        <v>336</v>
      </c>
      <c r="H82" s="309"/>
    </row>
    <row r="83" spans="2:8" ht="24.95" customHeight="1" x14ac:dyDescent="0.25">
      <c r="B83" s="576" t="s">
        <v>600</v>
      </c>
      <c r="C83" s="576" t="s">
        <v>303</v>
      </c>
      <c r="D83" s="576"/>
      <c r="E83" s="132">
        <v>45075</v>
      </c>
      <c r="F83" s="474">
        <v>135</v>
      </c>
      <c r="G83" s="309" t="s">
        <v>363</v>
      </c>
      <c r="H83" s="309"/>
    </row>
    <row r="84" spans="2:8" ht="24.95" customHeight="1" x14ac:dyDescent="0.25">
      <c r="B84" s="576" t="s">
        <v>600</v>
      </c>
      <c r="C84" s="576" t="s">
        <v>362</v>
      </c>
      <c r="D84" s="576"/>
      <c r="E84" s="132">
        <v>45075</v>
      </c>
      <c r="F84" s="474" t="s">
        <v>336</v>
      </c>
      <c r="G84" s="309" t="s">
        <v>336</v>
      </c>
      <c r="H84" s="309"/>
    </row>
    <row r="85" spans="2:8" ht="24.95" customHeight="1" x14ac:dyDescent="0.25">
      <c r="B85" s="474" t="s">
        <v>507</v>
      </c>
      <c r="C85" s="576" t="s">
        <v>303</v>
      </c>
      <c r="D85" s="576"/>
      <c r="E85" s="132">
        <v>45076</v>
      </c>
      <c r="F85" s="474">
        <v>15</v>
      </c>
      <c r="G85" s="309" t="s">
        <v>363</v>
      </c>
      <c r="H85" s="309"/>
    </row>
    <row r="86" spans="2:8" ht="24.95" customHeight="1" x14ac:dyDescent="0.25">
      <c r="B86" s="474" t="s">
        <v>507</v>
      </c>
      <c r="C86" s="576" t="s">
        <v>362</v>
      </c>
      <c r="D86" s="576"/>
      <c r="E86" s="132">
        <v>45076</v>
      </c>
      <c r="F86" s="474" t="s">
        <v>336</v>
      </c>
      <c r="G86" s="309" t="s">
        <v>336</v>
      </c>
      <c r="H86" s="309"/>
    </row>
    <row r="87" spans="2:8" ht="24.95" customHeight="1" x14ac:dyDescent="0.25">
      <c r="B87" s="474" t="s">
        <v>521</v>
      </c>
      <c r="C87" s="576" t="s">
        <v>361</v>
      </c>
      <c r="D87" s="576"/>
      <c r="E87" s="132">
        <v>45076</v>
      </c>
      <c r="F87" s="474">
        <v>15</v>
      </c>
      <c r="G87" s="309" t="s">
        <v>336</v>
      </c>
      <c r="H87" s="309"/>
    </row>
    <row r="88" spans="2:8" ht="24.95" customHeight="1" x14ac:dyDescent="0.25">
      <c r="B88" s="474" t="s">
        <v>521</v>
      </c>
      <c r="C88" s="576" t="s">
        <v>303</v>
      </c>
      <c r="D88" s="576"/>
      <c r="E88" s="132">
        <v>45076</v>
      </c>
      <c r="F88" s="474">
        <v>15</v>
      </c>
      <c r="G88" s="309" t="s">
        <v>522</v>
      </c>
      <c r="H88" s="309"/>
    </row>
    <row r="89" spans="2:8" ht="24.95" customHeight="1" x14ac:dyDescent="0.25">
      <c r="B89" s="474" t="s">
        <v>521</v>
      </c>
      <c r="C89" s="576" t="s">
        <v>362</v>
      </c>
      <c r="D89" s="576"/>
      <c r="E89" s="132">
        <v>45076</v>
      </c>
      <c r="F89" s="474" t="s">
        <v>336</v>
      </c>
      <c r="G89" s="309" t="s">
        <v>336</v>
      </c>
      <c r="H89" s="309"/>
    </row>
    <row r="90" spans="2:8" ht="24.95" customHeight="1" x14ac:dyDescent="0.25">
      <c r="B90" s="474" t="s">
        <v>472</v>
      </c>
      <c r="C90" s="576" t="s">
        <v>303</v>
      </c>
      <c r="D90" s="576"/>
      <c r="E90" s="132">
        <v>45078</v>
      </c>
      <c r="F90" s="474">
        <v>766</v>
      </c>
      <c r="G90" s="309" t="s">
        <v>102</v>
      </c>
      <c r="H90" s="309"/>
    </row>
    <row r="91" spans="2:8" ht="24.95" customHeight="1" x14ac:dyDescent="0.25">
      <c r="B91" s="474" t="s">
        <v>472</v>
      </c>
      <c r="C91" s="576" t="s">
        <v>362</v>
      </c>
      <c r="D91" s="576"/>
      <c r="E91" s="132">
        <v>45078</v>
      </c>
      <c r="F91" s="474" t="s">
        <v>336</v>
      </c>
      <c r="G91" s="309" t="s">
        <v>336</v>
      </c>
      <c r="H91" s="309"/>
    </row>
    <row r="92" spans="2:8" ht="24.95" customHeight="1" x14ac:dyDescent="0.25">
      <c r="B92" s="474" t="s">
        <v>518</v>
      </c>
      <c r="C92" s="576" t="s">
        <v>303</v>
      </c>
      <c r="D92" s="576"/>
      <c r="E92" s="132">
        <v>45078</v>
      </c>
      <c r="F92" s="474">
        <v>85.5</v>
      </c>
      <c r="G92" s="309" t="s">
        <v>102</v>
      </c>
      <c r="H92" s="309"/>
    </row>
    <row r="93" spans="2:8" ht="24.95" customHeight="1" x14ac:dyDescent="0.25">
      <c r="B93" s="474" t="s">
        <v>472</v>
      </c>
      <c r="C93" s="576" t="s">
        <v>361</v>
      </c>
      <c r="D93" s="576"/>
      <c r="E93" s="132">
        <v>45078</v>
      </c>
      <c r="F93" s="474">
        <v>2458</v>
      </c>
      <c r="G93" s="309" t="s">
        <v>336</v>
      </c>
      <c r="H93" s="309"/>
    </row>
    <row r="94" spans="2:8" ht="24.95" customHeight="1" x14ac:dyDescent="0.25">
      <c r="B94" s="474" t="s">
        <v>458</v>
      </c>
      <c r="C94" s="576" t="s">
        <v>361</v>
      </c>
      <c r="D94" s="576"/>
      <c r="E94" s="132">
        <v>45079</v>
      </c>
      <c r="F94" s="474">
        <v>220</v>
      </c>
      <c r="G94" s="309" t="s">
        <v>336</v>
      </c>
      <c r="H94" s="309"/>
    </row>
    <row r="95" spans="2:8" ht="24.95" customHeight="1" x14ac:dyDescent="0.25">
      <c r="B95" s="474" t="s">
        <v>569</v>
      </c>
      <c r="C95" s="576" t="s">
        <v>361</v>
      </c>
      <c r="D95" s="576">
        <v>2078</v>
      </c>
      <c r="E95" s="132">
        <v>45085</v>
      </c>
      <c r="F95" s="474">
        <v>104</v>
      </c>
      <c r="G95" s="309" t="s">
        <v>336</v>
      </c>
      <c r="H95" s="309"/>
    </row>
    <row r="96" spans="2:8" ht="24.95" customHeight="1" x14ac:dyDescent="0.25">
      <c r="B96" s="474" t="s">
        <v>606</v>
      </c>
      <c r="C96" s="576" t="s">
        <v>361</v>
      </c>
      <c r="D96" s="576"/>
      <c r="E96" s="132">
        <v>45086</v>
      </c>
      <c r="F96" s="474">
        <v>265</v>
      </c>
      <c r="G96" s="309" t="s">
        <v>336</v>
      </c>
      <c r="H96" s="309"/>
    </row>
    <row r="97" spans="2:8" ht="24.95" customHeight="1" x14ac:dyDescent="0.25">
      <c r="B97" s="474" t="s">
        <v>521</v>
      </c>
      <c r="C97" s="576" t="s">
        <v>361</v>
      </c>
      <c r="D97" s="576"/>
      <c r="E97" s="132">
        <v>45089</v>
      </c>
      <c r="F97" s="474">
        <v>10</v>
      </c>
      <c r="G97" s="309" t="s">
        <v>336</v>
      </c>
      <c r="H97" s="309"/>
    </row>
    <row r="98" spans="2:8" ht="24.95" customHeight="1" x14ac:dyDescent="0.25">
      <c r="B98" s="474" t="s">
        <v>571</v>
      </c>
      <c r="C98" s="576" t="s">
        <v>361</v>
      </c>
      <c r="D98" s="576"/>
      <c r="E98" s="132">
        <v>45090</v>
      </c>
      <c r="F98" s="474">
        <v>220</v>
      </c>
      <c r="G98" s="309" t="s">
        <v>336</v>
      </c>
      <c r="H98" s="309"/>
    </row>
    <row r="99" spans="2:8" ht="24.95" customHeight="1" x14ac:dyDescent="0.25">
      <c r="B99" s="474" t="s">
        <v>571</v>
      </c>
      <c r="C99" s="576" t="s">
        <v>303</v>
      </c>
      <c r="D99" s="576"/>
      <c r="E99" s="132">
        <v>45092</v>
      </c>
      <c r="F99" s="474">
        <v>120</v>
      </c>
      <c r="G99" s="309" t="s">
        <v>363</v>
      </c>
      <c r="H99" s="309"/>
    </row>
    <row r="100" spans="2:8" ht="24.95" customHeight="1" x14ac:dyDescent="0.25">
      <c r="B100" s="474" t="s">
        <v>571</v>
      </c>
      <c r="C100" s="576" t="s">
        <v>362</v>
      </c>
      <c r="D100" s="576"/>
      <c r="E100" s="132">
        <v>45092</v>
      </c>
      <c r="F100" s="474" t="s">
        <v>336</v>
      </c>
      <c r="G100" s="309" t="s">
        <v>336</v>
      </c>
      <c r="H100" s="309"/>
    </row>
    <row r="101" spans="2:8" ht="24.95" customHeight="1" x14ac:dyDescent="0.25">
      <c r="B101" s="474" t="s">
        <v>458</v>
      </c>
      <c r="C101" s="576" t="s">
        <v>303</v>
      </c>
      <c r="D101" s="576"/>
      <c r="E101" s="132">
        <v>45092</v>
      </c>
      <c r="F101" s="474">
        <v>70</v>
      </c>
      <c r="G101" s="309" t="s">
        <v>363</v>
      </c>
      <c r="H101" s="309"/>
    </row>
    <row r="102" spans="2:8" ht="24.95" customHeight="1" x14ac:dyDescent="0.25">
      <c r="B102" s="474" t="s">
        <v>606</v>
      </c>
      <c r="C102" s="576" t="s">
        <v>303</v>
      </c>
      <c r="D102" s="576"/>
      <c r="E102" s="132">
        <v>45094</v>
      </c>
      <c r="F102" s="474">
        <v>150</v>
      </c>
      <c r="G102" s="309" t="s">
        <v>363</v>
      </c>
      <c r="H102" s="309"/>
    </row>
    <row r="103" spans="2:8" ht="24.95" customHeight="1" x14ac:dyDescent="0.25">
      <c r="B103" s="474" t="s">
        <v>472</v>
      </c>
      <c r="C103" s="576" t="s">
        <v>303</v>
      </c>
      <c r="D103" s="576"/>
      <c r="E103" s="132">
        <v>45096</v>
      </c>
      <c r="F103" s="474">
        <v>1208</v>
      </c>
      <c r="G103" s="309" t="s">
        <v>363</v>
      </c>
      <c r="H103" s="309"/>
    </row>
    <row r="104" spans="2:8" ht="24.95" customHeight="1" x14ac:dyDescent="0.25">
      <c r="B104" s="474" t="s">
        <v>507</v>
      </c>
      <c r="C104" s="576" t="s">
        <v>361</v>
      </c>
      <c r="D104" s="576"/>
      <c r="E104" s="132">
        <v>45098</v>
      </c>
      <c r="F104" s="474">
        <v>5</v>
      </c>
      <c r="G104" s="309" t="s">
        <v>336</v>
      </c>
      <c r="H104" s="309"/>
    </row>
    <row r="105" spans="2:8" ht="24.95" customHeight="1" x14ac:dyDescent="0.25">
      <c r="B105" s="474" t="s">
        <v>461</v>
      </c>
      <c r="C105" s="576" t="s">
        <v>361</v>
      </c>
      <c r="D105" s="576"/>
      <c r="E105" s="132">
        <v>45099</v>
      </c>
      <c r="F105" s="474">
        <v>30</v>
      </c>
      <c r="G105" s="309" t="s">
        <v>336</v>
      </c>
      <c r="H105" s="309"/>
    </row>
    <row r="106" spans="2:8" ht="24.95" customHeight="1" x14ac:dyDescent="0.25">
      <c r="B106" s="474" t="s">
        <v>606</v>
      </c>
      <c r="C106" s="576" t="s">
        <v>303</v>
      </c>
      <c r="D106" s="576"/>
      <c r="E106" s="132">
        <v>45101</v>
      </c>
      <c r="F106" s="474">
        <v>115</v>
      </c>
      <c r="G106" s="309" t="s">
        <v>363</v>
      </c>
      <c r="H106" s="309"/>
    </row>
    <row r="107" spans="2:8" ht="24.95" customHeight="1" x14ac:dyDescent="0.25">
      <c r="B107" s="474" t="s">
        <v>606</v>
      </c>
      <c r="C107" s="576" t="s">
        <v>362</v>
      </c>
      <c r="D107" s="576"/>
      <c r="E107" s="132">
        <v>45101</v>
      </c>
      <c r="F107" s="474" t="s">
        <v>336</v>
      </c>
      <c r="G107" s="309" t="s">
        <v>336</v>
      </c>
      <c r="H107" s="309"/>
    </row>
    <row r="108" spans="2:8" ht="24.95" customHeight="1" x14ac:dyDescent="0.25">
      <c r="B108" s="474" t="s">
        <v>575</v>
      </c>
      <c r="C108" s="576" t="s">
        <v>361</v>
      </c>
      <c r="D108" s="576"/>
      <c r="E108" s="132">
        <v>45103</v>
      </c>
      <c r="F108" s="474">
        <v>592</v>
      </c>
      <c r="G108" s="309" t="s">
        <v>336</v>
      </c>
      <c r="H108" s="309"/>
    </row>
    <row r="109" spans="2:8" ht="24.95" customHeight="1" x14ac:dyDescent="0.25">
      <c r="B109" s="474" t="s">
        <v>575</v>
      </c>
      <c r="C109" s="576" t="s">
        <v>303</v>
      </c>
      <c r="D109" s="576"/>
      <c r="E109" s="132">
        <v>45103</v>
      </c>
      <c r="F109" s="474">
        <v>200</v>
      </c>
      <c r="G109" s="309" t="s">
        <v>363</v>
      </c>
      <c r="H109" s="309"/>
    </row>
    <row r="110" spans="2:8" ht="24.95" customHeight="1" x14ac:dyDescent="0.25">
      <c r="B110" s="474" t="s">
        <v>461</v>
      </c>
      <c r="C110" s="576" t="s">
        <v>303</v>
      </c>
      <c r="D110" s="576"/>
      <c r="E110" s="132">
        <v>45103</v>
      </c>
      <c r="F110" s="474">
        <v>30</v>
      </c>
      <c r="G110" s="309" t="s">
        <v>102</v>
      </c>
      <c r="H110" s="309"/>
    </row>
    <row r="111" spans="2:8" ht="24.95" customHeight="1" x14ac:dyDescent="0.25">
      <c r="B111" s="474" t="s">
        <v>461</v>
      </c>
      <c r="C111" s="576" t="s">
        <v>362</v>
      </c>
      <c r="D111" s="576"/>
      <c r="E111" s="132">
        <v>45103</v>
      </c>
      <c r="F111" s="474" t="s">
        <v>336</v>
      </c>
      <c r="G111" s="309" t="s">
        <v>336</v>
      </c>
      <c r="H111" s="309"/>
    </row>
    <row r="112" spans="2:8" ht="24.95" customHeight="1" x14ac:dyDescent="0.25">
      <c r="B112" s="474" t="s">
        <v>458</v>
      </c>
      <c r="C112" s="576" t="s">
        <v>303</v>
      </c>
      <c r="D112" s="576"/>
      <c r="E112" s="132">
        <v>45106</v>
      </c>
      <c r="F112" s="474">
        <v>50</v>
      </c>
      <c r="G112" s="309" t="s">
        <v>516</v>
      </c>
      <c r="H112" s="309"/>
    </row>
    <row r="113" spans="2:9" ht="24.95" customHeight="1" x14ac:dyDescent="0.25">
      <c r="B113" s="474" t="s">
        <v>579</v>
      </c>
      <c r="C113" s="576" t="s">
        <v>361</v>
      </c>
      <c r="D113" s="576"/>
      <c r="E113" s="132">
        <v>45108</v>
      </c>
      <c r="F113" s="474">
        <v>30</v>
      </c>
      <c r="G113" s="309" t="s">
        <v>336</v>
      </c>
      <c r="H113" s="309"/>
    </row>
    <row r="114" spans="2:9" ht="24.95" customHeight="1" x14ac:dyDescent="0.25">
      <c r="B114" s="474" t="s">
        <v>518</v>
      </c>
      <c r="C114" s="576" t="s">
        <v>303</v>
      </c>
      <c r="D114" s="576"/>
      <c r="E114" s="132">
        <v>45113</v>
      </c>
      <c r="F114" s="474">
        <v>197</v>
      </c>
      <c r="G114" s="309" t="s">
        <v>522</v>
      </c>
      <c r="H114" s="309"/>
    </row>
    <row r="115" spans="2:9" ht="24.95" customHeight="1" x14ac:dyDescent="0.25">
      <c r="B115" s="474" t="s">
        <v>518</v>
      </c>
      <c r="C115" s="576" t="s">
        <v>362</v>
      </c>
      <c r="D115" s="576"/>
      <c r="E115" s="132">
        <v>45113</v>
      </c>
      <c r="F115" s="474" t="s">
        <v>336</v>
      </c>
      <c r="G115" s="309" t="s">
        <v>336</v>
      </c>
      <c r="H115" s="309"/>
      <c r="I115" s="366"/>
    </row>
    <row r="116" spans="2:9" ht="24.95" customHeight="1" x14ac:dyDescent="0.25">
      <c r="B116" s="474" t="s">
        <v>472</v>
      </c>
      <c r="C116" s="576" t="s">
        <v>303</v>
      </c>
      <c r="D116" s="576"/>
      <c r="E116" s="132">
        <v>45114</v>
      </c>
      <c r="F116" s="474">
        <v>818</v>
      </c>
      <c r="G116" s="309" t="s">
        <v>363</v>
      </c>
      <c r="H116" s="309"/>
    </row>
    <row r="117" spans="2:9" ht="24.95" customHeight="1" x14ac:dyDescent="0.25">
      <c r="B117" s="474" t="s">
        <v>590</v>
      </c>
      <c r="C117" s="576" t="s">
        <v>361</v>
      </c>
      <c r="D117" s="576"/>
      <c r="E117" s="132">
        <v>45117</v>
      </c>
      <c r="F117" s="474">
        <v>80</v>
      </c>
      <c r="G117" s="309" t="s">
        <v>336</v>
      </c>
      <c r="H117" s="309"/>
    </row>
    <row r="118" spans="2:9" ht="24.95" customHeight="1" x14ac:dyDescent="0.25">
      <c r="B118" s="474" t="s">
        <v>591</v>
      </c>
      <c r="C118" s="576" t="s">
        <v>361</v>
      </c>
      <c r="D118" s="576"/>
      <c r="E118" s="132">
        <v>45118</v>
      </c>
      <c r="F118" s="474">
        <v>188</v>
      </c>
      <c r="G118" s="309" t="s">
        <v>336</v>
      </c>
      <c r="H118" s="309"/>
    </row>
    <row r="119" spans="2:9" ht="24.95" customHeight="1" x14ac:dyDescent="0.25">
      <c r="B119" s="474" t="s">
        <v>357</v>
      </c>
      <c r="C119" s="576" t="s">
        <v>361</v>
      </c>
      <c r="D119" s="589">
        <v>3746</v>
      </c>
      <c r="E119" s="132">
        <v>45118</v>
      </c>
      <c r="F119" s="474">
        <v>152</v>
      </c>
      <c r="G119" s="309"/>
      <c r="H119" s="309"/>
    </row>
    <row r="120" spans="2:9" ht="24.95" customHeight="1" x14ac:dyDescent="0.25">
      <c r="B120" s="474" t="s">
        <v>357</v>
      </c>
      <c r="C120" s="576" t="s">
        <v>595</v>
      </c>
      <c r="D120" s="576">
        <v>3753</v>
      </c>
      <c r="E120" s="132">
        <v>45118</v>
      </c>
      <c r="F120" s="474">
        <v>389</v>
      </c>
      <c r="G120" s="309" t="s">
        <v>336</v>
      </c>
      <c r="H120" s="309"/>
    </row>
    <row r="121" spans="2:9" ht="24.95" customHeight="1" x14ac:dyDescent="0.25">
      <c r="B121" s="474" t="s">
        <v>357</v>
      </c>
      <c r="C121" s="576" t="s">
        <v>595</v>
      </c>
      <c r="D121" s="576">
        <v>3754</v>
      </c>
      <c r="E121" s="132">
        <v>45118</v>
      </c>
      <c r="F121" s="474">
        <v>203</v>
      </c>
      <c r="G121" s="309"/>
      <c r="H121" s="309"/>
    </row>
    <row r="122" spans="2:9" ht="24.95" customHeight="1" x14ac:dyDescent="0.25">
      <c r="B122" s="474" t="s">
        <v>357</v>
      </c>
      <c r="C122" s="576" t="s">
        <v>595</v>
      </c>
      <c r="D122" s="576">
        <v>3780</v>
      </c>
      <c r="E122" s="132">
        <v>45119</v>
      </c>
      <c r="F122" s="474">
        <v>93</v>
      </c>
      <c r="G122" s="309"/>
      <c r="H122" s="309"/>
    </row>
    <row r="123" spans="2:9" ht="24.95" customHeight="1" x14ac:dyDescent="0.25">
      <c r="B123" s="474" t="s">
        <v>357</v>
      </c>
      <c r="C123" s="576" t="s">
        <v>595</v>
      </c>
      <c r="D123" s="576">
        <v>3790</v>
      </c>
      <c r="E123" s="132">
        <v>45120</v>
      </c>
      <c r="F123" s="474">
        <v>55</v>
      </c>
      <c r="G123" s="309"/>
      <c r="H123" s="309"/>
    </row>
    <row r="124" spans="2:9" ht="24.95" customHeight="1" x14ac:dyDescent="0.25">
      <c r="B124" s="474" t="s">
        <v>357</v>
      </c>
      <c r="C124" s="576" t="s">
        <v>595</v>
      </c>
      <c r="D124" s="576">
        <v>3786</v>
      </c>
      <c r="E124" s="132">
        <v>45120</v>
      </c>
      <c r="F124" s="474">
        <v>283</v>
      </c>
      <c r="G124" s="309"/>
      <c r="H124" s="309"/>
    </row>
    <row r="125" spans="2:9" ht="24.95" customHeight="1" x14ac:dyDescent="0.25">
      <c r="B125" s="479" t="s">
        <v>590</v>
      </c>
      <c r="C125" s="576" t="s">
        <v>303</v>
      </c>
      <c r="D125" s="576"/>
      <c r="E125" s="132">
        <v>45121</v>
      </c>
      <c r="F125" s="479">
        <v>80</v>
      </c>
      <c r="G125" s="309" t="s">
        <v>593</v>
      </c>
      <c r="H125" s="309"/>
    </row>
    <row r="126" spans="2:9" ht="24.95" customHeight="1" x14ac:dyDescent="0.25">
      <c r="B126" s="474" t="s">
        <v>590</v>
      </c>
      <c r="C126" s="576" t="s">
        <v>362</v>
      </c>
      <c r="D126" s="576"/>
      <c r="E126" s="132">
        <v>45121</v>
      </c>
      <c r="F126" s="474" t="s">
        <v>336</v>
      </c>
      <c r="G126" s="309" t="s">
        <v>336</v>
      </c>
      <c r="H126" s="309"/>
    </row>
    <row r="127" spans="2:9" ht="24.95" customHeight="1" x14ac:dyDescent="0.25">
      <c r="B127" s="474" t="s">
        <v>507</v>
      </c>
      <c r="C127" s="576" t="s">
        <v>303</v>
      </c>
      <c r="D127" s="576"/>
      <c r="E127" s="132">
        <v>45121</v>
      </c>
      <c r="F127" s="474">
        <v>5</v>
      </c>
      <c r="G127" s="309" t="s">
        <v>516</v>
      </c>
      <c r="H127" s="309"/>
    </row>
    <row r="128" spans="2:9" ht="24.95" customHeight="1" x14ac:dyDescent="0.25">
      <c r="B128" s="474" t="s">
        <v>507</v>
      </c>
      <c r="C128" s="576" t="s">
        <v>362</v>
      </c>
      <c r="D128" s="576"/>
      <c r="E128" s="132">
        <v>45121</v>
      </c>
      <c r="F128" s="474" t="s">
        <v>336</v>
      </c>
      <c r="G128" s="309" t="s">
        <v>336</v>
      </c>
      <c r="H128" s="309"/>
    </row>
    <row r="129" spans="2:8" ht="24.95" customHeight="1" x14ac:dyDescent="0.25">
      <c r="B129" s="474" t="s">
        <v>357</v>
      </c>
      <c r="C129" s="576" t="s">
        <v>595</v>
      </c>
      <c r="D129" s="576">
        <v>3803</v>
      </c>
      <c r="E129" s="132">
        <v>45121</v>
      </c>
      <c r="F129" s="474">
        <v>375</v>
      </c>
      <c r="G129" s="309"/>
      <c r="H129" s="309"/>
    </row>
    <row r="130" spans="2:8" ht="24.95" customHeight="1" x14ac:dyDescent="0.25">
      <c r="B130" s="474" t="s">
        <v>278</v>
      </c>
      <c r="C130" s="576" t="s">
        <v>595</v>
      </c>
      <c r="D130" s="576">
        <v>3805</v>
      </c>
      <c r="E130" s="132">
        <v>45122</v>
      </c>
      <c r="F130" s="474">
        <v>178</v>
      </c>
      <c r="G130" s="309" t="s">
        <v>336</v>
      </c>
      <c r="H130" s="309"/>
    </row>
    <row r="131" spans="2:8" ht="24.95" customHeight="1" x14ac:dyDescent="0.25">
      <c r="B131" s="474" t="s">
        <v>501</v>
      </c>
      <c r="C131" s="576" t="s">
        <v>361</v>
      </c>
      <c r="D131" s="576"/>
      <c r="E131" s="132">
        <v>45122</v>
      </c>
      <c r="F131" s="474">
        <v>910</v>
      </c>
      <c r="G131" s="309" t="s">
        <v>336</v>
      </c>
      <c r="H131" s="309"/>
    </row>
    <row r="132" spans="2:8" ht="24.95" customHeight="1" x14ac:dyDescent="0.25">
      <c r="B132" s="474" t="s">
        <v>357</v>
      </c>
      <c r="C132" s="576" t="s">
        <v>595</v>
      </c>
      <c r="D132" s="576">
        <v>3816</v>
      </c>
      <c r="E132" s="132">
        <v>45122</v>
      </c>
      <c r="F132" s="474">
        <v>55</v>
      </c>
      <c r="G132" s="309"/>
      <c r="H132" s="309"/>
    </row>
    <row r="133" spans="2:8" ht="24.95" customHeight="1" x14ac:dyDescent="0.25">
      <c r="B133" s="482" t="s">
        <v>357</v>
      </c>
      <c r="C133" s="576" t="s">
        <v>595</v>
      </c>
      <c r="D133" s="576">
        <v>3815</v>
      </c>
      <c r="E133" s="132">
        <v>45122</v>
      </c>
      <c r="F133" s="482">
        <v>165</v>
      </c>
      <c r="G133" s="309"/>
      <c r="H133" s="309"/>
    </row>
    <row r="134" spans="2:8" ht="24.95" customHeight="1" x14ac:dyDescent="0.25">
      <c r="B134" s="576" t="s">
        <v>508</v>
      </c>
      <c r="C134" s="576" t="s">
        <v>303</v>
      </c>
      <c r="D134" s="576"/>
      <c r="E134" s="132">
        <v>45124</v>
      </c>
      <c r="F134" s="482">
        <v>48</v>
      </c>
      <c r="G134" s="309" t="s">
        <v>363</v>
      </c>
      <c r="H134" s="309"/>
    </row>
    <row r="135" spans="2:8" ht="24.95" customHeight="1" x14ac:dyDescent="0.25">
      <c r="B135" s="474" t="s">
        <v>508</v>
      </c>
      <c r="C135" s="576" t="s">
        <v>362</v>
      </c>
      <c r="D135" s="576"/>
      <c r="E135" s="132">
        <v>45124</v>
      </c>
      <c r="F135" s="474" t="s">
        <v>336</v>
      </c>
      <c r="G135" s="309" t="s">
        <v>336</v>
      </c>
      <c r="H135" s="309"/>
    </row>
    <row r="136" spans="2:8" ht="24.95" customHeight="1" x14ac:dyDescent="0.25">
      <c r="B136" s="474" t="s">
        <v>472</v>
      </c>
      <c r="C136" s="576" t="s">
        <v>303</v>
      </c>
      <c r="D136" s="576"/>
      <c r="E136" s="132">
        <v>45124</v>
      </c>
      <c r="F136" s="474">
        <v>430</v>
      </c>
      <c r="G136" s="309" t="s">
        <v>363</v>
      </c>
      <c r="H136" s="309"/>
    </row>
    <row r="137" spans="2:8" ht="24.95" customHeight="1" x14ac:dyDescent="0.25">
      <c r="B137" s="474" t="s">
        <v>472</v>
      </c>
      <c r="C137" s="576" t="s">
        <v>362</v>
      </c>
      <c r="D137" s="576"/>
      <c r="E137" s="132">
        <v>45124</v>
      </c>
      <c r="F137" s="474" t="s">
        <v>336</v>
      </c>
      <c r="G137" s="309" t="s">
        <v>336</v>
      </c>
      <c r="H137" s="309"/>
    </row>
    <row r="138" spans="2:8" ht="24.95" customHeight="1" x14ac:dyDescent="0.25">
      <c r="B138" s="474" t="s">
        <v>357</v>
      </c>
      <c r="C138" s="576" t="s">
        <v>595</v>
      </c>
      <c r="D138" s="576">
        <v>3842</v>
      </c>
      <c r="E138" s="132">
        <v>45125</v>
      </c>
      <c r="F138" s="474">
        <v>114</v>
      </c>
      <c r="G138" s="309"/>
      <c r="H138" s="309"/>
    </row>
    <row r="139" spans="2:8" ht="24.95" customHeight="1" x14ac:dyDescent="0.25">
      <c r="B139" s="474" t="s">
        <v>278</v>
      </c>
      <c r="C139" s="576" t="s">
        <v>595</v>
      </c>
      <c r="D139" s="576">
        <v>3864</v>
      </c>
      <c r="E139" s="132">
        <v>45126</v>
      </c>
      <c r="F139" s="474">
        <v>28</v>
      </c>
      <c r="G139" s="309" t="s">
        <v>336</v>
      </c>
      <c r="H139" s="309"/>
    </row>
    <row r="140" spans="2:8" ht="24.95" customHeight="1" x14ac:dyDescent="0.25">
      <c r="B140" s="474" t="s">
        <v>597</v>
      </c>
      <c r="C140" s="576" t="s">
        <v>361</v>
      </c>
      <c r="D140" s="576"/>
      <c r="E140" s="132">
        <v>45126</v>
      </c>
      <c r="F140" s="474">
        <v>86</v>
      </c>
      <c r="G140" s="309" t="s">
        <v>336</v>
      </c>
      <c r="H140" s="309"/>
    </row>
    <row r="141" spans="2:8" ht="24.95" customHeight="1" x14ac:dyDescent="0.25">
      <c r="B141" s="576" t="s">
        <v>357</v>
      </c>
      <c r="C141" s="576" t="s">
        <v>595</v>
      </c>
      <c r="D141" s="576">
        <v>3865</v>
      </c>
      <c r="E141" s="132">
        <v>45126</v>
      </c>
      <c r="F141" s="474">
        <v>375</v>
      </c>
      <c r="G141" s="309"/>
      <c r="H141" s="309"/>
    </row>
    <row r="142" spans="2:8" ht="24.95" customHeight="1" x14ac:dyDescent="0.25">
      <c r="B142" s="474" t="s">
        <v>501</v>
      </c>
      <c r="C142" s="576" t="s">
        <v>303</v>
      </c>
      <c r="D142" s="576"/>
      <c r="E142" s="132">
        <v>45127</v>
      </c>
      <c r="F142" s="474">
        <v>300</v>
      </c>
      <c r="G142" s="309" t="s">
        <v>363</v>
      </c>
      <c r="H142" s="309"/>
    </row>
    <row r="143" spans="2:8" ht="24.95" customHeight="1" x14ac:dyDescent="0.25">
      <c r="B143" s="474" t="s">
        <v>501</v>
      </c>
      <c r="C143" s="576" t="s">
        <v>303</v>
      </c>
      <c r="D143" s="576"/>
      <c r="E143" s="132">
        <v>45136</v>
      </c>
      <c r="F143" s="474">
        <v>300</v>
      </c>
      <c r="G143" s="309" t="s">
        <v>363</v>
      </c>
      <c r="H143" s="309"/>
    </row>
    <row r="144" spans="2:8" ht="24.95" customHeight="1" x14ac:dyDescent="0.25">
      <c r="B144" s="474" t="s">
        <v>640</v>
      </c>
      <c r="C144" s="576" t="s">
        <v>361</v>
      </c>
      <c r="D144" s="576"/>
      <c r="E144" s="132">
        <v>45136</v>
      </c>
      <c r="F144" s="474">
        <v>30</v>
      </c>
      <c r="G144" s="309" t="s">
        <v>336</v>
      </c>
      <c r="H144" s="309"/>
    </row>
    <row r="145" spans="2:8" ht="24.95" customHeight="1" x14ac:dyDescent="0.25">
      <c r="B145" s="474" t="s">
        <v>579</v>
      </c>
      <c r="C145" s="576" t="s">
        <v>595</v>
      </c>
      <c r="D145" s="576"/>
      <c r="E145" s="132">
        <v>45139</v>
      </c>
      <c r="F145" s="474">
        <v>15</v>
      </c>
      <c r="G145" s="309" t="s">
        <v>336</v>
      </c>
      <c r="H145" s="309"/>
    </row>
    <row r="146" spans="2:8" ht="24.95" customHeight="1" x14ac:dyDescent="0.25">
      <c r="B146" s="474" t="s">
        <v>597</v>
      </c>
      <c r="C146" s="576" t="s">
        <v>595</v>
      </c>
      <c r="D146" s="576"/>
      <c r="E146" s="132">
        <v>45140</v>
      </c>
      <c r="F146" s="474">
        <v>80</v>
      </c>
      <c r="G146" s="309" t="s">
        <v>336</v>
      </c>
      <c r="H146" s="309"/>
    </row>
    <row r="147" spans="2:8" ht="24.95" customHeight="1" x14ac:dyDescent="0.25">
      <c r="B147" s="474" t="s">
        <v>600</v>
      </c>
      <c r="C147" s="576" t="s">
        <v>361</v>
      </c>
      <c r="D147" s="576"/>
      <c r="E147" s="132">
        <v>45140</v>
      </c>
      <c r="F147" s="474">
        <v>48</v>
      </c>
      <c r="G147" s="309" t="s">
        <v>336</v>
      </c>
      <c r="H147" s="309"/>
    </row>
    <row r="148" spans="2:8" ht="24.95" customHeight="1" x14ac:dyDescent="0.25">
      <c r="B148" s="474" t="s">
        <v>601</v>
      </c>
      <c r="C148" s="576" t="s">
        <v>361</v>
      </c>
      <c r="D148" s="576"/>
      <c r="E148" s="132">
        <v>45140</v>
      </c>
      <c r="F148" s="474">
        <v>100</v>
      </c>
      <c r="G148" s="309" t="s">
        <v>336</v>
      </c>
      <c r="H148" s="309"/>
    </row>
    <row r="149" spans="2:8" ht="24.95" customHeight="1" x14ac:dyDescent="0.25">
      <c r="B149" s="474" t="s">
        <v>600</v>
      </c>
      <c r="C149" s="576" t="s">
        <v>303</v>
      </c>
      <c r="D149" s="576"/>
      <c r="E149" s="132">
        <v>45141</v>
      </c>
      <c r="F149" s="474">
        <v>48</v>
      </c>
      <c r="G149" s="309" t="s">
        <v>363</v>
      </c>
      <c r="H149" s="309"/>
    </row>
    <row r="150" spans="2:8" ht="24.95" customHeight="1" x14ac:dyDescent="0.25">
      <c r="B150" s="474" t="s">
        <v>600</v>
      </c>
      <c r="C150" s="576" t="s">
        <v>362</v>
      </c>
      <c r="D150" s="576"/>
      <c r="E150" s="132">
        <v>45141</v>
      </c>
      <c r="F150" s="474" t="s">
        <v>336</v>
      </c>
      <c r="G150" s="309" t="s">
        <v>336</v>
      </c>
      <c r="H150" s="309"/>
    </row>
    <row r="151" spans="2:8" ht="24.95" customHeight="1" x14ac:dyDescent="0.25">
      <c r="B151" s="474" t="s">
        <v>278</v>
      </c>
      <c r="C151" s="576" t="s">
        <v>595</v>
      </c>
      <c r="D151" s="576">
        <v>4104</v>
      </c>
      <c r="E151" s="132">
        <v>45141</v>
      </c>
      <c r="F151" s="474">
        <v>80</v>
      </c>
      <c r="G151" s="309" t="s">
        <v>336</v>
      </c>
      <c r="H151" s="309"/>
    </row>
    <row r="152" spans="2:8" ht="24.95" customHeight="1" x14ac:dyDescent="0.25">
      <c r="B152" s="474" t="s">
        <v>518</v>
      </c>
      <c r="C152" s="576" t="s">
        <v>361</v>
      </c>
      <c r="D152" s="576"/>
      <c r="E152" s="132">
        <v>45142</v>
      </c>
      <c r="F152" s="474">
        <v>48</v>
      </c>
      <c r="G152" s="309" t="s">
        <v>336</v>
      </c>
      <c r="H152" s="309"/>
    </row>
    <row r="153" spans="2:8" ht="24.95" customHeight="1" x14ac:dyDescent="0.25">
      <c r="B153" s="474" t="s">
        <v>606</v>
      </c>
      <c r="C153" s="576" t="s">
        <v>361</v>
      </c>
      <c r="D153" s="576"/>
      <c r="E153" s="132">
        <v>45142</v>
      </c>
      <c r="F153" s="474">
        <v>48</v>
      </c>
      <c r="G153" s="309" t="s">
        <v>336</v>
      </c>
      <c r="H153" s="309"/>
    </row>
    <row r="154" spans="2:8" ht="24.95" customHeight="1" x14ac:dyDescent="0.25">
      <c r="B154" s="474" t="s">
        <v>597</v>
      </c>
      <c r="C154" s="576" t="s">
        <v>303</v>
      </c>
      <c r="D154" s="576"/>
      <c r="E154" s="132">
        <v>45142</v>
      </c>
      <c r="F154" s="474">
        <v>86</v>
      </c>
      <c r="G154" s="309" t="s">
        <v>102</v>
      </c>
      <c r="H154" s="309"/>
    </row>
    <row r="155" spans="2:8" ht="24.95" customHeight="1" x14ac:dyDescent="0.25">
      <c r="B155" s="474" t="s">
        <v>521</v>
      </c>
      <c r="C155" s="576" t="s">
        <v>303</v>
      </c>
      <c r="D155" s="576"/>
      <c r="E155" s="132">
        <v>45142</v>
      </c>
      <c r="F155" s="474">
        <v>10</v>
      </c>
      <c r="G155" s="309" t="s">
        <v>522</v>
      </c>
      <c r="H155" s="309"/>
    </row>
    <row r="156" spans="2:8" ht="24.95" customHeight="1" x14ac:dyDescent="0.25">
      <c r="B156" s="474" t="s">
        <v>521</v>
      </c>
      <c r="C156" s="576" t="s">
        <v>362</v>
      </c>
      <c r="D156" s="576"/>
      <c r="E156" s="132">
        <v>45142</v>
      </c>
      <c r="F156" s="474" t="s">
        <v>336</v>
      </c>
      <c r="G156" s="309" t="s">
        <v>336</v>
      </c>
      <c r="H156" s="309"/>
    </row>
    <row r="157" spans="2:8" ht="24.95" customHeight="1" x14ac:dyDescent="0.25">
      <c r="B157" s="474" t="s">
        <v>601</v>
      </c>
      <c r="C157" s="576" t="s">
        <v>303</v>
      </c>
      <c r="D157" s="576"/>
      <c r="E157" s="132">
        <v>45143</v>
      </c>
      <c r="F157" s="474">
        <v>70</v>
      </c>
      <c r="G157" s="309" t="s">
        <v>102</v>
      </c>
      <c r="H157" s="309"/>
    </row>
    <row r="158" spans="2:8" ht="24.95" customHeight="1" x14ac:dyDescent="0.25">
      <c r="B158" s="501" t="s">
        <v>601</v>
      </c>
      <c r="C158" s="576" t="s">
        <v>303</v>
      </c>
      <c r="D158" s="576"/>
      <c r="E158" s="132">
        <v>45145</v>
      </c>
      <c r="F158" s="501">
        <v>10</v>
      </c>
      <c r="G158" s="309" t="s">
        <v>363</v>
      </c>
      <c r="H158" s="309"/>
    </row>
    <row r="159" spans="2:8" ht="24.95" customHeight="1" x14ac:dyDescent="0.25">
      <c r="B159" s="576" t="s">
        <v>518</v>
      </c>
      <c r="C159" s="576" t="s">
        <v>303</v>
      </c>
      <c r="D159" s="576"/>
      <c r="E159" s="132">
        <v>45145</v>
      </c>
      <c r="F159" s="474">
        <v>48</v>
      </c>
      <c r="G159" s="309" t="s">
        <v>102</v>
      </c>
      <c r="H159" s="309"/>
    </row>
    <row r="160" spans="2:8" ht="24.95" customHeight="1" x14ac:dyDescent="0.25">
      <c r="B160" s="576" t="s">
        <v>518</v>
      </c>
      <c r="C160" s="576" t="s">
        <v>362</v>
      </c>
      <c r="D160" s="576"/>
      <c r="E160" s="132">
        <v>45145</v>
      </c>
      <c r="F160" s="474" t="s">
        <v>336</v>
      </c>
      <c r="G160" s="309" t="s">
        <v>336</v>
      </c>
      <c r="H160" s="309"/>
    </row>
    <row r="161" spans="2:8" ht="24.95" customHeight="1" x14ac:dyDescent="0.25">
      <c r="B161" s="474" t="s">
        <v>606</v>
      </c>
      <c r="C161" s="576" t="s">
        <v>303</v>
      </c>
      <c r="D161" s="576"/>
      <c r="E161" s="132">
        <v>45147</v>
      </c>
      <c r="F161" s="474">
        <v>48</v>
      </c>
      <c r="G161" s="309" t="s">
        <v>363</v>
      </c>
      <c r="H161" s="309"/>
    </row>
    <row r="162" spans="2:8" ht="24.95" customHeight="1" x14ac:dyDescent="0.25">
      <c r="B162" s="474" t="s">
        <v>606</v>
      </c>
      <c r="C162" s="576" t="s">
        <v>362</v>
      </c>
      <c r="D162" s="576"/>
      <c r="E162" s="132">
        <v>45147</v>
      </c>
      <c r="F162" s="474" t="s">
        <v>336</v>
      </c>
      <c r="G162" s="309" t="s">
        <v>336</v>
      </c>
      <c r="H162" s="309"/>
    </row>
    <row r="163" spans="2:8" ht="24.95" customHeight="1" x14ac:dyDescent="0.25">
      <c r="B163" s="474" t="s">
        <v>591</v>
      </c>
      <c r="C163" s="576" t="s">
        <v>303</v>
      </c>
      <c r="D163" s="576"/>
      <c r="E163" s="132">
        <v>45148</v>
      </c>
      <c r="F163" s="474">
        <v>188</v>
      </c>
      <c r="G163" s="309" t="s">
        <v>593</v>
      </c>
      <c r="H163" s="309"/>
    </row>
    <row r="164" spans="2:8" ht="24.95" customHeight="1" x14ac:dyDescent="0.25">
      <c r="B164" s="474" t="s">
        <v>591</v>
      </c>
      <c r="C164" s="576" t="s">
        <v>362</v>
      </c>
      <c r="D164" s="576"/>
      <c r="E164" s="132">
        <v>45148</v>
      </c>
      <c r="F164" s="474" t="s">
        <v>336</v>
      </c>
      <c r="G164" s="309" t="s">
        <v>336</v>
      </c>
      <c r="H164" s="309"/>
    </row>
    <row r="165" spans="2:8" ht="24.95" customHeight="1" x14ac:dyDescent="0.25">
      <c r="B165" s="474" t="s">
        <v>501</v>
      </c>
      <c r="C165" s="576" t="s">
        <v>303</v>
      </c>
      <c r="D165" s="576"/>
      <c r="E165" s="132">
        <v>45148</v>
      </c>
      <c r="F165" s="474">
        <v>310</v>
      </c>
      <c r="G165" s="309" t="s">
        <v>363</v>
      </c>
      <c r="H165" s="309"/>
    </row>
    <row r="166" spans="2:8" ht="24.95" customHeight="1" x14ac:dyDescent="0.25">
      <c r="B166" s="474" t="s">
        <v>501</v>
      </c>
      <c r="C166" s="576" t="s">
        <v>362</v>
      </c>
      <c r="D166" s="576"/>
      <c r="E166" s="132">
        <v>45148</v>
      </c>
      <c r="F166" s="474" t="s">
        <v>336</v>
      </c>
      <c r="G166" s="309" t="s">
        <v>336</v>
      </c>
      <c r="H166" s="309"/>
    </row>
    <row r="167" spans="2:8" ht="24.95" customHeight="1" x14ac:dyDescent="0.25">
      <c r="B167" s="474" t="s">
        <v>601</v>
      </c>
      <c r="C167" s="576" t="s">
        <v>303</v>
      </c>
      <c r="D167" s="576"/>
      <c r="E167" s="132">
        <v>45153</v>
      </c>
      <c r="F167" s="474">
        <v>15</v>
      </c>
      <c r="G167" s="309" t="s">
        <v>363</v>
      </c>
      <c r="H167" s="309"/>
    </row>
    <row r="168" spans="2:8" ht="24.95" customHeight="1" x14ac:dyDescent="0.25">
      <c r="B168" s="474" t="s">
        <v>461</v>
      </c>
      <c r="C168" s="576" t="s">
        <v>361</v>
      </c>
      <c r="D168" s="576"/>
      <c r="E168" s="132">
        <v>45155</v>
      </c>
      <c r="F168" s="474">
        <v>24</v>
      </c>
      <c r="G168" s="309" t="s">
        <v>336</v>
      </c>
      <c r="H168" s="309"/>
    </row>
    <row r="169" spans="2:8" ht="24.95" customHeight="1" x14ac:dyDescent="0.25">
      <c r="B169" s="474" t="s">
        <v>640</v>
      </c>
      <c r="C169" s="576" t="s">
        <v>303</v>
      </c>
      <c r="D169" s="576"/>
      <c r="E169" s="132">
        <v>45156</v>
      </c>
      <c r="F169" s="474">
        <v>29</v>
      </c>
      <c r="G169" s="309" t="s">
        <v>516</v>
      </c>
      <c r="H169" s="309"/>
    </row>
    <row r="170" spans="2:8" ht="24.95" customHeight="1" x14ac:dyDescent="0.25">
      <c r="B170" s="474" t="s">
        <v>640</v>
      </c>
      <c r="C170" s="576" t="s">
        <v>362</v>
      </c>
      <c r="D170" s="576"/>
      <c r="E170" s="132">
        <v>45156</v>
      </c>
      <c r="F170" s="474" t="s">
        <v>336</v>
      </c>
      <c r="G170" s="309" t="s">
        <v>336</v>
      </c>
      <c r="H170" s="309"/>
    </row>
    <row r="171" spans="2:8" ht="24.95" customHeight="1" x14ac:dyDescent="0.25">
      <c r="B171" s="474" t="s">
        <v>461</v>
      </c>
      <c r="C171" s="576" t="s">
        <v>303</v>
      </c>
      <c r="D171" s="576"/>
      <c r="E171" s="132">
        <v>45156</v>
      </c>
      <c r="F171" s="474">
        <v>24</v>
      </c>
      <c r="G171" s="309" t="s">
        <v>102</v>
      </c>
      <c r="H171" s="309"/>
    </row>
    <row r="172" spans="2:8" ht="24.95" customHeight="1" x14ac:dyDescent="0.25">
      <c r="B172" s="576" t="s">
        <v>461</v>
      </c>
      <c r="C172" s="576" t="s">
        <v>362</v>
      </c>
      <c r="D172" s="576"/>
      <c r="E172" s="132">
        <v>45156</v>
      </c>
      <c r="F172" s="474" t="s">
        <v>336</v>
      </c>
      <c r="G172" s="309" t="s">
        <v>336</v>
      </c>
      <c r="H172" s="309"/>
    </row>
    <row r="173" spans="2:8" ht="24.95" customHeight="1" x14ac:dyDescent="0.25">
      <c r="B173" s="474" t="s">
        <v>579</v>
      </c>
      <c r="C173" s="576" t="s">
        <v>303</v>
      </c>
      <c r="D173" s="576"/>
      <c r="E173" s="132">
        <v>45159</v>
      </c>
      <c r="F173" s="474">
        <v>45</v>
      </c>
      <c r="G173" s="309" t="s">
        <v>363</v>
      </c>
      <c r="H173" s="309"/>
    </row>
    <row r="174" spans="2:8" ht="24.95" customHeight="1" x14ac:dyDescent="0.25">
      <c r="B174" s="474" t="s">
        <v>579</v>
      </c>
      <c r="C174" s="576" t="s">
        <v>362</v>
      </c>
      <c r="D174" s="576"/>
      <c r="E174" s="132">
        <v>45159</v>
      </c>
      <c r="F174" s="474" t="s">
        <v>336</v>
      </c>
      <c r="G174" s="309" t="s">
        <v>336</v>
      </c>
      <c r="H174" s="309"/>
    </row>
    <row r="175" spans="2:8" ht="24.95" customHeight="1" x14ac:dyDescent="0.25">
      <c r="B175" s="474" t="s">
        <v>597</v>
      </c>
      <c r="C175" s="576" t="s">
        <v>303</v>
      </c>
      <c r="D175" s="576"/>
      <c r="E175" s="132">
        <v>45159</v>
      </c>
      <c r="F175" s="474">
        <v>80</v>
      </c>
      <c r="G175" s="309" t="s">
        <v>363</v>
      </c>
      <c r="H175" s="309"/>
    </row>
    <row r="176" spans="2:8" ht="24.95" customHeight="1" x14ac:dyDescent="0.25">
      <c r="B176" s="474" t="s">
        <v>597</v>
      </c>
      <c r="C176" s="576" t="s">
        <v>362</v>
      </c>
      <c r="D176" s="576"/>
      <c r="E176" s="132">
        <v>45159</v>
      </c>
      <c r="F176" s="474" t="s">
        <v>336</v>
      </c>
      <c r="G176" s="309" t="s">
        <v>336</v>
      </c>
      <c r="H176" s="309"/>
    </row>
    <row r="177" spans="2:8" ht="24.95" customHeight="1" x14ac:dyDescent="0.25">
      <c r="B177" s="474" t="s">
        <v>513</v>
      </c>
      <c r="C177" s="576" t="s">
        <v>303</v>
      </c>
      <c r="D177" s="576"/>
      <c r="E177" s="132">
        <v>45159</v>
      </c>
      <c r="F177" s="474">
        <v>193</v>
      </c>
      <c r="G177" s="309" t="s">
        <v>363</v>
      </c>
      <c r="H177" s="309"/>
    </row>
    <row r="178" spans="2:8" ht="24.95" customHeight="1" x14ac:dyDescent="0.25">
      <c r="B178" s="474" t="s">
        <v>513</v>
      </c>
      <c r="C178" s="576" t="s">
        <v>362</v>
      </c>
      <c r="D178" s="576"/>
      <c r="E178" s="132">
        <v>45159</v>
      </c>
      <c r="F178" s="474" t="s">
        <v>336</v>
      </c>
      <c r="G178" s="309" t="s">
        <v>336</v>
      </c>
      <c r="H178" s="309"/>
    </row>
    <row r="179" spans="2:8" ht="24.95" customHeight="1" x14ac:dyDescent="0.25">
      <c r="B179" s="474" t="s">
        <v>458</v>
      </c>
      <c r="C179" s="576" t="s">
        <v>303</v>
      </c>
      <c r="D179" s="576"/>
      <c r="E179" s="132">
        <v>45162</v>
      </c>
      <c r="F179" s="474">
        <v>100</v>
      </c>
      <c r="G179" s="309" t="s">
        <v>363</v>
      </c>
      <c r="H179" s="309"/>
    </row>
    <row r="180" spans="2:8" ht="24.95" customHeight="1" x14ac:dyDescent="0.25">
      <c r="B180" s="474" t="s">
        <v>458</v>
      </c>
      <c r="C180" s="576" t="s">
        <v>362</v>
      </c>
      <c r="D180" s="576"/>
      <c r="E180" s="132">
        <v>45162</v>
      </c>
      <c r="F180" s="474" t="s">
        <v>336</v>
      </c>
      <c r="G180" s="309" t="s">
        <v>336</v>
      </c>
      <c r="H180" s="309"/>
    </row>
    <row r="181" spans="2:8" ht="24.95" customHeight="1" x14ac:dyDescent="0.25">
      <c r="B181" s="474" t="s">
        <v>575</v>
      </c>
      <c r="C181" s="576" t="s">
        <v>303</v>
      </c>
      <c r="D181" s="576"/>
      <c r="E181" s="132">
        <v>45162</v>
      </c>
      <c r="F181" s="474">
        <v>200</v>
      </c>
      <c r="G181" s="309" t="s">
        <v>102</v>
      </c>
      <c r="H181" s="309"/>
    </row>
    <row r="182" spans="2:8" ht="24.95" customHeight="1" x14ac:dyDescent="0.25">
      <c r="B182" s="522" t="s">
        <v>278</v>
      </c>
      <c r="C182" s="576" t="s">
        <v>595</v>
      </c>
      <c r="D182" s="576">
        <v>4406</v>
      </c>
      <c r="E182" s="132">
        <v>45163</v>
      </c>
      <c r="F182" s="522">
        <v>25</v>
      </c>
      <c r="G182" s="309"/>
      <c r="H182" s="309"/>
    </row>
    <row r="183" spans="2:8" ht="24.95" customHeight="1" x14ac:dyDescent="0.25">
      <c r="B183" s="474" t="s">
        <v>458</v>
      </c>
      <c r="C183" s="576" t="s">
        <v>361</v>
      </c>
      <c r="D183" s="576"/>
      <c r="E183" s="132">
        <v>45163</v>
      </c>
      <c r="F183" s="474">
        <v>25</v>
      </c>
      <c r="G183" s="309" t="s">
        <v>336</v>
      </c>
      <c r="H183" s="309"/>
    </row>
    <row r="184" spans="2:8" ht="24.95" customHeight="1" x14ac:dyDescent="0.25">
      <c r="B184" s="474" t="s">
        <v>627</v>
      </c>
      <c r="C184" s="576" t="s">
        <v>361</v>
      </c>
      <c r="D184" s="576"/>
      <c r="E184" s="132">
        <v>45164</v>
      </c>
      <c r="F184" s="474">
        <v>87</v>
      </c>
      <c r="G184" s="309"/>
      <c r="H184" s="309"/>
    </row>
    <row r="185" spans="2:8" ht="24.95" customHeight="1" x14ac:dyDescent="0.25">
      <c r="B185" s="474" t="s">
        <v>502</v>
      </c>
      <c r="C185" s="576" t="s">
        <v>303</v>
      </c>
      <c r="D185" s="576"/>
      <c r="E185" s="132">
        <v>45166</v>
      </c>
      <c r="F185" s="474">
        <v>60</v>
      </c>
      <c r="G185" s="309" t="s">
        <v>628</v>
      </c>
      <c r="H185" s="309"/>
    </row>
    <row r="186" spans="2:8" ht="24.95" customHeight="1" x14ac:dyDescent="0.25">
      <c r="B186" s="474" t="s">
        <v>579</v>
      </c>
      <c r="C186" s="576" t="s">
        <v>361</v>
      </c>
      <c r="D186" s="576"/>
      <c r="E186" s="132">
        <v>45166</v>
      </c>
      <c r="F186" s="474">
        <v>40</v>
      </c>
      <c r="G186" s="309"/>
      <c r="H186" s="309"/>
    </row>
    <row r="187" spans="2:8" ht="24.95" customHeight="1" x14ac:dyDescent="0.25">
      <c r="B187" s="474" t="s">
        <v>472</v>
      </c>
      <c r="C187" s="576" t="s">
        <v>361</v>
      </c>
      <c r="D187" s="576">
        <v>4525</v>
      </c>
      <c r="E187" s="132">
        <v>45173</v>
      </c>
      <c r="F187" s="474">
        <v>1034</v>
      </c>
      <c r="G187" s="309"/>
      <c r="H187" s="309"/>
    </row>
    <row r="188" spans="2:8" ht="24.95" customHeight="1" x14ac:dyDescent="0.25">
      <c r="B188" s="474" t="s">
        <v>472</v>
      </c>
      <c r="C188" s="576" t="s">
        <v>595</v>
      </c>
      <c r="D188" s="589">
        <v>4526</v>
      </c>
      <c r="E188" s="132">
        <v>45173</v>
      </c>
      <c r="F188" s="474">
        <v>48</v>
      </c>
      <c r="G188" s="309"/>
      <c r="H188" s="309"/>
    </row>
    <row r="189" spans="2:8" ht="24.95" customHeight="1" x14ac:dyDescent="0.25">
      <c r="B189" s="474" t="s">
        <v>639</v>
      </c>
      <c r="C189" s="576" t="s">
        <v>361</v>
      </c>
      <c r="D189" s="576"/>
      <c r="E189" s="132">
        <v>45178</v>
      </c>
      <c r="F189" s="474">
        <v>24</v>
      </c>
      <c r="G189" s="309"/>
      <c r="H189" s="309"/>
    </row>
    <row r="190" spans="2:8" ht="24.95" customHeight="1" x14ac:dyDescent="0.25">
      <c r="B190" s="474" t="s">
        <v>640</v>
      </c>
      <c r="C190" s="576" t="s">
        <v>361</v>
      </c>
      <c r="D190" s="576">
        <v>4692</v>
      </c>
      <c r="E190" s="132">
        <v>45180</v>
      </c>
      <c r="F190" s="474">
        <v>68</v>
      </c>
      <c r="G190" s="309"/>
      <c r="H190" s="309"/>
    </row>
    <row r="191" spans="2:8" ht="24.95" customHeight="1" x14ac:dyDescent="0.25">
      <c r="B191" s="474" t="s">
        <v>472</v>
      </c>
      <c r="C191" s="576" t="s">
        <v>303</v>
      </c>
      <c r="D191" s="576"/>
      <c r="E191" s="132">
        <v>45180</v>
      </c>
      <c r="F191" s="474">
        <v>800</v>
      </c>
      <c r="G191" s="309" t="s">
        <v>363</v>
      </c>
      <c r="H191" s="309"/>
    </row>
    <row r="192" spans="2:8" ht="24.95" customHeight="1" x14ac:dyDescent="0.25">
      <c r="B192" s="474" t="s">
        <v>600</v>
      </c>
      <c r="C192" s="576" t="s">
        <v>361</v>
      </c>
      <c r="D192" s="576"/>
      <c r="E192" s="132">
        <v>45182</v>
      </c>
      <c r="F192" s="474">
        <v>47</v>
      </c>
      <c r="G192" s="309" t="s">
        <v>336</v>
      </c>
      <c r="H192" s="309"/>
    </row>
    <row r="193" spans="2:8" ht="24.95" customHeight="1" x14ac:dyDescent="0.25">
      <c r="B193" s="474" t="s">
        <v>627</v>
      </c>
      <c r="C193" s="576" t="s">
        <v>361</v>
      </c>
      <c r="D193" s="576"/>
      <c r="E193" s="132">
        <v>45182</v>
      </c>
      <c r="F193" s="474">
        <v>35</v>
      </c>
      <c r="G193" s="309" t="s">
        <v>336</v>
      </c>
      <c r="H193" s="309"/>
    </row>
    <row r="194" spans="2:8" ht="24.95" customHeight="1" x14ac:dyDescent="0.25">
      <c r="B194" s="474" t="s">
        <v>600</v>
      </c>
      <c r="C194" s="576" t="s">
        <v>303</v>
      </c>
      <c r="D194" s="576"/>
      <c r="E194" s="132">
        <v>45182</v>
      </c>
      <c r="F194" s="474">
        <v>47</v>
      </c>
      <c r="G194" s="309" t="s">
        <v>102</v>
      </c>
      <c r="H194" s="309"/>
    </row>
    <row r="195" spans="2:8" ht="24.95" customHeight="1" x14ac:dyDescent="0.25">
      <c r="B195" s="474" t="s">
        <v>600</v>
      </c>
      <c r="C195" s="576" t="s">
        <v>362</v>
      </c>
      <c r="D195" s="576"/>
      <c r="E195" s="132">
        <v>45182</v>
      </c>
      <c r="F195" s="474"/>
      <c r="G195" s="309"/>
      <c r="H195" s="309"/>
    </row>
    <row r="196" spans="2:8" ht="24.95" customHeight="1" x14ac:dyDescent="0.25">
      <c r="B196" s="474" t="s">
        <v>692</v>
      </c>
      <c r="C196" s="576" t="s">
        <v>361</v>
      </c>
      <c r="D196" s="576"/>
      <c r="E196" s="132">
        <v>45184</v>
      </c>
      <c r="F196" s="474">
        <v>29</v>
      </c>
      <c r="G196" s="309"/>
      <c r="H196" s="309"/>
    </row>
    <row r="197" spans="2:8" ht="24.95" customHeight="1" x14ac:dyDescent="0.25">
      <c r="B197" s="474" t="s">
        <v>501</v>
      </c>
      <c r="C197" s="576" t="s">
        <v>361</v>
      </c>
      <c r="D197" s="576"/>
      <c r="E197" s="132">
        <v>45184</v>
      </c>
      <c r="F197" s="474">
        <v>184</v>
      </c>
      <c r="G197" s="309"/>
      <c r="H197" s="309"/>
    </row>
    <row r="198" spans="2:8" ht="24.95" customHeight="1" x14ac:dyDescent="0.25">
      <c r="B198" s="474" t="s">
        <v>461</v>
      </c>
      <c r="C198" s="576" t="s">
        <v>361</v>
      </c>
      <c r="D198" s="576">
        <v>4790</v>
      </c>
      <c r="E198" s="132">
        <v>45184</v>
      </c>
      <c r="F198" s="474">
        <v>30</v>
      </c>
      <c r="G198" s="309"/>
      <c r="H198" s="309"/>
    </row>
    <row r="199" spans="2:8" ht="24.95" customHeight="1" x14ac:dyDescent="0.25">
      <c r="B199" s="474" t="s">
        <v>575</v>
      </c>
      <c r="C199" s="576" t="s">
        <v>303</v>
      </c>
      <c r="D199" s="576"/>
      <c r="E199" s="132">
        <v>45185</v>
      </c>
      <c r="F199" s="474">
        <v>50</v>
      </c>
      <c r="G199" s="309" t="s">
        <v>363</v>
      </c>
      <c r="H199" s="309"/>
    </row>
    <row r="200" spans="2:8" ht="24.95" customHeight="1" x14ac:dyDescent="0.25">
      <c r="B200" s="474" t="s">
        <v>458</v>
      </c>
      <c r="C200" s="576" t="s">
        <v>303</v>
      </c>
      <c r="D200" s="576"/>
      <c r="E200" s="132">
        <v>45185</v>
      </c>
      <c r="F200" s="474">
        <v>25</v>
      </c>
      <c r="G200" s="309" t="s">
        <v>363</v>
      </c>
      <c r="H200" s="309"/>
    </row>
    <row r="201" spans="2:8" ht="24.95" customHeight="1" x14ac:dyDescent="0.25">
      <c r="B201" s="474" t="s">
        <v>458</v>
      </c>
      <c r="C201" s="576" t="s">
        <v>362</v>
      </c>
      <c r="D201" s="576"/>
      <c r="E201" s="132">
        <v>45185</v>
      </c>
      <c r="F201" s="474" t="s">
        <v>336</v>
      </c>
      <c r="G201" s="309"/>
      <c r="H201" s="309"/>
    </row>
    <row r="202" spans="2:8" ht="24.95" customHeight="1" x14ac:dyDescent="0.25">
      <c r="B202" s="474" t="s">
        <v>501</v>
      </c>
      <c r="C202" s="576" t="s">
        <v>595</v>
      </c>
      <c r="D202" s="576"/>
      <c r="E202" s="132">
        <v>45185</v>
      </c>
      <c r="F202" s="474">
        <v>36</v>
      </c>
      <c r="G202" s="309"/>
      <c r="H202" s="309"/>
    </row>
    <row r="203" spans="2:8" ht="24.95" customHeight="1" x14ac:dyDescent="0.25">
      <c r="B203" s="474" t="s">
        <v>627</v>
      </c>
      <c r="C203" s="576" t="s">
        <v>303</v>
      </c>
      <c r="D203" s="576"/>
      <c r="E203" s="132">
        <v>45187</v>
      </c>
      <c r="F203" s="474">
        <v>122</v>
      </c>
      <c r="G203" s="309" t="s">
        <v>695</v>
      </c>
      <c r="H203" s="309"/>
    </row>
    <row r="204" spans="2:8" ht="24.95" customHeight="1" x14ac:dyDescent="0.25">
      <c r="B204" s="474" t="s">
        <v>627</v>
      </c>
      <c r="C204" s="576" t="s">
        <v>362</v>
      </c>
      <c r="D204" s="576"/>
      <c r="E204" s="132">
        <v>45187</v>
      </c>
      <c r="F204" s="474"/>
      <c r="G204" s="309"/>
      <c r="H204" s="309"/>
    </row>
    <row r="205" spans="2:8" ht="24.95" customHeight="1" x14ac:dyDescent="0.25">
      <c r="B205" s="474" t="s">
        <v>579</v>
      </c>
      <c r="C205" s="576" t="s">
        <v>303</v>
      </c>
      <c r="D205" s="576"/>
      <c r="E205" s="132">
        <v>45187</v>
      </c>
      <c r="F205" s="474">
        <v>40</v>
      </c>
      <c r="G205" s="309" t="s">
        <v>363</v>
      </c>
      <c r="H205" s="309"/>
    </row>
    <row r="206" spans="2:8" ht="24.95" customHeight="1" x14ac:dyDescent="0.25">
      <c r="B206" s="474" t="s">
        <v>579</v>
      </c>
      <c r="C206" s="576" t="s">
        <v>362</v>
      </c>
      <c r="D206" s="576"/>
      <c r="E206" s="132">
        <v>45187</v>
      </c>
      <c r="F206" s="474"/>
      <c r="G206" s="309"/>
      <c r="H206" s="309"/>
    </row>
    <row r="207" spans="2:8" ht="24.95" customHeight="1" x14ac:dyDescent="0.25">
      <c r="B207" s="474" t="s">
        <v>697</v>
      </c>
      <c r="C207" s="576" t="s">
        <v>361</v>
      </c>
      <c r="D207" s="576"/>
      <c r="E207" s="132">
        <v>45190</v>
      </c>
      <c r="F207" s="474">
        <v>15</v>
      </c>
      <c r="G207" s="309"/>
      <c r="H207" s="309"/>
    </row>
    <row r="208" spans="2:8" ht="24.95" customHeight="1" x14ac:dyDescent="0.25">
      <c r="B208" s="474" t="s">
        <v>606</v>
      </c>
      <c r="C208" s="576" t="s">
        <v>361</v>
      </c>
      <c r="D208" s="576"/>
      <c r="E208" s="132">
        <v>45191</v>
      </c>
      <c r="F208" s="474">
        <v>15</v>
      </c>
      <c r="G208" s="309"/>
      <c r="H208" s="309"/>
    </row>
    <row r="209" spans="2:8" ht="24.95" customHeight="1" x14ac:dyDescent="0.25">
      <c r="B209" s="474" t="s">
        <v>472</v>
      </c>
      <c r="C209" s="576" t="s">
        <v>303</v>
      </c>
      <c r="D209" s="576"/>
      <c r="E209" s="132">
        <v>45192</v>
      </c>
      <c r="F209" s="474">
        <v>265</v>
      </c>
      <c r="G209" s="309" t="s">
        <v>363</v>
      </c>
      <c r="H209" s="309"/>
    </row>
    <row r="210" spans="2:8" ht="24.95" customHeight="1" x14ac:dyDescent="0.25">
      <c r="B210" s="474" t="s">
        <v>277</v>
      </c>
      <c r="C210" s="576" t="s">
        <v>361</v>
      </c>
      <c r="D210" s="589">
        <v>5061</v>
      </c>
      <c r="E210" s="132">
        <v>45194</v>
      </c>
      <c r="F210" s="474">
        <v>170.36</v>
      </c>
      <c r="G210" s="309"/>
      <c r="H210" s="309"/>
    </row>
    <row r="211" spans="2:8" ht="32.25" customHeight="1" x14ac:dyDescent="0.25">
      <c r="B211" s="474" t="s">
        <v>699</v>
      </c>
      <c r="C211" s="576" t="s">
        <v>361</v>
      </c>
      <c r="D211" s="576"/>
      <c r="E211" s="132">
        <v>45194</v>
      </c>
      <c r="F211" s="474">
        <v>25</v>
      </c>
      <c r="G211" s="309"/>
      <c r="H211" s="309"/>
    </row>
    <row r="212" spans="2:8" ht="24.95" customHeight="1" x14ac:dyDescent="0.25">
      <c r="B212" s="474" t="s">
        <v>700</v>
      </c>
      <c r="C212" s="576" t="s">
        <v>361</v>
      </c>
      <c r="D212" s="576">
        <v>5092</v>
      </c>
      <c r="E212" s="132">
        <v>45196</v>
      </c>
      <c r="F212" s="474">
        <v>109</v>
      </c>
      <c r="G212" s="309"/>
      <c r="H212" s="309"/>
    </row>
    <row r="213" spans="2:8" ht="24.95" customHeight="1" x14ac:dyDescent="0.25">
      <c r="B213" s="576" t="s">
        <v>699</v>
      </c>
      <c r="C213" s="576" t="s">
        <v>303</v>
      </c>
      <c r="D213" s="576"/>
      <c r="E213" s="132">
        <v>45198</v>
      </c>
      <c r="F213" s="474">
        <v>25</v>
      </c>
      <c r="G213" s="309" t="s">
        <v>363</v>
      </c>
      <c r="H213" s="309"/>
    </row>
    <row r="214" spans="2:8" ht="24.95" customHeight="1" x14ac:dyDescent="0.25">
      <c r="B214" s="474" t="s">
        <v>699</v>
      </c>
      <c r="C214" s="576" t="s">
        <v>362</v>
      </c>
      <c r="D214" s="576"/>
      <c r="E214" s="132">
        <v>45198</v>
      </c>
      <c r="F214" s="474"/>
      <c r="G214" s="309"/>
      <c r="H214" s="309"/>
    </row>
    <row r="215" spans="2:8" ht="24.95" customHeight="1" x14ac:dyDescent="0.25">
      <c r="B215" s="474" t="s">
        <v>697</v>
      </c>
      <c r="C215" s="576" t="s">
        <v>303</v>
      </c>
      <c r="D215" s="576"/>
      <c r="E215" s="132">
        <v>45198</v>
      </c>
      <c r="F215" s="474">
        <v>15</v>
      </c>
      <c r="G215" s="309" t="s">
        <v>593</v>
      </c>
      <c r="H215" s="309"/>
    </row>
    <row r="216" spans="2:8" ht="24.95" customHeight="1" x14ac:dyDescent="0.25">
      <c r="B216" s="474" t="s">
        <v>697</v>
      </c>
      <c r="C216" s="576" t="s">
        <v>362</v>
      </c>
      <c r="D216" s="576"/>
      <c r="E216" s="132">
        <v>45198</v>
      </c>
      <c r="F216" s="474"/>
      <c r="G216" s="309"/>
      <c r="H216" s="309"/>
    </row>
    <row r="217" spans="2:8" ht="24.95" customHeight="1" x14ac:dyDescent="0.25">
      <c r="B217" s="474" t="s">
        <v>601</v>
      </c>
      <c r="C217" s="576" t="s">
        <v>303</v>
      </c>
      <c r="D217" s="576"/>
      <c r="E217" s="132">
        <v>45198</v>
      </c>
      <c r="F217" s="474">
        <v>5</v>
      </c>
      <c r="G217" s="309" t="s">
        <v>516</v>
      </c>
      <c r="H217" s="309"/>
    </row>
    <row r="218" spans="2:8" ht="24.95" customHeight="1" x14ac:dyDescent="0.25">
      <c r="B218" s="474" t="s">
        <v>601</v>
      </c>
      <c r="C218" s="576" t="s">
        <v>362</v>
      </c>
      <c r="D218" s="576"/>
      <c r="E218" s="132">
        <v>45198</v>
      </c>
      <c r="F218" s="474"/>
      <c r="G218" s="309"/>
      <c r="H218" s="309"/>
    </row>
    <row r="219" spans="2:8" ht="24.95" customHeight="1" x14ac:dyDescent="0.25">
      <c r="B219" s="474" t="s">
        <v>575</v>
      </c>
      <c r="C219" s="576" t="s">
        <v>303</v>
      </c>
      <c r="D219" s="576"/>
      <c r="E219" s="132">
        <v>45201</v>
      </c>
      <c r="F219" s="474">
        <v>50</v>
      </c>
      <c r="G219" s="309" t="s">
        <v>363</v>
      </c>
      <c r="H219" s="309"/>
    </row>
    <row r="220" spans="2:8" ht="24.95" customHeight="1" x14ac:dyDescent="0.25">
      <c r="B220" s="474" t="s">
        <v>606</v>
      </c>
      <c r="C220" s="576" t="s">
        <v>303</v>
      </c>
      <c r="D220" s="576"/>
      <c r="E220" s="132">
        <v>45201</v>
      </c>
      <c r="F220" s="474">
        <v>15</v>
      </c>
      <c r="G220" s="309" t="s">
        <v>363</v>
      </c>
      <c r="H220" s="309"/>
    </row>
    <row r="221" spans="2:8" ht="33" customHeight="1" x14ac:dyDescent="0.25">
      <c r="B221" s="474" t="s">
        <v>606</v>
      </c>
      <c r="C221" s="576" t="s">
        <v>362</v>
      </c>
      <c r="D221" s="576"/>
      <c r="E221" s="132">
        <v>45201</v>
      </c>
      <c r="F221" s="474"/>
      <c r="G221" s="309"/>
      <c r="H221" s="309"/>
    </row>
    <row r="222" spans="2:8" ht="24.95" customHeight="1" x14ac:dyDescent="0.25">
      <c r="B222" s="474" t="s">
        <v>292</v>
      </c>
      <c r="C222" s="576" t="s">
        <v>303</v>
      </c>
      <c r="D222" s="576"/>
      <c r="E222" s="132">
        <v>45202</v>
      </c>
      <c r="F222" s="474">
        <v>110</v>
      </c>
      <c r="G222" s="309" t="s">
        <v>704</v>
      </c>
      <c r="H222" s="309"/>
    </row>
    <row r="223" spans="2:8" ht="24.95" customHeight="1" x14ac:dyDescent="0.25">
      <c r="B223" s="474" t="s">
        <v>277</v>
      </c>
      <c r="C223" s="576" t="s">
        <v>303</v>
      </c>
      <c r="D223" s="589"/>
      <c r="E223" s="132">
        <v>45204</v>
      </c>
      <c r="F223" s="474">
        <v>18</v>
      </c>
      <c r="G223" s="309" t="s">
        <v>628</v>
      </c>
      <c r="H223" s="309"/>
    </row>
    <row r="224" spans="2:8" ht="24.95" customHeight="1" x14ac:dyDescent="0.25">
      <c r="B224" s="474" t="s">
        <v>640</v>
      </c>
      <c r="C224" s="576" t="s">
        <v>303</v>
      </c>
      <c r="D224" s="576"/>
      <c r="E224" s="132">
        <v>45205</v>
      </c>
      <c r="F224" s="474">
        <v>37</v>
      </c>
      <c r="G224" s="309" t="s">
        <v>363</v>
      </c>
      <c r="H224" s="309"/>
    </row>
    <row r="225" spans="2:8" ht="24.95" customHeight="1" x14ac:dyDescent="0.25">
      <c r="B225" s="474" t="s">
        <v>508</v>
      </c>
      <c r="C225" s="576" t="s">
        <v>361</v>
      </c>
      <c r="D225" s="576">
        <v>5240</v>
      </c>
      <c r="E225" s="132">
        <v>45205</v>
      </c>
      <c r="F225" s="474">
        <v>106</v>
      </c>
      <c r="G225" s="309"/>
      <c r="H225" s="309"/>
    </row>
    <row r="226" spans="2:8" ht="24.95" customHeight="1" x14ac:dyDescent="0.25">
      <c r="B226" s="474" t="s">
        <v>692</v>
      </c>
      <c r="C226" s="576" t="s">
        <v>303</v>
      </c>
      <c r="D226" s="576"/>
      <c r="E226" s="132">
        <v>45208</v>
      </c>
      <c r="F226" s="474">
        <v>29</v>
      </c>
      <c r="G226" s="309" t="s">
        <v>363</v>
      </c>
      <c r="H226" s="309"/>
    </row>
    <row r="227" spans="2:8" ht="24.95" customHeight="1" x14ac:dyDescent="0.25">
      <c r="B227" s="474" t="s">
        <v>692</v>
      </c>
      <c r="C227" s="576" t="s">
        <v>362</v>
      </c>
      <c r="D227" s="576"/>
      <c r="E227" s="132">
        <v>45208</v>
      </c>
      <c r="F227" s="474"/>
      <c r="G227" s="309"/>
      <c r="H227" s="309"/>
    </row>
    <row r="228" spans="2:8" ht="24.95" customHeight="1" x14ac:dyDescent="0.25">
      <c r="B228" s="535" t="s">
        <v>458</v>
      </c>
      <c r="C228" s="576" t="s">
        <v>361</v>
      </c>
      <c r="D228" s="576"/>
      <c r="E228" s="132">
        <v>45211</v>
      </c>
      <c r="F228" s="535">
        <v>81</v>
      </c>
      <c r="G228" s="309"/>
      <c r="H228" s="309"/>
    </row>
    <row r="229" spans="2:8" ht="24.95" customHeight="1" x14ac:dyDescent="0.25">
      <c r="B229" s="474" t="s">
        <v>278</v>
      </c>
      <c r="C229" s="576" t="s">
        <v>595</v>
      </c>
      <c r="D229" s="576">
        <v>5346</v>
      </c>
      <c r="E229" s="132">
        <v>45211</v>
      </c>
      <c r="F229" s="474">
        <v>20</v>
      </c>
      <c r="G229" s="309"/>
      <c r="H229" s="309"/>
    </row>
    <row r="230" spans="2:8" ht="24.95" customHeight="1" x14ac:dyDescent="0.25">
      <c r="B230" s="474" t="s">
        <v>627</v>
      </c>
      <c r="C230" s="576" t="s">
        <v>361</v>
      </c>
      <c r="D230" s="576"/>
      <c r="E230" s="132">
        <v>45211</v>
      </c>
      <c r="F230" s="474">
        <v>35</v>
      </c>
      <c r="G230" s="309"/>
      <c r="H230" s="309"/>
    </row>
    <row r="231" spans="2:8" ht="24.95" customHeight="1" x14ac:dyDescent="0.25">
      <c r="B231" s="474" t="s">
        <v>458</v>
      </c>
      <c r="C231" s="576" t="s">
        <v>303</v>
      </c>
      <c r="D231" s="576"/>
      <c r="E231" s="132">
        <v>45215</v>
      </c>
      <c r="F231" s="474">
        <v>60</v>
      </c>
      <c r="G231" s="309" t="s">
        <v>363</v>
      </c>
      <c r="H231" s="309"/>
    </row>
    <row r="232" spans="2:8" ht="24.95" customHeight="1" x14ac:dyDescent="0.25">
      <c r="B232" s="474" t="s">
        <v>575</v>
      </c>
      <c r="C232" s="576" t="s">
        <v>303</v>
      </c>
      <c r="D232" s="576"/>
      <c r="E232" s="132">
        <v>45215</v>
      </c>
      <c r="F232" s="474">
        <v>50</v>
      </c>
      <c r="G232" s="309" t="s">
        <v>710</v>
      </c>
      <c r="H232" s="309"/>
    </row>
    <row r="233" spans="2:8" ht="24.95" customHeight="1" x14ac:dyDescent="0.25">
      <c r="B233" s="474" t="s">
        <v>712</v>
      </c>
      <c r="C233" s="576" t="s">
        <v>361</v>
      </c>
      <c r="D233" s="576"/>
      <c r="E233" s="132">
        <v>45215</v>
      </c>
      <c r="F233" s="474">
        <v>84</v>
      </c>
      <c r="G233" s="309"/>
      <c r="H233" s="309"/>
    </row>
    <row r="234" spans="2:8" ht="24.95" customHeight="1" x14ac:dyDescent="0.25">
      <c r="B234" s="474" t="s">
        <v>292</v>
      </c>
      <c r="C234" s="576" t="s">
        <v>595</v>
      </c>
      <c r="D234" s="576">
        <v>5494</v>
      </c>
      <c r="E234" s="132">
        <v>45218</v>
      </c>
      <c r="F234" s="474">
        <v>63</v>
      </c>
      <c r="G234" s="309"/>
      <c r="H234" s="309"/>
    </row>
    <row r="235" spans="2:8" ht="24.95" customHeight="1" x14ac:dyDescent="0.25">
      <c r="B235" s="474" t="s">
        <v>458</v>
      </c>
      <c r="C235" s="576" t="s">
        <v>303</v>
      </c>
      <c r="D235" s="576"/>
      <c r="E235" s="132">
        <v>45220</v>
      </c>
      <c r="F235" s="474">
        <v>20</v>
      </c>
      <c r="G235" s="309" t="s">
        <v>363</v>
      </c>
      <c r="H235" s="309"/>
    </row>
    <row r="236" spans="2:8" ht="24.95" customHeight="1" x14ac:dyDescent="0.25">
      <c r="B236" s="474" t="s">
        <v>277</v>
      </c>
      <c r="C236" s="576" t="s">
        <v>303</v>
      </c>
      <c r="D236" s="589"/>
      <c r="E236" s="132">
        <v>45224</v>
      </c>
      <c r="F236" s="474">
        <v>5.5</v>
      </c>
      <c r="G236" s="309" t="s">
        <v>628</v>
      </c>
      <c r="H236" s="309"/>
    </row>
    <row r="237" spans="2:8" ht="24.95" customHeight="1" x14ac:dyDescent="0.25">
      <c r="B237" s="538" t="s">
        <v>627</v>
      </c>
      <c r="C237" s="576" t="s">
        <v>595</v>
      </c>
      <c r="D237" s="576"/>
      <c r="E237" s="132">
        <v>45224</v>
      </c>
      <c r="F237" s="538">
        <v>120</v>
      </c>
      <c r="G237" s="309"/>
      <c r="H237" s="309"/>
    </row>
    <row r="238" spans="2:8" ht="24.95" customHeight="1" x14ac:dyDescent="0.25">
      <c r="B238" s="474" t="s">
        <v>277</v>
      </c>
      <c r="C238" s="576" t="s">
        <v>303</v>
      </c>
      <c r="D238" s="589"/>
      <c r="E238" s="132">
        <v>45224</v>
      </c>
      <c r="F238" s="474">
        <v>10</v>
      </c>
      <c r="G238" s="309" t="s">
        <v>363</v>
      </c>
      <c r="H238" s="309"/>
    </row>
    <row r="239" spans="2:8" ht="24.95" customHeight="1" x14ac:dyDescent="0.25">
      <c r="B239" s="474" t="s">
        <v>277</v>
      </c>
      <c r="C239" s="576" t="s">
        <v>595</v>
      </c>
      <c r="D239" s="589">
        <v>5666</v>
      </c>
      <c r="E239" s="132">
        <v>45226</v>
      </c>
      <c r="F239" s="474">
        <v>114</v>
      </c>
      <c r="G239" s="309"/>
      <c r="H239" s="309"/>
    </row>
    <row r="240" spans="2:8" ht="24.95" customHeight="1" x14ac:dyDescent="0.25">
      <c r="B240" s="474" t="s">
        <v>722</v>
      </c>
      <c r="C240" s="576" t="s">
        <v>361</v>
      </c>
      <c r="D240" s="576"/>
      <c r="E240" s="132">
        <v>45227</v>
      </c>
      <c r="F240" s="474">
        <v>15</v>
      </c>
      <c r="G240" s="309"/>
      <c r="H240" s="309"/>
    </row>
    <row r="241" spans="2:8" ht="24.95" customHeight="1" x14ac:dyDescent="0.25">
      <c r="B241" s="474" t="s">
        <v>458</v>
      </c>
      <c r="C241" s="576" t="s">
        <v>595</v>
      </c>
      <c r="D241" s="576"/>
      <c r="E241" s="132">
        <v>45229</v>
      </c>
      <c r="F241" s="474">
        <v>1</v>
      </c>
      <c r="G241" s="309"/>
      <c r="H241" s="309"/>
    </row>
    <row r="242" spans="2:8" ht="24.95" customHeight="1" x14ac:dyDescent="0.25">
      <c r="B242" s="474" t="s">
        <v>640</v>
      </c>
      <c r="C242" s="576" t="s">
        <v>303</v>
      </c>
      <c r="D242" s="576"/>
      <c r="E242" s="132">
        <v>45230</v>
      </c>
      <c r="F242" s="474">
        <v>8</v>
      </c>
      <c r="G242" s="309" t="s">
        <v>363</v>
      </c>
      <c r="H242" s="309"/>
    </row>
    <row r="243" spans="2:8" ht="24.95" customHeight="1" x14ac:dyDescent="0.25">
      <c r="B243" s="474" t="s">
        <v>640</v>
      </c>
      <c r="C243" s="576" t="s">
        <v>303</v>
      </c>
      <c r="D243" s="576"/>
      <c r="E243" s="132">
        <v>45230</v>
      </c>
      <c r="F243" s="474">
        <v>5</v>
      </c>
      <c r="G243" s="309" t="s">
        <v>516</v>
      </c>
      <c r="H243" s="309"/>
    </row>
    <row r="244" spans="2:8" ht="24.95" customHeight="1" x14ac:dyDescent="0.25">
      <c r="B244" s="474" t="s">
        <v>461</v>
      </c>
      <c r="C244" s="576" t="s">
        <v>595</v>
      </c>
      <c r="D244" s="576">
        <v>5730</v>
      </c>
      <c r="E244" s="132">
        <v>45230</v>
      </c>
      <c r="F244" s="474">
        <v>65</v>
      </c>
      <c r="G244" s="309"/>
      <c r="H244" s="309"/>
    </row>
    <row r="245" spans="2:8" ht="24.95" customHeight="1" x14ac:dyDescent="0.25">
      <c r="B245" s="474" t="s">
        <v>722</v>
      </c>
      <c r="C245" s="576" t="s">
        <v>303</v>
      </c>
      <c r="D245" s="576"/>
      <c r="E245" s="132">
        <v>45232</v>
      </c>
      <c r="F245" s="474">
        <v>15</v>
      </c>
      <c r="G245" s="309" t="s">
        <v>593</v>
      </c>
      <c r="H245" s="309"/>
    </row>
    <row r="246" spans="2:8" ht="24.95" customHeight="1" x14ac:dyDescent="0.25">
      <c r="B246" s="474" t="s">
        <v>722</v>
      </c>
      <c r="C246" s="576" t="s">
        <v>362</v>
      </c>
      <c r="D246" s="576"/>
      <c r="E246" s="132">
        <v>45232</v>
      </c>
      <c r="F246" s="474"/>
      <c r="G246" s="309"/>
      <c r="H246" s="309"/>
    </row>
    <row r="247" spans="2:8" ht="24.95" customHeight="1" x14ac:dyDescent="0.25">
      <c r="B247" s="474" t="s">
        <v>458</v>
      </c>
      <c r="C247" s="576" t="s">
        <v>595</v>
      </c>
      <c r="D247" s="576"/>
      <c r="E247" s="132">
        <v>45232</v>
      </c>
      <c r="F247" s="474">
        <v>16</v>
      </c>
      <c r="G247" s="309"/>
      <c r="H247" s="309"/>
    </row>
    <row r="248" spans="2:8" ht="24.95" customHeight="1" x14ac:dyDescent="0.25">
      <c r="B248" s="539" t="s">
        <v>727</v>
      </c>
      <c r="C248" s="576" t="s">
        <v>361</v>
      </c>
      <c r="D248" s="576"/>
      <c r="E248" s="132">
        <v>45232</v>
      </c>
      <c r="F248" s="539">
        <v>56</v>
      </c>
      <c r="G248" s="309"/>
      <c r="H248" s="309"/>
    </row>
    <row r="249" spans="2:8" ht="24.95" customHeight="1" x14ac:dyDescent="0.25">
      <c r="B249" s="474" t="s">
        <v>579</v>
      </c>
      <c r="C249" s="576" t="s">
        <v>361</v>
      </c>
      <c r="D249" s="576">
        <v>5997</v>
      </c>
      <c r="E249" s="132">
        <v>45232</v>
      </c>
      <c r="F249" s="474">
        <v>150</v>
      </c>
      <c r="G249" s="309"/>
      <c r="H249" s="309"/>
    </row>
    <row r="250" spans="2:8" ht="24.95" customHeight="1" x14ac:dyDescent="0.25">
      <c r="B250" s="474" t="s">
        <v>461</v>
      </c>
      <c r="C250" s="576" t="s">
        <v>595</v>
      </c>
      <c r="D250" s="576">
        <v>5810</v>
      </c>
      <c r="E250" s="132">
        <v>45232</v>
      </c>
      <c r="F250" s="474">
        <v>42</v>
      </c>
      <c r="G250" s="309"/>
      <c r="H250" s="309"/>
    </row>
    <row r="251" spans="2:8" ht="24.95" customHeight="1" x14ac:dyDescent="0.25">
      <c r="B251" s="474" t="s">
        <v>292</v>
      </c>
      <c r="C251" s="576" t="s">
        <v>595</v>
      </c>
      <c r="D251" s="576">
        <v>5817</v>
      </c>
      <c r="E251" s="132">
        <v>45232</v>
      </c>
      <c r="F251" s="474">
        <v>7</v>
      </c>
      <c r="G251" s="309"/>
      <c r="H251" s="309"/>
    </row>
    <row r="252" spans="2:8" ht="24.95" customHeight="1" x14ac:dyDescent="0.25">
      <c r="B252" s="474" t="s">
        <v>292</v>
      </c>
      <c r="C252" s="576" t="s">
        <v>595</v>
      </c>
      <c r="D252" s="576">
        <v>5820</v>
      </c>
      <c r="E252" s="132">
        <v>45232</v>
      </c>
      <c r="F252" s="474">
        <v>4</v>
      </c>
      <c r="G252" s="309"/>
      <c r="H252" s="309"/>
    </row>
    <row r="253" spans="2:8" ht="24.95" customHeight="1" x14ac:dyDescent="0.25">
      <c r="B253" s="474" t="s">
        <v>575</v>
      </c>
      <c r="C253" s="576" t="s">
        <v>303</v>
      </c>
      <c r="D253" s="576"/>
      <c r="E253" s="132">
        <v>45233</v>
      </c>
      <c r="F253" s="474">
        <v>42</v>
      </c>
      <c r="G253" s="309" t="s">
        <v>710</v>
      </c>
      <c r="H253" s="309"/>
    </row>
    <row r="254" spans="2:8" ht="24.95" customHeight="1" x14ac:dyDescent="0.25">
      <c r="B254" s="474" t="s">
        <v>575</v>
      </c>
      <c r="C254" s="576" t="s">
        <v>362</v>
      </c>
      <c r="D254" s="576"/>
      <c r="E254" s="132">
        <v>45233</v>
      </c>
      <c r="F254" s="474"/>
      <c r="G254" s="309"/>
      <c r="H254" s="309"/>
    </row>
    <row r="255" spans="2:8" ht="24.95" customHeight="1" x14ac:dyDescent="0.25">
      <c r="B255" s="474" t="s">
        <v>458</v>
      </c>
      <c r="C255" s="576" t="s">
        <v>303</v>
      </c>
      <c r="D255" s="576"/>
      <c r="E255" s="132">
        <v>45233</v>
      </c>
      <c r="F255" s="474">
        <v>18</v>
      </c>
      <c r="G255" s="309" t="s">
        <v>363</v>
      </c>
      <c r="H255" s="309"/>
    </row>
    <row r="256" spans="2:8" ht="24.95" customHeight="1" x14ac:dyDescent="0.25">
      <c r="B256" s="474" t="s">
        <v>458</v>
      </c>
      <c r="C256" s="576" t="s">
        <v>362</v>
      </c>
      <c r="D256" s="576"/>
      <c r="E256" s="132">
        <v>45233</v>
      </c>
      <c r="F256" s="474"/>
      <c r="G256" s="309"/>
      <c r="H256" s="309"/>
    </row>
    <row r="257" spans="2:9" ht="24.95" customHeight="1" x14ac:dyDescent="0.25">
      <c r="B257" s="541" t="s">
        <v>727</v>
      </c>
      <c r="C257" s="576" t="s">
        <v>303</v>
      </c>
      <c r="D257" s="576"/>
      <c r="E257" s="132">
        <v>45233</v>
      </c>
      <c r="F257" s="541">
        <v>56</v>
      </c>
      <c r="G257" s="309" t="s">
        <v>363</v>
      </c>
      <c r="H257" s="309"/>
    </row>
    <row r="258" spans="2:9" ht="24.95" customHeight="1" x14ac:dyDescent="0.25">
      <c r="B258" s="474" t="s">
        <v>727</v>
      </c>
      <c r="C258" s="576" t="s">
        <v>362</v>
      </c>
      <c r="D258" s="576"/>
      <c r="E258" s="132">
        <v>45233</v>
      </c>
      <c r="F258" s="474"/>
      <c r="G258" s="309"/>
      <c r="H258" s="309"/>
    </row>
    <row r="259" spans="2:9" ht="24.95" customHeight="1" x14ac:dyDescent="0.25">
      <c r="B259" s="474" t="s">
        <v>461</v>
      </c>
      <c r="C259" s="576" t="s">
        <v>595</v>
      </c>
      <c r="D259" s="576">
        <v>5941</v>
      </c>
      <c r="E259" s="132">
        <v>45233</v>
      </c>
      <c r="F259" s="474">
        <v>15</v>
      </c>
      <c r="G259" s="309"/>
      <c r="H259" s="309"/>
    </row>
    <row r="260" spans="2:9" ht="24.95" customHeight="1" x14ac:dyDescent="0.25">
      <c r="B260" s="474" t="s">
        <v>575</v>
      </c>
      <c r="C260" s="576" t="s">
        <v>361</v>
      </c>
      <c r="D260" s="576"/>
      <c r="E260" s="132">
        <v>45233</v>
      </c>
      <c r="F260" s="474">
        <v>100</v>
      </c>
      <c r="G260" s="309"/>
      <c r="H260" s="309"/>
      <c r="I260" s="366"/>
    </row>
    <row r="261" spans="2:9" ht="24.95" customHeight="1" x14ac:dyDescent="0.25">
      <c r="B261" s="551" t="s">
        <v>601</v>
      </c>
      <c r="C261" s="576" t="s">
        <v>361</v>
      </c>
      <c r="D261" s="576"/>
      <c r="E261" s="132">
        <v>45233</v>
      </c>
      <c r="F261" s="551">
        <v>12</v>
      </c>
      <c r="G261" s="309"/>
      <c r="H261" s="309"/>
      <c r="I261" s="366"/>
    </row>
    <row r="262" spans="2:9" ht="24.95" customHeight="1" x14ac:dyDescent="0.25">
      <c r="B262" s="474" t="s">
        <v>579</v>
      </c>
      <c r="C262" s="576" t="s">
        <v>595</v>
      </c>
      <c r="D262" s="576">
        <v>5862</v>
      </c>
      <c r="E262" s="132">
        <v>45234</v>
      </c>
      <c r="F262" s="474">
        <v>22</v>
      </c>
      <c r="G262" s="309"/>
      <c r="H262" s="309"/>
      <c r="I262" s="366"/>
    </row>
    <row r="263" spans="2:9" ht="24.95" customHeight="1" x14ac:dyDescent="0.25">
      <c r="B263" s="474" t="s">
        <v>729</v>
      </c>
      <c r="C263" s="576" t="s">
        <v>361</v>
      </c>
      <c r="D263" s="576"/>
      <c r="E263" s="132">
        <v>45234</v>
      </c>
      <c r="F263" s="474">
        <v>165</v>
      </c>
      <c r="G263" s="309"/>
      <c r="H263" s="309"/>
    </row>
    <row r="264" spans="2:9" ht="24.95" customHeight="1" x14ac:dyDescent="0.25">
      <c r="B264" s="551" t="s">
        <v>461</v>
      </c>
      <c r="C264" s="576" t="s">
        <v>303</v>
      </c>
      <c r="D264" s="576"/>
      <c r="E264" s="132">
        <v>45236</v>
      </c>
      <c r="F264" s="551">
        <v>30</v>
      </c>
      <c r="G264" s="309" t="s">
        <v>363</v>
      </c>
      <c r="H264" s="309"/>
      <c r="I264" s="366"/>
    </row>
    <row r="265" spans="2:9" ht="24.95" customHeight="1" x14ac:dyDescent="0.25">
      <c r="B265" s="551" t="s">
        <v>601</v>
      </c>
      <c r="C265" s="576" t="s">
        <v>303</v>
      </c>
      <c r="D265" s="576"/>
      <c r="E265" s="132">
        <v>45236</v>
      </c>
      <c r="F265" s="551">
        <v>12</v>
      </c>
      <c r="G265" s="309" t="s">
        <v>363</v>
      </c>
      <c r="H265" s="309"/>
      <c r="I265" s="366"/>
    </row>
    <row r="266" spans="2:9" ht="24.95" customHeight="1" x14ac:dyDescent="0.25">
      <c r="B266" s="474" t="s">
        <v>601</v>
      </c>
      <c r="C266" s="576" t="s">
        <v>362</v>
      </c>
      <c r="D266" s="576"/>
      <c r="E266" s="132">
        <v>45236</v>
      </c>
      <c r="F266" s="474"/>
      <c r="G266" s="309"/>
      <c r="H266" s="309"/>
      <c r="I266" s="366"/>
    </row>
    <row r="267" spans="2:9" ht="24.95" customHeight="1" x14ac:dyDescent="0.25">
      <c r="B267" s="474" t="s">
        <v>461</v>
      </c>
      <c r="C267" s="576" t="s">
        <v>303</v>
      </c>
      <c r="D267" s="576"/>
      <c r="E267" s="132">
        <v>45236</v>
      </c>
      <c r="F267" s="474">
        <v>65</v>
      </c>
      <c r="G267" s="309" t="s">
        <v>102</v>
      </c>
      <c r="H267" s="309"/>
      <c r="I267" s="366"/>
    </row>
    <row r="268" spans="2:9" ht="24.95" customHeight="1" x14ac:dyDescent="0.25">
      <c r="B268" s="474" t="s">
        <v>277</v>
      </c>
      <c r="C268" s="576" t="s">
        <v>595</v>
      </c>
      <c r="D268" s="589">
        <v>6074</v>
      </c>
      <c r="E268" s="132">
        <v>45236</v>
      </c>
      <c r="F268" s="474">
        <v>346.16</v>
      </c>
      <c r="G268" s="309"/>
      <c r="H268" s="309"/>
    </row>
    <row r="269" spans="2:9" ht="24.95" customHeight="1" x14ac:dyDescent="0.25">
      <c r="B269" s="474" t="s">
        <v>277</v>
      </c>
      <c r="C269" s="576" t="s">
        <v>303</v>
      </c>
      <c r="D269" s="589"/>
      <c r="E269" s="132">
        <v>45236</v>
      </c>
      <c r="F269" s="474">
        <v>60</v>
      </c>
      <c r="G269" s="309" t="s">
        <v>363</v>
      </c>
      <c r="H269" s="309"/>
      <c r="I269" s="366"/>
    </row>
    <row r="270" spans="2:9" ht="24.95" customHeight="1" x14ac:dyDescent="0.25">
      <c r="B270" s="474" t="s">
        <v>729</v>
      </c>
      <c r="C270" s="576" t="s">
        <v>303</v>
      </c>
      <c r="D270" s="576"/>
      <c r="E270" s="132">
        <v>45236</v>
      </c>
      <c r="F270" s="474">
        <v>165</v>
      </c>
      <c r="G270" s="309" t="s">
        <v>363</v>
      </c>
      <c r="H270" s="309"/>
      <c r="I270" s="366"/>
    </row>
    <row r="271" spans="2:9" ht="24.95" customHeight="1" x14ac:dyDescent="0.25">
      <c r="B271" s="474" t="s">
        <v>729</v>
      </c>
      <c r="C271" s="576" t="s">
        <v>362</v>
      </c>
      <c r="D271" s="576"/>
      <c r="E271" s="132">
        <v>45236</v>
      </c>
      <c r="F271" s="474"/>
      <c r="G271" s="309"/>
      <c r="H271" s="309"/>
      <c r="I271" s="366"/>
    </row>
    <row r="272" spans="2:9" ht="24.95" customHeight="1" x14ac:dyDescent="0.25">
      <c r="B272" s="554" t="s">
        <v>736</v>
      </c>
      <c r="C272" s="576" t="s">
        <v>361</v>
      </c>
      <c r="D272" s="576"/>
      <c r="E272" s="132">
        <v>45238</v>
      </c>
      <c r="F272" s="554">
        <v>32</v>
      </c>
      <c r="G272" s="309"/>
      <c r="H272" s="309"/>
    </row>
    <row r="273" spans="2:8" ht="24.95" customHeight="1" x14ac:dyDescent="0.25">
      <c r="B273" s="554" t="s">
        <v>732</v>
      </c>
      <c r="C273" s="576" t="s">
        <v>361</v>
      </c>
      <c r="D273" s="576"/>
      <c r="E273" s="132">
        <v>45238</v>
      </c>
      <c r="F273" s="554">
        <v>32</v>
      </c>
      <c r="G273" s="309"/>
      <c r="H273" s="309"/>
    </row>
    <row r="274" spans="2:8" ht="24.95" customHeight="1" x14ac:dyDescent="0.25">
      <c r="B274" s="474" t="s">
        <v>579</v>
      </c>
      <c r="C274" s="576" t="s">
        <v>303</v>
      </c>
      <c r="D274" s="576"/>
      <c r="E274" s="132">
        <v>45239</v>
      </c>
      <c r="F274" s="474">
        <v>170</v>
      </c>
      <c r="G274" s="309" t="s">
        <v>363</v>
      </c>
      <c r="H274" s="309"/>
    </row>
    <row r="275" spans="2:8" ht="24.95" customHeight="1" x14ac:dyDescent="0.25">
      <c r="B275" s="474" t="s">
        <v>737</v>
      </c>
      <c r="C275" s="576" t="s">
        <v>361</v>
      </c>
      <c r="D275" s="576"/>
      <c r="E275" s="132">
        <v>45240</v>
      </c>
      <c r="F275" s="474">
        <v>42</v>
      </c>
      <c r="G275" s="309"/>
      <c r="H275" s="309"/>
    </row>
    <row r="276" spans="2:8" ht="24.95" customHeight="1" x14ac:dyDescent="0.25">
      <c r="B276" s="474" t="s">
        <v>738</v>
      </c>
      <c r="C276" s="576" t="s">
        <v>361</v>
      </c>
      <c r="D276" s="576"/>
      <c r="E276" s="132">
        <v>45240</v>
      </c>
      <c r="F276" s="474">
        <v>200</v>
      </c>
      <c r="G276" s="309"/>
      <c r="H276" s="309"/>
    </row>
    <row r="277" spans="2:8" ht="24.95" customHeight="1" x14ac:dyDescent="0.25">
      <c r="B277" s="474" t="s">
        <v>732</v>
      </c>
      <c r="C277" s="576" t="s">
        <v>303</v>
      </c>
      <c r="D277" s="576"/>
      <c r="E277" s="132">
        <v>45240</v>
      </c>
      <c r="F277" s="474">
        <v>32</v>
      </c>
      <c r="G277" s="309" t="s">
        <v>363</v>
      </c>
      <c r="H277" s="309"/>
    </row>
    <row r="278" spans="2:8" ht="24.95" customHeight="1" x14ac:dyDescent="0.25">
      <c r="B278" s="474" t="s">
        <v>732</v>
      </c>
      <c r="C278" s="576" t="s">
        <v>362</v>
      </c>
      <c r="D278" s="576"/>
      <c r="E278" s="132">
        <v>45240</v>
      </c>
      <c r="F278" s="474"/>
      <c r="G278" s="309"/>
      <c r="H278" s="309"/>
    </row>
    <row r="279" spans="2:8" ht="24.95" customHeight="1" x14ac:dyDescent="0.25">
      <c r="B279" s="565" t="s">
        <v>575</v>
      </c>
      <c r="C279" s="576" t="s">
        <v>303</v>
      </c>
      <c r="D279" s="576"/>
      <c r="E279" s="132">
        <v>45244</v>
      </c>
      <c r="F279" s="565">
        <v>100</v>
      </c>
      <c r="G279" s="309" t="s">
        <v>516</v>
      </c>
      <c r="H279" s="309"/>
    </row>
    <row r="280" spans="2:8" ht="24.95" customHeight="1" x14ac:dyDescent="0.25">
      <c r="B280" s="474" t="s">
        <v>575</v>
      </c>
      <c r="C280" s="576" t="s">
        <v>362</v>
      </c>
      <c r="D280" s="576"/>
      <c r="E280" s="132">
        <v>45244</v>
      </c>
      <c r="F280" s="474"/>
      <c r="G280" s="309"/>
      <c r="H280" s="309"/>
    </row>
    <row r="281" spans="2:8" ht="24.95" customHeight="1" x14ac:dyDescent="0.25">
      <c r="B281" s="474" t="s">
        <v>739</v>
      </c>
      <c r="C281" s="576" t="s">
        <v>361</v>
      </c>
      <c r="D281" s="576"/>
      <c r="E281" s="132">
        <v>45245</v>
      </c>
      <c r="F281" s="474">
        <v>27</v>
      </c>
      <c r="G281" s="309"/>
      <c r="H281" s="309"/>
    </row>
    <row r="282" spans="2:8" ht="24.95" customHeight="1" x14ac:dyDescent="0.25">
      <c r="B282" s="474" t="s">
        <v>743</v>
      </c>
      <c r="C282" s="576" t="s">
        <v>361</v>
      </c>
      <c r="D282" s="576">
        <v>6396</v>
      </c>
      <c r="E282" s="132">
        <v>45246</v>
      </c>
      <c r="F282" s="474">
        <v>96</v>
      </c>
      <c r="G282" s="309"/>
      <c r="H282" s="309"/>
    </row>
    <row r="283" spans="2:8" ht="24.95" customHeight="1" x14ac:dyDescent="0.25">
      <c r="B283" s="474" t="s">
        <v>640</v>
      </c>
      <c r="C283" s="576" t="s">
        <v>303</v>
      </c>
      <c r="D283" s="576"/>
      <c r="E283" s="132">
        <v>45247</v>
      </c>
      <c r="F283" s="474">
        <v>10</v>
      </c>
      <c r="G283" s="309" t="s">
        <v>363</v>
      </c>
      <c r="H283" s="309"/>
    </row>
    <row r="284" spans="2:8" ht="24.95" customHeight="1" x14ac:dyDescent="0.25">
      <c r="B284" s="474" t="s">
        <v>640</v>
      </c>
      <c r="C284" s="576" t="s">
        <v>595</v>
      </c>
      <c r="D284" s="576">
        <v>6419</v>
      </c>
      <c r="E284" s="132">
        <v>45247</v>
      </c>
      <c r="F284" s="474">
        <v>14</v>
      </c>
      <c r="G284" s="309"/>
      <c r="H284" s="309"/>
    </row>
    <row r="285" spans="2:8" ht="24.95" customHeight="1" x14ac:dyDescent="0.25">
      <c r="B285" s="474" t="s">
        <v>475</v>
      </c>
      <c r="C285" s="576" t="s">
        <v>361</v>
      </c>
      <c r="D285" s="576">
        <v>6497</v>
      </c>
      <c r="E285" s="132">
        <v>45251</v>
      </c>
      <c r="F285" s="474">
        <v>8</v>
      </c>
      <c r="G285" s="309"/>
      <c r="H285" s="309"/>
    </row>
    <row r="286" spans="2:8" ht="24.95" customHeight="1" x14ac:dyDescent="0.25">
      <c r="B286" s="474" t="s">
        <v>736</v>
      </c>
      <c r="C286" s="576" t="s">
        <v>595</v>
      </c>
      <c r="D286" s="576"/>
      <c r="E286" s="132">
        <v>45251</v>
      </c>
      <c r="F286" s="474">
        <v>35</v>
      </c>
      <c r="G286" s="309"/>
      <c r="H286" s="309"/>
    </row>
    <row r="287" spans="2:8" ht="24.95" customHeight="1" x14ac:dyDescent="0.25">
      <c r="B287" s="474" t="s">
        <v>277</v>
      </c>
      <c r="C287" s="576" t="s">
        <v>303</v>
      </c>
      <c r="D287" s="589"/>
      <c r="E287" s="132">
        <v>45251</v>
      </c>
      <c r="F287" s="474">
        <v>60</v>
      </c>
      <c r="G287" s="309" t="s">
        <v>593</v>
      </c>
      <c r="H287" s="309"/>
    </row>
    <row r="288" spans="2:8" ht="24.95" customHeight="1" x14ac:dyDescent="0.25">
      <c r="B288" s="474" t="s">
        <v>277</v>
      </c>
      <c r="C288" s="576" t="s">
        <v>303</v>
      </c>
      <c r="D288" s="589"/>
      <c r="E288" s="132">
        <v>45251</v>
      </c>
      <c r="F288" s="474">
        <v>27</v>
      </c>
      <c r="G288" s="309" t="s">
        <v>516</v>
      </c>
      <c r="H288" s="309"/>
    </row>
    <row r="289" spans="2:8" ht="24.95" customHeight="1" x14ac:dyDescent="0.25">
      <c r="B289" s="474" t="s">
        <v>277</v>
      </c>
      <c r="C289" s="576" t="s">
        <v>595</v>
      </c>
      <c r="D289" s="589"/>
      <c r="E289" s="132">
        <v>45251</v>
      </c>
      <c r="F289" s="474">
        <v>84</v>
      </c>
      <c r="G289" s="309"/>
      <c r="H289" s="309" t="s">
        <v>748</v>
      </c>
    </row>
    <row r="290" spans="2:8" ht="24.95" customHeight="1" x14ac:dyDescent="0.25">
      <c r="B290" s="474" t="s">
        <v>277</v>
      </c>
      <c r="C290" s="576" t="s">
        <v>303</v>
      </c>
      <c r="D290" s="589"/>
      <c r="E290" s="132">
        <v>45254</v>
      </c>
      <c r="F290" s="474">
        <v>24.5</v>
      </c>
      <c r="G290" s="309" t="s">
        <v>628</v>
      </c>
      <c r="H290" s="309"/>
    </row>
    <row r="291" spans="2:8" ht="24.95" customHeight="1" x14ac:dyDescent="0.25">
      <c r="B291" s="474" t="s">
        <v>579</v>
      </c>
      <c r="C291" s="576" t="s">
        <v>595</v>
      </c>
      <c r="D291" s="576">
        <v>6703</v>
      </c>
      <c r="E291" s="132">
        <v>45257</v>
      </c>
      <c r="F291" s="474">
        <v>14</v>
      </c>
      <c r="G291" s="309"/>
      <c r="H291" s="309"/>
    </row>
    <row r="292" spans="2:8" ht="24.95" customHeight="1" x14ac:dyDescent="0.25">
      <c r="B292" s="474" t="s">
        <v>277</v>
      </c>
      <c r="C292" s="576" t="s">
        <v>303</v>
      </c>
      <c r="D292" s="589"/>
      <c r="E292" s="132">
        <v>45258</v>
      </c>
      <c r="F292" s="474">
        <v>8</v>
      </c>
      <c r="G292" s="309" t="s">
        <v>363</v>
      </c>
      <c r="H292" s="309"/>
    </row>
    <row r="293" spans="2:8" ht="24.95" customHeight="1" x14ac:dyDescent="0.25">
      <c r="B293" s="474" t="s">
        <v>750</v>
      </c>
      <c r="C293" s="576" t="s">
        <v>361</v>
      </c>
      <c r="D293" s="576">
        <v>6799</v>
      </c>
      <c r="E293" s="132">
        <v>45259</v>
      </c>
      <c r="F293" s="474">
        <v>360</v>
      </c>
      <c r="G293" s="309"/>
      <c r="H293" s="309"/>
    </row>
    <row r="294" spans="2:8" ht="24.95" customHeight="1" x14ac:dyDescent="0.25">
      <c r="B294" s="474" t="s">
        <v>507</v>
      </c>
      <c r="C294" s="576" t="s">
        <v>361</v>
      </c>
      <c r="D294" s="576">
        <v>6818</v>
      </c>
      <c r="E294" s="132">
        <v>45259</v>
      </c>
      <c r="F294" s="474">
        <v>13</v>
      </c>
      <c r="G294" s="309"/>
      <c r="H294" s="309"/>
    </row>
    <row r="295" spans="2:8" ht="24.95" customHeight="1" x14ac:dyDescent="0.25">
      <c r="B295" s="474" t="s">
        <v>751</v>
      </c>
      <c r="C295" s="576" t="s">
        <v>361</v>
      </c>
      <c r="D295" s="576"/>
      <c r="E295" s="132">
        <v>45259</v>
      </c>
      <c r="F295" s="474">
        <v>13</v>
      </c>
      <c r="G295" s="309"/>
      <c r="H295" s="309"/>
    </row>
    <row r="296" spans="2:8" ht="24.95" customHeight="1" x14ac:dyDescent="0.25">
      <c r="B296" s="474" t="s">
        <v>752</v>
      </c>
      <c r="C296" s="576" t="s">
        <v>361</v>
      </c>
      <c r="D296" s="576">
        <v>6785</v>
      </c>
      <c r="E296" s="132">
        <v>45259</v>
      </c>
      <c r="F296" s="474">
        <v>419</v>
      </c>
      <c r="G296" s="309"/>
      <c r="H296" s="309"/>
    </row>
    <row r="297" spans="2:8" ht="24.95" customHeight="1" x14ac:dyDescent="0.25">
      <c r="B297" s="474" t="s">
        <v>752</v>
      </c>
      <c r="C297" s="576" t="s">
        <v>303</v>
      </c>
      <c r="D297" s="576"/>
      <c r="E297" s="132">
        <v>45259</v>
      </c>
      <c r="F297" s="474">
        <v>150</v>
      </c>
      <c r="G297" s="309" t="s">
        <v>102</v>
      </c>
      <c r="H297" s="309"/>
    </row>
    <row r="298" spans="2:8" ht="24.95" customHeight="1" x14ac:dyDescent="0.25">
      <c r="B298" s="474" t="s">
        <v>507</v>
      </c>
      <c r="C298" s="576" t="s">
        <v>303</v>
      </c>
      <c r="D298" s="576"/>
      <c r="E298" s="132">
        <v>45260</v>
      </c>
      <c r="F298" s="474">
        <v>6</v>
      </c>
      <c r="G298" s="309" t="s">
        <v>516</v>
      </c>
      <c r="H298" s="309"/>
    </row>
    <row r="299" spans="2:8" ht="24.95" customHeight="1" x14ac:dyDescent="0.25">
      <c r="B299" s="474" t="s">
        <v>752</v>
      </c>
      <c r="C299" s="576" t="s">
        <v>303</v>
      </c>
      <c r="D299" s="576"/>
      <c r="E299" s="132">
        <v>45260</v>
      </c>
      <c r="F299" s="474">
        <v>2.81</v>
      </c>
      <c r="G299" s="309" t="s">
        <v>105</v>
      </c>
      <c r="H299" s="309"/>
    </row>
    <row r="300" spans="2:8" ht="24.95" customHeight="1" x14ac:dyDescent="0.25">
      <c r="B300" s="474" t="s">
        <v>752</v>
      </c>
      <c r="C300" s="576" t="s">
        <v>303</v>
      </c>
      <c r="D300" s="576"/>
      <c r="E300" s="132">
        <v>45260</v>
      </c>
      <c r="F300" s="474">
        <v>2.19</v>
      </c>
      <c r="G300" s="309" t="s">
        <v>516</v>
      </c>
      <c r="H300" s="309"/>
    </row>
    <row r="301" spans="2:8" ht="24.95" customHeight="1" x14ac:dyDescent="0.25">
      <c r="B301" s="474" t="s">
        <v>751</v>
      </c>
      <c r="C301" s="576" t="s">
        <v>303</v>
      </c>
      <c r="D301" s="576"/>
      <c r="E301" s="132">
        <v>45262</v>
      </c>
      <c r="F301" s="474">
        <v>13</v>
      </c>
      <c r="G301" s="309" t="s">
        <v>363</v>
      </c>
      <c r="H301" s="309"/>
    </row>
    <row r="302" spans="2:8" ht="24.95" customHeight="1" x14ac:dyDescent="0.25">
      <c r="B302" s="474" t="s">
        <v>751</v>
      </c>
      <c r="C302" s="576" t="s">
        <v>362</v>
      </c>
      <c r="D302" s="576"/>
      <c r="E302" s="132">
        <v>45262</v>
      </c>
      <c r="F302" s="474"/>
      <c r="G302" s="309"/>
      <c r="H302" s="309"/>
    </row>
    <row r="303" spans="2:8" ht="24.95" customHeight="1" x14ac:dyDescent="0.25">
      <c r="B303" s="474" t="s">
        <v>739</v>
      </c>
      <c r="C303" s="576" t="s">
        <v>303</v>
      </c>
      <c r="D303" s="576"/>
      <c r="E303" s="132">
        <v>45262</v>
      </c>
      <c r="F303" s="474">
        <v>27</v>
      </c>
      <c r="G303" s="309" t="s">
        <v>757</v>
      </c>
      <c r="H303" s="309"/>
    </row>
    <row r="304" spans="2:8" ht="24.95" customHeight="1" x14ac:dyDescent="0.25">
      <c r="B304" s="474" t="s">
        <v>739</v>
      </c>
      <c r="C304" s="576" t="s">
        <v>362</v>
      </c>
      <c r="D304" s="576"/>
      <c r="E304" s="132">
        <v>45262</v>
      </c>
      <c r="F304" s="474"/>
      <c r="G304" s="309"/>
      <c r="H304" s="309"/>
    </row>
    <row r="305" spans="2:8" ht="24.95" customHeight="1" x14ac:dyDescent="0.25">
      <c r="B305" s="474" t="s">
        <v>627</v>
      </c>
      <c r="C305" s="576" t="s">
        <v>303</v>
      </c>
      <c r="D305" s="576"/>
      <c r="E305" s="132">
        <v>45262</v>
      </c>
      <c r="F305" s="474">
        <v>155</v>
      </c>
      <c r="G305" s="309" t="s">
        <v>695</v>
      </c>
      <c r="H305" s="309"/>
    </row>
    <row r="306" spans="2:8" ht="24.95" customHeight="1" x14ac:dyDescent="0.25">
      <c r="B306" s="474" t="s">
        <v>627</v>
      </c>
      <c r="C306" s="576" t="s">
        <v>362</v>
      </c>
      <c r="D306" s="576"/>
      <c r="E306" s="132">
        <v>45262</v>
      </c>
      <c r="F306" s="474"/>
      <c r="G306" s="309"/>
      <c r="H306" s="309"/>
    </row>
    <row r="307" spans="2:8" ht="24.95" customHeight="1" x14ac:dyDescent="0.25">
      <c r="B307" s="474" t="s">
        <v>736</v>
      </c>
      <c r="C307" s="576" t="s">
        <v>303</v>
      </c>
      <c r="D307" s="576"/>
      <c r="E307" s="132">
        <v>45262</v>
      </c>
      <c r="F307" s="474">
        <v>67</v>
      </c>
      <c r="G307" s="309" t="s">
        <v>628</v>
      </c>
      <c r="H307" s="309"/>
    </row>
    <row r="308" spans="2:8" ht="24.95" customHeight="1" x14ac:dyDescent="0.25">
      <c r="B308" s="474" t="s">
        <v>736</v>
      </c>
      <c r="C308" s="576" t="s">
        <v>362</v>
      </c>
      <c r="D308" s="576"/>
      <c r="E308" s="132">
        <v>45262</v>
      </c>
      <c r="F308" s="474"/>
      <c r="G308" s="309"/>
      <c r="H308" s="309"/>
    </row>
    <row r="309" spans="2:8" ht="24.95" customHeight="1" x14ac:dyDescent="0.25">
      <c r="B309" s="474" t="s">
        <v>712</v>
      </c>
      <c r="C309" s="576" t="s">
        <v>303</v>
      </c>
      <c r="D309" s="576"/>
      <c r="E309" s="132">
        <v>45264</v>
      </c>
      <c r="F309" s="474">
        <v>84</v>
      </c>
      <c r="G309" s="309" t="s">
        <v>363</v>
      </c>
      <c r="H309" s="309"/>
    </row>
    <row r="310" spans="2:8" ht="24.95" customHeight="1" x14ac:dyDescent="0.25">
      <c r="B310" s="474" t="s">
        <v>277</v>
      </c>
      <c r="C310" s="576" t="s">
        <v>303</v>
      </c>
      <c r="D310" s="589"/>
      <c r="E310" s="132">
        <v>45264</v>
      </c>
      <c r="F310" s="474">
        <v>8</v>
      </c>
      <c r="G310" s="309" t="s">
        <v>363</v>
      </c>
      <c r="H310" s="309"/>
    </row>
    <row r="311" spans="2:8" ht="24.95" customHeight="1" x14ac:dyDescent="0.25">
      <c r="B311" s="474" t="s">
        <v>277</v>
      </c>
      <c r="C311" s="576" t="s">
        <v>303</v>
      </c>
      <c r="D311" s="589"/>
      <c r="E311" s="132">
        <v>45264</v>
      </c>
      <c r="F311" s="474">
        <v>30</v>
      </c>
      <c r="G311" s="309" t="s">
        <v>593</v>
      </c>
      <c r="H311" s="309"/>
    </row>
    <row r="312" spans="2:8" ht="24.95" customHeight="1" x14ac:dyDescent="0.25">
      <c r="B312" s="474" t="s">
        <v>501</v>
      </c>
      <c r="C312" s="576" t="s">
        <v>303</v>
      </c>
      <c r="D312" s="576"/>
      <c r="E312" s="132">
        <v>45264</v>
      </c>
      <c r="F312" s="474">
        <v>184</v>
      </c>
      <c r="G312" s="309" t="s">
        <v>593</v>
      </c>
      <c r="H312" s="309"/>
    </row>
    <row r="313" spans="2:8" ht="24.95" customHeight="1" x14ac:dyDescent="0.25">
      <c r="B313" s="474" t="s">
        <v>501</v>
      </c>
      <c r="C313" s="576" t="s">
        <v>362</v>
      </c>
      <c r="D313" s="576"/>
      <c r="E313" s="132">
        <v>45264</v>
      </c>
      <c r="F313" s="474"/>
      <c r="G313" s="309"/>
      <c r="H313" s="309"/>
    </row>
    <row r="314" spans="2:8" ht="24.95" customHeight="1" x14ac:dyDescent="0.25">
      <c r="B314" s="474" t="s">
        <v>639</v>
      </c>
      <c r="C314" s="576" t="s">
        <v>303</v>
      </c>
      <c r="D314" s="576"/>
      <c r="E314" s="132">
        <v>45264</v>
      </c>
      <c r="F314" s="474">
        <v>24</v>
      </c>
      <c r="G314" s="309" t="s">
        <v>363</v>
      </c>
      <c r="H314" s="309"/>
    </row>
    <row r="315" spans="2:8" ht="24.95" customHeight="1" x14ac:dyDescent="0.25">
      <c r="B315" s="474" t="s">
        <v>751</v>
      </c>
      <c r="C315" s="576" t="s">
        <v>361</v>
      </c>
      <c r="D315" s="576">
        <v>6887</v>
      </c>
      <c r="E315" s="132">
        <v>45264</v>
      </c>
      <c r="F315" s="474">
        <v>31</v>
      </c>
      <c r="G315" s="309"/>
      <c r="H315" s="309"/>
    </row>
    <row r="316" spans="2:8" ht="24.95" customHeight="1" x14ac:dyDescent="0.25">
      <c r="B316" s="474" t="s">
        <v>458</v>
      </c>
      <c r="C316" s="576" t="s">
        <v>361</v>
      </c>
      <c r="D316" s="576">
        <v>6886</v>
      </c>
      <c r="E316" s="132">
        <v>45264</v>
      </c>
      <c r="F316" s="474">
        <v>23</v>
      </c>
      <c r="G316" s="309"/>
      <c r="H316" s="309"/>
    </row>
    <row r="317" spans="2:8" ht="24.95" customHeight="1" x14ac:dyDescent="0.25">
      <c r="B317" s="474" t="s">
        <v>737</v>
      </c>
      <c r="C317" s="576" t="s">
        <v>303</v>
      </c>
      <c r="D317" s="576"/>
      <c r="E317" s="132">
        <v>45264</v>
      </c>
      <c r="F317" s="474">
        <v>42</v>
      </c>
      <c r="G317" s="309" t="s">
        <v>363</v>
      </c>
      <c r="H317" s="309"/>
    </row>
    <row r="318" spans="2:8" ht="24.95" customHeight="1" x14ac:dyDescent="0.25">
      <c r="B318" s="474" t="s">
        <v>737</v>
      </c>
      <c r="C318" s="576" t="s">
        <v>362</v>
      </c>
      <c r="D318" s="576"/>
      <c r="E318" s="132">
        <v>45264</v>
      </c>
      <c r="F318" s="474"/>
      <c r="G318" s="309"/>
      <c r="H318" s="309"/>
    </row>
    <row r="319" spans="2:8" ht="24.95" customHeight="1" x14ac:dyDescent="0.25">
      <c r="B319" s="474" t="s">
        <v>627</v>
      </c>
      <c r="C319" s="576" t="s">
        <v>361</v>
      </c>
      <c r="D319" s="576">
        <v>6934</v>
      </c>
      <c r="E319" s="132">
        <v>45264</v>
      </c>
      <c r="F319" s="474">
        <v>67</v>
      </c>
      <c r="G319" s="309"/>
      <c r="H319" s="309"/>
    </row>
    <row r="320" spans="2:8" ht="36.75" customHeight="1" x14ac:dyDescent="0.25">
      <c r="B320" s="474" t="s">
        <v>627</v>
      </c>
      <c r="C320" s="576" t="s">
        <v>595</v>
      </c>
      <c r="D320" s="576">
        <v>6959</v>
      </c>
      <c r="E320" s="132">
        <v>45265</v>
      </c>
      <c r="F320" s="474">
        <v>60</v>
      </c>
      <c r="G320" s="309"/>
      <c r="H320" s="309"/>
    </row>
    <row r="321" spans="2:8" ht="24.95" customHeight="1" x14ac:dyDescent="0.25">
      <c r="B321" s="474" t="s">
        <v>762</v>
      </c>
      <c r="C321" s="576" t="s">
        <v>361</v>
      </c>
      <c r="D321" s="576">
        <v>7003</v>
      </c>
      <c r="E321" s="132">
        <v>45266</v>
      </c>
      <c r="F321" s="474">
        <v>25</v>
      </c>
      <c r="G321" s="309"/>
      <c r="H321" s="309"/>
    </row>
    <row r="322" spans="2:8" ht="24.95" customHeight="1" x14ac:dyDescent="0.25">
      <c r="B322" s="474" t="s">
        <v>763</v>
      </c>
      <c r="C322" s="576" t="s">
        <v>361</v>
      </c>
      <c r="D322" s="576">
        <v>6995</v>
      </c>
      <c r="E322" s="132">
        <v>45266</v>
      </c>
      <c r="F322" s="474">
        <v>26</v>
      </c>
      <c r="G322" s="309"/>
      <c r="H322" s="309"/>
    </row>
    <row r="323" spans="2:8" ht="24.95" customHeight="1" x14ac:dyDescent="0.25">
      <c r="B323" s="474" t="s">
        <v>277</v>
      </c>
      <c r="C323" s="576" t="s">
        <v>303</v>
      </c>
      <c r="D323" s="589"/>
      <c r="E323" s="132">
        <v>45267</v>
      </c>
      <c r="F323" s="474">
        <v>7.68</v>
      </c>
      <c r="G323" s="309" t="s">
        <v>628</v>
      </c>
      <c r="H323" s="309"/>
    </row>
    <row r="324" spans="2:8" ht="24.95" customHeight="1" x14ac:dyDescent="0.25">
      <c r="B324" s="474" t="s">
        <v>277</v>
      </c>
      <c r="C324" s="576" t="s">
        <v>303</v>
      </c>
      <c r="D324" s="589"/>
      <c r="E324" s="132">
        <v>45267</v>
      </c>
      <c r="F324" s="576">
        <v>5</v>
      </c>
      <c r="G324" s="309" t="s">
        <v>363</v>
      </c>
      <c r="H324" s="309"/>
    </row>
    <row r="325" spans="2:8" ht="24.95" customHeight="1" x14ac:dyDescent="0.25">
      <c r="B325" s="576" t="s">
        <v>738</v>
      </c>
      <c r="C325" s="576" t="s">
        <v>303</v>
      </c>
      <c r="D325" s="576"/>
      <c r="E325" s="132">
        <v>45268</v>
      </c>
      <c r="F325" s="576">
        <v>200</v>
      </c>
      <c r="G325" s="309" t="s">
        <v>102</v>
      </c>
      <c r="H325" s="309"/>
    </row>
    <row r="326" spans="2:8" ht="24.95" customHeight="1" x14ac:dyDescent="0.25">
      <c r="B326" s="576" t="s">
        <v>738</v>
      </c>
      <c r="C326" s="576" t="s">
        <v>362</v>
      </c>
      <c r="D326" s="576"/>
      <c r="E326" s="132">
        <v>45268</v>
      </c>
      <c r="F326" s="576"/>
      <c r="G326" s="309"/>
      <c r="H326" s="309"/>
    </row>
    <row r="327" spans="2:8" ht="24.95" customHeight="1" x14ac:dyDescent="0.25">
      <c r="B327" s="576" t="s">
        <v>579</v>
      </c>
      <c r="C327" s="576" t="s">
        <v>303</v>
      </c>
      <c r="D327" s="576"/>
      <c r="E327" s="132">
        <v>45269</v>
      </c>
      <c r="F327" s="576">
        <v>20</v>
      </c>
      <c r="G327" s="309" t="s">
        <v>363</v>
      </c>
      <c r="H327" s="309"/>
    </row>
    <row r="328" spans="2:8" ht="24.95" customHeight="1" x14ac:dyDescent="0.25">
      <c r="B328" s="576" t="s">
        <v>579</v>
      </c>
      <c r="C328" s="576" t="s">
        <v>362</v>
      </c>
      <c r="D328" s="576"/>
      <c r="E328" s="132">
        <v>45269</v>
      </c>
      <c r="F328" s="576"/>
      <c r="G328" s="309"/>
      <c r="H328" s="309"/>
    </row>
    <row r="329" spans="2:8" ht="24.95" customHeight="1" x14ac:dyDescent="0.25">
      <c r="B329" s="576" t="s">
        <v>277</v>
      </c>
      <c r="C329" s="576" t="s">
        <v>303</v>
      </c>
      <c r="D329" s="589"/>
      <c r="E329" s="132">
        <v>45269</v>
      </c>
      <c r="F329" s="576">
        <v>7</v>
      </c>
      <c r="G329" s="309" t="s">
        <v>363</v>
      </c>
      <c r="H329" s="309"/>
    </row>
    <row r="330" spans="2:8" ht="24.95" customHeight="1" x14ac:dyDescent="0.25">
      <c r="B330" s="576" t="s">
        <v>277</v>
      </c>
      <c r="C330" s="576" t="s">
        <v>595</v>
      </c>
      <c r="D330" s="589"/>
      <c r="E330" s="132">
        <v>45269</v>
      </c>
      <c r="F330" s="576">
        <v>69.66</v>
      </c>
      <c r="G330" s="309"/>
      <c r="H330" s="309"/>
    </row>
    <row r="331" spans="2:8" ht="24.95" customHeight="1" x14ac:dyDescent="0.25">
      <c r="B331" s="576" t="s">
        <v>277</v>
      </c>
      <c r="C331" s="576" t="s">
        <v>303</v>
      </c>
      <c r="D331" s="589"/>
      <c r="E331" s="132">
        <v>45271</v>
      </c>
      <c r="F331" s="576">
        <v>28</v>
      </c>
      <c r="G331" s="309" t="s">
        <v>363</v>
      </c>
      <c r="H331" s="309" t="s">
        <v>779</v>
      </c>
    </row>
    <row r="332" spans="2:8" ht="24.95" customHeight="1" x14ac:dyDescent="0.25">
      <c r="B332" s="576" t="s">
        <v>277</v>
      </c>
      <c r="C332" s="576" t="s">
        <v>303</v>
      </c>
      <c r="D332" s="589"/>
      <c r="E332" s="132">
        <v>45272</v>
      </c>
      <c r="F332" s="576">
        <v>7</v>
      </c>
      <c r="G332" s="309" t="s">
        <v>516</v>
      </c>
      <c r="H332" s="309"/>
    </row>
    <row r="333" spans="2:8" ht="24.95" customHeight="1" x14ac:dyDescent="0.25">
      <c r="B333" s="474" t="s">
        <v>277</v>
      </c>
      <c r="C333" s="576" t="s">
        <v>303</v>
      </c>
      <c r="D333" s="589"/>
      <c r="E333" s="132">
        <v>45274</v>
      </c>
      <c r="F333" s="474">
        <v>8.8000000000000007</v>
      </c>
      <c r="G333" s="309" t="s">
        <v>516</v>
      </c>
      <c r="H333" s="309"/>
    </row>
    <row r="334" spans="2:8" ht="24.95" customHeight="1" x14ac:dyDescent="0.25">
      <c r="B334" s="474" t="s">
        <v>507</v>
      </c>
      <c r="C334" s="576" t="s">
        <v>595</v>
      </c>
      <c r="D334" s="589">
        <v>7217</v>
      </c>
      <c r="E334" s="132">
        <v>45275</v>
      </c>
      <c r="F334" s="474">
        <v>8</v>
      </c>
      <c r="G334" s="309"/>
      <c r="H334" s="309"/>
    </row>
    <row r="335" spans="2:8" ht="24.95" customHeight="1" x14ac:dyDescent="0.25">
      <c r="B335" s="474" t="s">
        <v>785</v>
      </c>
      <c r="C335" s="576" t="s">
        <v>361</v>
      </c>
      <c r="D335" s="589">
        <v>7219</v>
      </c>
      <c r="E335" s="132">
        <v>45275</v>
      </c>
      <c r="F335" s="474">
        <v>100</v>
      </c>
      <c r="G335" s="309"/>
      <c r="H335" s="309"/>
    </row>
    <row r="336" spans="2:8" ht="24.95" customHeight="1" x14ac:dyDescent="0.25">
      <c r="B336" s="474" t="s">
        <v>785</v>
      </c>
      <c r="C336" s="576" t="s">
        <v>303</v>
      </c>
      <c r="D336" s="589"/>
      <c r="E336" s="132">
        <v>45275</v>
      </c>
      <c r="F336" s="474">
        <v>30</v>
      </c>
      <c r="G336" s="309" t="s">
        <v>363</v>
      </c>
      <c r="H336" s="309"/>
    </row>
    <row r="337" spans="2:8" ht="24.95" customHeight="1" x14ac:dyDescent="0.25">
      <c r="B337" s="474" t="s">
        <v>751</v>
      </c>
      <c r="C337" s="576" t="s">
        <v>303</v>
      </c>
      <c r="D337" s="589"/>
      <c r="E337" s="132">
        <v>45276</v>
      </c>
      <c r="F337" s="474">
        <v>34</v>
      </c>
      <c r="G337" s="309" t="s">
        <v>363</v>
      </c>
      <c r="H337" s="309"/>
    </row>
    <row r="338" spans="2:8" ht="24.95" customHeight="1" x14ac:dyDescent="0.25">
      <c r="B338" s="474" t="s">
        <v>277</v>
      </c>
      <c r="C338" s="576" t="s">
        <v>303</v>
      </c>
      <c r="D338" s="589"/>
      <c r="E338" s="132">
        <v>45276</v>
      </c>
      <c r="F338" s="474">
        <v>28</v>
      </c>
      <c r="G338" s="309" t="s">
        <v>516</v>
      </c>
      <c r="H338" s="309"/>
    </row>
    <row r="339" spans="2:8" ht="24.95" customHeight="1" x14ac:dyDescent="0.25">
      <c r="B339" s="474"/>
      <c r="C339" s="576"/>
      <c r="D339" s="589"/>
      <c r="E339" s="132"/>
      <c r="F339" s="474"/>
      <c r="G339" s="309"/>
      <c r="H339" s="309"/>
    </row>
    <row r="340" spans="2:8" ht="24.95" customHeight="1" x14ac:dyDescent="0.25">
      <c r="B340" s="474"/>
      <c r="C340" s="576"/>
      <c r="D340" s="589"/>
      <c r="E340" s="132"/>
      <c r="F340" s="474"/>
      <c r="G340" s="309"/>
      <c r="H340" s="309"/>
    </row>
    <row r="341" spans="2:8" ht="24.95" customHeight="1" x14ac:dyDescent="0.25">
      <c r="B341" s="474"/>
      <c r="C341" s="576"/>
      <c r="D341" s="589"/>
      <c r="E341" s="132"/>
      <c r="F341" s="474"/>
      <c r="G341" s="309"/>
      <c r="H341" s="309"/>
    </row>
    <row r="342" spans="2:8" ht="24.95" customHeight="1" x14ac:dyDescent="0.25">
      <c r="B342" s="474"/>
      <c r="C342" s="576"/>
      <c r="D342" s="589"/>
      <c r="E342" s="132"/>
      <c r="F342" s="474"/>
      <c r="G342" s="309"/>
      <c r="H342" s="309"/>
    </row>
    <row r="343" spans="2:8" ht="24.95" customHeight="1" x14ac:dyDescent="0.25">
      <c r="B343" s="474"/>
      <c r="C343" s="576"/>
      <c r="D343" s="589"/>
      <c r="E343" s="132"/>
      <c r="F343" s="474"/>
      <c r="G343" s="309"/>
      <c r="H343" s="309"/>
    </row>
    <row r="344" spans="2:8" ht="24.95" customHeight="1" x14ac:dyDescent="0.25">
      <c r="B344" s="474"/>
      <c r="C344" s="576"/>
      <c r="D344" s="589"/>
      <c r="E344" s="132"/>
      <c r="F344" s="474"/>
      <c r="G344" s="309"/>
      <c r="H344" s="309"/>
    </row>
    <row r="345" spans="2:8" ht="24.95" customHeight="1" x14ac:dyDescent="0.25">
      <c r="B345" s="474"/>
      <c r="C345" s="576"/>
      <c r="D345" s="589"/>
      <c r="E345" s="132"/>
      <c r="F345" s="474"/>
      <c r="G345" s="309"/>
      <c r="H345" s="309"/>
    </row>
    <row r="346" spans="2:8" ht="24.95" customHeight="1" x14ac:dyDescent="0.25">
      <c r="B346" s="474"/>
      <c r="C346" s="576"/>
      <c r="D346" s="589"/>
      <c r="E346" s="132"/>
      <c r="F346" s="474"/>
      <c r="G346" s="309"/>
      <c r="H346" s="309"/>
    </row>
    <row r="347" spans="2:8" ht="24.95" customHeight="1" x14ac:dyDescent="0.25">
      <c r="B347" s="474"/>
      <c r="C347" s="576"/>
      <c r="D347" s="589"/>
      <c r="E347" s="132"/>
      <c r="F347" s="474"/>
      <c r="G347" s="309"/>
      <c r="H347" s="309"/>
    </row>
    <row r="348" spans="2:8" ht="24.95" customHeight="1" x14ac:dyDescent="0.25">
      <c r="B348" s="474"/>
      <c r="C348" s="576"/>
      <c r="D348" s="589"/>
      <c r="E348" s="132"/>
      <c r="F348" s="474"/>
      <c r="G348" s="309"/>
      <c r="H348" s="309"/>
    </row>
    <row r="349" spans="2:8" ht="24.95" customHeight="1" x14ac:dyDescent="0.25">
      <c r="B349" s="474"/>
      <c r="C349" s="576"/>
      <c r="D349" s="589"/>
      <c r="E349" s="132"/>
      <c r="F349" s="474"/>
      <c r="G349" s="309"/>
      <c r="H349" s="309"/>
    </row>
    <row r="350" spans="2:8" ht="24.95" customHeight="1" x14ac:dyDescent="0.25">
      <c r="B350" s="474"/>
      <c r="C350" s="576"/>
      <c r="D350" s="589"/>
      <c r="E350" s="132"/>
      <c r="F350" s="474"/>
      <c r="G350" s="309"/>
      <c r="H350" s="309"/>
    </row>
    <row r="351" spans="2:8" ht="24.95" customHeight="1" x14ac:dyDescent="0.25">
      <c r="B351" s="474"/>
      <c r="C351" s="576"/>
      <c r="D351" s="589"/>
      <c r="E351" s="132"/>
      <c r="F351" s="474"/>
      <c r="G351" s="309"/>
      <c r="H351" s="309"/>
    </row>
    <row r="352" spans="2:8" ht="24.95" customHeight="1" x14ac:dyDescent="0.25">
      <c r="B352" s="474"/>
      <c r="C352" s="576"/>
      <c r="D352" s="589"/>
      <c r="E352" s="132"/>
      <c r="F352" s="474"/>
      <c r="G352" s="309"/>
      <c r="H352" s="309"/>
    </row>
    <row r="353" spans="2:8" ht="24.95" customHeight="1" x14ac:dyDescent="0.25">
      <c r="B353" s="474"/>
      <c r="C353" s="576"/>
      <c r="D353" s="589"/>
      <c r="E353" s="132"/>
      <c r="F353" s="474"/>
      <c r="G353" s="309"/>
      <c r="H353" s="309"/>
    </row>
    <row r="354" spans="2:8" ht="24.95" customHeight="1" x14ac:dyDescent="0.25">
      <c r="B354" s="474"/>
      <c r="C354" s="576"/>
      <c r="D354" s="589"/>
      <c r="E354" s="132"/>
      <c r="F354" s="474"/>
      <c r="G354" s="309"/>
      <c r="H354" s="309"/>
    </row>
    <row r="355" spans="2:8" ht="24.95" customHeight="1" x14ac:dyDescent="0.25">
      <c r="B355" s="474"/>
      <c r="C355" s="576"/>
      <c r="D355" s="589"/>
      <c r="E355" s="132"/>
      <c r="F355" s="474"/>
      <c r="G355" s="309"/>
      <c r="H355" s="309"/>
    </row>
    <row r="356" spans="2:8" ht="24.95" customHeight="1" x14ac:dyDescent="0.25">
      <c r="B356" s="474"/>
      <c r="C356" s="576"/>
      <c r="D356" s="589"/>
      <c r="E356" s="132"/>
      <c r="F356" s="474"/>
      <c r="G356" s="309"/>
      <c r="H356" s="309"/>
    </row>
    <row r="357" spans="2:8" ht="24.95" customHeight="1" x14ac:dyDescent="0.25">
      <c r="B357" s="474"/>
      <c r="C357" s="576"/>
      <c r="D357" s="589"/>
      <c r="E357" s="132"/>
      <c r="F357" s="474"/>
      <c r="G357" s="309"/>
      <c r="H357" s="309"/>
    </row>
    <row r="358" spans="2:8" ht="24.95" customHeight="1" x14ac:dyDescent="0.25">
      <c r="B358" s="474"/>
      <c r="C358" s="576"/>
      <c r="D358" s="589"/>
      <c r="E358" s="132"/>
      <c r="F358" s="474"/>
      <c r="G358" s="309"/>
      <c r="H358" s="309"/>
    </row>
    <row r="359" spans="2:8" ht="24.95" customHeight="1" x14ac:dyDescent="0.25">
      <c r="B359" s="474"/>
      <c r="C359" s="576"/>
      <c r="D359" s="589"/>
      <c r="E359" s="132"/>
      <c r="F359" s="474"/>
      <c r="G359" s="309"/>
      <c r="H359" s="309"/>
    </row>
    <row r="360" spans="2:8" ht="24.95" customHeight="1" x14ac:dyDescent="0.25">
      <c r="B360" s="474"/>
      <c r="C360" s="576"/>
      <c r="D360" s="589"/>
      <c r="E360" s="132"/>
      <c r="F360" s="474"/>
      <c r="G360" s="309"/>
      <c r="H360" s="309"/>
    </row>
    <row r="361" spans="2:8" ht="24.95" customHeight="1" x14ac:dyDescent="0.25">
      <c r="B361" s="474"/>
      <c r="C361" s="576"/>
      <c r="D361" s="589"/>
      <c r="E361" s="132"/>
      <c r="F361" s="474"/>
      <c r="G361" s="309"/>
      <c r="H361" s="309"/>
    </row>
    <row r="362" spans="2:8" ht="24.95" customHeight="1" x14ac:dyDescent="0.25">
      <c r="B362" s="474"/>
      <c r="C362" s="576"/>
      <c r="D362" s="589"/>
      <c r="E362" s="132"/>
      <c r="F362" s="474"/>
      <c r="G362" s="309"/>
      <c r="H362" s="309"/>
    </row>
    <row r="363" spans="2:8" ht="24.95" customHeight="1" x14ac:dyDescent="0.25">
      <c r="B363" s="474"/>
      <c r="C363" s="576"/>
      <c r="D363" s="589"/>
      <c r="E363" s="132"/>
      <c r="F363" s="474"/>
      <c r="G363" s="309"/>
      <c r="H363" s="309"/>
    </row>
    <row r="364" spans="2:8" ht="24.95" customHeight="1" x14ac:dyDescent="0.25">
      <c r="B364" s="474"/>
      <c r="C364" s="576"/>
      <c r="D364" s="589"/>
      <c r="E364" s="132"/>
      <c r="F364" s="474"/>
      <c r="G364" s="309"/>
      <c r="H364" s="309"/>
    </row>
    <row r="365" spans="2:8" ht="24.95" customHeight="1" x14ac:dyDescent="0.25">
      <c r="B365" s="474"/>
      <c r="C365" s="576"/>
      <c r="D365" s="589"/>
      <c r="E365" s="132"/>
      <c r="F365" s="474"/>
      <c r="G365" s="309"/>
      <c r="H365" s="309"/>
    </row>
    <row r="366" spans="2:8" ht="24.95" customHeight="1" x14ac:dyDescent="0.25">
      <c r="B366" s="474"/>
      <c r="C366" s="576"/>
      <c r="D366" s="589"/>
      <c r="E366" s="132"/>
      <c r="F366" s="474"/>
      <c r="G366" s="309"/>
      <c r="H366" s="309"/>
    </row>
    <row r="367" spans="2:8" ht="24.95" customHeight="1" x14ac:dyDescent="0.25">
      <c r="B367" s="474"/>
      <c r="C367" s="576"/>
      <c r="D367" s="589"/>
      <c r="E367" s="132"/>
      <c r="F367" s="474"/>
      <c r="G367" s="309"/>
      <c r="H367" s="309"/>
    </row>
    <row r="368" spans="2:8" ht="24.95" customHeight="1" x14ac:dyDescent="0.25">
      <c r="B368" s="474"/>
      <c r="C368" s="576"/>
      <c r="D368" s="589"/>
      <c r="E368" s="132"/>
      <c r="F368" s="474"/>
      <c r="G368" s="309"/>
      <c r="H368" s="309"/>
    </row>
    <row r="369" spans="2:8" ht="24.95" customHeight="1" x14ac:dyDescent="0.25">
      <c r="B369" s="474"/>
      <c r="C369" s="576"/>
      <c r="D369" s="589"/>
      <c r="E369" s="132"/>
      <c r="F369" s="474"/>
      <c r="G369" s="309"/>
      <c r="H369" s="309"/>
    </row>
    <row r="370" spans="2:8" ht="24.95" customHeight="1" x14ac:dyDescent="0.25">
      <c r="B370" s="474"/>
      <c r="C370" s="576"/>
      <c r="D370" s="589"/>
      <c r="E370" s="132"/>
      <c r="F370" s="474"/>
      <c r="G370" s="309"/>
      <c r="H370" s="309"/>
    </row>
    <row r="371" spans="2:8" ht="24.95" customHeight="1" x14ac:dyDescent="0.25">
      <c r="B371" s="474"/>
      <c r="C371" s="576"/>
      <c r="D371" s="589"/>
      <c r="E371" s="132"/>
      <c r="F371" s="474"/>
      <c r="G371" s="309"/>
      <c r="H371" s="309"/>
    </row>
    <row r="372" spans="2:8" ht="24.95" customHeight="1" x14ac:dyDescent="0.25">
      <c r="B372" s="474"/>
      <c r="C372" s="576"/>
      <c r="D372" s="589"/>
      <c r="E372" s="132"/>
      <c r="F372" s="474"/>
      <c r="G372" s="309"/>
      <c r="H372" s="309"/>
    </row>
    <row r="373" spans="2:8" ht="24.95" customHeight="1" x14ac:dyDescent="0.25">
      <c r="B373" s="474"/>
      <c r="C373" s="576"/>
      <c r="D373" s="589"/>
      <c r="E373" s="132"/>
      <c r="F373" s="474"/>
      <c r="G373" s="309"/>
      <c r="H373" s="309"/>
    </row>
    <row r="374" spans="2:8" ht="24.95" customHeight="1" x14ac:dyDescent="0.25">
      <c r="B374" s="474"/>
      <c r="C374" s="576"/>
      <c r="D374" s="589"/>
      <c r="E374" s="132"/>
      <c r="F374" s="474"/>
      <c r="G374" s="309"/>
      <c r="H374" s="309"/>
    </row>
    <row r="375" spans="2:8" ht="24.95" customHeight="1" x14ac:dyDescent="0.25">
      <c r="B375" s="474"/>
      <c r="C375" s="576"/>
      <c r="D375" s="589"/>
      <c r="E375" s="132"/>
      <c r="F375" s="474"/>
      <c r="G375" s="309"/>
      <c r="H375" s="309"/>
    </row>
    <row r="376" spans="2:8" ht="24.95" customHeight="1" x14ac:dyDescent="0.25">
      <c r="B376" s="474"/>
      <c r="C376" s="576"/>
      <c r="D376" s="589"/>
      <c r="E376" s="132"/>
      <c r="F376" s="474"/>
      <c r="G376" s="309"/>
      <c r="H376" s="309"/>
    </row>
    <row r="377" spans="2:8" ht="24.95" customHeight="1" x14ac:dyDescent="0.25">
      <c r="B377" s="474"/>
      <c r="C377" s="576"/>
      <c r="D377" s="589"/>
      <c r="E377" s="132"/>
      <c r="F377" s="474"/>
      <c r="G377" s="309"/>
      <c r="H377" s="309"/>
    </row>
    <row r="378" spans="2:8" ht="24.95" customHeight="1" x14ac:dyDescent="0.25">
      <c r="B378" s="474"/>
      <c r="C378" s="576"/>
      <c r="D378" s="589"/>
      <c r="E378" s="132"/>
      <c r="F378" s="474"/>
      <c r="G378" s="309"/>
      <c r="H378" s="309"/>
    </row>
    <row r="379" spans="2:8" ht="24.95" customHeight="1" x14ac:dyDescent="0.25">
      <c r="B379" s="474"/>
      <c r="C379" s="576"/>
      <c r="D379" s="589"/>
      <c r="E379" s="132"/>
      <c r="F379" s="474"/>
      <c r="G379" s="309"/>
      <c r="H379" s="309"/>
    </row>
    <row r="380" spans="2:8" ht="24.95" customHeight="1" x14ac:dyDescent="0.25">
      <c r="B380" s="474"/>
      <c r="C380" s="576"/>
      <c r="D380" s="589"/>
      <c r="E380" s="132"/>
      <c r="F380" s="474"/>
      <c r="G380" s="309"/>
      <c r="H380" s="309"/>
    </row>
    <row r="381" spans="2:8" ht="24.95" customHeight="1" x14ac:dyDescent="0.25">
      <c r="B381" s="474"/>
      <c r="C381" s="576"/>
      <c r="D381" s="589"/>
      <c r="E381" s="132"/>
      <c r="F381" s="474"/>
      <c r="G381" s="309"/>
      <c r="H381" s="309"/>
    </row>
    <row r="382" spans="2:8" ht="24.95" customHeight="1" x14ac:dyDescent="0.25">
      <c r="B382" s="474"/>
      <c r="C382" s="576"/>
      <c r="D382" s="589"/>
      <c r="E382" s="132"/>
      <c r="F382" s="474"/>
      <c r="G382" s="309"/>
      <c r="H382" s="309"/>
    </row>
    <row r="383" spans="2:8" ht="24.95" customHeight="1" x14ac:dyDescent="0.25">
      <c r="B383" s="474"/>
      <c r="C383" s="576"/>
      <c r="D383" s="589"/>
      <c r="E383" s="132"/>
      <c r="F383" s="474"/>
      <c r="G383" s="309"/>
      <c r="H383" s="309"/>
    </row>
    <row r="384" spans="2:8" ht="24.95" customHeight="1" x14ac:dyDescent="0.25">
      <c r="B384" s="474"/>
      <c r="C384" s="576"/>
      <c r="D384" s="589"/>
      <c r="E384" s="132"/>
      <c r="F384" s="474"/>
      <c r="G384" s="309"/>
      <c r="H384" s="309"/>
    </row>
    <row r="385" spans="2:8" ht="24.95" customHeight="1" x14ac:dyDescent="0.25">
      <c r="B385" s="474"/>
      <c r="C385" s="576"/>
      <c r="D385" s="589"/>
      <c r="E385" s="132"/>
      <c r="F385" s="474"/>
      <c r="G385" s="309"/>
      <c r="H385" s="309"/>
    </row>
    <row r="386" spans="2:8" ht="24.95" customHeight="1" x14ac:dyDescent="0.25">
      <c r="B386" s="474"/>
      <c r="C386" s="576"/>
      <c r="D386" s="589"/>
      <c r="E386" s="132"/>
      <c r="F386" s="474"/>
      <c r="G386" s="309"/>
      <c r="H386" s="309"/>
    </row>
    <row r="387" spans="2:8" ht="24.95" customHeight="1" x14ac:dyDescent="0.25">
      <c r="B387" s="474"/>
      <c r="C387" s="576"/>
      <c r="D387" s="589"/>
      <c r="E387" s="132"/>
      <c r="F387" s="474"/>
      <c r="G387" s="309"/>
      <c r="H387" s="309"/>
    </row>
    <row r="388" spans="2:8" ht="24.95" customHeight="1" x14ac:dyDescent="0.25">
      <c r="B388" s="474"/>
      <c r="C388" s="576"/>
      <c r="D388" s="589"/>
      <c r="E388" s="132"/>
      <c r="F388" s="474"/>
      <c r="G388" s="309"/>
      <c r="H388" s="309"/>
    </row>
    <row r="389" spans="2:8" ht="24.95" customHeight="1" x14ac:dyDescent="0.25">
      <c r="B389" s="474"/>
      <c r="C389" s="576"/>
      <c r="D389" s="589"/>
      <c r="E389" s="132"/>
      <c r="F389" s="474"/>
      <c r="G389" s="309"/>
      <c r="H389" s="309"/>
    </row>
    <row r="390" spans="2:8" ht="24.95" customHeight="1" x14ac:dyDescent="0.25">
      <c r="B390" s="474"/>
      <c r="C390" s="576"/>
      <c r="D390" s="589"/>
      <c r="E390" s="132"/>
      <c r="F390" s="474"/>
      <c r="G390" s="309"/>
      <c r="H390" s="309"/>
    </row>
    <row r="391" spans="2:8" ht="24.95" customHeight="1" x14ac:dyDescent="0.25">
      <c r="B391" s="474"/>
      <c r="C391" s="576"/>
      <c r="D391" s="589"/>
      <c r="E391" s="132"/>
      <c r="F391" s="474"/>
      <c r="G391" s="309"/>
      <c r="H391" s="309"/>
    </row>
    <row r="392" spans="2:8" ht="24.95" customHeight="1" x14ac:dyDescent="0.25">
      <c r="B392" s="474"/>
      <c r="C392" s="576"/>
      <c r="D392" s="589"/>
      <c r="E392" s="132"/>
      <c r="F392" s="474"/>
      <c r="G392" s="309"/>
      <c r="H392" s="309"/>
    </row>
    <row r="393" spans="2:8" ht="24.95" customHeight="1" x14ac:dyDescent="0.25">
      <c r="B393" s="474"/>
      <c r="C393" s="576"/>
      <c r="D393" s="589"/>
      <c r="E393" s="132"/>
      <c r="F393" s="474"/>
      <c r="G393" s="309"/>
      <c r="H393" s="309"/>
    </row>
    <row r="394" spans="2:8" ht="24.95" customHeight="1" x14ac:dyDescent="0.25">
      <c r="B394" s="474"/>
      <c r="C394" s="576"/>
      <c r="D394" s="589"/>
      <c r="E394" s="132"/>
      <c r="F394" s="474"/>
      <c r="G394" s="309"/>
      <c r="H394" s="309"/>
    </row>
    <row r="395" spans="2:8" ht="24.95" customHeight="1" x14ac:dyDescent="0.25">
      <c r="B395" s="474"/>
      <c r="C395" s="576"/>
      <c r="D395" s="589"/>
      <c r="E395" s="132"/>
      <c r="F395" s="474"/>
      <c r="G395" s="309"/>
      <c r="H395" s="309"/>
    </row>
    <row r="396" spans="2:8" ht="24.95" customHeight="1" x14ac:dyDescent="0.25">
      <c r="B396" s="474"/>
      <c r="C396" s="576"/>
      <c r="D396" s="589"/>
      <c r="E396" s="132"/>
      <c r="F396" s="474"/>
      <c r="G396" s="309"/>
      <c r="H396" s="309"/>
    </row>
    <row r="397" spans="2:8" ht="24.95" customHeight="1" x14ac:dyDescent="0.25">
      <c r="B397" s="474"/>
      <c r="C397" s="576"/>
      <c r="D397" s="589"/>
      <c r="E397" s="132"/>
      <c r="F397" s="474"/>
      <c r="G397" s="309"/>
      <c r="H397" s="309"/>
    </row>
    <row r="398" spans="2:8" ht="24.95" customHeight="1" x14ac:dyDescent="0.25">
      <c r="B398" s="474"/>
      <c r="C398" s="576"/>
      <c r="D398" s="589"/>
      <c r="E398" s="132"/>
      <c r="F398" s="474"/>
      <c r="G398" s="309"/>
      <c r="H398" s="309"/>
    </row>
    <row r="399" spans="2:8" ht="24.95" customHeight="1" x14ac:dyDescent="0.25">
      <c r="B399" s="474"/>
      <c r="C399" s="576"/>
      <c r="D399" s="589"/>
      <c r="E399" s="132"/>
      <c r="F399" s="474"/>
      <c r="G399" s="309"/>
      <c r="H399" s="309"/>
    </row>
    <row r="400" spans="2:8" ht="24.95" customHeight="1" x14ac:dyDescent="0.25">
      <c r="B400" s="474"/>
      <c r="C400" s="576"/>
      <c r="D400" s="589"/>
      <c r="E400" s="132"/>
      <c r="F400" s="474"/>
      <c r="G400" s="309"/>
      <c r="H400" s="309"/>
    </row>
    <row r="401" spans="2:8" ht="24.95" customHeight="1" x14ac:dyDescent="0.25">
      <c r="B401" s="474"/>
      <c r="C401" s="576"/>
      <c r="D401" s="589"/>
      <c r="E401" s="132"/>
      <c r="F401" s="474"/>
      <c r="G401" s="309"/>
      <c r="H401" s="309"/>
    </row>
    <row r="402" spans="2:8" ht="24.95" customHeight="1" x14ac:dyDescent="0.25">
      <c r="B402" s="474"/>
      <c r="C402" s="576"/>
      <c r="D402" s="589"/>
      <c r="E402" s="132"/>
      <c r="F402" s="474"/>
      <c r="G402" s="309"/>
      <c r="H402" s="309"/>
    </row>
    <row r="403" spans="2:8" ht="24.95" customHeight="1" x14ac:dyDescent="0.25">
      <c r="B403" s="474"/>
      <c r="C403" s="576"/>
      <c r="D403" s="589"/>
      <c r="E403" s="132"/>
      <c r="F403" s="474"/>
      <c r="G403" s="309"/>
      <c r="H403" s="309"/>
    </row>
    <row r="404" spans="2:8" ht="24.95" customHeight="1" x14ac:dyDescent="0.25">
      <c r="B404" s="474"/>
      <c r="C404" s="576"/>
      <c r="D404" s="589"/>
      <c r="E404" s="132"/>
      <c r="F404" s="474"/>
      <c r="G404" s="309"/>
      <c r="H404" s="309"/>
    </row>
    <row r="405" spans="2:8" ht="24.95" customHeight="1" x14ac:dyDescent="0.25">
      <c r="B405" s="474"/>
      <c r="C405" s="576"/>
      <c r="D405" s="589"/>
      <c r="E405" s="132"/>
      <c r="F405" s="474"/>
      <c r="G405" s="309"/>
      <c r="H405" s="309"/>
    </row>
    <row r="406" spans="2:8" ht="24.95" customHeight="1" x14ac:dyDescent="0.25">
      <c r="B406" s="474"/>
      <c r="C406" s="576"/>
      <c r="D406" s="589"/>
      <c r="E406" s="132"/>
      <c r="F406" s="474"/>
      <c r="G406" s="309"/>
      <c r="H406" s="309"/>
    </row>
    <row r="407" spans="2:8" ht="24.95" customHeight="1" x14ac:dyDescent="0.25">
      <c r="B407" s="474"/>
      <c r="C407" s="576"/>
      <c r="D407" s="589"/>
      <c r="E407" s="132"/>
      <c r="F407" s="474"/>
      <c r="G407" s="309"/>
      <c r="H407" s="309"/>
    </row>
    <row r="408" spans="2:8" ht="24.95" customHeight="1" x14ac:dyDescent="0.25">
      <c r="B408" s="474"/>
      <c r="C408" s="576"/>
      <c r="D408" s="589"/>
      <c r="E408" s="132"/>
      <c r="F408" s="474"/>
      <c r="G408" s="309"/>
      <c r="H408" s="309"/>
    </row>
    <row r="409" spans="2:8" ht="24.95" customHeight="1" x14ac:dyDescent="0.25">
      <c r="B409" s="474"/>
      <c r="C409" s="576"/>
      <c r="D409" s="589"/>
      <c r="E409" s="132"/>
      <c r="F409" s="474"/>
      <c r="G409" s="309"/>
      <c r="H409" s="309"/>
    </row>
    <row r="410" spans="2:8" ht="24.95" customHeight="1" x14ac:dyDescent="0.25">
      <c r="B410" s="474"/>
      <c r="C410" s="576"/>
      <c r="D410" s="589"/>
      <c r="E410" s="132"/>
      <c r="F410" s="474"/>
      <c r="G410" s="309"/>
      <c r="H410" s="309"/>
    </row>
    <row r="411" spans="2:8" ht="24.95" customHeight="1" x14ac:dyDescent="0.25">
      <c r="B411" s="474"/>
      <c r="C411" s="576"/>
      <c r="D411" s="589"/>
      <c r="E411" s="132"/>
      <c r="F411" s="474"/>
      <c r="G411" s="309"/>
      <c r="H411" s="309"/>
    </row>
    <row r="412" spans="2:8" ht="24.95" customHeight="1" x14ac:dyDescent="0.25">
      <c r="B412" s="474"/>
      <c r="C412" s="576"/>
      <c r="D412" s="589"/>
      <c r="E412" s="132"/>
      <c r="F412" s="474"/>
      <c r="G412" s="309"/>
      <c r="H412" s="309"/>
    </row>
    <row r="413" spans="2:8" ht="24.95" customHeight="1" x14ac:dyDescent="0.25">
      <c r="B413" s="474"/>
      <c r="C413" s="576"/>
      <c r="D413" s="589"/>
      <c r="E413" s="132"/>
      <c r="F413" s="474"/>
      <c r="G413" s="309"/>
      <c r="H413" s="309"/>
    </row>
    <row r="414" spans="2:8" ht="24.95" customHeight="1" x14ac:dyDescent="0.25">
      <c r="B414" s="474"/>
      <c r="C414" s="576"/>
      <c r="D414" s="589"/>
      <c r="E414" s="132"/>
      <c r="F414" s="474"/>
      <c r="G414" s="309"/>
      <c r="H414" s="309"/>
    </row>
    <row r="415" spans="2:8" ht="24.95" customHeight="1" x14ac:dyDescent="0.25">
      <c r="B415" s="474"/>
      <c r="C415" s="576"/>
      <c r="D415" s="589"/>
      <c r="E415" s="132"/>
      <c r="F415" s="474"/>
      <c r="G415" s="309"/>
      <c r="H415" s="309"/>
    </row>
    <row r="416" spans="2:8" ht="24.95" customHeight="1" x14ac:dyDescent="0.25">
      <c r="B416" s="474"/>
      <c r="C416" s="576"/>
      <c r="D416" s="589"/>
      <c r="E416" s="132"/>
      <c r="F416" s="474"/>
      <c r="G416" s="309"/>
      <c r="H416" s="309"/>
    </row>
    <row r="417" spans="2:8" ht="24.95" customHeight="1" x14ac:dyDescent="0.25">
      <c r="B417" s="474"/>
      <c r="C417" s="576"/>
      <c r="D417" s="589"/>
      <c r="E417" s="132"/>
      <c r="F417" s="474"/>
      <c r="G417" s="309"/>
      <c r="H417" s="309"/>
    </row>
    <row r="418" spans="2:8" ht="24.95" customHeight="1" x14ac:dyDescent="0.25">
      <c r="B418" s="474"/>
      <c r="C418" s="576"/>
      <c r="D418" s="589"/>
      <c r="E418" s="132"/>
      <c r="F418" s="474"/>
      <c r="G418" s="309"/>
      <c r="H418" s="309"/>
    </row>
    <row r="419" spans="2:8" ht="24.95" customHeight="1" x14ac:dyDescent="0.25">
      <c r="B419" s="474"/>
      <c r="C419" s="576"/>
      <c r="D419" s="589"/>
      <c r="E419" s="132"/>
      <c r="F419" s="474"/>
      <c r="G419" s="309"/>
      <c r="H419" s="309"/>
    </row>
    <row r="420" spans="2:8" ht="24.95" customHeight="1" x14ac:dyDescent="0.25">
      <c r="B420" s="474"/>
      <c r="C420" s="576"/>
      <c r="D420" s="589"/>
      <c r="E420" s="132"/>
      <c r="F420" s="474"/>
      <c r="G420" s="309"/>
      <c r="H420" s="309"/>
    </row>
    <row r="421" spans="2:8" ht="24.95" customHeight="1" x14ac:dyDescent="0.25">
      <c r="B421" s="474"/>
      <c r="C421" s="576"/>
      <c r="D421" s="589"/>
      <c r="E421" s="132"/>
      <c r="F421" s="474"/>
      <c r="G421" s="309"/>
      <c r="H421" s="309"/>
    </row>
    <row r="422" spans="2:8" ht="24.95" customHeight="1" x14ac:dyDescent="0.25">
      <c r="B422" s="474"/>
      <c r="C422" s="576"/>
      <c r="D422" s="589"/>
      <c r="E422" s="132"/>
      <c r="F422" s="474"/>
      <c r="G422" s="309"/>
      <c r="H422" s="309"/>
    </row>
    <row r="423" spans="2:8" ht="24.95" customHeight="1" x14ac:dyDescent="0.25">
      <c r="B423" s="474"/>
      <c r="C423" s="576"/>
      <c r="D423" s="589"/>
      <c r="E423" s="132"/>
      <c r="F423" s="474"/>
      <c r="G423" s="309"/>
      <c r="H423" s="309"/>
    </row>
    <row r="424" spans="2:8" ht="24.95" customHeight="1" x14ac:dyDescent="0.25">
      <c r="B424" s="474"/>
      <c r="C424" s="576"/>
      <c r="D424" s="589"/>
      <c r="E424" s="132"/>
      <c r="F424" s="474"/>
      <c r="G424" s="309"/>
      <c r="H424" s="309"/>
    </row>
    <row r="425" spans="2:8" ht="24.95" customHeight="1" x14ac:dyDescent="0.25">
      <c r="B425" s="474"/>
      <c r="C425" s="576"/>
      <c r="D425" s="589"/>
      <c r="E425" s="132"/>
      <c r="F425" s="474"/>
      <c r="G425" s="309"/>
      <c r="H425" s="309"/>
    </row>
    <row r="426" spans="2:8" ht="24.95" customHeight="1" x14ac:dyDescent="0.25">
      <c r="B426" s="474"/>
      <c r="C426" s="576"/>
      <c r="D426" s="589"/>
      <c r="E426" s="132"/>
      <c r="F426" s="474"/>
      <c r="G426" s="309"/>
      <c r="H426" s="309"/>
    </row>
    <row r="427" spans="2:8" ht="24.95" customHeight="1" x14ac:dyDescent="0.25">
      <c r="B427" s="474"/>
      <c r="C427" s="576"/>
      <c r="D427" s="589"/>
      <c r="E427" s="132"/>
      <c r="F427" s="474"/>
      <c r="G427" s="309"/>
      <c r="H427" s="309"/>
    </row>
    <row r="428" spans="2:8" ht="24.95" customHeight="1" x14ac:dyDescent="0.25">
      <c r="B428" s="474"/>
      <c r="C428" s="576"/>
      <c r="D428" s="589"/>
      <c r="E428" s="132"/>
      <c r="F428" s="474"/>
      <c r="G428" s="309"/>
      <c r="H428" s="309"/>
    </row>
    <row r="429" spans="2:8" ht="24.95" customHeight="1" x14ac:dyDescent="0.25">
      <c r="B429" s="474"/>
      <c r="C429" s="576"/>
      <c r="D429" s="589"/>
      <c r="E429" s="132"/>
      <c r="F429" s="474"/>
      <c r="G429" s="309"/>
      <c r="H429" s="309"/>
    </row>
    <row r="430" spans="2:8" ht="24.95" customHeight="1" x14ac:dyDescent="0.25">
      <c r="B430" s="474"/>
      <c r="C430" s="576"/>
      <c r="D430" s="589"/>
      <c r="E430" s="132"/>
      <c r="F430" s="474"/>
      <c r="G430" s="309"/>
      <c r="H430" s="309"/>
    </row>
    <row r="431" spans="2:8" ht="24.95" customHeight="1" x14ac:dyDescent="0.25">
      <c r="B431" s="474"/>
      <c r="C431" s="576"/>
      <c r="D431" s="589"/>
      <c r="E431" s="132"/>
      <c r="F431" s="474"/>
      <c r="G431" s="309"/>
      <c r="H431" s="309"/>
    </row>
    <row r="432" spans="2:8" ht="24.95" customHeight="1" x14ac:dyDescent="0.25">
      <c r="B432" s="474"/>
      <c r="C432" s="576"/>
      <c r="D432" s="589"/>
      <c r="E432" s="132"/>
      <c r="F432" s="474"/>
      <c r="G432" s="309"/>
      <c r="H432" s="309"/>
    </row>
    <row r="433" spans="2:8" ht="24.95" customHeight="1" x14ac:dyDescent="0.25">
      <c r="B433" s="474"/>
      <c r="C433" s="576"/>
      <c r="D433" s="589"/>
      <c r="E433" s="132"/>
      <c r="F433" s="474"/>
      <c r="G433" s="309"/>
      <c r="H433" s="309"/>
    </row>
    <row r="434" spans="2:8" ht="24.95" customHeight="1" x14ac:dyDescent="0.25">
      <c r="B434" s="474"/>
      <c r="C434" s="576"/>
      <c r="D434" s="589"/>
      <c r="E434" s="132"/>
      <c r="F434" s="474"/>
      <c r="G434" s="309"/>
      <c r="H434" s="309"/>
    </row>
    <row r="435" spans="2:8" ht="24.95" customHeight="1" x14ac:dyDescent="0.25">
      <c r="B435" s="474"/>
      <c r="C435" s="576"/>
      <c r="D435" s="589"/>
      <c r="E435" s="132"/>
      <c r="F435" s="474"/>
      <c r="G435" s="309"/>
      <c r="H435" s="309"/>
    </row>
    <row r="436" spans="2:8" ht="24.95" customHeight="1" x14ac:dyDescent="0.25">
      <c r="B436" s="474"/>
      <c r="C436" s="576"/>
      <c r="D436" s="589"/>
      <c r="E436" s="132"/>
      <c r="F436" s="474"/>
      <c r="G436" s="309"/>
      <c r="H436" s="309"/>
    </row>
    <row r="437" spans="2:8" ht="24.95" customHeight="1" x14ac:dyDescent="0.25">
      <c r="B437" s="474"/>
      <c r="C437" s="576"/>
      <c r="D437" s="589"/>
      <c r="E437" s="132"/>
      <c r="F437" s="474"/>
      <c r="G437" s="309"/>
      <c r="H437" s="309"/>
    </row>
    <row r="438" spans="2:8" ht="24.95" customHeight="1" x14ac:dyDescent="0.25">
      <c r="B438" s="474"/>
      <c r="C438" s="576"/>
      <c r="D438" s="589"/>
      <c r="E438" s="132"/>
      <c r="F438" s="474"/>
      <c r="G438" s="309"/>
      <c r="H438" s="309"/>
    </row>
    <row r="439" spans="2:8" ht="24.95" customHeight="1" x14ac:dyDescent="0.25">
      <c r="B439" s="474"/>
      <c r="C439" s="576"/>
      <c r="D439" s="589"/>
      <c r="E439" s="132"/>
      <c r="F439" s="474"/>
      <c r="G439" s="309"/>
      <c r="H439" s="309"/>
    </row>
    <row r="440" spans="2:8" ht="24.95" customHeight="1" x14ac:dyDescent="0.25">
      <c r="B440" s="474"/>
      <c r="C440" s="576"/>
      <c r="D440" s="589"/>
      <c r="E440" s="132"/>
      <c r="F440" s="474"/>
      <c r="G440" s="309"/>
      <c r="H440" s="309"/>
    </row>
    <row r="441" spans="2:8" ht="24.95" customHeight="1" x14ac:dyDescent="0.25">
      <c r="B441" s="474"/>
      <c r="C441" s="576"/>
      <c r="D441" s="589"/>
      <c r="E441" s="132"/>
      <c r="F441" s="474"/>
      <c r="G441" s="309"/>
      <c r="H441" s="309"/>
    </row>
    <row r="442" spans="2:8" ht="24.95" customHeight="1" x14ac:dyDescent="0.25">
      <c r="B442" s="474"/>
      <c r="C442" s="576"/>
      <c r="D442" s="589"/>
      <c r="E442" s="132"/>
      <c r="F442" s="474"/>
      <c r="G442" s="309"/>
      <c r="H442" s="309"/>
    </row>
    <row r="443" spans="2:8" ht="24.95" customHeight="1" x14ac:dyDescent="0.25">
      <c r="B443" s="474"/>
      <c r="C443" s="576"/>
      <c r="D443" s="589"/>
      <c r="E443" s="132"/>
      <c r="F443" s="474"/>
      <c r="G443" s="309"/>
      <c r="H443" s="309"/>
    </row>
    <row r="444" spans="2:8" ht="24.95" customHeight="1" x14ac:dyDescent="0.25">
      <c r="B444" s="474"/>
      <c r="C444" s="576"/>
      <c r="D444" s="589"/>
      <c r="E444" s="132"/>
      <c r="F444" s="474"/>
      <c r="G444" s="309"/>
      <c r="H444" s="309"/>
    </row>
    <row r="445" spans="2:8" ht="24.95" customHeight="1" x14ac:dyDescent="0.25">
      <c r="B445" s="474"/>
      <c r="C445" s="576"/>
      <c r="D445" s="589"/>
      <c r="E445" s="132"/>
      <c r="F445" s="474"/>
      <c r="G445" s="309"/>
      <c r="H445" s="309"/>
    </row>
    <row r="446" spans="2:8" ht="24.95" customHeight="1" x14ac:dyDescent="0.25">
      <c r="B446" s="474"/>
      <c r="C446" s="576"/>
      <c r="D446" s="589"/>
      <c r="E446" s="132"/>
      <c r="F446" s="474"/>
      <c r="G446" s="309"/>
      <c r="H446" s="309"/>
    </row>
    <row r="447" spans="2:8" ht="24.95" customHeight="1" x14ac:dyDescent="0.25">
      <c r="B447" s="474"/>
      <c r="C447" s="576"/>
      <c r="D447" s="589"/>
      <c r="E447" s="132"/>
      <c r="F447" s="474"/>
      <c r="G447" s="309"/>
      <c r="H447" s="309"/>
    </row>
    <row r="448" spans="2:8" ht="24.95" customHeight="1" x14ac:dyDescent="0.25">
      <c r="B448" s="474"/>
      <c r="C448" s="576"/>
      <c r="D448" s="589"/>
      <c r="E448" s="132"/>
      <c r="F448" s="474"/>
      <c r="G448" s="309"/>
      <c r="H448" s="309"/>
    </row>
    <row r="449" spans="2:8" ht="24.95" customHeight="1" x14ac:dyDescent="0.25">
      <c r="B449" s="474"/>
      <c r="C449" s="576"/>
      <c r="D449" s="589"/>
      <c r="E449" s="132"/>
      <c r="F449" s="474"/>
      <c r="G449" s="309"/>
      <c r="H449" s="309"/>
    </row>
    <row r="450" spans="2:8" ht="24.95" customHeight="1" x14ac:dyDescent="0.25">
      <c r="B450" s="474"/>
      <c r="C450" s="576"/>
      <c r="D450" s="589"/>
      <c r="E450" s="132"/>
      <c r="F450" s="474"/>
      <c r="G450" s="309"/>
      <c r="H450" s="309"/>
    </row>
    <row r="451" spans="2:8" ht="24.95" customHeight="1" x14ac:dyDescent="0.25">
      <c r="B451" s="474"/>
      <c r="C451" s="576"/>
      <c r="D451" s="589"/>
      <c r="E451" s="132"/>
      <c r="F451" s="474"/>
      <c r="G451" s="309"/>
      <c r="H451" s="309"/>
    </row>
    <row r="452" spans="2:8" ht="24.95" customHeight="1" x14ac:dyDescent="0.25">
      <c r="B452" s="474"/>
      <c r="C452" s="576"/>
      <c r="D452" s="589"/>
      <c r="E452" s="132"/>
      <c r="F452" s="474"/>
      <c r="G452" s="309"/>
      <c r="H452" s="309"/>
    </row>
    <row r="453" spans="2:8" ht="24.95" customHeight="1" x14ac:dyDescent="0.25">
      <c r="B453" s="474"/>
      <c r="C453" s="576"/>
      <c r="D453" s="589"/>
      <c r="E453" s="132"/>
      <c r="F453" s="474"/>
      <c r="G453" s="309"/>
      <c r="H453" s="309"/>
    </row>
    <row r="454" spans="2:8" ht="24.95" customHeight="1" x14ac:dyDescent="0.25">
      <c r="B454" s="474"/>
      <c r="C454" s="576"/>
      <c r="D454" s="589"/>
      <c r="E454" s="132"/>
      <c r="F454" s="474"/>
      <c r="G454" s="309"/>
      <c r="H454" s="309"/>
    </row>
    <row r="455" spans="2:8" ht="24.95" customHeight="1" x14ac:dyDescent="0.25">
      <c r="B455" s="474"/>
      <c r="C455" s="576"/>
      <c r="D455" s="589"/>
      <c r="E455" s="132"/>
      <c r="F455" s="474"/>
      <c r="G455" s="309"/>
      <c r="H455" s="309"/>
    </row>
    <row r="456" spans="2:8" ht="24.95" customHeight="1" x14ac:dyDescent="0.25">
      <c r="B456" s="474"/>
      <c r="C456" s="576"/>
      <c r="D456" s="589"/>
      <c r="E456" s="132"/>
      <c r="F456" s="474"/>
      <c r="G456" s="309"/>
      <c r="H456" s="309"/>
    </row>
    <row r="457" spans="2:8" ht="24.95" customHeight="1" x14ac:dyDescent="0.25">
      <c r="B457" s="474"/>
      <c r="C457" s="576"/>
      <c r="D457" s="589"/>
      <c r="E457" s="132"/>
      <c r="F457" s="474"/>
      <c r="G457" s="309"/>
      <c r="H457" s="309"/>
    </row>
    <row r="458" spans="2:8" ht="24.95" customHeight="1" x14ac:dyDescent="0.25">
      <c r="B458" s="474"/>
      <c r="C458" s="576"/>
      <c r="D458" s="589"/>
      <c r="E458" s="132"/>
      <c r="F458" s="474"/>
      <c r="G458" s="309"/>
      <c r="H458" s="309"/>
    </row>
    <row r="459" spans="2:8" ht="24.95" customHeight="1" x14ac:dyDescent="0.25">
      <c r="B459" s="474"/>
      <c r="C459" s="576"/>
      <c r="D459" s="589"/>
      <c r="E459" s="132"/>
      <c r="F459" s="474"/>
      <c r="G459" s="309"/>
      <c r="H459" s="309"/>
    </row>
    <row r="460" spans="2:8" ht="24.95" customHeight="1" x14ac:dyDescent="0.25">
      <c r="B460" s="474"/>
      <c r="C460" s="576"/>
      <c r="D460" s="589"/>
      <c r="E460" s="132"/>
      <c r="F460" s="474"/>
      <c r="G460" s="309"/>
      <c r="H460" s="309"/>
    </row>
    <row r="461" spans="2:8" ht="24.95" customHeight="1" x14ac:dyDescent="0.25">
      <c r="B461" s="474"/>
      <c r="C461" s="576"/>
      <c r="D461" s="589"/>
      <c r="E461" s="132"/>
      <c r="F461" s="474"/>
      <c r="G461" s="309"/>
      <c r="H461" s="309"/>
    </row>
    <row r="462" spans="2:8" ht="24.95" customHeight="1" x14ac:dyDescent="0.25">
      <c r="B462" s="474"/>
      <c r="C462" s="576"/>
      <c r="D462" s="589"/>
      <c r="E462" s="132"/>
      <c r="F462" s="474"/>
      <c r="G462" s="309"/>
      <c r="H462" s="309"/>
    </row>
    <row r="463" spans="2:8" ht="24.95" customHeight="1" x14ac:dyDescent="0.25">
      <c r="B463" s="474"/>
      <c r="C463" s="576"/>
      <c r="D463" s="589"/>
      <c r="E463" s="132"/>
      <c r="F463" s="474"/>
      <c r="G463" s="309"/>
      <c r="H463" s="309"/>
    </row>
    <row r="464" spans="2:8" ht="24.95" customHeight="1" x14ac:dyDescent="0.25">
      <c r="B464" s="474"/>
      <c r="C464" s="576"/>
      <c r="D464" s="589"/>
      <c r="E464" s="132"/>
      <c r="F464" s="474"/>
      <c r="G464" s="309"/>
      <c r="H464" s="309"/>
    </row>
    <row r="465" spans="2:8" ht="24.95" customHeight="1" x14ac:dyDescent="0.25">
      <c r="B465" s="474"/>
      <c r="C465" s="576"/>
      <c r="D465" s="589"/>
      <c r="E465" s="132"/>
      <c r="F465" s="474"/>
      <c r="G465" s="309"/>
      <c r="H465" s="309"/>
    </row>
    <row r="466" spans="2:8" ht="24.95" customHeight="1" x14ac:dyDescent="0.25">
      <c r="B466" s="474"/>
      <c r="C466" s="576"/>
      <c r="D466" s="589"/>
      <c r="E466" s="132"/>
      <c r="F466" s="474"/>
      <c r="G466" s="309"/>
      <c r="H466" s="309"/>
    </row>
    <row r="467" spans="2:8" ht="24.95" customHeight="1" x14ac:dyDescent="0.25">
      <c r="B467" s="474"/>
      <c r="C467" s="576"/>
      <c r="D467" s="589"/>
      <c r="E467" s="132"/>
      <c r="F467" s="474"/>
      <c r="G467" s="309"/>
      <c r="H467" s="309"/>
    </row>
    <row r="468" spans="2:8" ht="24.95" customHeight="1" x14ac:dyDescent="0.25">
      <c r="B468" s="474"/>
      <c r="C468" s="576"/>
      <c r="D468" s="589"/>
      <c r="E468" s="132"/>
      <c r="F468" s="474"/>
      <c r="G468" s="309"/>
      <c r="H468" s="309"/>
    </row>
    <row r="469" spans="2:8" ht="24.95" customHeight="1" x14ac:dyDescent="0.25">
      <c r="B469" s="474"/>
      <c r="C469" s="576"/>
      <c r="D469" s="589"/>
      <c r="E469" s="132"/>
      <c r="F469" s="474"/>
      <c r="G469" s="309"/>
      <c r="H469" s="309"/>
    </row>
    <row r="470" spans="2:8" ht="24.95" customHeight="1" x14ac:dyDescent="0.25">
      <c r="B470" s="474"/>
      <c r="C470" s="576"/>
      <c r="D470" s="589"/>
      <c r="E470" s="132"/>
      <c r="F470" s="474"/>
      <c r="G470" s="309"/>
      <c r="H470" s="309"/>
    </row>
    <row r="471" spans="2:8" ht="24.95" customHeight="1" x14ac:dyDescent="0.25">
      <c r="B471" s="474"/>
      <c r="C471" s="576"/>
      <c r="D471" s="589"/>
      <c r="E471" s="132"/>
      <c r="F471" s="474"/>
      <c r="G471" s="309"/>
      <c r="H471" s="309"/>
    </row>
    <row r="472" spans="2:8" ht="24.95" customHeight="1" x14ac:dyDescent="0.25">
      <c r="B472" s="474"/>
      <c r="C472" s="576"/>
      <c r="D472" s="589"/>
      <c r="E472" s="132"/>
      <c r="F472" s="474"/>
      <c r="G472" s="309"/>
      <c r="H472" s="309"/>
    </row>
    <row r="473" spans="2:8" ht="24.95" customHeight="1" x14ac:dyDescent="0.25">
      <c r="B473" s="474"/>
      <c r="C473" s="576"/>
      <c r="D473" s="589"/>
      <c r="E473" s="132"/>
      <c r="F473" s="474"/>
      <c r="G473" s="309"/>
      <c r="H473" s="309"/>
    </row>
    <row r="474" spans="2:8" ht="24.95" customHeight="1" x14ac:dyDescent="0.25">
      <c r="B474" s="474"/>
      <c r="C474" s="576"/>
      <c r="D474" s="589"/>
      <c r="E474" s="132"/>
      <c r="F474" s="474"/>
      <c r="G474" s="309"/>
      <c r="H474" s="309"/>
    </row>
    <row r="475" spans="2:8" ht="24.95" customHeight="1" x14ac:dyDescent="0.25">
      <c r="B475" s="474"/>
      <c r="C475" s="576"/>
      <c r="D475" s="589"/>
      <c r="E475" s="132"/>
      <c r="F475" s="474"/>
      <c r="G475" s="309"/>
      <c r="H475" s="309"/>
    </row>
    <row r="476" spans="2:8" ht="24.95" customHeight="1" x14ac:dyDescent="0.25">
      <c r="B476" s="474"/>
      <c r="C476" s="576"/>
      <c r="D476" s="589"/>
      <c r="E476" s="132"/>
      <c r="F476" s="474"/>
      <c r="G476" s="309"/>
      <c r="H476" s="309"/>
    </row>
    <row r="477" spans="2:8" ht="24.95" customHeight="1" x14ac:dyDescent="0.25">
      <c r="B477" s="474"/>
      <c r="C477" s="576"/>
      <c r="D477" s="589"/>
      <c r="E477" s="132"/>
      <c r="F477" s="474"/>
      <c r="G477" s="309"/>
      <c r="H477" s="309"/>
    </row>
    <row r="478" spans="2:8" ht="24.95" customHeight="1" x14ac:dyDescent="0.25">
      <c r="B478" s="474"/>
      <c r="C478" s="576"/>
      <c r="D478" s="589"/>
      <c r="E478" s="132"/>
      <c r="F478" s="474"/>
      <c r="G478" s="309"/>
      <c r="H478" s="309"/>
    </row>
    <row r="479" spans="2:8" ht="24.95" customHeight="1" x14ac:dyDescent="0.25">
      <c r="B479" s="474"/>
      <c r="C479" s="576"/>
      <c r="D479" s="589"/>
      <c r="E479" s="132"/>
      <c r="F479" s="474"/>
      <c r="G479" s="309"/>
      <c r="H479" s="309"/>
    </row>
    <row r="480" spans="2:8" ht="24.95" customHeight="1" x14ac:dyDescent="0.25">
      <c r="B480" s="474"/>
      <c r="C480" s="576"/>
      <c r="D480" s="589"/>
      <c r="E480" s="132"/>
      <c r="F480" s="474"/>
      <c r="G480" s="309"/>
      <c r="H480" s="309"/>
    </row>
    <row r="481" spans="2:8" ht="24.95" customHeight="1" x14ac:dyDescent="0.25">
      <c r="B481" s="474"/>
      <c r="C481" s="576"/>
      <c r="D481" s="589"/>
      <c r="E481" s="132"/>
      <c r="F481" s="474"/>
      <c r="G481" s="309"/>
      <c r="H481" s="309"/>
    </row>
    <row r="482" spans="2:8" ht="24.95" customHeight="1" x14ac:dyDescent="0.25">
      <c r="B482" s="474"/>
      <c r="C482" s="576"/>
      <c r="D482" s="589"/>
      <c r="E482" s="132"/>
      <c r="F482" s="474"/>
      <c r="G482" s="309"/>
      <c r="H482" s="309"/>
    </row>
    <row r="483" spans="2:8" ht="24.95" customHeight="1" x14ac:dyDescent="0.25">
      <c r="B483" s="474"/>
      <c r="C483" s="576"/>
      <c r="D483" s="589"/>
      <c r="E483" s="132"/>
      <c r="F483" s="474"/>
      <c r="G483" s="309"/>
      <c r="H483" s="309"/>
    </row>
    <row r="484" spans="2:8" ht="24.95" customHeight="1" x14ac:dyDescent="0.25">
      <c r="B484" s="474"/>
      <c r="C484" s="576"/>
      <c r="D484" s="589"/>
      <c r="E484" s="132"/>
      <c r="F484" s="474"/>
      <c r="G484" s="309"/>
      <c r="H484" s="309"/>
    </row>
    <row r="485" spans="2:8" ht="24.95" customHeight="1" x14ac:dyDescent="0.25">
      <c r="B485" s="474"/>
      <c r="C485" s="576"/>
      <c r="D485" s="589"/>
      <c r="E485" s="132"/>
      <c r="F485" s="474"/>
      <c r="G485" s="309"/>
      <c r="H485" s="309"/>
    </row>
    <row r="486" spans="2:8" ht="24.95" customHeight="1" x14ac:dyDescent="0.25">
      <c r="B486" s="474"/>
      <c r="C486" s="576"/>
      <c r="D486" s="589"/>
      <c r="E486" s="132"/>
      <c r="F486" s="474"/>
      <c r="G486" s="309"/>
      <c r="H486" s="309"/>
    </row>
    <row r="487" spans="2:8" ht="24.95" customHeight="1" x14ac:dyDescent="0.25">
      <c r="B487" s="474"/>
      <c r="C487" s="576"/>
      <c r="D487" s="589"/>
      <c r="E487" s="132"/>
      <c r="F487" s="474"/>
      <c r="G487" s="309"/>
      <c r="H487" s="309"/>
    </row>
    <row r="488" spans="2:8" ht="24.95" customHeight="1" x14ac:dyDescent="0.25">
      <c r="B488" s="474"/>
      <c r="C488" s="576"/>
      <c r="D488" s="589"/>
      <c r="E488" s="132"/>
      <c r="F488" s="474"/>
      <c r="G488" s="309"/>
      <c r="H488" s="309"/>
    </row>
    <row r="489" spans="2:8" ht="24.95" customHeight="1" x14ac:dyDescent="0.25">
      <c r="B489" s="474"/>
      <c r="C489" s="576"/>
      <c r="D489" s="589"/>
      <c r="E489" s="132"/>
      <c r="F489" s="474"/>
      <c r="G489" s="309"/>
      <c r="H489" s="309"/>
    </row>
    <row r="490" spans="2:8" ht="24.95" customHeight="1" x14ac:dyDescent="0.25">
      <c r="B490" s="474"/>
      <c r="C490" s="576"/>
      <c r="D490" s="589"/>
      <c r="E490" s="132"/>
      <c r="F490" s="474"/>
      <c r="G490" s="309"/>
      <c r="H490" s="309"/>
    </row>
    <row r="491" spans="2:8" ht="24.95" customHeight="1" x14ac:dyDescent="0.25">
      <c r="B491" s="474"/>
      <c r="C491" s="576"/>
      <c r="D491" s="589"/>
      <c r="E491" s="132"/>
      <c r="F491" s="474"/>
      <c r="G491" s="309"/>
      <c r="H491" s="309"/>
    </row>
    <row r="492" spans="2:8" ht="24.95" customHeight="1" x14ac:dyDescent="0.25">
      <c r="B492" s="474"/>
      <c r="C492" s="576"/>
      <c r="D492" s="589"/>
      <c r="E492" s="132"/>
      <c r="F492" s="474"/>
      <c r="G492" s="309"/>
      <c r="H492" s="309"/>
    </row>
    <row r="493" spans="2:8" ht="24.95" customHeight="1" x14ac:dyDescent="0.25">
      <c r="B493" s="474"/>
      <c r="C493" s="576"/>
      <c r="D493" s="589"/>
      <c r="E493" s="132"/>
      <c r="F493" s="474"/>
      <c r="G493" s="309"/>
      <c r="H493" s="309"/>
    </row>
    <row r="494" spans="2:8" ht="24.95" customHeight="1" x14ac:dyDescent="0.25">
      <c r="B494" s="474"/>
      <c r="C494" s="576"/>
      <c r="D494" s="589"/>
      <c r="E494" s="132"/>
      <c r="F494" s="474"/>
      <c r="G494" s="309"/>
      <c r="H494" s="309"/>
    </row>
    <row r="495" spans="2:8" ht="24.95" customHeight="1" x14ac:dyDescent="0.25">
      <c r="B495" s="474"/>
      <c r="C495" s="576"/>
      <c r="D495" s="589"/>
      <c r="E495" s="132"/>
      <c r="F495" s="474"/>
      <c r="G495" s="309"/>
      <c r="H495" s="309"/>
    </row>
    <row r="496" spans="2:8" ht="24.95" customHeight="1" x14ac:dyDescent="0.25">
      <c r="B496" s="474"/>
      <c r="C496" s="576"/>
      <c r="D496" s="589"/>
      <c r="E496" s="132"/>
      <c r="F496" s="474"/>
      <c r="G496" s="309"/>
      <c r="H496" s="309"/>
    </row>
    <row r="497" spans="2:8" ht="24.95" customHeight="1" x14ac:dyDescent="0.25">
      <c r="B497" s="474"/>
      <c r="C497" s="576"/>
      <c r="D497" s="589"/>
      <c r="E497" s="132"/>
      <c r="F497" s="474"/>
      <c r="G497" s="309"/>
      <c r="H497" s="309"/>
    </row>
    <row r="498" spans="2:8" ht="24.95" customHeight="1" x14ac:dyDescent="0.25">
      <c r="B498" s="474"/>
      <c r="C498" s="576"/>
      <c r="D498" s="589"/>
      <c r="E498" s="132"/>
      <c r="F498" s="474"/>
      <c r="G498" s="309"/>
      <c r="H498" s="309"/>
    </row>
    <row r="499" spans="2:8" ht="24.95" customHeight="1" x14ac:dyDescent="0.25">
      <c r="B499" s="474"/>
      <c r="C499" s="576"/>
      <c r="D499" s="589"/>
      <c r="E499" s="132"/>
      <c r="F499" s="474"/>
      <c r="G499" s="309"/>
      <c r="H499" s="309"/>
    </row>
    <row r="500" spans="2:8" ht="24.95" customHeight="1" x14ac:dyDescent="0.25">
      <c r="B500" s="474"/>
      <c r="C500" s="576"/>
      <c r="D500" s="589"/>
      <c r="E500" s="132"/>
      <c r="F500" s="474"/>
      <c r="G500" s="309"/>
      <c r="H500" s="309"/>
    </row>
    <row r="501" spans="2:8" ht="24.95" customHeight="1" x14ac:dyDescent="0.25">
      <c r="B501" s="474"/>
      <c r="C501" s="576"/>
      <c r="D501" s="589"/>
      <c r="E501" s="132"/>
      <c r="F501" s="474"/>
      <c r="G501" s="309"/>
      <c r="H501" s="309"/>
    </row>
    <row r="502" spans="2:8" ht="24.95" customHeight="1" x14ac:dyDescent="0.25">
      <c r="B502" s="474"/>
      <c r="C502" s="576"/>
      <c r="D502" s="589"/>
      <c r="E502" s="132"/>
      <c r="F502" s="474"/>
      <c r="G502" s="309"/>
      <c r="H502" s="309"/>
    </row>
    <row r="503" spans="2:8" ht="24.95" customHeight="1" x14ac:dyDescent="0.25">
      <c r="B503" s="474"/>
      <c r="C503" s="576"/>
      <c r="D503" s="589"/>
      <c r="E503" s="132"/>
      <c r="F503" s="474"/>
      <c r="G503" s="309"/>
      <c r="H503" s="309"/>
    </row>
    <row r="504" spans="2:8" ht="24.95" customHeight="1" x14ac:dyDescent="0.25">
      <c r="B504" s="474"/>
      <c r="C504" s="576"/>
      <c r="D504" s="589"/>
      <c r="E504" s="132"/>
      <c r="F504" s="474"/>
      <c r="G504" s="309"/>
      <c r="H504" s="309"/>
    </row>
    <row r="505" spans="2:8" ht="24.95" customHeight="1" x14ac:dyDescent="0.25">
      <c r="B505" s="474"/>
      <c r="C505" s="576"/>
      <c r="D505" s="589"/>
      <c r="E505" s="132"/>
      <c r="F505" s="474"/>
      <c r="G505" s="309"/>
      <c r="H505" s="309"/>
    </row>
    <row r="506" spans="2:8" ht="24.95" customHeight="1" x14ac:dyDescent="0.25">
      <c r="B506" s="474"/>
      <c r="C506" s="576"/>
      <c r="D506" s="589"/>
      <c r="E506" s="132"/>
      <c r="F506" s="474"/>
      <c r="G506" s="309"/>
      <c r="H506" s="309"/>
    </row>
    <row r="507" spans="2:8" ht="24.95" customHeight="1" x14ac:dyDescent="0.25">
      <c r="B507" s="474"/>
      <c r="C507" s="576"/>
      <c r="D507" s="589"/>
      <c r="E507" s="132"/>
      <c r="F507" s="474"/>
      <c r="G507" s="309"/>
      <c r="H507" s="309"/>
    </row>
    <row r="508" spans="2:8" ht="24.95" customHeight="1" x14ac:dyDescent="0.25">
      <c r="B508" s="474"/>
      <c r="C508" s="576"/>
      <c r="D508" s="589"/>
      <c r="E508" s="132"/>
      <c r="F508" s="474"/>
      <c r="G508" s="309"/>
      <c r="H508" s="309"/>
    </row>
    <row r="509" spans="2:8" ht="24.95" customHeight="1" x14ac:dyDescent="0.25">
      <c r="B509" s="474"/>
      <c r="C509" s="576"/>
      <c r="D509" s="589"/>
      <c r="E509" s="132"/>
      <c r="F509" s="474"/>
      <c r="G509" s="309"/>
      <c r="H509" s="309"/>
    </row>
    <row r="510" spans="2:8" ht="24.95" customHeight="1" x14ac:dyDescent="0.25">
      <c r="B510" s="474"/>
      <c r="C510" s="576"/>
      <c r="D510" s="589"/>
      <c r="E510" s="132"/>
      <c r="F510" s="474"/>
      <c r="G510" s="309"/>
      <c r="H510" s="309"/>
    </row>
    <row r="511" spans="2:8" ht="24.95" customHeight="1" x14ac:dyDescent="0.25">
      <c r="B511" s="474"/>
      <c r="C511" s="576"/>
      <c r="D511" s="589"/>
      <c r="E511" s="132"/>
      <c r="F511" s="474"/>
      <c r="G511" s="309"/>
      <c r="H511" s="309"/>
    </row>
    <row r="512" spans="2:8" ht="24.95" customHeight="1" x14ac:dyDescent="0.25">
      <c r="B512" s="474"/>
      <c r="C512" s="576"/>
      <c r="D512" s="589"/>
      <c r="E512" s="132"/>
      <c r="F512" s="474"/>
      <c r="G512" s="309"/>
      <c r="H512" s="309"/>
    </row>
    <row r="513" spans="2:8" ht="24.95" customHeight="1" x14ac:dyDescent="0.25">
      <c r="B513" s="474"/>
      <c r="C513" s="576"/>
      <c r="D513" s="589"/>
      <c r="E513" s="132"/>
      <c r="F513" s="474"/>
      <c r="G513" s="309"/>
      <c r="H513" s="309"/>
    </row>
    <row r="514" spans="2:8" ht="24.95" customHeight="1" x14ac:dyDescent="0.25">
      <c r="B514" s="474"/>
      <c r="C514" s="576"/>
      <c r="D514" s="589"/>
      <c r="E514" s="132"/>
      <c r="F514" s="474"/>
      <c r="G514" s="309"/>
      <c r="H514" s="309"/>
    </row>
    <row r="515" spans="2:8" ht="24.95" customHeight="1" x14ac:dyDescent="0.25">
      <c r="B515" s="474"/>
      <c r="C515" s="576"/>
      <c r="D515" s="589"/>
      <c r="E515" s="132"/>
      <c r="F515" s="474"/>
      <c r="G515" s="309"/>
      <c r="H515" s="309"/>
    </row>
    <row r="516" spans="2:8" ht="24.95" customHeight="1" x14ac:dyDescent="0.25">
      <c r="B516" s="474"/>
      <c r="C516" s="576"/>
      <c r="D516" s="589"/>
      <c r="E516" s="132"/>
      <c r="F516" s="474"/>
      <c r="G516" s="309"/>
      <c r="H516" s="309"/>
    </row>
    <row r="517" spans="2:8" ht="24.95" customHeight="1" x14ac:dyDescent="0.25">
      <c r="B517" s="474"/>
      <c r="C517" s="576"/>
      <c r="D517" s="589"/>
      <c r="E517" s="132"/>
      <c r="F517" s="474"/>
      <c r="G517" s="309"/>
      <c r="H517" s="309"/>
    </row>
    <row r="518" spans="2:8" ht="24.95" customHeight="1" x14ac:dyDescent="0.25">
      <c r="B518" s="474"/>
      <c r="C518" s="576"/>
      <c r="D518" s="589"/>
      <c r="E518" s="132"/>
      <c r="F518" s="474"/>
      <c r="G518" s="309"/>
      <c r="H518" s="309"/>
    </row>
    <row r="519" spans="2:8" ht="24.95" customHeight="1" x14ac:dyDescent="0.25">
      <c r="B519" s="474"/>
      <c r="C519" s="576"/>
      <c r="D519" s="589"/>
      <c r="E519" s="132"/>
      <c r="F519" s="474"/>
      <c r="G519" s="309"/>
      <c r="H519" s="309"/>
    </row>
    <row r="520" spans="2:8" ht="24.95" customHeight="1" x14ac:dyDescent="0.25">
      <c r="B520" s="474"/>
      <c r="C520" s="576"/>
      <c r="D520" s="589"/>
      <c r="E520" s="132"/>
      <c r="F520" s="474"/>
      <c r="G520" s="309"/>
      <c r="H520" s="309"/>
    </row>
    <row r="521" spans="2:8" ht="24.95" customHeight="1" x14ac:dyDescent="0.25">
      <c r="B521" s="474"/>
      <c r="C521" s="576"/>
      <c r="D521" s="589"/>
      <c r="E521" s="132"/>
      <c r="F521" s="474"/>
      <c r="G521" s="309"/>
      <c r="H521" s="309"/>
    </row>
    <row r="522" spans="2:8" ht="24.95" customHeight="1" x14ac:dyDescent="0.25">
      <c r="B522" s="474"/>
      <c r="C522" s="576"/>
      <c r="D522" s="589"/>
      <c r="E522" s="132"/>
      <c r="F522" s="474"/>
      <c r="G522" s="309"/>
      <c r="H522" s="309"/>
    </row>
    <row r="523" spans="2:8" ht="24.95" customHeight="1" x14ac:dyDescent="0.25">
      <c r="B523" s="474"/>
      <c r="C523" s="576"/>
      <c r="D523" s="589"/>
      <c r="E523" s="132"/>
      <c r="F523" s="474"/>
      <c r="G523" s="309"/>
      <c r="H523" s="309"/>
    </row>
    <row r="524" spans="2:8" ht="24.95" customHeight="1" x14ac:dyDescent="0.25">
      <c r="B524" s="474"/>
      <c r="C524" s="576"/>
      <c r="D524" s="589"/>
      <c r="E524" s="132"/>
      <c r="F524" s="474"/>
      <c r="G524" s="309"/>
      <c r="H524" s="309"/>
    </row>
    <row r="525" spans="2:8" ht="24.95" customHeight="1" x14ac:dyDescent="0.25">
      <c r="B525" s="474"/>
      <c r="C525" s="576"/>
      <c r="D525" s="589"/>
      <c r="E525" s="132"/>
      <c r="F525" s="474"/>
      <c r="G525" s="309"/>
      <c r="H525" s="309"/>
    </row>
    <row r="526" spans="2:8" ht="24.95" customHeight="1" x14ac:dyDescent="0.25">
      <c r="B526" s="474"/>
      <c r="C526" s="576"/>
      <c r="D526" s="589"/>
      <c r="E526" s="132"/>
      <c r="F526" s="474"/>
      <c r="G526" s="309"/>
      <c r="H526" s="309"/>
    </row>
    <row r="527" spans="2:8" ht="24.95" customHeight="1" x14ac:dyDescent="0.25">
      <c r="B527" s="474"/>
      <c r="C527" s="576"/>
      <c r="D527" s="589"/>
      <c r="E527" s="132"/>
      <c r="F527" s="474"/>
      <c r="G527" s="309"/>
      <c r="H527" s="309"/>
    </row>
    <row r="528" spans="2:8" ht="24.95" customHeight="1" x14ac:dyDescent="0.25">
      <c r="B528" s="474"/>
      <c r="C528" s="576"/>
      <c r="D528" s="589"/>
      <c r="E528" s="132"/>
      <c r="F528" s="474"/>
      <c r="G528" s="309"/>
      <c r="H528" s="309"/>
    </row>
    <row r="529" spans="2:8" ht="24.95" customHeight="1" x14ac:dyDescent="0.25">
      <c r="B529" s="474"/>
      <c r="C529" s="576"/>
      <c r="D529" s="589"/>
      <c r="E529" s="132"/>
      <c r="F529" s="474"/>
      <c r="G529" s="309"/>
      <c r="H529" s="309"/>
    </row>
    <row r="530" spans="2:8" ht="24.95" customHeight="1" x14ac:dyDescent="0.25">
      <c r="B530" s="474"/>
      <c r="C530" s="576"/>
      <c r="D530" s="589"/>
      <c r="E530" s="132"/>
      <c r="F530" s="474"/>
      <c r="G530" s="309"/>
      <c r="H530" s="309"/>
    </row>
    <row r="531" spans="2:8" ht="24.95" customHeight="1" x14ac:dyDescent="0.25">
      <c r="B531" s="474"/>
      <c r="C531" s="576"/>
      <c r="D531" s="589"/>
      <c r="E531" s="132"/>
      <c r="F531" s="474"/>
      <c r="G531" s="309"/>
      <c r="H531" s="309"/>
    </row>
    <row r="532" spans="2:8" ht="24.95" customHeight="1" x14ac:dyDescent="0.25">
      <c r="B532" s="474"/>
      <c r="C532" s="576"/>
      <c r="D532" s="589"/>
      <c r="E532" s="132"/>
      <c r="F532" s="474"/>
      <c r="G532" s="309"/>
      <c r="H532" s="309"/>
    </row>
    <row r="533" spans="2:8" ht="24.95" customHeight="1" x14ac:dyDescent="0.25">
      <c r="B533" s="474"/>
      <c r="C533" s="576"/>
      <c r="D533" s="589"/>
      <c r="E533" s="132"/>
      <c r="F533" s="474"/>
      <c r="G533" s="309"/>
      <c r="H533" s="309"/>
    </row>
    <row r="534" spans="2:8" ht="24.95" customHeight="1" x14ac:dyDescent="0.25">
      <c r="B534" s="474"/>
      <c r="C534" s="576"/>
      <c r="D534" s="589"/>
      <c r="E534" s="132"/>
      <c r="F534" s="474"/>
      <c r="G534" s="309"/>
      <c r="H534" s="309"/>
    </row>
    <row r="535" spans="2:8" ht="24.95" customHeight="1" x14ac:dyDescent="0.25">
      <c r="B535" s="474"/>
      <c r="C535" s="576"/>
      <c r="D535" s="589"/>
      <c r="E535" s="132"/>
      <c r="F535" s="474"/>
      <c r="G535" s="309"/>
      <c r="H535" s="309"/>
    </row>
    <row r="536" spans="2:8" ht="24.95" customHeight="1" x14ac:dyDescent="0.25">
      <c r="B536" s="474"/>
      <c r="C536" s="576"/>
      <c r="D536" s="589"/>
      <c r="E536" s="132"/>
      <c r="F536" s="474"/>
      <c r="G536" s="309"/>
      <c r="H536" s="309"/>
    </row>
    <row r="537" spans="2:8" ht="24.95" customHeight="1" x14ac:dyDescent="0.25">
      <c r="B537" s="474"/>
      <c r="C537" s="576"/>
      <c r="D537" s="589"/>
      <c r="E537" s="132"/>
      <c r="F537" s="474"/>
      <c r="G537" s="309"/>
      <c r="H537" s="309"/>
    </row>
    <row r="538" spans="2:8" ht="24.95" customHeight="1" x14ac:dyDescent="0.25">
      <c r="B538" s="474"/>
      <c r="C538" s="576"/>
      <c r="D538" s="589"/>
      <c r="E538" s="132"/>
      <c r="F538" s="474"/>
      <c r="G538" s="309"/>
      <c r="H538" s="309"/>
    </row>
    <row r="539" spans="2:8" ht="24.95" customHeight="1" x14ac:dyDescent="0.25">
      <c r="B539" s="474"/>
      <c r="C539" s="576"/>
      <c r="D539" s="589"/>
      <c r="E539" s="132"/>
      <c r="F539" s="474"/>
      <c r="G539" s="309"/>
      <c r="H539" s="309"/>
    </row>
    <row r="540" spans="2:8" ht="24.95" customHeight="1" x14ac:dyDescent="0.25">
      <c r="B540" s="474"/>
      <c r="C540" s="576"/>
      <c r="D540" s="589"/>
      <c r="E540" s="132"/>
      <c r="F540" s="474"/>
      <c r="G540" s="309"/>
      <c r="H540" s="309"/>
    </row>
    <row r="541" spans="2:8" ht="24.95" customHeight="1" x14ac:dyDescent="0.25">
      <c r="B541" s="474"/>
      <c r="C541" s="576"/>
      <c r="D541" s="589"/>
      <c r="E541" s="132"/>
      <c r="F541" s="474"/>
      <c r="G541" s="309"/>
      <c r="H541" s="309"/>
    </row>
    <row r="542" spans="2:8" ht="24.95" customHeight="1" x14ac:dyDescent="0.25">
      <c r="B542" s="474"/>
      <c r="C542" s="576"/>
      <c r="D542" s="589"/>
      <c r="E542" s="132"/>
      <c r="F542" s="474"/>
      <c r="G542" s="309"/>
      <c r="H542" s="309"/>
    </row>
    <row r="543" spans="2:8" ht="24.95" customHeight="1" x14ac:dyDescent="0.25">
      <c r="B543" s="474"/>
      <c r="C543" s="576"/>
      <c r="D543" s="589"/>
      <c r="E543" s="132"/>
      <c r="F543" s="474"/>
      <c r="G543" s="309"/>
      <c r="H543" s="309"/>
    </row>
    <row r="544" spans="2:8" ht="24.95" customHeight="1" x14ac:dyDescent="0.25">
      <c r="B544" s="474"/>
      <c r="C544" s="576"/>
      <c r="D544" s="589"/>
      <c r="E544" s="132"/>
      <c r="F544" s="474"/>
      <c r="G544" s="309"/>
      <c r="H544" s="309"/>
    </row>
    <row r="545" spans="2:8" ht="24.95" customHeight="1" x14ac:dyDescent="0.25">
      <c r="B545" s="474"/>
      <c r="C545" s="576"/>
      <c r="D545" s="589"/>
      <c r="E545" s="132"/>
      <c r="F545" s="474"/>
      <c r="G545" s="309"/>
      <c r="H545" s="309"/>
    </row>
    <row r="546" spans="2:8" ht="24.95" customHeight="1" x14ac:dyDescent="0.25">
      <c r="B546" s="474"/>
      <c r="C546" s="576"/>
      <c r="D546" s="589"/>
      <c r="E546" s="132"/>
      <c r="F546" s="474"/>
      <c r="G546" s="309"/>
      <c r="H546" s="309"/>
    </row>
    <row r="547" spans="2:8" ht="24.95" customHeight="1" x14ac:dyDescent="0.25">
      <c r="B547" s="474"/>
      <c r="C547" s="576"/>
      <c r="D547" s="589"/>
      <c r="E547" s="132"/>
      <c r="F547" s="474"/>
      <c r="G547" s="309"/>
      <c r="H547" s="309"/>
    </row>
    <row r="548" spans="2:8" ht="24.95" customHeight="1" x14ac:dyDescent="0.25">
      <c r="B548" s="474"/>
      <c r="C548" s="576"/>
      <c r="D548" s="589"/>
      <c r="E548" s="132"/>
      <c r="F548" s="474"/>
      <c r="G548" s="309"/>
      <c r="H548" s="309"/>
    </row>
    <row r="549" spans="2:8" ht="24.95" customHeight="1" x14ac:dyDescent="0.25">
      <c r="B549" s="474"/>
      <c r="C549" s="576"/>
      <c r="D549" s="589"/>
      <c r="E549" s="132"/>
      <c r="F549" s="474"/>
      <c r="G549" s="309"/>
      <c r="H549" s="309"/>
    </row>
    <row r="550" spans="2:8" ht="24.95" customHeight="1" x14ac:dyDescent="0.25">
      <c r="B550" s="474"/>
      <c r="C550" s="576"/>
      <c r="D550" s="589"/>
      <c r="E550" s="132"/>
      <c r="F550" s="474"/>
      <c r="G550" s="309"/>
      <c r="H550" s="309"/>
    </row>
    <row r="551" spans="2:8" ht="24.95" customHeight="1" x14ac:dyDescent="0.25">
      <c r="B551" s="474"/>
      <c r="C551" s="576"/>
      <c r="D551" s="589"/>
      <c r="E551" s="132"/>
      <c r="F551" s="474"/>
      <c r="G551" s="309"/>
      <c r="H551" s="309"/>
    </row>
    <row r="552" spans="2:8" ht="24.95" customHeight="1" x14ac:dyDescent="0.25">
      <c r="B552" s="474"/>
      <c r="C552" s="576"/>
      <c r="D552" s="589"/>
      <c r="E552" s="132"/>
      <c r="F552" s="474"/>
      <c r="G552" s="309"/>
      <c r="H552" s="309"/>
    </row>
    <row r="553" spans="2:8" ht="24.95" customHeight="1" x14ac:dyDescent="0.25">
      <c r="B553" s="474"/>
      <c r="C553" s="576"/>
      <c r="D553" s="589"/>
      <c r="E553" s="132"/>
      <c r="F553" s="474"/>
      <c r="G553" s="309"/>
      <c r="H553" s="309"/>
    </row>
    <row r="554" spans="2:8" ht="24.95" customHeight="1" x14ac:dyDescent="0.25">
      <c r="B554" s="474"/>
      <c r="C554" s="576"/>
      <c r="D554" s="589"/>
      <c r="E554" s="132"/>
      <c r="F554" s="474"/>
      <c r="G554" s="309"/>
      <c r="H554" s="309"/>
    </row>
    <row r="555" spans="2:8" ht="24.95" customHeight="1" x14ac:dyDescent="0.25">
      <c r="B555" s="474"/>
      <c r="C555" s="576"/>
      <c r="D555" s="589"/>
      <c r="E555" s="132"/>
      <c r="F555" s="474"/>
      <c r="G555" s="309"/>
      <c r="H555" s="309"/>
    </row>
    <row r="556" spans="2:8" ht="24.95" customHeight="1" x14ac:dyDescent="0.25">
      <c r="B556" s="474"/>
      <c r="C556" s="576"/>
      <c r="D556" s="589"/>
      <c r="E556" s="132"/>
      <c r="F556" s="474"/>
      <c r="G556" s="309"/>
      <c r="H556" s="309"/>
    </row>
    <row r="557" spans="2:8" ht="24.95" customHeight="1" x14ac:dyDescent="0.25">
      <c r="B557" s="474"/>
      <c r="C557" s="576"/>
      <c r="D557" s="589"/>
      <c r="E557" s="132"/>
      <c r="F557" s="474"/>
      <c r="G557" s="309"/>
      <c r="H557" s="309"/>
    </row>
    <row r="558" spans="2:8" ht="24.95" customHeight="1" x14ac:dyDescent="0.25">
      <c r="B558" s="474"/>
      <c r="C558" s="576"/>
      <c r="D558" s="589"/>
      <c r="E558" s="132"/>
      <c r="F558" s="474"/>
      <c r="G558" s="309"/>
      <c r="H558" s="309"/>
    </row>
    <row r="559" spans="2:8" ht="24.95" customHeight="1" x14ac:dyDescent="0.25">
      <c r="B559" s="474"/>
      <c r="C559" s="576"/>
      <c r="D559" s="589"/>
      <c r="E559" s="132"/>
      <c r="F559" s="474"/>
      <c r="G559" s="309"/>
      <c r="H559" s="309"/>
    </row>
    <row r="560" spans="2:8" ht="24.95" customHeight="1" x14ac:dyDescent="0.25">
      <c r="B560" s="474"/>
      <c r="C560" s="576"/>
      <c r="D560" s="589"/>
      <c r="E560" s="132"/>
      <c r="F560" s="474"/>
      <c r="G560" s="309"/>
      <c r="H560" s="309"/>
    </row>
    <row r="561" spans="2:8" ht="24.95" customHeight="1" x14ac:dyDescent="0.25">
      <c r="B561" s="474"/>
      <c r="C561" s="576"/>
      <c r="D561" s="589"/>
      <c r="E561" s="132"/>
      <c r="F561" s="474"/>
      <c r="G561" s="309"/>
      <c r="H561" s="309"/>
    </row>
    <row r="562" spans="2:8" ht="24.95" customHeight="1" x14ac:dyDescent="0.25">
      <c r="B562" s="474"/>
      <c r="C562" s="576"/>
      <c r="D562" s="589"/>
      <c r="E562" s="132"/>
      <c r="F562" s="474"/>
      <c r="G562" s="309"/>
      <c r="H562" s="309"/>
    </row>
    <row r="563" spans="2:8" ht="24.95" customHeight="1" x14ac:dyDescent="0.25">
      <c r="B563" s="474"/>
      <c r="C563" s="576"/>
      <c r="D563" s="589"/>
      <c r="E563" s="132"/>
      <c r="F563" s="474"/>
      <c r="G563" s="309"/>
      <c r="H563" s="309"/>
    </row>
    <row r="564" spans="2:8" ht="24.95" customHeight="1" x14ac:dyDescent="0.25">
      <c r="B564" s="474"/>
      <c r="C564" s="576"/>
      <c r="D564" s="589"/>
      <c r="E564" s="132"/>
      <c r="F564" s="474"/>
      <c r="G564" s="309"/>
      <c r="H564" s="309"/>
    </row>
    <row r="565" spans="2:8" ht="24.95" customHeight="1" x14ac:dyDescent="0.25">
      <c r="B565" s="474"/>
      <c r="C565" s="576"/>
      <c r="D565" s="589"/>
      <c r="E565" s="132"/>
      <c r="F565" s="474"/>
      <c r="G565" s="309"/>
      <c r="H565" s="309"/>
    </row>
    <row r="566" spans="2:8" ht="24.95" customHeight="1" x14ac:dyDescent="0.25">
      <c r="B566" s="474"/>
      <c r="C566" s="576"/>
      <c r="D566" s="589"/>
      <c r="E566" s="132"/>
      <c r="F566" s="474"/>
      <c r="G566" s="309"/>
      <c r="H566" s="309"/>
    </row>
    <row r="567" spans="2:8" ht="24.95" customHeight="1" x14ac:dyDescent="0.25">
      <c r="B567" s="474"/>
      <c r="C567" s="576"/>
      <c r="D567" s="589"/>
      <c r="E567" s="132"/>
      <c r="F567" s="474"/>
      <c r="G567" s="309"/>
      <c r="H567" s="309"/>
    </row>
    <row r="568" spans="2:8" ht="24.95" customHeight="1" x14ac:dyDescent="0.25">
      <c r="B568" s="474"/>
      <c r="C568" s="576"/>
      <c r="D568" s="589"/>
      <c r="E568" s="132"/>
      <c r="F568" s="474"/>
      <c r="G568" s="309"/>
      <c r="H568" s="309"/>
    </row>
    <row r="569" spans="2:8" ht="24.95" customHeight="1" x14ac:dyDescent="0.25">
      <c r="B569" s="474"/>
      <c r="C569" s="576"/>
      <c r="D569" s="589"/>
      <c r="E569" s="132"/>
      <c r="F569" s="474"/>
      <c r="G569" s="309"/>
      <c r="H569" s="309"/>
    </row>
    <row r="570" spans="2:8" ht="24.95" customHeight="1" x14ac:dyDescent="0.25">
      <c r="B570" s="474"/>
      <c r="C570" s="576"/>
      <c r="D570" s="589"/>
      <c r="E570" s="132"/>
      <c r="F570" s="474"/>
      <c r="G570" s="309"/>
      <c r="H570" s="309"/>
    </row>
    <row r="571" spans="2:8" ht="24.95" customHeight="1" x14ac:dyDescent="0.25">
      <c r="B571" s="474"/>
      <c r="C571" s="576"/>
      <c r="D571" s="589"/>
      <c r="E571" s="132"/>
      <c r="F571" s="474"/>
      <c r="G571" s="309"/>
      <c r="H571" s="309"/>
    </row>
    <row r="572" spans="2:8" ht="24.95" customHeight="1" x14ac:dyDescent="0.25">
      <c r="B572" s="474"/>
      <c r="C572" s="576"/>
      <c r="D572" s="589"/>
      <c r="E572" s="132"/>
      <c r="F572" s="474"/>
      <c r="G572" s="309"/>
      <c r="H572" s="309"/>
    </row>
    <row r="573" spans="2:8" ht="24.95" customHeight="1" x14ac:dyDescent="0.25">
      <c r="B573" s="474"/>
      <c r="C573" s="576"/>
      <c r="D573" s="589"/>
      <c r="E573" s="132"/>
      <c r="F573" s="474"/>
      <c r="G573" s="309"/>
      <c r="H573" s="309"/>
    </row>
    <row r="574" spans="2:8" ht="24.95" customHeight="1" x14ac:dyDescent="0.25">
      <c r="B574" s="474"/>
      <c r="C574" s="576"/>
      <c r="D574" s="589"/>
      <c r="E574" s="132"/>
      <c r="F574" s="474"/>
      <c r="G574" s="309"/>
      <c r="H574" s="309"/>
    </row>
    <row r="575" spans="2:8" ht="24.95" customHeight="1" x14ac:dyDescent="0.25">
      <c r="B575" s="474"/>
      <c r="C575" s="576"/>
      <c r="D575" s="589"/>
      <c r="E575" s="132"/>
      <c r="F575" s="474"/>
      <c r="G575" s="309"/>
      <c r="H575" s="309"/>
    </row>
    <row r="576" spans="2:8" ht="24.95" customHeight="1" x14ac:dyDescent="0.25">
      <c r="B576" s="474"/>
      <c r="C576" s="576"/>
      <c r="D576" s="589"/>
      <c r="E576" s="132"/>
      <c r="F576" s="474"/>
      <c r="G576" s="309"/>
      <c r="H576" s="309"/>
    </row>
    <row r="577" spans="2:8" ht="24.95" customHeight="1" x14ac:dyDescent="0.25">
      <c r="B577" s="474"/>
      <c r="C577" s="576"/>
      <c r="D577" s="589"/>
      <c r="E577" s="132"/>
      <c r="F577" s="474"/>
      <c r="G577" s="309"/>
      <c r="H577" s="309"/>
    </row>
    <row r="578" spans="2:8" ht="24.95" customHeight="1" x14ac:dyDescent="0.25">
      <c r="B578" s="474"/>
      <c r="C578" s="576"/>
      <c r="D578" s="589"/>
      <c r="E578" s="132"/>
      <c r="F578" s="474"/>
      <c r="G578" s="309"/>
      <c r="H578" s="309"/>
    </row>
    <row r="579" spans="2:8" ht="24.95" customHeight="1" x14ac:dyDescent="0.25">
      <c r="B579" s="474"/>
      <c r="C579" s="576"/>
      <c r="D579" s="589"/>
      <c r="E579" s="132"/>
      <c r="F579" s="474"/>
      <c r="G579" s="309"/>
      <c r="H579" s="309"/>
    </row>
    <row r="580" spans="2:8" ht="24.95" customHeight="1" x14ac:dyDescent="0.25">
      <c r="B580" s="474"/>
      <c r="C580" s="576"/>
      <c r="D580" s="589"/>
      <c r="E580" s="132"/>
      <c r="F580" s="474"/>
      <c r="G580" s="309"/>
      <c r="H580" s="309"/>
    </row>
    <row r="581" spans="2:8" ht="24.95" customHeight="1" x14ac:dyDescent="0.25">
      <c r="B581" s="474"/>
      <c r="C581" s="576"/>
      <c r="D581" s="589"/>
      <c r="E581" s="132"/>
      <c r="F581" s="474"/>
      <c r="G581" s="309"/>
      <c r="H581" s="309"/>
    </row>
    <row r="582" spans="2:8" ht="24.95" customHeight="1" x14ac:dyDescent="0.25">
      <c r="B582" s="474"/>
      <c r="C582" s="576"/>
      <c r="D582" s="589"/>
      <c r="E582" s="132"/>
      <c r="F582" s="474"/>
      <c r="G582" s="309"/>
      <c r="H582" s="309"/>
    </row>
    <row r="583" spans="2:8" ht="24.95" customHeight="1" x14ac:dyDescent="0.25">
      <c r="B583" s="474"/>
      <c r="C583" s="576"/>
      <c r="D583" s="589"/>
      <c r="E583" s="132"/>
      <c r="F583" s="474"/>
      <c r="G583" s="309"/>
      <c r="H583" s="309"/>
    </row>
    <row r="584" spans="2:8" ht="24.95" customHeight="1" x14ac:dyDescent="0.25">
      <c r="B584" s="474"/>
      <c r="C584" s="576"/>
      <c r="D584" s="589"/>
      <c r="E584" s="132"/>
      <c r="F584" s="474"/>
      <c r="G584" s="309"/>
      <c r="H584" s="309"/>
    </row>
    <row r="585" spans="2:8" ht="24.95" customHeight="1" x14ac:dyDescent="0.25">
      <c r="B585" s="474"/>
      <c r="C585" s="576"/>
      <c r="D585" s="589"/>
      <c r="E585" s="132"/>
      <c r="F585" s="474"/>
      <c r="G585" s="309"/>
      <c r="H585" s="309"/>
    </row>
    <row r="586" spans="2:8" ht="24.95" customHeight="1" x14ac:dyDescent="0.25">
      <c r="B586" s="474"/>
      <c r="C586" s="576"/>
      <c r="D586" s="589"/>
      <c r="E586" s="132"/>
      <c r="F586" s="474"/>
      <c r="G586" s="309"/>
      <c r="H586" s="309"/>
    </row>
    <row r="587" spans="2:8" ht="24.95" customHeight="1" x14ac:dyDescent="0.25">
      <c r="B587" s="474"/>
      <c r="C587" s="576"/>
      <c r="D587" s="589"/>
      <c r="E587" s="132"/>
      <c r="F587" s="474"/>
      <c r="G587" s="309"/>
      <c r="H587" s="309"/>
    </row>
    <row r="588" spans="2:8" ht="24.95" customHeight="1" x14ac:dyDescent="0.25">
      <c r="B588" s="474"/>
      <c r="C588" s="576"/>
      <c r="D588" s="589"/>
      <c r="E588" s="132"/>
      <c r="F588" s="474"/>
      <c r="G588" s="309"/>
      <c r="H588" s="309"/>
    </row>
    <row r="589" spans="2:8" ht="24.95" customHeight="1" x14ac:dyDescent="0.25">
      <c r="B589" s="474"/>
      <c r="C589" s="576"/>
      <c r="D589" s="589"/>
      <c r="E589" s="132"/>
      <c r="F589" s="474"/>
      <c r="G589" s="309"/>
      <c r="H589" s="309"/>
    </row>
    <row r="590" spans="2:8" ht="24.95" customHeight="1" x14ac:dyDescent="0.25">
      <c r="B590" s="474"/>
      <c r="C590" s="576"/>
      <c r="D590" s="589"/>
      <c r="E590" s="132"/>
      <c r="F590" s="474"/>
      <c r="G590" s="309"/>
      <c r="H590" s="309"/>
    </row>
    <row r="591" spans="2:8" ht="24.95" customHeight="1" x14ac:dyDescent="0.25">
      <c r="B591" s="474"/>
      <c r="C591" s="576"/>
      <c r="D591" s="589"/>
      <c r="E591" s="132"/>
      <c r="F591" s="474"/>
      <c r="G591" s="309"/>
      <c r="H591" s="309"/>
    </row>
    <row r="592" spans="2:8" ht="24.95" customHeight="1" x14ac:dyDescent="0.25">
      <c r="B592" s="474"/>
      <c r="C592" s="576"/>
      <c r="D592" s="589"/>
      <c r="E592" s="132"/>
      <c r="F592" s="474"/>
      <c r="G592" s="309"/>
      <c r="H592" s="309"/>
    </row>
    <row r="593" spans="2:8" ht="24.95" customHeight="1" x14ac:dyDescent="0.25">
      <c r="B593" s="474"/>
      <c r="C593" s="576"/>
      <c r="D593" s="589"/>
      <c r="E593" s="132"/>
      <c r="F593" s="474"/>
      <c r="G593" s="309"/>
      <c r="H593" s="309"/>
    </row>
    <row r="594" spans="2:8" ht="24.95" customHeight="1" x14ac:dyDescent="0.25">
      <c r="B594" s="474"/>
      <c r="C594" s="576"/>
      <c r="D594" s="589"/>
      <c r="E594" s="132"/>
      <c r="F594" s="474"/>
      <c r="G594" s="309"/>
      <c r="H594" s="309"/>
    </row>
    <row r="595" spans="2:8" ht="24.95" customHeight="1" x14ac:dyDescent="0.25">
      <c r="B595" s="474"/>
      <c r="C595" s="576"/>
      <c r="D595" s="589"/>
      <c r="E595" s="132"/>
      <c r="F595" s="474"/>
      <c r="G595" s="309"/>
      <c r="H595" s="309"/>
    </row>
    <row r="596" spans="2:8" ht="24.95" customHeight="1" x14ac:dyDescent="0.25">
      <c r="B596" s="474"/>
      <c r="C596" s="576"/>
      <c r="D596" s="589"/>
      <c r="E596" s="132"/>
      <c r="F596" s="474"/>
      <c r="G596" s="309"/>
      <c r="H596" s="309"/>
    </row>
    <row r="597" spans="2:8" ht="24.95" customHeight="1" x14ac:dyDescent="0.25">
      <c r="B597" s="474"/>
      <c r="C597" s="576"/>
      <c r="D597" s="589"/>
      <c r="E597" s="132"/>
      <c r="F597" s="474"/>
      <c r="G597" s="309"/>
      <c r="H597" s="309"/>
    </row>
    <row r="598" spans="2:8" ht="24.95" customHeight="1" x14ac:dyDescent="0.25">
      <c r="B598" s="474"/>
      <c r="C598" s="576"/>
      <c r="D598" s="589"/>
      <c r="E598" s="132"/>
      <c r="F598" s="474"/>
      <c r="G598" s="309"/>
      <c r="H598" s="309"/>
    </row>
    <row r="599" spans="2:8" ht="24.95" customHeight="1" x14ac:dyDescent="0.25">
      <c r="B599" s="474"/>
      <c r="C599" s="576"/>
      <c r="D599" s="589"/>
      <c r="E599" s="132"/>
      <c r="F599" s="474"/>
      <c r="G599" s="309"/>
      <c r="H599" s="309"/>
    </row>
    <row r="600" spans="2:8" ht="24.95" customHeight="1" x14ac:dyDescent="0.25">
      <c r="B600" s="474"/>
      <c r="C600" s="576"/>
      <c r="D600" s="589"/>
      <c r="E600" s="132"/>
      <c r="F600" s="474"/>
      <c r="G600" s="309"/>
      <c r="H600" s="309"/>
    </row>
    <row r="601" spans="2:8" ht="24.95" customHeight="1" x14ac:dyDescent="0.25">
      <c r="B601" s="474"/>
      <c r="C601" s="576"/>
      <c r="D601" s="589"/>
      <c r="E601" s="132"/>
      <c r="F601" s="474"/>
      <c r="G601" s="309"/>
      <c r="H601" s="309"/>
    </row>
    <row r="602" spans="2:8" ht="24.95" customHeight="1" x14ac:dyDescent="0.25">
      <c r="B602" s="474"/>
      <c r="C602" s="576"/>
      <c r="D602" s="589"/>
      <c r="E602" s="132"/>
      <c r="F602" s="474"/>
      <c r="G602" s="309"/>
      <c r="H602" s="309"/>
    </row>
    <row r="603" spans="2:8" ht="24.95" customHeight="1" x14ac:dyDescent="0.25">
      <c r="B603" s="474"/>
      <c r="C603" s="576"/>
      <c r="D603" s="589"/>
      <c r="E603" s="132"/>
      <c r="F603" s="474"/>
      <c r="G603" s="309"/>
      <c r="H603" s="309"/>
    </row>
    <row r="604" spans="2:8" ht="24.95" customHeight="1" x14ac:dyDescent="0.25">
      <c r="B604" s="474"/>
      <c r="C604" s="576"/>
      <c r="D604" s="589"/>
      <c r="E604" s="132"/>
      <c r="F604" s="474"/>
      <c r="G604" s="309"/>
      <c r="H604" s="309"/>
    </row>
    <row r="605" spans="2:8" ht="24.95" customHeight="1" x14ac:dyDescent="0.25">
      <c r="B605" s="474"/>
      <c r="C605" s="576"/>
      <c r="D605" s="589"/>
      <c r="E605" s="132"/>
      <c r="F605" s="474"/>
      <c r="G605" s="309"/>
      <c r="H605" s="309"/>
    </row>
    <row r="606" spans="2:8" ht="24.95" customHeight="1" x14ac:dyDescent="0.25">
      <c r="B606" s="474"/>
      <c r="C606" s="576"/>
      <c r="D606" s="589"/>
      <c r="E606" s="132"/>
      <c r="F606" s="474"/>
      <c r="G606" s="309"/>
      <c r="H606" s="309"/>
    </row>
    <row r="607" spans="2:8" ht="24.95" customHeight="1" x14ac:dyDescent="0.25">
      <c r="B607" s="474"/>
      <c r="C607" s="576"/>
      <c r="D607" s="589"/>
      <c r="E607" s="132"/>
      <c r="F607" s="474"/>
      <c r="G607" s="309"/>
      <c r="H607" s="309"/>
    </row>
    <row r="608" spans="2:8" ht="24.95" customHeight="1" x14ac:dyDescent="0.25">
      <c r="B608" s="474"/>
      <c r="C608" s="576"/>
      <c r="D608" s="589"/>
      <c r="E608" s="132"/>
      <c r="F608" s="474"/>
      <c r="G608" s="309"/>
      <c r="H608" s="309"/>
    </row>
    <row r="609" spans="2:8" ht="24.95" customHeight="1" x14ac:dyDescent="0.25">
      <c r="B609" s="474"/>
      <c r="C609" s="576"/>
      <c r="D609" s="589"/>
      <c r="E609" s="132"/>
      <c r="F609" s="474"/>
      <c r="G609" s="309"/>
      <c r="H609" s="309"/>
    </row>
    <row r="610" spans="2:8" ht="24.95" customHeight="1" x14ac:dyDescent="0.25">
      <c r="B610" s="474"/>
      <c r="C610" s="576"/>
      <c r="D610" s="589"/>
      <c r="E610" s="132"/>
      <c r="F610" s="474"/>
      <c r="G610" s="309"/>
      <c r="H610" s="309"/>
    </row>
    <row r="611" spans="2:8" ht="24.95" customHeight="1" x14ac:dyDescent="0.25">
      <c r="B611" s="474"/>
      <c r="C611" s="576"/>
      <c r="D611" s="589"/>
      <c r="E611" s="132"/>
      <c r="F611" s="474"/>
      <c r="G611" s="309"/>
      <c r="H611" s="309"/>
    </row>
    <row r="612" spans="2:8" ht="24.95" customHeight="1" x14ac:dyDescent="0.25">
      <c r="B612" s="474"/>
      <c r="C612" s="576"/>
      <c r="D612" s="589"/>
      <c r="E612" s="132"/>
      <c r="F612" s="474"/>
      <c r="G612" s="309"/>
      <c r="H612" s="309"/>
    </row>
    <row r="613" spans="2:8" ht="24.95" customHeight="1" x14ac:dyDescent="0.25">
      <c r="B613" s="474"/>
      <c r="C613" s="576"/>
      <c r="D613" s="589"/>
      <c r="E613" s="132"/>
      <c r="F613" s="474"/>
      <c r="G613" s="309"/>
      <c r="H613" s="309"/>
    </row>
    <row r="614" spans="2:8" ht="24.95" customHeight="1" x14ac:dyDescent="0.25">
      <c r="B614" s="474"/>
      <c r="C614" s="576"/>
      <c r="D614" s="589"/>
      <c r="E614" s="132"/>
      <c r="F614" s="474"/>
      <c r="G614" s="309"/>
      <c r="H614" s="309"/>
    </row>
    <row r="615" spans="2:8" ht="24.95" customHeight="1" x14ac:dyDescent="0.25">
      <c r="B615" s="474"/>
      <c r="C615" s="576"/>
      <c r="D615" s="589"/>
      <c r="E615" s="132"/>
      <c r="F615" s="474"/>
      <c r="G615" s="309"/>
      <c r="H615" s="309"/>
    </row>
    <row r="616" spans="2:8" ht="24.95" customHeight="1" x14ac:dyDescent="0.25">
      <c r="B616" s="474"/>
      <c r="C616" s="576"/>
      <c r="D616" s="589"/>
      <c r="E616" s="132"/>
      <c r="F616" s="474"/>
      <c r="G616" s="309"/>
      <c r="H616" s="309"/>
    </row>
    <row r="617" spans="2:8" ht="24.95" customHeight="1" x14ac:dyDescent="0.25">
      <c r="B617" s="474"/>
      <c r="C617" s="576"/>
      <c r="D617" s="589"/>
      <c r="E617" s="132"/>
      <c r="F617" s="474"/>
      <c r="G617" s="309"/>
      <c r="H617" s="309"/>
    </row>
    <row r="618" spans="2:8" ht="24.95" customHeight="1" x14ac:dyDescent="0.25">
      <c r="B618" s="474"/>
      <c r="C618" s="576"/>
      <c r="D618" s="589"/>
      <c r="E618" s="132"/>
      <c r="F618" s="474"/>
      <c r="G618" s="309"/>
      <c r="H618" s="309"/>
    </row>
    <row r="619" spans="2:8" ht="24.95" customHeight="1" x14ac:dyDescent="0.25">
      <c r="B619" s="474"/>
      <c r="C619" s="576"/>
      <c r="D619" s="589"/>
      <c r="E619" s="132"/>
      <c r="F619" s="474"/>
      <c r="G619" s="309"/>
      <c r="H619" s="309"/>
    </row>
    <row r="620" spans="2:8" ht="24.95" customHeight="1" x14ac:dyDescent="0.25">
      <c r="B620" s="474"/>
      <c r="C620" s="576"/>
      <c r="D620" s="589"/>
      <c r="E620" s="132"/>
      <c r="F620" s="474"/>
      <c r="G620" s="309"/>
      <c r="H620" s="309"/>
    </row>
    <row r="621" spans="2:8" ht="24.95" customHeight="1" x14ac:dyDescent="0.25">
      <c r="B621" s="474"/>
      <c r="C621" s="576"/>
      <c r="D621" s="589"/>
      <c r="E621" s="132"/>
      <c r="F621" s="474"/>
      <c r="G621" s="309"/>
      <c r="H621" s="309"/>
    </row>
    <row r="622" spans="2:8" ht="24.95" customHeight="1" x14ac:dyDescent="0.25">
      <c r="B622" s="474"/>
      <c r="C622" s="576"/>
      <c r="D622" s="589"/>
      <c r="E622" s="132"/>
      <c r="F622" s="474"/>
      <c r="G622" s="309"/>
      <c r="H622" s="309"/>
    </row>
    <row r="623" spans="2:8" ht="24.95" customHeight="1" x14ac:dyDescent="0.25">
      <c r="B623" s="474"/>
      <c r="C623" s="576"/>
      <c r="D623" s="589"/>
      <c r="E623" s="132"/>
      <c r="F623" s="474"/>
      <c r="G623" s="309"/>
      <c r="H623" s="309"/>
    </row>
    <row r="624" spans="2:8" ht="24.95" customHeight="1" x14ac:dyDescent="0.25">
      <c r="B624" s="474"/>
      <c r="C624" s="576"/>
      <c r="D624" s="589"/>
      <c r="E624" s="132"/>
      <c r="F624" s="474"/>
      <c r="G624" s="309"/>
      <c r="H624" s="309"/>
    </row>
    <row r="625" spans="2:8" ht="24.95" customHeight="1" x14ac:dyDescent="0.25">
      <c r="B625" s="474"/>
      <c r="C625" s="576"/>
      <c r="D625" s="589"/>
      <c r="E625" s="132"/>
      <c r="F625" s="474"/>
      <c r="G625" s="309"/>
      <c r="H625" s="309"/>
    </row>
    <row r="626" spans="2:8" ht="24.95" customHeight="1" x14ac:dyDescent="0.25">
      <c r="B626" s="474"/>
      <c r="C626" s="576"/>
      <c r="D626" s="589"/>
      <c r="E626" s="132"/>
      <c r="F626" s="474"/>
      <c r="G626" s="309"/>
      <c r="H626" s="309"/>
    </row>
    <row r="627" spans="2:8" ht="24.95" customHeight="1" x14ac:dyDescent="0.25">
      <c r="B627" s="474"/>
      <c r="C627" s="576"/>
      <c r="D627" s="589"/>
      <c r="E627" s="132"/>
      <c r="F627" s="474"/>
      <c r="G627" s="309"/>
      <c r="H627" s="309"/>
    </row>
    <row r="628" spans="2:8" ht="24.95" customHeight="1" x14ac:dyDescent="0.25">
      <c r="B628" s="474"/>
      <c r="C628" s="576"/>
      <c r="D628" s="589"/>
      <c r="E628" s="132"/>
      <c r="F628" s="474"/>
      <c r="G628" s="309"/>
      <c r="H628" s="309"/>
    </row>
    <row r="629" spans="2:8" ht="24.95" customHeight="1" x14ac:dyDescent="0.25">
      <c r="B629" s="474"/>
      <c r="C629" s="576"/>
      <c r="D629" s="589"/>
      <c r="E629" s="132"/>
      <c r="F629" s="474"/>
      <c r="G629" s="309"/>
      <c r="H629" s="309"/>
    </row>
    <row r="630" spans="2:8" ht="24.95" customHeight="1" x14ac:dyDescent="0.25">
      <c r="B630" s="474"/>
      <c r="C630" s="576"/>
      <c r="D630" s="589"/>
      <c r="E630" s="132"/>
      <c r="F630" s="474"/>
      <c r="G630" s="309"/>
      <c r="H630" s="309"/>
    </row>
    <row r="631" spans="2:8" ht="24.95" customHeight="1" x14ac:dyDescent="0.25">
      <c r="B631" s="474"/>
      <c r="C631" s="576"/>
      <c r="D631" s="589"/>
      <c r="E631" s="132"/>
      <c r="F631" s="474"/>
      <c r="G631" s="309"/>
      <c r="H631" s="309"/>
    </row>
    <row r="632" spans="2:8" ht="24.95" customHeight="1" x14ac:dyDescent="0.25">
      <c r="B632" s="474"/>
      <c r="C632" s="576"/>
      <c r="D632" s="589"/>
      <c r="E632" s="132"/>
      <c r="F632" s="474"/>
      <c r="G632" s="309"/>
      <c r="H632" s="309"/>
    </row>
    <row r="633" spans="2:8" ht="24.95" customHeight="1" x14ac:dyDescent="0.25">
      <c r="B633" s="474"/>
      <c r="C633" s="576"/>
      <c r="D633" s="589"/>
      <c r="E633" s="132"/>
      <c r="F633" s="474"/>
      <c r="G633" s="309"/>
      <c r="H633" s="309"/>
    </row>
    <row r="634" spans="2:8" ht="24.95" customHeight="1" x14ac:dyDescent="0.25">
      <c r="B634" s="474"/>
      <c r="C634" s="576"/>
      <c r="D634" s="589"/>
      <c r="E634" s="132"/>
      <c r="F634" s="474"/>
      <c r="G634" s="309"/>
      <c r="H634" s="309"/>
    </row>
    <row r="635" spans="2:8" ht="24.95" customHeight="1" x14ac:dyDescent="0.25">
      <c r="B635" s="474"/>
      <c r="C635" s="576"/>
      <c r="D635" s="589"/>
      <c r="E635" s="132"/>
      <c r="F635" s="474"/>
      <c r="G635" s="309"/>
      <c r="H635" s="309"/>
    </row>
    <row r="636" spans="2:8" ht="24.95" customHeight="1" x14ac:dyDescent="0.25">
      <c r="B636" s="474"/>
      <c r="C636" s="576"/>
      <c r="D636" s="589"/>
      <c r="E636" s="132"/>
      <c r="F636" s="474"/>
      <c r="G636" s="309"/>
      <c r="H636" s="309"/>
    </row>
    <row r="637" spans="2:8" ht="24.95" customHeight="1" x14ac:dyDescent="0.25">
      <c r="B637" s="474"/>
      <c r="C637" s="576"/>
      <c r="D637" s="589"/>
      <c r="E637" s="132"/>
      <c r="F637" s="474"/>
      <c r="G637" s="309"/>
      <c r="H637" s="309"/>
    </row>
    <row r="638" spans="2:8" ht="24.95" customHeight="1" x14ac:dyDescent="0.25">
      <c r="B638" s="474"/>
      <c r="C638" s="576"/>
      <c r="D638" s="589"/>
      <c r="E638" s="132"/>
      <c r="F638" s="474"/>
      <c r="G638" s="309"/>
      <c r="H638" s="309"/>
    </row>
    <row r="639" spans="2:8" ht="24.95" customHeight="1" x14ac:dyDescent="0.25">
      <c r="B639" s="474"/>
      <c r="C639" s="576"/>
      <c r="D639" s="589"/>
      <c r="E639" s="132"/>
      <c r="F639" s="474"/>
      <c r="G639" s="309"/>
      <c r="H639" s="309"/>
    </row>
    <row r="640" spans="2:8" ht="24.95" customHeight="1" x14ac:dyDescent="0.25">
      <c r="B640" s="474"/>
      <c r="C640" s="576"/>
      <c r="D640" s="589"/>
      <c r="E640" s="132"/>
      <c r="F640" s="474"/>
      <c r="G640" s="309"/>
      <c r="H640" s="309"/>
    </row>
    <row r="641" spans="2:8" ht="24.95" customHeight="1" x14ac:dyDescent="0.25">
      <c r="B641" s="474"/>
      <c r="C641" s="576"/>
      <c r="D641" s="589"/>
      <c r="E641" s="132"/>
      <c r="F641" s="474"/>
      <c r="G641" s="309"/>
      <c r="H641" s="309"/>
    </row>
    <row r="642" spans="2:8" ht="24.95" customHeight="1" x14ac:dyDescent="0.25">
      <c r="B642" s="474"/>
      <c r="C642" s="576"/>
      <c r="D642" s="589"/>
      <c r="E642" s="132"/>
      <c r="F642" s="474"/>
      <c r="G642" s="309"/>
      <c r="H642" s="309"/>
    </row>
    <row r="643" spans="2:8" ht="24.95" customHeight="1" x14ac:dyDescent="0.25">
      <c r="B643" s="474"/>
      <c r="C643" s="576"/>
      <c r="D643" s="589"/>
      <c r="E643" s="132"/>
      <c r="F643" s="474"/>
      <c r="G643" s="309"/>
      <c r="H643" s="309"/>
    </row>
    <row r="644" spans="2:8" ht="24.95" customHeight="1" x14ac:dyDescent="0.25">
      <c r="B644" s="474"/>
      <c r="C644" s="576"/>
      <c r="D644" s="589"/>
      <c r="E644" s="132"/>
      <c r="F644" s="474"/>
      <c r="G644" s="309"/>
      <c r="H644" s="309"/>
    </row>
    <row r="645" spans="2:8" ht="24.95" customHeight="1" x14ac:dyDescent="0.25">
      <c r="B645" s="474"/>
      <c r="C645" s="576"/>
      <c r="D645" s="589"/>
      <c r="E645" s="132"/>
      <c r="F645" s="474"/>
      <c r="G645" s="309"/>
      <c r="H645" s="309"/>
    </row>
    <row r="646" spans="2:8" ht="24.95" customHeight="1" x14ac:dyDescent="0.25">
      <c r="B646" s="474"/>
      <c r="C646" s="576"/>
      <c r="D646" s="589"/>
      <c r="E646" s="132"/>
      <c r="F646" s="474"/>
      <c r="G646" s="309"/>
      <c r="H646" s="309"/>
    </row>
    <row r="647" spans="2:8" ht="24.95" customHeight="1" x14ac:dyDescent="0.25">
      <c r="B647" s="474"/>
      <c r="C647" s="576"/>
      <c r="D647" s="589"/>
      <c r="E647" s="132"/>
      <c r="F647" s="474"/>
      <c r="G647" s="309"/>
      <c r="H647" s="309"/>
    </row>
    <row r="648" spans="2:8" ht="24.95" customHeight="1" x14ac:dyDescent="0.25">
      <c r="B648" s="474"/>
      <c r="C648" s="576"/>
      <c r="D648" s="589"/>
      <c r="E648" s="132"/>
      <c r="F648" s="474"/>
      <c r="G648" s="309"/>
      <c r="H648" s="309"/>
    </row>
    <row r="649" spans="2:8" ht="24.95" customHeight="1" x14ac:dyDescent="0.25">
      <c r="B649" s="474"/>
      <c r="C649" s="576"/>
      <c r="D649" s="589"/>
      <c r="E649" s="132"/>
      <c r="F649" s="474"/>
      <c r="G649" s="309"/>
      <c r="H649" s="309"/>
    </row>
    <row r="650" spans="2:8" ht="24.95" customHeight="1" x14ac:dyDescent="0.25">
      <c r="B650" s="474"/>
      <c r="C650" s="576"/>
      <c r="D650" s="589"/>
      <c r="E650" s="132"/>
      <c r="F650" s="474"/>
      <c r="G650" s="309"/>
      <c r="H650" s="309"/>
    </row>
    <row r="651" spans="2:8" ht="24.95" customHeight="1" x14ac:dyDescent="0.25">
      <c r="B651" s="474"/>
      <c r="C651" s="576"/>
      <c r="D651" s="589"/>
      <c r="E651" s="132"/>
      <c r="F651" s="474"/>
      <c r="G651" s="309"/>
      <c r="H651" s="309"/>
    </row>
    <row r="652" spans="2:8" ht="24.95" customHeight="1" x14ac:dyDescent="0.25">
      <c r="B652" s="474"/>
      <c r="C652" s="576"/>
      <c r="D652" s="589"/>
      <c r="E652" s="132"/>
      <c r="F652" s="474"/>
      <c r="G652" s="309"/>
      <c r="H652" s="309"/>
    </row>
    <row r="653" spans="2:8" ht="24.95" customHeight="1" x14ac:dyDescent="0.25">
      <c r="B653" s="474"/>
      <c r="C653" s="576"/>
      <c r="D653" s="589"/>
      <c r="E653" s="132"/>
      <c r="F653" s="474"/>
      <c r="G653" s="309"/>
      <c r="H653" s="309"/>
    </row>
    <row r="654" spans="2:8" ht="24.95" customHeight="1" x14ac:dyDescent="0.25">
      <c r="B654" s="474"/>
      <c r="C654" s="576"/>
      <c r="D654" s="589"/>
      <c r="E654" s="132"/>
      <c r="F654" s="474"/>
      <c r="G654" s="309"/>
      <c r="H654" s="309"/>
    </row>
    <row r="655" spans="2:8" ht="24.95" customHeight="1" x14ac:dyDescent="0.25">
      <c r="B655" s="474"/>
      <c r="C655" s="576"/>
      <c r="D655" s="589"/>
      <c r="E655" s="132"/>
      <c r="F655" s="474"/>
      <c r="G655" s="309"/>
      <c r="H655" s="309"/>
    </row>
    <row r="656" spans="2:8" ht="24.95" customHeight="1" x14ac:dyDescent="0.25">
      <c r="B656" s="474"/>
      <c r="C656" s="576"/>
      <c r="D656" s="589"/>
      <c r="E656" s="132"/>
      <c r="F656" s="474"/>
      <c r="G656" s="309"/>
      <c r="H656" s="309"/>
    </row>
    <row r="657" spans="2:8" ht="24.95" customHeight="1" x14ac:dyDescent="0.25">
      <c r="B657" s="474"/>
      <c r="C657" s="576"/>
      <c r="D657" s="589"/>
      <c r="E657" s="132"/>
      <c r="F657" s="474"/>
      <c r="G657" s="309"/>
      <c r="H657" s="309"/>
    </row>
    <row r="658" spans="2:8" ht="24.95" customHeight="1" x14ac:dyDescent="0.25">
      <c r="B658" s="474"/>
      <c r="C658" s="576"/>
      <c r="D658" s="589"/>
      <c r="E658" s="132"/>
      <c r="F658" s="474"/>
      <c r="G658" s="309"/>
      <c r="H658" s="309"/>
    </row>
    <row r="659" spans="2:8" ht="24.95" customHeight="1" x14ac:dyDescent="0.25">
      <c r="B659" s="474"/>
      <c r="C659" s="576"/>
      <c r="D659" s="589"/>
      <c r="E659" s="132"/>
      <c r="F659" s="474"/>
      <c r="G659" s="309"/>
      <c r="H659" s="309"/>
    </row>
    <row r="660" spans="2:8" ht="24.95" customHeight="1" x14ac:dyDescent="0.25">
      <c r="B660" s="474"/>
      <c r="C660" s="576"/>
      <c r="D660" s="589"/>
      <c r="E660" s="132"/>
      <c r="F660" s="474"/>
      <c r="G660" s="309"/>
      <c r="H660" s="309"/>
    </row>
    <row r="661" spans="2:8" ht="24.95" customHeight="1" x14ac:dyDescent="0.25">
      <c r="B661" s="474"/>
      <c r="C661" s="576"/>
      <c r="D661" s="589"/>
      <c r="E661" s="132"/>
      <c r="F661" s="474"/>
      <c r="G661" s="309"/>
      <c r="H661" s="309"/>
    </row>
    <row r="662" spans="2:8" ht="24.95" customHeight="1" x14ac:dyDescent="0.25">
      <c r="B662" s="474"/>
      <c r="C662" s="576"/>
      <c r="D662" s="589"/>
      <c r="E662" s="132"/>
      <c r="F662" s="474"/>
      <c r="G662" s="309"/>
      <c r="H662" s="309"/>
    </row>
    <row r="663" spans="2:8" ht="24.95" customHeight="1" x14ac:dyDescent="0.25">
      <c r="B663" s="474"/>
      <c r="C663" s="576"/>
      <c r="D663" s="589"/>
      <c r="E663" s="132"/>
      <c r="F663" s="474"/>
      <c r="G663" s="309"/>
      <c r="H663" s="309"/>
    </row>
    <row r="664" spans="2:8" ht="24.95" customHeight="1" x14ac:dyDescent="0.25">
      <c r="B664" s="474"/>
      <c r="C664" s="576"/>
      <c r="D664" s="589"/>
      <c r="E664" s="132"/>
      <c r="F664" s="474"/>
      <c r="G664" s="309"/>
      <c r="H664" s="309"/>
    </row>
    <row r="665" spans="2:8" ht="24.95" customHeight="1" x14ac:dyDescent="0.25">
      <c r="B665" s="474"/>
      <c r="C665" s="576"/>
      <c r="D665" s="589"/>
      <c r="E665" s="132"/>
      <c r="F665" s="474"/>
      <c r="G665" s="309"/>
      <c r="H665" s="309"/>
    </row>
    <row r="666" spans="2:8" ht="24.95" customHeight="1" x14ac:dyDescent="0.25">
      <c r="B666" s="474"/>
      <c r="C666" s="576"/>
      <c r="D666" s="589"/>
      <c r="E666" s="132"/>
      <c r="F666" s="474"/>
      <c r="G666" s="309"/>
      <c r="H666" s="309"/>
    </row>
    <row r="667" spans="2:8" ht="24.95" customHeight="1" x14ac:dyDescent="0.25">
      <c r="B667" s="474"/>
      <c r="C667" s="576"/>
      <c r="D667" s="589"/>
      <c r="E667" s="132"/>
      <c r="F667" s="474"/>
      <c r="G667" s="309"/>
      <c r="H667" s="309"/>
    </row>
    <row r="668" spans="2:8" ht="24.95" customHeight="1" x14ac:dyDescent="0.25">
      <c r="B668" s="474"/>
      <c r="C668" s="576"/>
      <c r="D668" s="589"/>
      <c r="E668" s="132"/>
      <c r="F668" s="474"/>
      <c r="G668" s="309"/>
      <c r="H668" s="309"/>
    </row>
    <row r="669" spans="2:8" ht="24.95" customHeight="1" x14ac:dyDescent="0.25">
      <c r="B669" s="474"/>
      <c r="C669" s="576"/>
      <c r="D669" s="589"/>
      <c r="E669" s="132"/>
      <c r="F669" s="474"/>
      <c r="G669" s="309"/>
      <c r="H669" s="309"/>
    </row>
    <row r="670" spans="2:8" ht="24.95" customHeight="1" x14ac:dyDescent="0.25">
      <c r="B670" s="474"/>
      <c r="C670" s="576"/>
      <c r="D670" s="589"/>
      <c r="E670" s="132"/>
      <c r="F670" s="474"/>
      <c r="G670" s="309"/>
      <c r="H670" s="309"/>
    </row>
    <row r="671" spans="2:8" ht="24.95" customHeight="1" x14ac:dyDescent="0.25">
      <c r="B671" s="474"/>
      <c r="C671" s="576"/>
      <c r="D671" s="589"/>
      <c r="E671" s="132"/>
      <c r="F671" s="474"/>
      <c r="G671" s="309"/>
      <c r="H671" s="309"/>
    </row>
    <row r="672" spans="2:8" ht="24.95" customHeight="1" x14ac:dyDescent="0.25">
      <c r="B672" s="474"/>
      <c r="C672" s="576"/>
      <c r="D672" s="589"/>
      <c r="E672" s="132"/>
      <c r="F672" s="474"/>
      <c r="G672" s="309"/>
      <c r="H672" s="309"/>
    </row>
    <row r="673" spans="2:8" ht="24.95" customHeight="1" x14ac:dyDescent="0.25">
      <c r="B673" s="474"/>
      <c r="C673" s="576"/>
      <c r="D673" s="589"/>
      <c r="E673" s="132"/>
      <c r="F673" s="474"/>
      <c r="G673" s="309"/>
      <c r="H673" s="309"/>
    </row>
    <row r="674" spans="2:8" ht="24.95" customHeight="1" x14ac:dyDescent="0.25">
      <c r="B674" s="474"/>
      <c r="C674" s="576"/>
      <c r="D674" s="589"/>
      <c r="E674" s="132"/>
      <c r="F674" s="474"/>
      <c r="G674" s="309"/>
      <c r="H674" s="309"/>
    </row>
    <row r="675" spans="2:8" ht="24.95" customHeight="1" x14ac:dyDescent="0.25">
      <c r="B675" s="474"/>
      <c r="C675" s="576"/>
      <c r="D675" s="589"/>
      <c r="E675" s="132"/>
      <c r="F675" s="474"/>
      <c r="G675" s="309"/>
      <c r="H675" s="309"/>
    </row>
    <row r="676" spans="2:8" ht="24.95" customHeight="1" x14ac:dyDescent="0.25">
      <c r="B676" s="474"/>
      <c r="C676" s="576"/>
      <c r="D676" s="589"/>
      <c r="E676" s="132"/>
      <c r="F676" s="474"/>
      <c r="G676" s="309"/>
      <c r="H676" s="309"/>
    </row>
    <row r="677" spans="2:8" ht="24.95" customHeight="1" x14ac:dyDescent="0.25">
      <c r="B677" s="474"/>
      <c r="C677" s="576"/>
      <c r="D677" s="589"/>
      <c r="E677" s="132"/>
      <c r="F677" s="474"/>
      <c r="G677" s="309"/>
      <c r="H677" s="309"/>
    </row>
    <row r="678" spans="2:8" ht="24.95" customHeight="1" x14ac:dyDescent="0.25">
      <c r="B678" s="474"/>
      <c r="C678" s="576"/>
      <c r="D678" s="589"/>
      <c r="E678" s="132"/>
      <c r="F678" s="474"/>
      <c r="G678" s="309"/>
      <c r="H678" s="309"/>
    </row>
    <row r="679" spans="2:8" ht="24.95" customHeight="1" x14ac:dyDescent="0.25">
      <c r="B679" s="474"/>
      <c r="C679" s="576"/>
      <c r="D679" s="589"/>
      <c r="E679" s="132"/>
      <c r="F679" s="474"/>
      <c r="G679" s="309"/>
      <c r="H679" s="309"/>
    </row>
    <row r="680" spans="2:8" ht="24.95" customHeight="1" x14ac:dyDescent="0.25">
      <c r="B680" s="474"/>
      <c r="C680" s="576"/>
      <c r="D680" s="589"/>
      <c r="E680" s="132"/>
      <c r="F680" s="474"/>
      <c r="G680" s="309"/>
      <c r="H680" s="309"/>
    </row>
    <row r="681" spans="2:8" ht="24.95" customHeight="1" x14ac:dyDescent="0.25">
      <c r="B681" s="474"/>
      <c r="C681" s="576"/>
      <c r="D681" s="589"/>
      <c r="E681" s="132"/>
      <c r="F681" s="474"/>
      <c r="G681" s="309"/>
      <c r="H681" s="309"/>
    </row>
    <row r="682" spans="2:8" ht="24.95" customHeight="1" x14ac:dyDescent="0.25">
      <c r="B682" s="474"/>
      <c r="C682" s="576"/>
      <c r="D682" s="589"/>
      <c r="E682" s="132"/>
      <c r="F682" s="474"/>
      <c r="G682" s="309"/>
      <c r="H682" s="309"/>
    </row>
    <row r="683" spans="2:8" ht="24.95" customHeight="1" x14ac:dyDescent="0.25">
      <c r="B683" s="474"/>
      <c r="C683" s="576"/>
      <c r="D683" s="589"/>
      <c r="E683" s="132"/>
      <c r="F683" s="474"/>
      <c r="G683" s="309"/>
      <c r="H683" s="309"/>
    </row>
    <row r="684" spans="2:8" ht="24.95" customHeight="1" x14ac:dyDescent="0.25">
      <c r="B684" s="474"/>
      <c r="C684" s="576"/>
      <c r="D684" s="589"/>
      <c r="E684" s="132"/>
      <c r="F684" s="474"/>
      <c r="G684" s="309"/>
      <c r="H684" s="309"/>
    </row>
    <row r="685" spans="2:8" ht="24.95" customHeight="1" x14ac:dyDescent="0.25">
      <c r="B685" s="474"/>
      <c r="C685" s="576"/>
      <c r="D685" s="589"/>
      <c r="E685" s="132"/>
      <c r="F685" s="474"/>
      <c r="G685" s="309"/>
      <c r="H685" s="309"/>
    </row>
    <row r="686" spans="2:8" ht="24.95" customHeight="1" x14ac:dyDescent="0.25">
      <c r="B686" s="474"/>
      <c r="C686" s="576"/>
      <c r="D686" s="589"/>
      <c r="E686" s="132"/>
      <c r="F686" s="474"/>
      <c r="G686" s="309"/>
      <c r="H686" s="309"/>
    </row>
    <row r="687" spans="2:8" ht="24.95" customHeight="1" x14ac:dyDescent="0.25">
      <c r="B687" s="474"/>
      <c r="C687" s="576"/>
      <c r="D687" s="589"/>
      <c r="E687" s="132"/>
      <c r="F687" s="474"/>
      <c r="G687" s="309"/>
      <c r="H687" s="309"/>
    </row>
    <row r="688" spans="2:8" ht="24.95" customHeight="1" x14ac:dyDescent="0.25">
      <c r="B688" s="474"/>
      <c r="C688" s="576"/>
      <c r="D688" s="589"/>
      <c r="E688" s="132"/>
      <c r="F688" s="474"/>
      <c r="G688" s="309"/>
      <c r="H688" s="309"/>
    </row>
    <row r="689" spans="2:8" ht="24.95" customHeight="1" x14ac:dyDescent="0.25">
      <c r="B689" s="474"/>
      <c r="C689" s="576"/>
      <c r="D689" s="589"/>
      <c r="E689" s="132"/>
      <c r="F689" s="474"/>
      <c r="G689" s="309"/>
      <c r="H689" s="309"/>
    </row>
    <row r="690" spans="2:8" ht="24.95" customHeight="1" x14ac:dyDescent="0.25">
      <c r="B690" s="474"/>
      <c r="C690" s="576"/>
      <c r="D690" s="589"/>
      <c r="E690" s="132"/>
      <c r="F690" s="474"/>
      <c r="G690" s="309"/>
      <c r="H690" s="309"/>
    </row>
    <row r="691" spans="2:8" ht="24.95" customHeight="1" x14ac:dyDescent="0.25">
      <c r="B691" s="474"/>
      <c r="C691" s="576"/>
      <c r="D691" s="589"/>
      <c r="E691" s="132"/>
      <c r="F691" s="474"/>
      <c r="G691" s="309"/>
      <c r="H691" s="309"/>
    </row>
    <row r="692" spans="2:8" ht="24.95" customHeight="1" x14ac:dyDescent="0.25">
      <c r="B692" s="474"/>
      <c r="C692" s="576"/>
      <c r="D692" s="589"/>
      <c r="E692" s="132"/>
      <c r="F692" s="474"/>
      <c r="G692" s="309"/>
      <c r="H692" s="309"/>
    </row>
    <row r="693" spans="2:8" ht="24.95" customHeight="1" x14ac:dyDescent="0.25">
      <c r="B693" s="474"/>
      <c r="C693" s="576"/>
      <c r="D693" s="589"/>
      <c r="E693" s="132"/>
      <c r="F693" s="474"/>
      <c r="G693" s="309"/>
      <c r="H693" s="309"/>
    </row>
    <row r="694" spans="2:8" ht="24.95" customHeight="1" x14ac:dyDescent="0.25">
      <c r="B694" s="474"/>
      <c r="C694" s="576"/>
      <c r="D694" s="589"/>
      <c r="E694" s="132"/>
      <c r="F694" s="474"/>
      <c r="G694" s="309"/>
      <c r="H694" s="309"/>
    </row>
    <row r="695" spans="2:8" ht="24.95" customHeight="1" x14ac:dyDescent="0.25">
      <c r="B695" s="474"/>
      <c r="C695" s="576"/>
      <c r="D695" s="589"/>
      <c r="E695" s="132"/>
      <c r="F695" s="474"/>
      <c r="G695" s="309"/>
      <c r="H695" s="309"/>
    </row>
    <row r="696" spans="2:8" ht="24.95" customHeight="1" x14ac:dyDescent="0.25">
      <c r="B696" s="474"/>
      <c r="C696" s="576"/>
      <c r="D696" s="589"/>
      <c r="E696" s="132"/>
      <c r="F696" s="474"/>
      <c r="G696" s="309"/>
      <c r="H696" s="309"/>
    </row>
    <row r="697" spans="2:8" ht="24.95" customHeight="1" x14ac:dyDescent="0.25">
      <c r="B697" s="474"/>
      <c r="C697" s="576"/>
      <c r="D697" s="589"/>
      <c r="E697" s="132"/>
      <c r="F697" s="474"/>
      <c r="G697" s="309"/>
      <c r="H697" s="309"/>
    </row>
    <row r="698" spans="2:8" ht="24.95" customHeight="1" x14ac:dyDescent="0.25">
      <c r="B698" s="474"/>
      <c r="C698" s="576"/>
      <c r="D698" s="589"/>
      <c r="E698" s="132"/>
      <c r="F698" s="474"/>
      <c r="G698" s="309"/>
      <c r="H698" s="309"/>
    </row>
    <row r="699" spans="2:8" ht="24.95" customHeight="1" x14ac:dyDescent="0.25">
      <c r="B699" s="474"/>
      <c r="C699" s="576"/>
      <c r="D699" s="589"/>
      <c r="E699" s="132"/>
      <c r="F699" s="474"/>
      <c r="G699" s="309"/>
      <c r="H699" s="309"/>
    </row>
    <row r="700" spans="2:8" ht="24.95" customHeight="1" x14ac:dyDescent="0.25">
      <c r="B700" s="474"/>
      <c r="C700" s="576"/>
      <c r="D700" s="589"/>
      <c r="E700" s="132"/>
      <c r="F700" s="474"/>
      <c r="G700" s="309"/>
      <c r="H700" s="309"/>
    </row>
    <row r="701" spans="2:8" ht="24.95" customHeight="1" x14ac:dyDescent="0.25">
      <c r="B701" s="474"/>
      <c r="C701" s="576"/>
      <c r="D701" s="589"/>
      <c r="E701" s="132"/>
      <c r="F701" s="474"/>
      <c r="G701" s="309"/>
      <c r="H701" s="309"/>
    </row>
    <row r="702" spans="2:8" ht="24.95" customHeight="1" x14ac:dyDescent="0.25">
      <c r="B702" s="474"/>
      <c r="C702" s="576"/>
      <c r="D702" s="589"/>
      <c r="E702" s="132"/>
      <c r="F702" s="474"/>
      <c r="G702" s="309"/>
      <c r="H702" s="309"/>
    </row>
    <row r="703" spans="2:8" ht="24.95" customHeight="1" x14ac:dyDescent="0.25">
      <c r="B703" s="474"/>
      <c r="C703" s="576"/>
      <c r="D703" s="589"/>
      <c r="E703" s="132"/>
      <c r="F703" s="474"/>
      <c r="G703" s="309"/>
      <c r="H703" s="309"/>
    </row>
    <row r="704" spans="2:8" ht="24.95" customHeight="1" x14ac:dyDescent="0.25">
      <c r="B704" s="474"/>
      <c r="C704" s="576"/>
      <c r="D704" s="589"/>
      <c r="E704" s="132"/>
      <c r="F704" s="474"/>
      <c r="G704" s="309"/>
      <c r="H704" s="309"/>
    </row>
    <row r="705" spans="2:8" ht="24.95" customHeight="1" x14ac:dyDescent="0.25">
      <c r="B705" s="474"/>
      <c r="C705" s="576"/>
      <c r="D705" s="589"/>
      <c r="E705" s="132"/>
      <c r="F705" s="474"/>
      <c r="G705" s="309"/>
      <c r="H705" s="309"/>
    </row>
    <row r="706" spans="2:8" ht="24.95" customHeight="1" x14ac:dyDescent="0.25">
      <c r="B706" s="474"/>
      <c r="C706" s="576"/>
      <c r="D706" s="589"/>
      <c r="E706" s="132"/>
      <c r="F706" s="474"/>
      <c r="G706" s="309"/>
      <c r="H706" s="309"/>
    </row>
    <row r="707" spans="2:8" ht="24.95" customHeight="1" x14ac:dyDescent="0.25">
      <c r="B707" s="474"/>
      <c r="C707" s="576"/>
      <c r="D707" s="589"/>
      <c r="E707" s="132"/>
      <c r="F707" s="474"/>
      <c r="G707" s="309"/>
      <c r="H707" s="309"/>
    </row>
    <row r="708" spans="2:8" ht="24.95" customHeight="1" x14ac:dyDescent="0.25">
      <c r="B708" s="474"/>
      <c r="C708" s="576"/>
      <c r="D708" s="589"/>
      <c r="E708" s="132"/>
      <c r="F708" s="474"/>
      <c r="G708" s="309"/>
      <c r="H708" s="309"/>
    </row>
    <row r="709" spans="2:8" ht="24.95" customHeight="1" x14ac:dyDescent="0.25">
      <c r="B709" s="474"/>
      <c r="C709" s="576"/>
      <c r="D709" s="589"/>
      <c r="E709" s="132"/>
      <c r="F709" s="474"/>
      <c r="G709" s="309"/>
      <c r="H709" s="309"/>
    </row>
    <row r="710" spans="2:8" ht="24.95" customHeight="1" x14ac:dyDescent="0.25">
      <c r="B710" s="474"/>
      <c r="C710" s="576"/>
      <c r="D710" s="589"/>
      <c r="E710" s="132"/>
      <c r="F710" s="474"/>
      <c r="G710" s="309"/>
      <c r="H710" s="309"/>
    </row>
    <row r="711" spans="2:8" ht="24.95" customHeight="1" x14ac:dyDescent="0.25">
      <c r="B711" s="474"/>
      <c r="C711" s="576"/>
      <c r="D711" s="589"/>
      <c r="E711" s="132"/>
      <c r="F711" s="474"/>
      <c r="G711" s="309"/>
      <c r="H711" s="309"/>
    </row>
    <row r="712" spans="2:8" ht="24.95" customHeight="1" x14ac:dyDescent="0.25">
      <c r="B712" s="474"/>
      <c r="C712" s="576"/>
      <c r="D712" s="589"/>
      <c r="E712" s="132"/>
      <c r="F712" s="474"/>
      <c r="G712" s="309"/>
      <c r="H712" s="309"/>
    </row>
    <row r="713" spans="2:8" ht="24.95" customHeight="1" x14ac:dyDescent="0.25">
      <c r="B713" s="474"/>
      <c r="C713" s="576"/>
      <c r="D713" s="589"/>
      <c r="E713" s="132"/>
      <c r="F713" s="474"/>
      <c r="G713" s="309"/>
      <c r="H713" s="309"/>
    </row>
    <row r="714" spans="2:8" ht="24.95" customHeight="1" x14ac:dyDescent="0.25">
      <c r="B714" s="474"/>
      <c r="C714" s="576"/>
      <c r="D714" s="589"/>
      <c r="E714" s="132"/>
      <c r="F714" s="474"/>
      <c r="G714" s="309"/>
      <c r="H714" s="309"/>
    </row>
    <row r="715" spans="2:8" ht="24.95" customHeight="1" x14ac:dyDescent="0.25">
      <c r="B715" s="474"/>
      <c r="C715" s="576"/>
      <c r="D715" s="589"/>
      <c r="E715" s="132"/>
      <c r="F715" s="474"/>
      <c r="G715" s="309"/>
      <c r="H715" s="309"/>
    </row>
    <row r="716" spans="2:8" ht="24.95" customHeight="1" x14ac:dyDescent="0.25">
      <c r="B716" s="474"/>
      <c r="C716" s="576"/>
      <c r="D716" s="589"/>
      <c r="E716" s="132"/>
      <c r="F716" s="474"/>
      <c r="G716" s="309"/>
      <c r="H716" s="309"/>
    </row>
    <row r="717" spans="2:8" ht="24.95" customHeight="1" x14ac:dyDescent="0.25">
      <c r="B717" s="474"/>
      <c r="C717" s="576"/>
      <c r="D717" s="589"/>
      <c r="E717" s="132"/>
      <c r="F717" s="474"/>
      <c r="G717" s="309"/>
      <c r="H717" s="309"/>
    </row>
    <row r="718" spans="2:8" ht="24.95" customHeight="1" x14ac:dyDescent="0.25">
      <c r="B718" s="474"/>
      <c r="C718" s="576"/>
      <c r="D718" s="589"/>
      <c r="E718" s="132"/>
      <c r="F718" s="474"/>
      <c r="G718" s="309"/>
      <c r="H718" s="309"/>
    </row>
    <row r="719" spans="2:8" ht="24.95" customHeight="1" x14ac:dyDescent="0.25">
      <c r="B719" s="474"/>
      <c r="C719" s="576"/>
      <c r="D719" s="589"/>
      <c r="E719" s="132"/>
      <c r="F719" s="474"/>
      <c r="G719" s="309"/>
      <c r="H719" s="309"/>
    </row>
    <row r="720" spans="2:8" ht="24.95" customHeight="1" x14ac:dyDescent="0.25">
      <c r="B720" s="474"/>
      <c r="C720" s="576"/>
      <c r="D720" s="589"/>
      <c r="E720" s="132"/>
      <c r="F720" s="474"/>
      <c r="G720" s="309"/>
      <c r="H720" s="309"/>
    </row>
    <row r="721" spans="2:8" ht="24.95" customHeight="1" x14ac:dyDescent="0.25">
      <c r="B721" s="474"/>
      <c r="C721" s="576"/>
      <c r="D721" s="589"/>
      <c r="E721" s="132"/>
      <c r="F721" s="474"/>
      <c r="G721" s="309"/>
      <c r="H721" s="309"/>
    </row>
    <row r="722" spans="2:8" ht="24.95" customHeight="1" x14ac:dyDescent="0.25">
      <c r="B722" s="474"/>
      <c r="C722" s="576"/>
      <c r="D722" s="589"/>
      <c r="E722" s="132"/>
      <c r="F722" s="474"/>
      <c r="G722" s="309"/>
      <c r="H722" s="309"/>
    </row>
    <row r="723" spans="2:8" ht="24.95" customHeight="1" x14ac:dyDescent="0.25">
      <c r="B723" s="474"/>
      <c r="C723" s="576"/>
      <c r="D723" s="589"/>
      <c r="E723" s="132"/>
      <c r="F723" s="474"/>
      <c r="G723" s="309"/>
      <c r="H723" s="309"/>
    </row>
    <row r="724" spans="2:8" ht="24.95" customHeight="1" x14ac:dyDescent="0.25">
      <c r="B724" s="474"/>
      <c r="C724" s="576"/>
      <c r="D724" s="589"/>
      <c r="E724" s="132"/>
      <c r="F724" s="474"/>
      <c r="G724" s="309"/>
      <c r="H724" s="309"/>
    </row>
    <row r="725" spans="2:8" ht="24.95" customHeight="1" x14ac:dyDescent="0.25">
      <c r="B725" s="474"/>
      <c r="C725" s="576"/>
      <c r="D725" s="589"/>
      <c r="E725" s="132"/>
      <c r="F725" s="474"/>
      <c r="G725" s="309"/>
      <c r="H725" s="309"/>
    </row>
    <row r="726" spans="2:8" ht="24.95" customHeight="1" x14ac:dyDescent="0.25">
      <c r="B726" s="474"/>
      <c r="C726" s="576"/>
      <c r="D726" s="589"/>
      <c r="E726" s="132"/>
      <c r="F726" s="474"/>
      <c r="G726" s="309"/>
      <c r="H726" s="309"/>
    </row>
    <row r="727" spans="2:8" ht="24.95" customHeight="1" x14ac:dyDescent="0.25">
      <c r="B727" s="474"/>
      <c r="C727" s="576"/>
      <c r="D727" s="589"/>
      <c r="E727" s="132"/>
      <c r="F727" s="474"/>
      <c r="G727" s="309"/>
      <c r="H727" s="309"/>
    </row>
    <row r="728" spans="2:8" ht="24.95" customHeight="1" x14ac:dyDescent="0.25">
      <c r="B728" s="474"/>
      <c r="C728" s="576"/>
      <c r="D728" s="589"/>
      <c r="E728" s="132"/>
      <c r="F728" s="474"/>
      <c r="G728" s="309"/>
      <c r="H728" s="309"/>
    </row>
    <row r="729" spans="2:8" ht="24.95" customHeight="1" x14ac:dyDescent="0.25">
      <c r="B729" s="474"/>
      <c r="C729" s="576"/>
      <c r="D729" s="589"/>
      <c r="E729" s="132"/>
      <c r="F729" s="474"/>
      <c r="G729" s="309"/>
      <c r="H729" s="309"/>
    </row>
    <row r="730" spans="2:8" ht="24.95" customHeight="1" x14ac:dyDescent="0.25">
      <c r="B730" s="474"/>
      <c r="C730" s="576"/>
      <c r="D730" s="589"/>
      <c r="E730" s="132"/>
      <c r="F730" s="474"/>
      <c r="G730" s="309"/>
      <c r="H730" s="309"/>
    </row>
    <row r="731" spans="2:8" ht="24.95" customHeight="1" x14ac:dyDescent="0.25">
      <c r="B731" s="474"/>
      <c r="C731" s="576"/>
      <c r="D731" s="589"/>
      <c r="E731" s="132"/>
      <c r="F731" s="474"/>
      <c r="G731" s="309"/>
      <c r="H731" s="309"/>
    </row>
    <row r="732" spans="2:8" ht="24.95" customHeight="1" x14ac:dyDescent="0.25">
      <c r="B732" s="474"/>
      <c r="C732" s="576"/>
      <c r="D732" s="589"/>
      <c r="E732" s="132"/>
      <c r="F732" s="474"/>
      <c r="G732" s="309"/>
      <c r="H732" s="309"/>
    </row>
    <row r="733" spans="2:8" ht="24.95" customHeight="1" x14ac:dyDescent="0.25">
      <c r="B733" s="474"/>
      <c r="C733" s="576"/>
      <c r="D733" s="589"/>
      <c r="E733" s="132"/>
      <c r="F733" s="474"/>
      <c r="G733" s="309"/>
      <c r="H733" s="309"/>
    </row>
    <row r="734" spans="2:8" ht="24.95" customHeight="1" x14ac:dyDescent="0.25">
      <c r="B734" s="474"/>
      <c r="C734" s="576"/>
      <c r="D734" s="589"/>
      <c r="E734" s="132"/>
      <c r="F734" s="474"/>
      <c r="G734" s="309"/>
      <c r="H734" s="309"/>
    </row>
    <row r="735" spans="2:8" ht="24.95" customHeight="1" x14ac:dyDescent="0.25">
      <c r="B735" s="474"/>
      <c r="C735" s="576"/>
      <c r="D735" s="589"/>
      <c r="E735" s="132"/>
      <c r="F735" s="474"/>
      <c r="G735" s="309"/>
      <c r="H735" s="309"/>
    </row>
    <row r="736" spans="2:8" ht="24.95" customHeight="1" x14ac:dyDescent="0.25">
      <c r="B736" s="474"/>
      <c r="C736" s="576"/>
      <c r="D736" s="589"/>
      <c r="E736" s="132"/>
      <c r="F736" s="474"/>
      <c r="G736" s="309"/>
      <c r="H736" s="309"/>
    </row>
    <row r="737" spans="2:8" ht="24.95" customHeight="1" x14ac:dyDescent="0.25">
      <c r="B737" s="474"/>
      <c r="C737" s="576"/>
      <c r="D737" s="589"/>
      <c r="E737" s="132"/>
      <c r="F737" s="474"/>
      <c r="G737" s="309"/>
      <c r="H737" s="309"/>
    </row>
    <row r="738" spans="2:8" ht="24.95" customHeight="1" x14ac:dyDescent="0.25">
      <c r="B738" s="474"/>
      <c r="C738" s="576"/>
      <c r="D738" s="589"/>
      <c r="E738" s="132"/>
      <c r="F738" s="474"/>
      <c r="G738" s="309"/>
      <c r="H738" s="309"/>
    </row>
    <row r="739" spans="2:8" ht="24.95" customHeight="1" x14ac:dyDescent="0.25">
      <c r="B739" s="474"/>
      <c r="C739" s="576"/>
      <c r="D739" s="589"/>
      <c r="E739" s="132"/>
      <c r="F739" s="474"/>
      <c r="G739" s="309"/>
      <c r="H739" s="309"/>
    </row>
    <row r="740" spans="2:8" ht="24.95" customHeight="1" x14ac:dyDescent="0.25">
      <c r="B740" s="474"/>
      <c r="C740" s="576"/>
      <c r="D740" s="589"/>
      <c r="E740" s="132"/>
      <c r="F740" s="474"/>
      <c r="G740" s="309"/>
      <c r="H740" s="309"/>
    </row>
    <row r="741" spans="2:8" ht="24.95" customHeight="1" x14ac:dyDescent="0.25">
      <c r="B741" s="474"/>
      <c r="C741" s="576"/>
      <c r="D741" s="589"/>
      <c r="E741" s="132"/>
      <c r="F741" s="474"/>
      <c r="G741" s="309"/>
      <c r="H741" s="309"/>
    </row>
    <row r="742" spans="2:8" ht="24.95" customHeight="1" x14ac:dyDescent="0.25">
      <c r="B742" s="474"/>
      <c r="C742" s="576"/>
      <c r="D742" s="589"/>
      <c r="E742" s="132"/>
      <c r="F742" s="474"/>
      <c r="G742" s="309"/>
      <c r="H742" s="309"/>
    </row>
    <row r="743" spans="2:8" ht="24.95" customHeight="1" x14ac:dyDescent="0.25">
      <c r="B743" s="474"/>
      <c r="C743" s="576"/>
      <c r="D743" s="589"/>
      <c r="E743" s="132"/>
      <c r="F743" s="474"/>
      <c r="G743" s="309"/>
      <c r="H743" s="309"/>
    </row>
    <row r="744" spans="2:8" ht="24.95" customHeight="1" x14ac:dyDescent="0.25">
      <c r="B744" s="474"/>
      <c r="C744" s="576"/>
      <c r="D744" s="589"/>
      <c r="E744" s="132"/>
      <c r="F744" s="474"/>
      <c r="G744" s="309"/>
      <c r="H744" s="309"/>
    </row>
    <row r="745" spans="2:8" ht="24.95" customHeight="1" x14ac:dyDescent="0.25">
      <c r="B745" s="474"/>
      <c r="C745" s="576"/>
      <c r="D745" s="589"/>
      <c r="E745" s="132"/>
      <c r="F745" s="474"/>
      <c r="G745" s="309"/>
      <c r="H745" s="309"/>
    </row>
    <row r="746" spans="2:8" ht="24.95" customHeight="1" x14ac:dyDescent="0.25">
      <c r="B746" s="474"/>
      <c r="C746" s="576"/>
      <c r="D746" s="589"/>
      <c r="E746" s="132"/>
      <c r="F746" s="474"/>
      <c r="G746" s="309"/>
      <c r="H746" s="309"/>
    </row>
    <row r="747" spans="2:8" ht="24.95" customHeight="1" x14ac:dyDescent="0.25">
      <c r="B747" s="474"/>
      <c r="C747" s="576"/>
      <c r="D747" s="589"/>
      <c r="E747" s="132"/>
      <c r="F747" s="474"/>
      <c r="G747" s="309"/>
      <c r="H747" s="309"/>
    </row>
    <row r="748" spans="2:8" ht="24.95" customHeight="1" x14ac:dyDescent="0.25">
      <c r="B748" s="474"/>
      <c r="C748" s="576"/>
      <c r="D748" s="589"/>
      <c r="E748" s="132"/>
      <c r="F748" s="474"/>
      <c r="G748" s="309"/>
      <c r="H748" s="309"/>
    </row>
    <row r="749" spans="2:8" ht="24.95" customHeight="1" x14ac:dyDescent="0.25">
      <c r="B749" s="474"/>
      <c r="C749" s="576"/>
      <c r="D749" s="589"/>
      <c r="E749" s="132"/>
      <c r="F749" s="474"/>
      <c r="G749" s="309"/>
      <c r="H749" s="309"/>
    </row>
    <row r="750" spans="2:8" ht="24.95" customHeight="1" x14ac:dyDescent="0.25">
      <c r="B750" s="474"/>
      <c r="C750" s="576"/>
      <c r="D750" s="589"/>
      <c r="E750" s="132"/>
      <c r="F750" s="474"/>
      <c r="G750" s="309"/>
      <c r="H750" s="309"/>
    </row>
    <row r="751" spans="2:8" ht="24.95" customHeight="1" x14ac:dyDescent="0.25">
      <c r="B751" s="474"/>
      <c r="C751" s="576"/>
      <c r="D751" s="589"/>
      <c r="E751" s="132"/>
      <c r="F751" s="474"/>
      <c r="G751" s="309"/>
      <c r="H751" s="309"/>
    </row>
    <row r="752" spans="2:8" ht="24.95" customHeight="1" x14ac:dyDescent="0.25">
      <c r="B752" s="474"/>
      <c r="C752" s="576"/>
      <c r="D752" s="589"/>
      <c r="E752" s="132"/>
      <c r="F752" s="474"/>
      <c r="G752" s="309"/>
      <c r="H752" s="309"/>
    </row>
    <row r="753" spans="2:8" ht="24.95" customHeight="1" x14ac:dyDescent="0.25">
      <c r="B753" s="474"/>
      <c r="C753" s="576"/>
      <c r="D753" s="589"/>
      <c r="E753" s="132"/>
      <c r="F753" s="474"/>
      <c r="G753" s="309"/>
      <c r="H753" s="309"/>
    </row>
    <row r="754" spans="2:8" ht="24.95" customHeight="1" x14ac:dyDescent="0.25">
      <c r="B754" s="474"/>
      <c r="C754" s="576"/>
      <c r="D754" s="589"/>
      <c r="E754" s="132"/>
      <c r="F754" s="474"/>
      <c r="G754" s="309"/>
      <c r="H754" s="309"/>
    </row>
    <row r="755" spans="2:8" ht="24.95" customHeight="1" x14ac:dyDescent="0.25">
      <c r="B755" s="474"/>
      <c r="C755" s="576"/>
      <c r="D755" s="589"/>
      <c r="E755" s="132"/>
      <c r="F755" s="474"/>
      <c r="G755" s="309"/>
      <c r="H755" s="309"/>
    </row>
    <row r="756" spans="2:8" ht="24.95" customHeight="1" x14ac:dyDescent="0.25">
      <c r="B756" s="474"/>
      <c r="C756" s="576"/>
      <c r="D756" s="589"/>
      <c r="E756" s="132"/>
      <c r="F756" s="474"/>
      <c r="G756" s="309"/>
      <c r="H756" s="309"/>
    </row>
    <row r="757" spans="2:8" ht="24.95" customHeight="1" x14ac:dyDescent="0.25">
      <c r="B757" s="474"/>
      <c r="C757" s="576"/>
      <c r="D757" s="589"/>
      <c r="E757" s="132"/>
      <c r="F757" s="474"/>
      <c r="G757" s="309"/>
      <c r="H757" s="309"/>
    </row>
    <row r="758" spans="2:8" ht="24.95" customHeight="1" x14ac:dyDescent="0.25">
      <c r="B758" s="474"/>
      <c r="C758" s="576"/>
      <c r="D758" s="589"/>
      <c r="E758" s="132"/>
      <c r="F758" s="474"/>
      <c r="G758" s="309"/>
      <c r="H758" s="309"/>
    </row>
    <row r="759" spans="2:8" ht="24.95" customHeight="1" x14ac:dyDescent="0.25">
      <c r="B759" s="474"/>
      <c r="C759" s="576"/>
      <c r="D759" s="589"/>
      <c r="E759" s="132"/>
      <c r="F759" s="474"/>
      <c r="G759" s="309"/>
      <c r="H759" s="309"/>
    </row>
    <row r="760" spans="2:8" ht="24.95" customHeight="1" x14ac:dyDescent="0.25">
      <c r="B760" s="474"/>
      <c r="C760" s="576"/>
      <c r="D760" s="589"/>
      <c r="E760" s="132"/>
      <c r="F760" s="474"/>
      <c r="G760" s="309"/>
      <c r="H760" s="309"/>
    </row>
    <row r="761" spans="2:8" ht="24.95" customHeight="1" x14ac:dyDescent="0.25">
      <c r="B761" s="474"/>
      <c r="C761" s="576"/>
      <c r="D761" s="589"/>
      <c r="E761" s="132"/>
      <c r="F761" s="474"/>
      <c r="G761" s="309"/>
      <c r="H761" s="309"/>
    </row>
    <row r="762" spans="2:8" ht="24.95" customHeight="1" x14ac:dyDescent="0.25">
      <c r="B762" s="474"/>
      <c r="C762" s="576"/>
      <c r="D762" s="589"/>
      <c r="E762" s="132"/>
      <c r="F762" s="474"/>
      <c r="G762" s="309"/>
      <c r="H762" s="309"/>
    </row>
    <row r="763" spans="2:8" ht="24.95" customHeight="1" x14ac:dyDescent="0.25">
      <c r="B763" s="474"/>
      <c r="C763" s="576"/>
      <c r="D763" s="589"/>
      <c r="E763" s="132"/>
      <c r="F763" s="474"/>
      <c r="G763" s="309"/>
      <c r="H763" s="309"/>
    </row>
    <row r="764" spans="2:8" ht="24.95" customHeight="1" x14ac:dyDescent="0.25">
      <c r="B764" s="474"/>
      <c r="C764" s="576"/>
      <c r="D764" s="589"/>
      <c r="E764" s="132"/>
      <c r="F764" s="474"/>
      <c r="G764" s="309"/>
      <c r="H764" s="309"/>
    </row>
    <row r="765" spans="2:8" ht="24.95" customHeight="1" x14ac:dyDescent="0.25">
      <c r="B765" s="474"/>
      <c r="C765" s="576"/>
      <c r="D765" s="589"/>
      <c r="E765" s="132"/>
      <c r="F765" s="474"/>
      <c r="G765" s="309"/>
      <c r="H765" s="309"/>
    </row>
    <row r="766" spans="2:8" ht="24.95" customHeight="1" x14ac:dyDescent="0.25">
      <c r="B766" s="474"/>
      <c r="C766" s="576"/>
      <c r="D766" s="589"/>
      <c r="E766" s="132"/>
      <c r="F766" s="474"/>
      <c r="G766" s="309"/>
      <c r="H766" s="309"/>
    </row>
    <row r="767" spans="2:8" ht="24.95" customHeight="1" x14ac:dyDescent="0.25">
      <c r="B767" s="474"/>
      <c r="C767" s="576"/>
      <c r="D767" s="589"/>
      <c r="E767" s="132"/>
      <c r="F767" s="474"/>
      <c r="G767" s="309"/>
      <c r="H767" s="309"/>
    </row>
    <row r="768" spans="2:8" ht="24.95" customHeight="1" x14ac:dyDescent="0.25">
      <c r="B768" s="474"/>
      <c r="C768" s="576"/>
      <c r="D768" s="589"/>
      <c r="E768" s="132"/>
      <c r="F768" s="474"/>
      <c r="G768" s="309"/>
      <c r="H768" s="309"/>
    </row>
    <row r="769" spans="2:8" ht="24.95" customHeight="1" x14ac:dyDescent="0.25">
      <c r="B769" s="474"/>
      <c r="C769" s="576"/>
      <c r="D769" s="589"/>
      <c r="E769" s="132"/>
      <c r="F769" s="474"/>
      <c r="G769" s="309"/>
      <c r="H769" s="309"/>
    </row>
    <row r="770" spans="2:8" ht="24.95" customHeight="1" x14ac:dyDescent="0.25">
      <c r="B770" s="474"/>
      <c r="C770" s="576"/>
      <c r="D770" s="589"/>
      <c r="E770" s="132"/>
      <c r="F770" s="474"/>
      <c r="G770" s="309"/>
      <c r="H770" s="309"/>
    </row>
    <row r="771" spans="2:8" ht="24.95" customHeight="1" x14ac:dyDescent="0.25">
      <c r="B771" s="474"/>
      <c r="C771" s="576"/>
      <c r="D771" s="589"/>
      <c r="E771" s="132"/>
      <c r="F771" s="474"/>
      <c r="G771" s="309"/>
      <c r="H771" s="309"/>
    </row>
    <row r="772" spans="2:8" ht="24.95" customHeight="1" x14ac:dyDescent="0.25">
      <c r="B772" s="474"/>
      <c r="C772" s="576"/>
      <c r="D772" s="589"/>
      <c r="E772" s="132"/>
      <c r="F772" s="474"/>
      <c r="G772" s="309"/>
      <c r="H772" s="309"/>
    </row>
    <row r="773" spans="2:8" ht="24.95" customHeight="1" x14ac:dyDescent="0.25">
      <c r="B773" s="474"/>
      <c r="C773" s="576"/>
      <c r="D773" s="589"/>
      <c r="E773" s="132"/>
      <c r="F773" s="474"/>
      <c r="G773" s="309"/>
      <c r="H773" s="309"/>
    </row>
    <row r="774" spans="2:8" ht="24.95" customHeight="1" x14ac:dyDescent="0.25">
      <c r="B774" s="474"/>
      <c r="C774" s="576"/>
      <c r="D774" s="589"/>
      <c r="E774" s="132"/>
      <c r="F774" s="474"/>
      <c r="G774" s="309"/>
      <c r="H774" s="309"/>
    </row>
    <row r="775" spans="2:8" ht="24.95" customHeight="1" x14ac:dyDescent="0.25">
      <c r="B775" s="474"/>
      <c r="C775" s="576"/>
      <c r="D775" s="589"/>
      <c r="E775" s="132"/>
      <c r="F775" s="474"/>
      <c r="G775" s="309"/>
      <c r="H775" s="309"/>
    </row>
    <row r="776" spans="2:8" ht="24.95" customHeight="1" x14ac:dyDescent="0.25">
      <c r="B776" s="474"/>
      <c r="C776" s="576"/>
      <c r="D776" s="589"/>
      <c r="E776" s="132"/>
      <c r="F776" s="474"/>
      <c r="G776" s="309"/>
      <c r="H776" s="309"/>
    </row>
    <row r="777" spans="2:8" ht="24.95" customHeight="1" x14ac:dyDescent="0.25">
      <c r="B777" s="474"/>
      <c r="C777" s="576"/>
      <c r="D777" s="589"/>
      <c r="E777" s="132"/>
      <c r="F777" s="474"/>
      <c r="G777" s="309"/>
      <c r="H777" s="309"/>
    </row>
    <row r="778" spans="2:8" ht="24.95" customHeight="1" x14ac:dyDescent="0.25">
      <c r="B778" s="474"/>
      <c r="C778" s="576"/>
      <c r="D778" s="589"/>
      <c r="E778" s="132"/>
      <c r="F778" s="474"/>
      <c r="G778" s="309"/>
      <c r="H778" s="309"/>
    </row>
    <row r="779" spans="2:8" ht="24.95" customHeight="1" x14ac:dyDescent="0.25">
      <c r="B779" s="474"/>
      <c r="C779" s="576"/>
      <c r="D779" s="589"/>
      <c r="E779" s="132"/>
      <c r="F779" s="474"/>
      <c r="G779" s="309"/>
      <c r="H779" s="309"/>
    </row>
    <row r="780" spans="2:8" ht="24.95" customHeight="1" x14ac:dyDescent="0.25">
      <c r="B780" s="474"/>
      <c r="C780" s="576"/>
      <c r="D780" s="589"/>
      <c r="E780" s="132"/>
      <c r="F780" s="474"/>
      <c r="G780" s="309"/>
      <c r="H780" s="309"/>
    </row>
    <row r="781" spans="2:8" ht="24.95" customHeight="1" x14ac:dyDescent="0.25">
      <c r="B781" s="474"/>
      <c r="C781" s="576"/>
      <c r="D781" s="589"/>
      <c r="E781" s="132"/>
      <c r="F781" s="474"/>
      <c r="G781" s="309"/>
      <c r="H781" s="309"/>
    </row>
    <row r="782" spans="2:8" ht="24.95" customHeight="1" x14ac:dyDescent="0.25">
      <c r="B782" s="474"/>
      <c r="C782" s="576"/>
      <c r="D782" s="589"/>
      <c r="E782" s="132"/>
      <c r="F782" s="474"/>
      <c r="G782" s="309"/>
      <c r="H782" s="309"/>
    </row>
    <row r="783" spans="2:8" ht="24.95" customHeight="1" x14ac:dyDescent="0.25">
      <c r="B783" s="474"/>
      <c r="C783" s="576"/>
      <c r="D783" s="589"/>
      <c r="E783" s="132"/>
      <c r="F783" s="474"/>
      <c r="G783" s="309"/>
      <c r="H783" s="309"/>
    </row>
    <row r="784" spans="2:8" ht="24.95" customHeight="1" x14ac:dyDescent="0.25">
      <c r="B784" s="474"/>
      <c r="C784" s="576"/>
      <c r="D784" s="589"/>
      <c r="E784" s="132"/>
      <c r="F784" s="474"/>
      <c r="G784" s="309"/>
      <c r="H784" s="309"/>
    </row>
    <row r="785" spans="2:8" ht="24.95" customHeight="1" x14ac:dyDescent="0.25">
      <c r="B785" s="474"/>
      <c r="C785" s="576"/>
      <c r="D785" s="589"/>
      <c r="E785" s="132"/>
      <c r="F785" s="474"/>
      <c r="G785" s="309"/>
      <c r="H785" s="309"/>
    </row>
    <row r="786" spans="2:8" ht="24.95" customHeight="1" x14ac:dyDescent="0.25">
      <c r="B786" s="474"/>
      <c r="C786" s="576"/>
      <c r="D786" s="589"/>
      <c r="E786" s="132"/>
      <c r="F786" s="474"/>
      <c r="G786" s="309"/>
      <c r="H786" s="309"/>
    </row>
    <row r="787" spans="2:8" ht="24.95" customHeight="1" x14ac:dyDescent="0.25">
      <c r="B787" s="474"/>
      <c r="C787" s="576"/>
      <c r="D787" s="589"/>
      <c r="E787" s="132"/>
      <c r="F787" s="474"/>
      <c r="G787" s="309"/>
      <c r="H787" s="309"/>
    </row>
    <row r="788" spans="2:8" ht="24.95" customHeight="1" x14ac:dyDescent="0.25">
      <c r="B788" s="474"/>
      <c r="C788" s="576"/>
      <c r="D788" s="589"/>
      <c r="E788" s="132"/>
      <c r="F788" s="474"/>
      <c r="G788" s="309"/>
      <c r="H788" s="309"/>
    </row>
    <row r="789" spans="2:8" ht="24.95" customHeight="1" x14ac:dyDescent="0.25">
      <c r="B789" s="474"/>
      <c r="C789" s="576"/>
      <c r="D789" s="589"/>
      <c r="E789" s="132"/>
      <c r="F789" s="474"/>
      <c r="G789" s="309"/>
      <c r="H789" s="309"/>
    </row>
    <row r="790" spans="2:8" ht="24.95" customHeight="1" x14ac:dyDescent="0.25">
      <c r="B790" s="474"/>
      <c r="C790" s="576"/>
      <c r="D790" s="589"/>
      <c r="E790" s="132"/>
      <c r="F790" s="474"/>
      <c r="G790" s="309"/>
      <c r="H790" s="309"/>
    </row>
    <row r="791" spans="2:8" ht="24.95" customHeight="1" x14ac:dyDescent="0.25">
      <c r="B791" s="474"/>
      <c r="C791" s="576"/>
      <c r="D791" s="589"/>
      <c r="E791" s="132"/>
      <c r="F791" s="474"/>
      <c r="G791" s="309"/>
      <c r="H791" s="309"/>
    </row>
    <row r="792" spans="2:8" ht="24.95" customHeight="1" x14ac:dyDescent="0.25">
      <c r="B792" s="474"/>
      <c r="C792" s="576"/>
      <c r="D792" s="589"/>
      <c r="E792" s="132"/>
      <c r="F792" s="474"/>
      <c r="G792" s="309"/>
      <c r="H792" s="309"/>
    </row>
    <row r="793" spans="2:8" ht="24.95" customHeight="1" x14ac:dyDescent="0.25">
      <c r="B793" s="474"/>
      <c r="C793" s="576"/>
      <c r="D793" s="589"/>
      <c r="E793" s="132"/>
      <c r="F793" s="474"/>
      <c r="G793" s="309"/>
      <c r="H793" s="309"/>
    </row>
    <row r="794" spans="2:8" ht="24.95" customHeight="1" x14ac:dyDescent="0.25">
      <c r="B794" s="474"/>
      <c r="C794" s="576"/>
      <c r="D794" s="589"/>
      <c r="E794" s="132"/>
      <c r="F794" s="474"/>
      <c r="G794" s="309"/>
      <c r="H794" s="309"/>
    </row>
    <row r="795" spans="2:8" ht="24.95" customHeight="1" x14ac:dyDescent="0.25">
      <c r="B795" s="474"/>
      <c r="C795" s="576"/>
      <c r="D795" s="589"/>
      <c r="E795" s="132"/>
      <c r="F795" s="474"/>
      <c r="G795" s="309"/>
      <c r="H795" s="309"/>
    </row>
    <row r="796" spans="2:8" ht="24.95" customHeight="1" x14ac:dyDescent="0.25">
      <c r="B796" s="474"/>
      <c r="C796" s="576"/>
      <c r="D796" s="589"/>
      <c r="E796" s="132"/>
      <c r="F796" s="474"/>
      <c r="G796" s="309"/>
      <c r="H796" s="309"/>
    </row>
    <row r="797" spans="2:8" ht="24.95" customHeight="1" x14ac:dyDescent="0.25">
      <c r="B797" s="474"/>
      <c r="C797" s="576"/>
      <c r="D797" s="589"/>
      <c r="E797" s="132"/>
      <c r="F797" s="474"/>
      <c r="G797" s="309"/>
      <c r="H797" s="309"/>
    </row>
    <row r="798" spans="2:8" ht="24.95" customHeight="1" x14ac:dyDescent="0.25">
      <c r="B798" s="474"/>
      <c r="C798" s="576"/>
      <c r="D798" s="589"/>
      <c r="E798" s="132"/>
      <c r="F798" s="474"/>
      <c r="G798" s="309"/>
      <c r="H798" s="309"/>
    </row>
    <row r="799" spans="2:8" ht="24.95" customHeight="1" x14ac:dyDescent="0.25">
      <c r="B799" s="474"/>
      <c r="C799" s="576"/>
      <c r="D799" s="589"/>
      <c r="E799" s="132"/>
      <c r="F799" s="474"/>
      <c r="G799" s="309"/>
      <c r="H799" s="309"/>
    </row>
    <row r="800" spans="2:8" ht="24.95" customHeight="1" x14ac:dyDescent="0.25">
      <c r="B800" s="474"/>
      <c r="C800" s="576"/>
      <c r="D800" s="589"/>
      <c r="E800" s="132"/>
      <c r="F800" s="474"/>
      <c r="G800" s="309"/>
      <c r="H800" s="309"/>
    </row>
    <row r="801" spans="2:8" ht="24.95" customHeight="1" x14ac:dyDescent="0.25">
      <c r="B801" s="474"/>
      <c r="C801" s="576"/>
      <c r="D801" s="589"/>
      <c r="E801" s="132"/>
      <c r="F801" s="474"/>
      <c r="G801" s="309"/>
      <c r="H801" s="309"/>
    </row>
    <row r="802" spans="2:8" ht="24.95" customHeight="1" x14ac:dyDescent="0.25">
      <c r="B802" s="474"/>
      <c r="C802" s="576"/>
      <c r="D802" s="589"/>
      <c r="E802" s="132"/>
      <c r="F802" s="474"/>
      <c r="G802" s="309"/>
      <c r="H802" s="309"/>
    </row>
    <row r="803" spans="2:8" ht="24.95" customHeight="1" x14ac:dyDescent="0.25">
      <c r="B803" s="474"/>
      <c r="C803" s="576"/>
      <c r="D803" s="589"/>
      <c r="E803" s="132"/>
      <c r="F803" s="474"/>
      <c r="G803" s="309"/>
      <c r="H803" s="309"/>
    </row>
    <row r="804" spans="2:8" ht="24.95" customHeight="1" x14ac:dyDescent="0.25">
      <c r="B804" s="474"/>
      <c r="C804" s="576"/>
      <c r="D804" s="589"/>
      <c r="E804" s="132"/>
      <c r="F804" s="474"/>
      <c r="G804" s="309"/>
      <c r="H804" s="309"/>
    </row>
    <row r="805" spans="2:8" ht="24.95" customHeight="1" x14ac:dyDescent="0.25">
      <c r="B805" s="474"/>
      <c r="C805" s="576"/>
      <c r="D805" s="589"/>
      <c r="E805" s="132"/>
      <c r="F805" s="474"/>
      <c r="G805" s="309"/>
      <c r="H805" s="309"/>
    </row>
    <row r="806" spans="2:8" ht="24.95" customHeight="1" x14ac:dyDescent="0.25">
      <c r="B806" s="474"/>
      <c r="C806" s="576"/>
      <c r="D806" s="589"/>
      <c r="E806" s="132"/>
      <c r="F806" s="474"/>
      <c r="G806" s="309"/>
      <c r="H806" s="309"/>
    </row>
    <row r="807" spans="2:8" ht="24.95" customHeight="1" x14ac:dyDescent="0.25">
      <c r="B807" s="474"/>
      <c r="C807" s="576"/>
      <c r="D807" s="589"/>
      <c r="E807" s="132"/>
      <c r="F807" s="474"/>
      <c r="G807" s="309"/>
      <c r="H807" s="309"/>
    </row>
    <row r="808" spans="2:8" ht="24.95" customHeight="1" x14ac:dyDescent="0.25">
      <c r="B808" s="474"/>
      <c r="C808" s="576"/>
      <c r="D808" s="589"/>
      <c r="E808" s="132"/>
      <c r="F808" s="474"/>
      <c r="G808" s="309"/>
      <c r="H808" s="309"/>
    </row>
    <row r="809" spans="2:8" ht="24.95" customHeight="1" x14ac:dyDescent="0.25">
      <c r="B809" s="474"/>
      <c r="C809" s="576"/>
      <c r="D809" s="589"/>
      <c r="E809" s="132"/>
      <c r="F809" s="474"/>
      <c r="G809" s="309"/>
      <c r="H809" s="309"/>
    </row>
    <row r="810" spans="2:8" ht="24.95" customHeight="1" x14ac:dyDescent="0.25">
      <c r="B810" s="474"/>
      <c r="C810" s="576"/>
      <c r="D810" s="589"/>
      <c r="E810" s="132"/>
      <c r="F810" s="474"/>
      <c r="G810" s="309"/>
      <c r="H810" s="309"/>
    </row>
    <row r="811" spans="2:8" ht="24.95" customHeight="1" x14ac:dyDescent="0.25">
      <c r="B811" s="474"/>
      <c r="C811" s="576"/>
      <c r="D811" s="589"/>
      <c r="E811" s="132"/>
      <c r="F811" s="474"/>
      <c r="G811" s="309"/>
      <c r="H811" s="309"/>
    </row>
    <row r="812" spans="2:8" ht="24.95" customHeight="1" x14ac:dyDescent="0.25">
      <c r="B812" s="474"/>
      <c r="C812" s="576"/>
      <c r="D812" s="589"/>
      <c r="E812" s="132"/>
      <c r="F812" s="474"/>
      <c r="G812" s="309"/>
      <c r="H812" s="309"/>
    </row>
    <row r="813" spans="2:8" ht="24.95" customHeight="1" x14ac:dyDescent="0.25">
      <c r="B813" s="474"/>
      <c r="C813" s="576"/>
      <c r="D813" s="589"/>
      <c r="E813" s="132"/>
      <c r="F813" s="474"/>
      <c r="G813" s="309"/>
      <c r="H813" s="309"/>
    </row>
    <row r="814" spans="2:8" ht="24.95" customHeight="1" x14ac:dyDescent="0.25">
      <c r="B814" s="474"/>
      <c r="C814" s="576"/>
      <c r="D814" s="589"/>
      <c r="E814" s="132"/>
      <c r="F814" s="474"/>
      <c r="G814" s="309"/>
      <c r="H814" s="309"/>
    </row>
    <row r="815" spans="2:8" ht="24.95" customHeight="1" x14ac:dyDescent="0.25">
      <c r="B815" s="474"/>
      <c r="C815" s="576"/>
      <c r="D815" s="589"/>
      <c r="E815" s="132"/>
      <c r="F815" s="474"/>
      <c r="G815" s="309"/>
      <c r="H815" s="309"/>
    </row>
    <row r="816" spans="2:8" ht="24.95" customHeight="1" x14ac:dyDescent="0.25">
      <c r="B816" s="474"/>
      <c r="C816" s="576"/>
      <c r="D816" s="589"/>
      <c r="E816" s="132"/>
      <c r="F816" s="474"/>
      <c r="G816" s="309"/>
      <c r="H816" s="309"/>
    </row>
    <row r="817" spans="2:8" ht="24.95" customHeight="1" x14ac:dyDescent="0.25">
      <c r="B817" s="474"/>
      <c r="C817" s="576"/>
      <c r="D817" s="589"/>
      <c r="E817" s="132"/>
      <c r="F817" s="474"/>
      <c r="G817" s="309"/>
      <c r="H817" s="309"/>
    </row>
    <row r="818" spans="2:8" ht="24.95" customHeight="1" x14ac:dyDescent="0.25">
      <c r="B818" s="474"/>
      <c r="C818" s="576"/>
      <c r="D818" s="589"/>
      <c r="E818" s="132"/>
      <c r="F818" s="474"/>
      <c r="G818" s="309"/>
      <c r="H818" s="309"/>
    </row>
    <row r="819" spans="2:8" ht="24.95" customHeight="1" x14ac:dyDescent="0.25">
      <c r="B819" s="474"/>
      <c r="C819" s="576"/>
      <c r="D819" s="589"/>
      <c r="E819" s="132"/>
      <c r="F819" s="474"/>
      <c r="G819" s="309"/>
      <c r="H819" s="309"/>
    </row>
    <row r="820" spans="2:8" ht="24.95" customHeight="1" x14ac:dyDescent="0.25">
      <c r="B820" s="474"/>
      <c r="C820" s="576"/>
      <c r="D820" s="589"/>
      <c r="E820" s="132"/>
      <c r="F820" s="474"/>
      <c r="G820" s="309"/>
      <c r="H820" s="309"/>
    </row>
    <row r="821" spans="2:8" ht="24.95" customHeight="1" x14ac:dyDescent="0.25">
      <c r="B821" s="474"/>
      <c r="C821" s="576"/>
      <c r="D821" s="589"/>
      <c r="E821" s="132"/>
      <c r="F821" s="474"/>
      <c r="G821" s="309"/>
      <c r="H821" s="309"/>
    </row>
    <row r="822" spans="2:8" ht="24.95" customHeight="1" x14ac:dyDescent="0.25">
      <c r="B822" s="474"/>
      <c r="C822" s="576"/>
      <c r="D822" s="589"/>
      <c r="E822" s="132"/>
      <c r="F822" s="474"/>
      <c r="G822" s="309"/>
      <c r="H822" s="309"/>
    </row>
    <row r="823" spans="2:8" ht="24.95" customHeight="1" x14ac:dyDescent="0.25">
      <c r="B823" s="474"/>
      <c r="C823" s="576"/>
      <c r="D823" s="589"/>
      <c r="E823" s="132"/>
      <c r="F823" s="474"/>
      <c r="G823" s="309"/>
      <c r="H823" s="309"/>
    </row>
    <row r="824" spans="2:8" ht="24.95" customHeight="1" x14ac:dyDescent="0.25">
      <c r="B824" s="474"/>
      <c r="C824" s="576"/>
      <c r="D824" s="589"/>
      <c r="E824" s="132"/>
      <c r="F824" s="474"/>
      <c r="G824" s="309"/>
      <c r="H824" s="309"/>
    </row>
    <row r="825" spans="2:8" ht="24.95" customHeight="1" x14ac:dyDescent="0.25">
      <c r="B825" s="474"/>
      <c r="C825" s="576"/>
      <c r="D825" s="589"/>
      <c r="E825" s="132"/>
      <c r="F825" s="474"/>
      <c r="G825" s="309"/>
      <c r="H825" s="309"/>
    </row>
    <row r="826" spans="2:8" ht="24.95" customHeight="1" x14ac:dyDescent="0.25">
      <c r="B826" s="474"/>
      <c r="C826" s="576"/>
      <c r="D826" s="589"/>
      <c r="E826" s="132"/>
      <c r="F826" s="474"/>
      <c r="G826" s="309"/>
      <c r="H826" s="309"/>
    </row>
    <row r="827" spans="2:8" ht="24.95" customHeight="1" x14ac:dyDescent="0.25">
      <c r="B827" s="474"/>
      <c r="C827" s="576"/>
      <c r="D827" s="589"/>
      <c r="E827" s="132"/>
      <c r="F827" s="474"/>
      <c r="G827" s="309"/>
      <c r="H827" s="309"/>
    </row>
    <row r="828" spans="2:8" ht="24.95" customHeight="1" x14ac:dyDescent="0.25">
      <c r="B828" s="474"/>
      <c r="C828" s="576"/>
      <c r="D828" s="589"/>
      <c r="E828" s="132"/>
      <c r="F828" s="474"/>
      <c r="G828" s="309"/>
      <c r="H828" s="309"/>
    </row>
    <row r="829" spans="2:8" ht="24.95" customHeight="1" x14ac:dyDescent="0.25">
      <c r="B829" s="474"/>
      <c r="C829" s="576"/>
      <c r="D829" s="589"/>
      <c r="E829" s="132"/>
      <c r="F829" s="474"/>
      <c r="G829" s="309"/>
      <c r="H829" s="309"/>
    </row>
    <row r="830" spans="2:8" ht="24.95" customHeight="1" x14ac:dyDescent="0.25">
      <c r="B830" s="474"/>
      <c r="C830" s="576"/>
      <c r="D830" s="589"/>
      <c r="E830" s="132"/>
      <c r="F830" s="474"/>
      <c r="G830" s="309"/>
      <c r="H830" s="309"/>
    </row>
    <row r="831" spans="2:8" ht="24.95" customHeight="1" x14ac:dyDescent="0.25">
      <c r="B831" s="474"/>
      <c r="C831" s="576"/>
      <c r="D831" s="589"/>
      <c r="E831" s="132"/>
      <c r="F831" s="474"/>
      <c r="G831" s="309"/>
      <c r="H831" s="309"/>
    </row>
    <row r="832" spans="2:8" ht="24.95" customHeight="1" x14ac:dyDescent="0.25">
      <c r="B832" s="474"/>
      <c r="C832" s="576"/>
      <c r="D832" s="589"/>
      <c r="E832" s="132"/>
      <c r="F832" s="474"/>
      <c r="G832" s="309"/>
      <c r="H832" s="309"/>
    </row>
    <row r="833" spans="2:8" ht="24.95" customHeight="1" x14ac:dyDescent="0.25">
      <c r="B833" s="474"/>
      <c r="C833" s="576"/>
      <c r="D833" s="589"/>
      <c r="E833" s="132"/>
      <c r="F833" s="474"/>
      <c r="G833" s="309"/>
      <c r="H833" s="309"/>
    </row>
    <row r="834" spans="2:8" ht="24.95" customHeight="1" x14ac:dyDescent="0.25">
      <c r="B834" s="474"/>
      <c r="C834" s="576"/>
      <c r="D834" s="589"/>
      <c r="E834" s="132"/>
      <c r="F834" s="474"/>
      <c r="G834" s="309"/>
      <c r="H834" s="309"/>
    </row>
    <row r="835" spans="2:8" ht="24.95" customHeight="1" x14ac:dyDescent="0.25">
      <c r="B835" s="474"/>
      <c r="C835" s="576"/>
      <c r="D835" s="589"/>
      <c r="E835" s="132"/>
      <c r="F835" s="474"/>
      <c r="G835" s="309"/>
      <c r="H835" s="309"/>
    </row>
    <row r="836" spans="2:8" ht="24.95" customHeight="1" x14ac:dyDescent="0.25">
      <c r="B836" s="474"/>
      <c r="C836" s="576"/>
      <c r="D836" s="589"/>
      <c r="E836" s="132"/>
      <c r="F836" s="474"/>
      <c r="G836" s="309"/>
      <c r="H836" s="309"/>
    </row>
    <row r="837" spans="2:8" ht="24.95" customHeight="1" x14ac:dyDescent="0.25">
      <c r="B837" s="474"/>
      <c r="C837" s="576"/>
      <c r="D837" s="589"/>
      <c r="E837" s="132"/>
      <c r="F837" s="474"/>
      <c r="G837" s="309"/>
      <c r="H837" s="309"/>
    </row>
    <row r="838" spans="2:8" ht="24.95" customHeight="1" x14ac:dyDescent="0.25">
      <c r="B838" s="474"/>
      <c r="C838" s="576"/>
      <c r="D838" s="589"/>
      <c r="E838" s="132"/>
      <c r="F838" s="474"/>
      <c r="G838" s="309"/>
      <c r="H838" s="309"/>
    </row>
    <row r="839" spans="2:8" ht="24.95" customHeight="1" x14ac:dyDescent="0.25">
      <c r="B839" s="474"/>
      <c r="C839" s="576"/>
      <c r="D839" s="589"/>
      <c r="E839" s="132"/>
      <c r="F839" s="474"/>
      <c r="G839" s="309"/>
      <c r="H839" s="309"/>
    </row>
    <row r="840" spans="2:8" ht="24.95" customHeight="1" x14ac:dyDescent="0.25">
      <c r="B840" s="474"/>
      <c r="C840" s="576"/>
      <c r="D840" s="589"/>
      <c r="E840" s="132"/>
      <c r="F840" s="474"/>
      <c r="G840" s="309"/>
      <c r="H840" s="309"/>
    </row>
    <row r="841" spans="2:8" ht="24.95" customHeight="1" x14ac:dyDescent="0.25">
      <c r="B841" s="474"/>
      <c r="C841" s="576"/>
      <c r="D841" s="589"/>
      <c r="E841" s="132"/>
      <c r="F841" s="474"/>
      <c r="G841" s="309"/>
      <c r="H841" s="309"/>
    </row>
    <row r="842" spans="2:8" ht="24.95" customHeight="1" x14ac:dyDescent="0.25">
      <c r="B842" s="474"/>
      <c r="C842" s="576"/>
      <c r="D842" s="589"/>
      <c r="E842" s="132"/>
      <c r="F842" s="474"/>
      <c r="G842" s="309"/>
      <c r="H842" s="309"/>
    </row>
    <row r="843" spans="2:8" ht="24.95" customHeight="1" x14ac:dyDescent="0.25">
      <c r="B843" s="474"/>
      <c r="C843" s="576"/>
      <c r="D843" s="589"/>
      <c r="E843" s="132"/>
      <c r="F843" s="474"/>
      <c r="G843" s="309"/>
      <c r="H843" s="309"/>
    </row>
    <row r="844" spans="2:8" ht="24.95" customHeight="1" x14ac:dyDescent="0.25">
      <c r="B844" s="474"/>
      <c r="C844" s="576"/>
      <c r="D844" s="589"/>
      <c r="E844" s="132"/>
      <c r="F844" s="474"/>
      <c r="G844" s="309"/>
      <c r="H844" s="309"/>
    </row>
    <row r="845" spans="2:8" ht="24.95" customHeight="1" x14ac:dyDescent="0.25">
      <c r="B845" s="474"/>
      <c r="C845" s="576"/>
      <c r="D845" s="589"/>
      <c r="E845" s="132"/>
      <c r="F845" s="474"/>
      <c r="G845" s="309"/>
      <c r="H845" s="309"/>
    </row>
    <row r="846" spans="2:8" ht="24.95" customHeight="1" x14ac:dyDescent="0.25">
      <c r="B846" s="474"/>
      <c r="C846" s="576"/>
      <c r="D846" s="589"/>
      <c r="E846" s="132"/>
      <c r="F846" s="474"/>
      <c r="G846" s="309"/>
      <c r="H846" s="309"/>
    </row>
    <row r="847" spans="2:8" ht="24.95" customHeight="1" x14ac:dyDescent="0.25">
      <c r="B847" s="474"/>
      <c r="C847" s="576"/>
      <c r="D847" s="589"/>
      <c r="E847" s="132"/>
      <c r="F847" s="474"/>
      <c r="G847" s="309"/>
      <c r="H847" s="309"/>
    </row>
    <row r="848" spans="2:8" ht="24.95" customHeight="1" x14ac:dyDescent="0.25">
      <c r="B848" s="474"/>
      <c r="C848" s="576"/>
      <c r="D848" s="589"/>
      <c r="E848" s="132"/>
      <c r="F848" s="474"/>
      <c r="G848" s="309"/>
      <c r="H848" s="309"/>
    </row>
    <row r="849" spans="2:8" ht="24.95" customHeight="1" x14ac:dyDescent="0.25">
      <c r="B849" s="474"/>
      <c r="C849" s="576"/>
      <c r="D849" s="589"/>
      <c r="E849" s="132"/>
      <c r="F849" s="474"/>
      <c r="G849" s="309"/>
      <c r="H849" s="309"/>
    </row>
    <row r="850" spans="2:8" ht="24.95" customHeight="1" x14ac:dyDescent="0.25">
      <c r="B850" s="474"/>
      <c r="C850" s="576"/>
      <c r="D850" s="589"/>
      <c r="E850" s="132"/>
      <c r="F850" s="474"/>
      <c r="G850" s="309"/>
      <c r="H850" s="309"/>
    </row>
    <row r="851" spans="2:8" ht="24.95" customHeight="1" x14ac:dyDescent="0.25">
      <c r="B851" s="474"/>
      <c r="C851" s="576"/>
      <c r="D851" s="589"/>
      <c r="E851" s="132"/>
      <c r="F851" s="474"/>
      <c r="G851" s="309"/>
      <c r="H851" s="309"/>
    </row>
    <row r="852" spans="2:8" ht="24.95" customHeight="1" x14ac:dyDescent="0.25">
      <c r="B852" s="474"/>
      <c r="C852" s="576"/>
      <c r="D852" s="589"/>
      <c r="E852" s="132"/>
      <c r="F852" s="474"/>
      <c r="G852" s="309"/>
      <c r="H852" s="309"/>
    </row>
    <row r="853" spans="2:8" ht="24.95" customHeight="1" x14ac:dyDescent="0.25">
      <c r="B853" s="474"/>
      <c r="C853" s="576"/>
      <c r="D853" s="589"/>
      <c r="E853" s="132"/>
      <c r="F853" s="474"/>
      <c r="G853" s="309"/>
      <c r="H853" s="309"/>
    </row>
    <row r="854" spans="2:8" ht="24.95" customHeight="1" x14ac:dyDescent="0.25">
      <c r="B854" s="474"/>
      <c r="C854" s="576"/>
      <c r="D854" s="589"/>
      <c r="E854" s="132"/>
      <c r="F854" s="474"/>
      <c r="G854" s="309"/>
      <c r="H854" s="309"/>
    </row>
    <row r="855" spans="2:8" ht="24.95" customHeight="1" x14ac:dyDescent="0.25">
      <c r="B855" s="474"/>
      <c r="C855" s="576"/>
      <c r="D855" s="589"/>
      <c r="E855" s="132"/>
      <c r="F855" s="474"/>
      <c r="G855" s="309"/>
      <c r="H855" s="309"/>
    </row>
    <row r="856" spans="2:8" ht="24.95" customHeight="1" x14ac:dyDescent="0.25">
      <c r="B856" s="474"/>
      <c r="C856" s="576"/>
      <c r="D856" s="589"/>
      <c r="E856" s="132"/>
      <c r="F856" s="474"/>
      <c r="G856" s="309"/>
      <c r="H856" s="309"/>
    </row>
    <row r="857" spans="2:8" ht="24.95" customHeight="1" x14ac:dyDescent="0.25">
      <c r="B857" s="474"/>
      <c r="C857" s="576"/>
      <c r="D857" s="589"/>
      <c r="E857" s="132"/>
      <c r="F857" s="474"/>
      <c r="G857" s="309"/>
      <c r="H857" s="309"/>
    </row>
    <row r="858" spans="2:8" ht="24.95" customHeight="1" x14ac:dyDescent="0.25">
      <c r="B858" s="474"/>
      <c r="C858" s="576"/>
      <c r="D858" s="589"/>
      <c r="E858" s="132"/>
      <c r="F858" s="474"/>
      <c r="G858" s="309"/>
      <c r="H858" s="309"/>
    </row>
    <row r="859" spans="2:8" ht="24.95" customHeight="1" x14ac:dyDescent="0.25">
      <c r="B859" s="474"/>
      <c r="C859" s="576"/>
      <c r="D859" s="589"/>
      <c r="E859" s="132"/>
      <c r="F859" s="474"/>
      <c r="G859" s="309"/>
      <c r="H859" s="309"/>
    </row>
    <row r="860" spans="2:8" ht="24.95" customHeight="1" x14ac:dyDescent="0.25">
      <c r="B860" s="474"/>
      <c r="C860" s="576"/>
      <c r="D860" s="589"/>
      <c r="E860" s="132"/>
      <c r="F860" s="474"/>
      <c r="G860" s="309"/>
      <c r="H860" s="309"/>
    </row>
    <row r="861" spans="2:8" ht="24.95" customHeight="1" x14ac:dyDescent="0.25">
      <c r="B861" s="474"/>
      <c r="C861" s="576"/>
      <c r="D861" s="589"/>
      <c r="E861" s="132"/>
      <c r="F861" s="474"/>
      <c r="G861" s="309"/>
      <c r="H861" s="309"/>
    </row>
    <row r="862" spans="2:8" ht="24.95" customHeight="1" x14ac:dyDescent="0.25">
      <c r="B862" s="474"/>
      <c r="C862" s="576"/>
      <c r="D862" s="589"/>
      <c r="E862" s="132"/>
      <c r="F862" s="474"/>
      <c r="G862" s="309"/>
      <c r="H862" s="309"/>
    </row>
    <row r="863" spans="2:8" ht="24.95" customHeight="1" x14ac:dyDescent="0.25">
      <c r="B863" s="474"/>
      <c r="C863" s="576"/>
      <c r="D863" s="589"/>
      <c r="E863" s="132"/>
      <c r="F863" s="474"/>
      <c r="G863" s="309"/>
      <c r="H863" s="309"/>
    </row>
    <row r="864" spans="2:8" ht="24.95" customHeight="1" x14ac:dyDescent="0.25">
      <c r="B864" s="474"/>
      <c r="C864" s="576"/>
      <c r="D864" s="589"/>
      <c r="E864" s="132"/>
      <c r="F864" s="474"/>
      <c r="G864" s="309"/>
      <c r="H864" s="309"/>
    </row>
    <row r="865" spans="2:8" ht="24.95" customHeight="1" x14ac:dyDescent="0.25">
      <c r="B865" s="474"/>
      <c r="C865" s="576"/>
      <c r="D865" s="589"/>
      <c r="E865" s="132"/>
      <c r="F865" s="474"/>
      <c r="G865" s="309"/>
      <c r="H865" s="309"/>
    </row>
    <row r="866" spans="2:8" ht="24.95" customHeight="1" x14ac:dyDescent="0.25">
      <c r="B866" s="474"/>
      <c r="C866" s="576"/>
      <c r="D866" s="589"/>
      <c r="E866" s="132"/>
      <c r="F866" s="474"/>
      <c r="G866" s="309"/>
      <c r="H866" s="309"/>
    </row>
    <row r="867" spans="2:8" ht="24.95" customHeight="1" x14ac:dyDescent="0.25">
      <c r="B867" s="474"/>
      <c r="C867" s="576"/>
      <c r="D867" s="589"/>
      <c r="E867" s="132"/>
      <c r="F867" s="474"/>
      <c r="G867" s="309"/>
      <c r="H867" s="309"/>
    </row>
    <row r="868" spans="2:8" ht="24.95" customHeight="1" x14ac:dyDescent="0.25">
      <c r="B868" s="474"/>
      <c r="C868" s="576"/>
      <c r="D868" s="589"/>
      <c r="E868" s="132"/>
      <c r="F868" s="474"/>
      <c r="G868" s="309"/>
      <c r="H868" s="309"/>
    </row>
    <row r="869" spans="2:8" ht="24.95" customHeight="1" x14ac:dyDescent="0.25">
      <c r="B869" s="474"/>
      <c r="C869" s="576"/>
      <c r="D869" s="589"/>
      <c r="E869" s="132"/>
      <c r="F869" s="474"/>
      <c r="G869" s="309"/>
      <c r="H869" s="309"/>
    </row>
    <row r="870" spans="2:8" ht="24.95" customHeight="1" x14ac:dyDescent="0.25">
      <c r="B870" s="474"/>
      <c r="C870" s="576"/>
      <c r="D870" s="589"/>
      <c r="E870" s="132"/>
      <c r="F870" s="474"/>
      <c r="G870" s="309"/>
      <c r="H870" s="309"/>
    </row>
    <row r="871" spans="2:8" ht="24.95" customHeight="1" x14ac:dyDescent="0.25">
      <c r="B871" s="474"/>
      <c r="C871" s="576"/>
      <c r="D871" s="589"/>
      <c r="E871" s="132"/>
      <c r="F871" s="474"/>
      <c r="G871" s="309"/>
      <c r="H871" s="309"/>
    </row>
    <row r="872" spans="2:8" ht="24.95" customHeight="1" x14ac:dyDescent="0.25">
      <c r="B872" s="474"/>
      <c r="C872" s="576"/>
      <c r="D872" s="589"/>
      <c r="E872" s="132"/>
      <c r="F872" s="474"/>
      <c r="G872" s="309"/>
      <c r="H872" s="309"/>
    </row>
    <row r="873" spans="2:8" ht="24.95" customHeight="1" x14ac:dyDescent="0.25">
      <c r="B873" s="474"/>
      <c r="C873" s="576"/>
      <c r="D873" s="589"/>
      <c r="E873" s="132"/>
      <c r="F873" s="474"/>
      <c r="G873" s="309"/>
      <c r="H873" s="309"/>
    </row>
    <row r="874" spans="2:8" ht="24.95" customHeight="1" x14ac:dyDescent="0.25">
      <c r="B874" s="474"/>
      <c r="C874" s="576"/>
      <c r="D874" s="589"/>
      <c r="E874" s="132"/>
      <c r="F874" s="474"/>
      <c r="G874" s="309"/>
      <c r="H874" s="309"/>
    </row>
    <row r="875" spans="2:8" ht="24.95" customHeight="1" x14ac:dyDescent="0.25">
      <c r="B875" s="474"/>
      <c r="C875" s="576"/>
      <c r="D875" s="589"/>
      <c r="E875" s="132"/>
      <c r="F875" s="474"/>
      <c r="G875" s="309"/>
      <c r="H875" s="309"/>
    </row>
    <row r="876" spans="2:8" ht="24.95" customHeight="1" x14ac:dyDescent="0.25">
      <c r="B876" s="474"/>
      <c r="C876" s="576"/>
      <c r="D876" s="589"/>
      <c r="E876" s="132"/>
      <c r="F876" s="474"/>
      <c r="G876" s="309"/>
      <c r="H876" s="309"/>
    </row>
    <row r="877" spans="2:8" ht="24.95" customHeight="1" x14ac:dyDescent="0.25">
      <c r="B877" s="474"/>
      <c r="C877" s="576"/>
      <c r="D877" s="589"/>
      <c r="E877" s="132"/>
      <c r="F877" s="474"/>
      <c r="G877" s="309"/>
      <c r="H877" s="309"/>
    </row>
    <row r="878" spans="2:8" ht="24.95" customHeight="1" x14ac:dyDescent="0.25">
      <c r="B878" s="474"/>
      <c r="C878" s="576"/>
      <c r="D878" s="589"/>
      <c r="E878" s="132"/>
      <c r="F878" s="474"/>
      <c r="G878" s="309"/>
      <c r="H878" s="309"/>
    </row>
    <row r="879" spans="2:8" ht="24.95" customHeight="1" x14ac:dyDescent="0.25">
      <c r="B879" s="474"/>
      <c r="C879" s="576"/>
      <c r="D879" s="589"/>
      <c r="E879" s="132"/>
      <c r="F879" s="474"/>
      <c r="G879" s="309"/>
      <c r="H879" s="309"/>
    </row>
    <row r="880" spans="2:8" ht="24.95" customHeight="1" x14ac:dyDescent="0.25">
      <c r="B880" s="474"/>
      <c r="C880" s="576"/>
      <c r="D880" s="589"/>
      <c r="E880" s="132"/>
      <c r="F880" s="474"/>
      <c r="G880" s="309"/>
      <c r="H880" s="309"/>
    </row>
    <row r="881" spans="2:8" ht="24.95" customHeight="1" x14ac:dyDescent="0.25">
      <c r="B881" s="474"/>
      <c r="C881" s="576"/>
      <c r="D881" s="589"/>
      <c r="E881" s="132"/>
      <c r="F881" s="474"/>
      <c r="G881" s="309"/>
      <c r="H881" s="309"/>
    </row>
    <row r="882" spans="2:8" ht="24.95" customHeight="1" x14ac:dyDescent="0.25">
      <c r="B882" s="474"/>
      <c r="C882" s="576"/>
      <c r="D882" s="589"/>
      <c r="E882" s="132"/>
      <c r="F882" s="474"/>
      <c r="G882" s="309"/>
      <c r="H882" s="309"/>
    </row>
    <row r="883" spans="2:8" ht="24.95" customHeight="1" x14ac:dyDescent="0.25">
      <c r="B883" s="474"/>
      <c r="C883" s="576"/>
      <c r="D883" s="589"/>
      <c r="E883" s="132"/>
      <c r="F883" s="474"/>
      <c r="G883" s="309"/>
      <c r="H883" s="309"/>
    </row>
    <row r="884" spans="2:8" ht="24.95" customHeight="1" x14ac:dyDescent="0.25">
      <c r="B884" s="474"/>
      <c r="C884" s="576"/>
      <c r="D884" s="589"/>
      <c r="E884" s="132"/>
      <c r="F884" s="474"/>
      <c r="G884" s="309"/>
      <c r="H884" s="309"/>
    </row>
    <row r="885" spans="2:8" ht="24.95" customHeight="1" x14ac:dyDescent="0.25">
      <c r="B885" s="474"/>
      <c r="C885" s="576"/>
      <c r="D885" s="589"/>
      <c r="E885" s="132"/>
      <c r="F885" s="474"/>
      <c r="G885" s="309"/>
      <c r="H885" s="309"/>
    </row>
    <row r="886" spans="2:8" ht="24.95" customHeight="1" x14ac:dyDescent="0.25">
      <c r="B886" s="474"/>
      <c r="C886" s="576"/>
      <c r="D886" s="589"/>
      <c r="E886" s="132"/>
      <c r="F886" s="474"/>
      <c r="G886" s="309"/>
      <c r="H886" s="309"/>
    </row>
    <row r="887" spans="2:8" ht="24.95" customHeight="1" x14ac:dyDescent="0.25">
      <c r="B887" s="474"/>
      <c r="C887" s="576"/>
      <c r="D887" s="589"/>
      <c r="E887" s="132"/>
      <c r="F887" s="474"/>
      <c r="G887" s="309"/>
      <c r="H887" s="309"/>
    </row>
    <row r="888" spans="2:8" ht="24.95" customHeight="1" x14ac:dyDescent="0.25">
      <c r="B888" s="474"/>
      <c r="C888" s="576"/>
      <c r="D888" s="589"/>
      <c r="E888" s="132"/>
      <c r="F888" s="474"/>
      <c r="G888" s="309"/>
      <c r="H888" s="309"/>
    </row>
    <row r="889" spans="2:8" ht="24.95" customHeight="1" x14ac:dyDescent="0.25">
      <c r="B889" s="474"/>
      <c r="C889" s="576"/>
      <c r="D889" s="589"/>
      <c r="E889" s="132"/>
      <c r="F889" s="474"/>
      <c r="G889" s="309"/>
      <c r="H889" s="309"/>
    </row>
    <row r="890" spans="2:8" ht="24.95" customHeight="1" x14ac:dyDescent="0.25">
      <c r="B890" s="474"/>
      <c r="C890" s="576"/>
      <c r="D890" s="589"/>
      <c r="E890" s="132"/>
      <c r="F890" s="474"/>
      <c r="G890" s="309"/>
      <c r="H890" s="309"/>
    </row>
    <row r="891" spans="2:8" ht="24.95" customHeight="1" x14ac:dyDescent="0.25">
      <c r="B891" s="474"/>
      <c r="C891" s="576"/>
      <c r="D891" s="589"/>
      <c r="E891" s="132"/>
      <c r="F891" s="474"/>
      <c r="G891" s="309"/>
      <c r="H891" s="309"/>
    </row>
    <row r="892" spans="2:8" ht="24.95" customHeight="1" x14ac:dyDescent="0.25">
      <c r="B892" s="474"/>
      <c r="C892" s="576"/>
      <c r="D892" s="589"/>
      <c r="E892" s="132"/>
      <c r="F892" s="474"/>
      <c r="G892" s="309"/>
      <c r="H892" s="309"/>
    </row>
    <row r="893" spans="2:8" ht="24.95" customHeight="1" x14ac:dyDescent="0.25">
      <c r="B893" s="474"/>
      <c r="C893" s="576"/>
      <c r="D893" s="589"/>
      <c r="E893" s="132"/>
      <c r="F893" s="474"/>
      <c r="G893" s="309"/>
      <c r="H893" s="309"/>
    </row>
    <row r="894" spans="2:8" ht="24.95" customHeight="1" x14ac:dyDescent="0.25">
      <c r="B894" s="474"/>
      <c r="C894" s="576"/>
      <c r="D894" s="589"/>
      <c r="E894" s="132"/>
      <c r="F894" s="474"/>
      <c r="G894" s="309"/>
      <c r="H894" s="309"/>
    </row>
    <row r="895" spans="2:8" ht="24.95" customHeight="1" x14ac:dyDescent="0.25">
      <c r="B895" s="474"/>
      <c r="C895" s="576"/>
      <c r="D895" s="589"/>
      <c r="E895" s="132"/>
      <c r="F895" s="474"/>
      <c r="G895" s="309"/>
      <c r="H895" s="309"/>
    </row>
    <row r="896" spans="2:8" ht="24.95" customHeight="1" x14ac:dyDescent="0.25">
      <c r="B896" s="474"/>
      <c r="C896" s="576"/>
      <c r="D896" s="589"/>
      <c r="E896" s="132"/>
      <c r="F896" s="474"/>
      <c r="G896" s="309"/>
      <c r="H896" s="309"/>
    </row>
    <row r="897" spans="2:8" ht="24.95" customHeight="1" x14ac:dyDescent="0.25">
      <c r="B897" s="474"/>
      <c r="C897" s="576"/>
      <c r="D897" s="589"/>
      <c r="E897" s="132"/>
      <c r="F897" s="474"/>
      <c r="G897" s="309"/>
      <c r="H897" s="309"/>
    </row>
    <row r="898" spans="2:8" ht="24.95" customHeight="1" x14ac:dyDescent="0.25">
      <c r="B898" s="474"/>
      <c r="C898" s="576"/>
      <c r="D898" s="589"/>
      <c r="E898" s="132"/>
      <c r="F898" s="474"/>
      <c r="G898" s="309"/>
      <c r="H898" s="309"/>
    </row>
    <row r="899" spans="2:8" ht="24.95" customHeight="1" x14ac:dyDescent="0.25">
      <c r="B899" s="474"/>
      <c r="C899" s="576"/>
      <c r="D899" s="589"/>
      <c r="E899" s="132"/>
      <c r="F899" s="474"/>
      <c r="G899" s="309"/>
      <c r="H899" s="309"/>
    </row>
    <row r="900" spans="2:8" ht="24.95" customHeight="1" x14ac:dyDescent="0.25">
      <c r="B900" s="474"/>
      <c r="C900" s="576"/>
      <c r="D900" s="589"/>
      <c r="E900" s="132"/>
      <c r="F900" s="474"/>
      <c r="G900" s="309"/>
      <c r="H900" s="309"/>
    </row>
    <row r="901" spans="2:8" ht="24.95" customHeight="1" x14ac:dyDescent="0.25">
      <c r="B901" s="474"/>
      <c r="C901" s="576"/>
      <c r="D901" s="589"/>
      <c r="E901" s="132"/>
      <c r="F901" s="474"/>
      <c r="G901" s="309"/>
      <c r="H901" s="309"/>
    </row>
    <row r="902" spans="2:8" ht="24.95" customHeight="1" x14ac:dyDescent="0.25">
      <c r="B902" s="474"/>
      <c r="C902" s="576"/>
      <c r="D902" s="589"/>
      <c r="E902" s="132"/>
      <c r="F902" s="474"/>
      <c r="G902" s="309"/>
      <c r="H902" s="309"/>
    </row>
    <row r="903" spans="2:8" ht="24.95" customHeight="1" x14ac:dyDescent="0.25">
      <c r="B903" s="474"/>
      <c r="C903" s="576"/>
      <c r="D903" s="589"/>
      <c r="E903" s="132"/>
      <c r="F903" s="474"/>
      <c r="G903" s="309"/>
      <c r="H903" s="309"/>
    </row>
    <row r="904" spans="2:8" ht="24.95" customHeight="1" x14ac:dyDescent="0.25">
      <c r="B904" s="474"/>
      <c r="C904" s="576"/>
      <c r="D904" s="589"/>
      <c r="E904" s="132"/>
      <c r="F904" s="474"/>
      <c r="G904" s="309"/>
      <c r="H904" s="309"/>
    </row>
    <row r="905" spans="2:8" ht="24.95" customHeight="1" x14ac:dyDescent="0.25">
      <c r="B905" s="474"/>
      <c r="C905" s="576"/>
      <c r="D905" s="589"/>
      <c r="E905" s="132"/>
      <c r="F905" s="474"/>
      <c r="G905" s="309"/>
      <c r="H905" s="309"/>
    </row>
    <row r="906" spans="2:8" ht="24.95" customHeight="1" x14ac:dyDescent="0.25">
      <c r="B906" s="474"/>
      <c r="C906" s="576"/>
      <c r="D906" s="589"/>
      <c r="E906" s="132"/>
      <c r="F906" s="474"/>
      <c r="G906" s="309"/>
      <c r="H906" s="309"/>
    </row>
    <row r="907" spans="2:8" ht="24.95" customHeight="1" x14ac:dyDescent="0.25">
      <c r="B907" s="474"/>
      <c r="C907" s="576"/>
      <c r="D907" s="589"/>
      <c r="E907" s="132"/>
      <c r="F907" s="474"/>
      <c r="G907" s="309"/>
      <c r="H907" s="309"/>
    </row>
    <row r="908" spans="2:8" ht="24.95" customHeight="1" x14ac:dyDescent="0.25">
      <c r="B908" s="474"/>
      <c r="C908" s="576"/>
      <c r="D908" s="589"/>
      <c r="E908" s="132"/>
      <c r="F908" s="474"/>
      <c r="G908" s="309"/>
      <c r="H908" s="309"/>
    </row>
    <row r="909" spans="2:8" ht="24.95" customHeight="1" x14ac:dyDescent="0.25">
      <c r="B909" s="474"/>
      <c r="C909" s="576"/>
      <c r="D909" s="589"/>
      <c r="E909" s="132"/>
      <c r="F909" s="474"/>
      <c r="G909" s="309"/>
      <c r="H909" s="309"/>
    </row>
    <row r="910" spans="2:8" ht="24.95" customHeight="1" x14ac:dyDescent="0.25">
      <c r="B910" s="474"/>
      <c r="C910" s="576"/>
      <c r="D910" s="589"/>
      <c r="E910" s="132"/>
      <c r="F910" s="474"/>
      <c r="G910" s="309"/>
      <c r="H910" s="309"/>
    </row>
    <row r="911" spans="2:8" ht="24.95" customHeight="1" x14ac:dyDescent="0.25">
      <c r="B911" s="474"/>
      <c r="C911" s="576"/>
      <c r="D911" s="589"/>
      <c r="E911" s="132"/>
      <c r="F911" s="474"/>
      <c r="G911" s="309"/>
      <c r="H911" s="309"/>
    </row>
    <row r="912" spans="2:8" ht="24.95" customHeight="1" x14ac:dyDescent="0.25">
      <c r="B912" s="474"/>
      <c r="C912" s="576"/>
      <c r="D912" s="589"/>
      <c r="E912" s="132"/>
      <c r="F912" s="474"/>
      <c r="G912" s="309"/>
      <c r="H912" s="309"/>
    </row>
    <row r="913" spans="2:8" ht="24.95" customHeight="1" x14ac:dyDescent="0.25">
      <c r="B913" s="474"/>
      <c r="C913" s="576"/>
      <c r="D913" s="589"/>
      <c r="E913" s="132"/>
      <c r="F913" s="474"/>
      <c r="G913" s="309"/>
      <c r="H913" s="309"/>
    </row>
    <row r="914" spans="2:8" ht="24.95" customHeight="1" x14ac:dyDescent="0.25">
      <c r="B914" s="474"/>
      <c r="C914" s="576"/>
      <c r="D914" s="589"/>
      <c r="E914" s="132"/>
      <c r="F914" s="474"/>
      <c r="G914" s="309"/>
      <c r="H914" s="309"/>
    </row>
    <row r="915" spans="2:8" ht="24.95" customHeight="1" x14ac:dyDescent="0.25">
      <c r="B915" s="474"/>
      <c r="C915" s="576"/>
      <c r="D915" s="589"/>
      <c r="E915" s="132"/>
      <c r="F915" s="474"/>
      <c r="G915" s="309"/>
      <c r="H915" s="309"/>
    </row>
    <row r="916" spans="2:8" ht="24.95" customHeight="1" x14ac:dyDescent="0.25">
      <c r="B916" s="474"/>
      <c r="C916" s="576"/>
      <c r="D916" s="589"/>
      <c r="E916" s="132"/>
      <c r="F916" s="474"/>
      <c r="G916" s="309"/>
      <c r="H916" s="309"/>
    </row>
    <row r="917" spans="2:8" ht="24.95" customHeight="1" x14ac:dyDescent="0.25">
      <c r="B917" s="474"/>
      <c r="C917" s="576"/>
      <c r="D917" s="589"/>
      <c r="E917" s="132"/>
      <c r="F917" s="474"/>
      <c r="G917" s="309"/>
      <c r="H917" s="309"/>
    </row>
    <row r="918" spans="2:8" ht="24.95" customHeight="1" x14ac:dyDescent="0.25">
      <c r="B918" s="474"/>
      <c r="C918" s="576"/>
      <c r="D918" s="589"/>
      <c r="E918" s="132"/>
      <c r="F918" s="474"/>
      <c r="G918" s="309"/>
      <c r="H918" s="309"/>
    </row>
    <row r="919" spans="2:8" ht="24.95" customHeight="1" x14ac:dyDescent="0.25">
      <c r="B919" s="474"/>
      <c r="C919" s="576"/>
      <c r="D919" s="589"/>
      <c r="E919" s="132"/>
      <c r="F919" s="474"/>
      <c r="G919" s="309"/>
      <c r="H919" s="309"/>
    </row>
    <row r="920" spans="2:8" ht="24.95" customHeight="1" x14ac:dyDescent="0.25">
      <c r="B920" s="474"/>
      <c r="C920" s="576"/>
      <c r="D920" s="589"/>
      <c r="E920" s="132"/>
      <c r="F920" s="474"/>
      <c r="G920" s="309"/>
      <c r="H920" s="309"/>
    </row>
    <row r="921" spans="2:8" ht="24.95" customHeight="1" x14ac:dyDescent="0.25">
      <c r="B921" s="474"/>
      <c r="C921" s="576"/>
      <c r="D921" s="589"/>
      <c r="E921" s="132"/>
      <c r="F921" s="474"/>
      <c r="G921" s="309"/>
      <c r="H921" s="309"/>
    </row>
    <row r="922" spans="2:8" ht="24.95" customHeight="1" x14ac:dyDescent="0.25">
      <c r="B922" s="474"/>
      <c r="C922" s="576"/>
      <c r="D922" s="589"/>
      <c r="E922" s="132"/>
      <c r="F922" s="474"/>
      <c r="G922" s="309"/>
      <c r="H922" s="309"/>
    </row>
    <row r="923" spans="2:8" ht="24.95" customHeight="1" x14ac:dyDescent="0.25">
      <c r="B923" s="474"/>
      <c r="C923" s="576"/>
      <c r="D923" s="589"/>
      <c r="E923" s="132"/>
      <c r="F923" s="474"/>
      <c r="G923" s="309"/>
      <c r="H923" s="309"/>
    </row>
    <row r="924" spans="2:8" ht="24.95" customHeight="1" x14ac:dyDescent="0.25">
      <c r="B924" s="474"/>
      <c r="C924" s="576"/>
      <c r="D924" s="589"/>
      <c r="E924" s="132"/>
      <c r="F924" s="474"/>
      <c r="G924" s="309"/>
      <c r="H924" s="309"/>
    </row>
    <row r="925" spans="2:8" ht="24.95" customHeight="1" x14ac:dyDescent="0.25">
      <c r="B925" s="474"/>
      <c r="C925" s="576"/>
      <c r="D925" s="589"/>
      <c r="E925" s="132"/>
      <c r="F925" s="474"/>
      <c r="G925" s="309"/>
      <c r="H925" s="309"/>
    </row>
    <row r="926" spans="2:8" ht="24.95" customHeight="1" x14ac:dyDescent="0.25">
      <c r="B926" s="474"/>
      <c r="C926" s="576"/>
      <c r="D926" s="589"/>
      <c r="E926" s="132"/>
      <c r="F926" s="474"/>
      <c r="G926" s="309"/>
      <c r="H926" s="309"/>
    </row>
    <row r="927" spans="2:8" ht="24.95" customHeight="1" x14ac:dyDescent="0.25">
      <c r="B927" s="474"/>
      <c r="C927" s="576"/>
      <c r="D927" s="589"/>
      <c r="E927" s="132"/>
      <c r="F927" s="474"/>
      <c r="G927" s="309"/>
      <c r="H927" s="309"/>
    </row>
    <row r="928" spans="2:8" ht="24.95" customHeight="1" x14ac:dyDescent="0.25">
      <c r="B928" s="474"/>
      <c r="C928" s="576"/>
      <c r="D928" s="589"/>
      <c r="E928" s="132"/>
      <c r="F928" s="474"/>
      <c r="G928" s="309"/>
      <c r="H928" s="309"/>
    </row>
    <row r="929" spans="2:8" ht="24.95" customHeight="1" x14ac:dyDescent="0.25">
      <c r="B929" s="474"/>
      <c r="C929" s="576"/>
      <c r="D929" s="589"/>
      <c r="E929" s="132"/>
      <c r="F929" s="474"/>
      <c r="G929" s="309"/>
      <c r="H929" s="309"/>
    </row>
    <row r="930" spans="2:8" ht="24.95" customHeight="1" x14ac:dyDescent="0.25">
      <c r="B930" s="474"/>
      <c r="C930" s="576"/>
      <c r="D930" s="589"/>
      <c r="E930" s="132"/>
      <c r="F930" s="474"/>
      <c r="G930" s="309"/>
      <c r="H930" s="309"/>
    </row>
    <row r="931" spans="2:8" ht="24.95" customHeight="1" x14ac:dyDescent="0.25">
      <c r="B931" s="474"/>
      <c r="C931" s="576"/>
      <c r="D931" s="589"/>
      <c r="E931" s="132"/>
      <c r="F931" s="474"/>
      <c r="G931" s="309"/>
      <c r="H931" s="309"/>
    </row>
    <row r="932" spans="2:8" ht="24.95" customHeight="1" x14ac:dyDescent="0.25">
      <c r="B932" s="474"/>
      <c r="C932" s="576"/>
      <c r="D932" s="589"/>
      <c r="E932" s="132"/>
      <c r="F932" s="474"/>
      <c r="G932" s="309"/>
      <c r="H932" s="309"/>
    </row>
    <row r="933" spans="2:8" ht="24.95" customHeight="1" x14ac:dyDescent="0.25">
      <c r="B933" s="474"/>
      <c r="C933" s="576"/>
      <c r="D933" s="589"/>
      <c r="E933" s="132"/>
      <c r="F933" s="474"/>
      <c r="G933" s="309"/>
      <c r="H933" s="309"/>
    </row>
    <row r="934" spans="2:8" ht="24.95" customHeight="1" x14ac:dyDescent="0.25">
      <c r="B934" s="474"/>
      <c r="C934" s="576"/>
      <c r="D934" s="589"/>
      <c r="E934" s="132"/>
      <c r="F934" s="474"/>
      <c r="G934" s="309"/>
      <c r="H934" s="309"/>
    </row>
    <row r="935" spans="2:8" ht="24.95" customHeight="1" x14ac:dyDescent="0.25">
      <c r="B935" s="474"/>
      <c r="C935" s="576"/>
      <c r="D935" s="589"/>
      <c r="E935" s="132"/>
      <c r="F935" s="474"/>
      <c r="G935" s="309"/>
      <c r="H935" s="309"/>
    </row>
    <row r="936" spans="2:8" ht="24.95" customHeight="1" x14ac:dyDescent="0.25">
      <c r="B936" s="474"/>
      <c r="C936" s="576"/>
      <c r="D936" s="589"/>
      <c r="E936" s="132"/>
      <c r="F936" s="474"/>
      <c r="G936" s="309"/>
      <c r="H936" s="309"/>
    </row>
    <row r="937" spans="2:8" ht="24.95" customHeight="1" x14ac:dyDescent="0.25">
      <c r="B937" s="474"/>
      <c r="C937" s="576"/>
      <c r="D937" s="589"/>
      <c r="E937" s="132"/>
      <c r="F937" s="474"/>
      <c r="G937" s="309"/>
      <c r="H937" s="309"/>
    </row>
    <row r="938" spans="2:8" ht="24.95" customHeight="1" x14ac:dyDescent="0.25">
      <c r="B938" s="474"/>
      <c r="C938" s="576"/>
      <c r="D938" s="589"/>
      <c r="E938" s="132"/>
      <c r="F938" s="474"/>
      <c r="G938" s="309"/>
      <c r="H938" s="309"/>
    </row>
    <row r="939" spans="2:8" ht="24.95" customHeight="1" x14ac:dyDescent="0.25">
      <c r="B939" s="474"/>
      <c r="C939" s="576"/>
      <c r="D939" s="589"/>
      <c r="E939" s="132"/>
      <c r="F939" s="474"/>
      <c r="G939" s="309"/>
      <c r="H939" s="309"/>
    </row>
    <row r="940" spans="2:8" ht="24.95" customHeight="1" x14ac:dyDescent="0.25">
      <c r="B940" s="474"/>
      <c r="C940" s="576"/>
      <c r="D940" s="589"/>
      <c r="E940" s="132"/>
      <c r="F940" s="474"/>
      <c r="G940" s="309"/>
      <c r="H940" s="309"/>
    </row>
    <row r="941" spans="2:8" ht="24.95" customHeight="1" x14ac:dyDescent="0.25">
      <c r="B941" s="474"/>
      <c r="C941" s="576"/>
      <c r="D941" s="589"/>
      <c r="E941" s="132"/>
      <c r="F941" s="474"/>
      <c r="G941" s="309"/>
      <c r="H941" s="309"/>
    </row>
    <row r="942" spans="2:8" ht="24.95" customHeight="1" x14ac:dyDescent="0.25">
      <c r="B942" s="474"/>
      <c r="C942" s="576"/>
      <c r="D942" s="589"/>
      <c r="E942" s="132"/>
      <c r="F942" s="474"/>
      <c r="G942" s="309"/>
      <c r="H942" s="309"/>
    </row>
    <row r="943" spans="2:8" ht="24.95" customHeight="1" x14ac:dyDescent="0.25">
      <c r="B943" s="474"/>
      <c r="C943" s="576"/>
      <c r="D943" s="589"/>
      <c r="E943" s="132"/>
      <c r="F943" s="474"/>
      <c r="G943" s="309"/>
      <c r="H943" s="309"/>
    </row>
    <row r="944" spans="2:8" ht="24.95" customHeight="1" x14ac:dyDescent="0.25">
      <c r="B944" s="474"/>
      <c r="C944" s="576"/>
      <c r="D944" s="589"/>
      <c r="E944" s="132"/>
      <c r="F944" s="474"/>
      <c r="G944" s="309"/>
      <c r="H944" s="309"/>
    </row>
    <row r="945" spans="2:8" ht="24.95" customHeight="1" x14ac:dyDescent="0.25">
      <c r="B945" s="474"/>
      <c r="C945" s="576"/>
      <c r="D945" s="589"/>
      <c r="E945" s="132"/>
      <c r="F945" s="474"/>
      <c r="G945" s="309"/>
      <c r="H945" s="309"/>
    </row>
    <row r="946" spans="2:8" ht="24.95" customHeight="1" x14ac:dyDescent="0.25">
      <c r="B946" s="474"/>
      <c r="C946" s="576"/>
      <c r="D946" s="589"/>
      <c r="E946" s="132"/>
      <c r="F946" s="474"/>
      <c r="G946" s="309"/>
      <c r="H946" s="309"/>
    </row>
    <row r="947" spans="2:8" ht="24.95" customHeight="1" x14ac:dyDescent="0.25">
      <c r="B947" s="474"/>
      <c r="C947" s="576"/>
      <c r="D947" s="589"/>
      <c r="E947" s="132"/>
      <c r="F947" s="474"/>
      <c r="G947" s="309"/>
      <c r="H947" s="309"/>
    </row>
    <row r="948" spans="2:8" ht="24.95" customHeight="1" x14ac:dyDescent="0.25">
      <c r="B948" s="474"/>
      <c r="C948" s="576"/>
      <c r="D948" s="589"/>
      <c r="E948" s="132"/>
      <c r="F948" s="474"/>
      <c r="G948" s="309"/>
      <c r="H948" s="309"/>
    </row>
    <row r="949" spans="2:8" ht="24.95" customHeight="1" x14ac:dyDescent="0.25">
      <c r="B949" s="474"/>
      <c r="C949" s="576"/>
      <c r="D949" s="589"/>
      <c r="E949" s="132"/>
      <c r="F949" s="474"/>
      <c r="G949" s="309"/>
      <c r="H949" s="309"/>
    </row>
    <row r="950" spans="2:8" ht="24.95" customHeight="1" x14ac:dyDescent="0.25">
      <c r="B950" s="474"/>
      <c r="C950" s="576"/>
      <c r="D950" s="589"/>
      <c r="E950" s="132"/>
      <c r="F950" s="474"/>
      <c r="G950" s="309"/>
      <c r="H950" s="309"/>
    </row>
    <row r="951" spans="2:8" ht="24.95" customHeight="1" x14ac:dyDescent="0.25">
      <c r="B951" s="474"/>
      <c r="C951" s="576"/>
      <c r="D951" s="589"/>
      <c r="E951" s="132"/>
      <c r="F951" s="474"/>
      <c r="G951" s="309"/>
      <c r="H951" s="309"/>
    </row>
    <row r="952" spans="2:8" ht="24.95" customHeight="1" x14ac:dyDescent="0.25">
      <c r="B952" s="474"/>
      <c r="C952" s="576"/>
      <c r="D952" s="589"/>
      <c r="E952" s="132"/>
      <c r="F952" s="474"/>
      <c r="G952" s="309"/>
      <c r="H952" s="309"/>
    </row>
    <row r="953" spans="2:8" ht="24.95" customHeight="1" x14ac:dyDescent="0.25">
      <c r="B953" s="474"/>
      <c r="C953" s="576"/>
      <c r="D953" s="589"/>
      <c r="E953" s="132"/>
      <c r="F953" s="474"/>
      <c r="G953" s="309"/>
      <c r="H953" s="309"/>
    </row>
    <row r="954" spans="2:8" ht="24.95" customHeight="1" x14ac:dyDescent="0.25">
      <c r="B954" s="474"/>
      <c r="C954" s="576"/>
      <c r="D954" s="589"/>
      <c r="E954" s="132"/>
      <c r="F954" s="474"/>
      <c r="G954" s="309"/>
      <c r="H954" s="309"/>
    </row>
    <row r="955" spans="2:8" ht="24.95" customHeight="1" x14ac:dyDescent="0.25">
      <c r="B955" s="474"/>
      <c r="C955" s="576"/>
      <c r="D955" s="589"/>
      <c r="E955" s="132"/>
      <c r="F955" s="474"/>
      <c r="G955" s="309"/>
      <c r="H955" s="309"/>
    </row>
    <row r="956" spans="2:8" ht="24.95" customHeight="1" x14ac:dyDescent="0.25">
      <c r="B956" s="474"/>
      <c r="C956" s="576"/>
      <c r="D956" s="589"/>
      <c r="E956" s="132"/>
      <c r="F956" s="474"/>
      <c r="G956" s="309"/>
      <c r="H956" s="309"/>
    </row>
    <row r="957" spans="2:8" ht="24.95" customHeight="1" x14ac:dyDescent="0.25">
      <c r="B957" s="474"/>
      <c r="C957" s="576"/>
      <c r="D957" s="589"/>
      <c r="E957" s="132"/>
      <c r="F957" s="474"/>
      <c r="G957" s="309"/>
      <c r="H957" s="309"/>
    </row>
    <row r="958" spans="2:8" ht="24.95" customHeight="1" x14ac:dyDescent="0.25">
      <c r="B958" s="474"/>
      <c r="C958" s="576"/>
      <c r="D958" s="589"/>
      <c r="E958" s="132"/>
      <c r="F958" s="474"/>
      <c r="G958" s="309"/>
      <c r="H958" s="309"/>
    </row>
    <row r="959" spans="2:8" ht="24.95" customHeight="1" x14ac:dyDescent="0.25">
      <c r="B959" s="474"/>
      <c r="C959" s="576"/>
      <c r="D959" s="589"/>
      <c r="E959" s="132"/>
      <c r="F959" s="474"/>
      <c r="G959" s="309"/>
      <c r="H959" s="309"/>
    </row>
    <row r="960" spans="2:8" ht="24.95" customHeight="1" x14ac:dyDescent="0.25">
      <c r="B960" s="474"/>
      <c r="C960" s="576"/>
      <c r="D960" s="589"/>
      <c r="E960" s="132"/>
      <c r="F960" s="474"/>
      <c r="G960" s="309"/>
      <c r="H960" s="309"/>
    </row>
    <row r="961" spans="2:8" ht="24.95" customHeight="1" x14ac:dyDescent="0.25">
      <c r="B961" s="474"/>
      <c r="C961" s="576"/>
      <c r="D961" s="589"/>
      <c r="E961" s="132"/>
      <c r="F961" s="474"/>
      <c r="G961" s="309"/>
      <c r="H961" s="309"/>
    </row>
    <row r="962" spans="2:8" ht="24.95" customHeight="1" x14ac:dyDescent="0.25">
      <c r="B962" s="474"/>
      <c r="C962" s="576"/>
      <c r="D962" s="589"/>
      <c r="E962" s="132"/>
      <c r="F962" s="474"/>
      <c r="G962" s="309"/>
      <c r="H962" s="309"/>
    </row>
    <row r="963" spans="2:8" ht="24.95" customHeight="1" x14ac:dyDescent="0.25">
      <c r="B963" s="474"/>
      <c r="C963" s="576"/>
      <c r="D963" s="589"/>
      <c r="E963" s="132"/>
      <c r="F963" s="474"/>
      <c r="G963" s="309"/>
      <c r="H963" s="309"/>
    </row>
    <row r="964" spans="2:8" ht="24.95" customHeight="1" x14ac:dyDescent="0.25">
      <c r="B964" s="474"/>
      <c r="C964" s="576"/>
      <c r="D964" s="589"/>
      <c r="E964" s="132"/>
      <c r="F964" s="474"/>
      <c r="G964" s="309"/>
      <c r="H964" s="309"/>
    </row>
    <row r="965" spans="2:8" ht="24.95" customHeight="1" x14ac:dyDescent="0.25">
      <c r="B965" s="474"/>
      <c r="C965" s="576"/>
      <c r="D965" s="589"/>
      <c r="E965" s="132"/>
      <c r="F965" s="474"/>
      <c r="G965" s="309"/>
      <c r="H965" s="309"/>
    </row>
    <row r="966" spans="2:8" ht="24.95" customHeight="1" x14ac:dyDescent="0.25">
      <c r="B966" s="474"/>
      <c r="C966" s="576"/>
      <c r="D966" s="589"/>
      <c r="E966" s="132"/>
      <c r="F966" s="474"/>
      <c r="G966" s="309"/>
      <c r="H966" s="309"/>
    </row>
    <row r="967" spans="2:8" ht="24.95" customHeight="1" x14ac:dyDescent="0.25">
      <c r="B967" s="474"/>
      <c r="C967" s="576"/>
      <c r="D967" s="589"/>
      <c r="E967" s="132"/>
      <c r="F967" s="474"/>
      <c r="G967" s="309"/>
      <c r="H967" s="309"/>
    </row>
    <row r="968" spans="2:8" ht="24.95" customHeight="1" x14ac:dyDescent="0.25">
      <c r="B968" s="474"/>
      <c r="C968" s="576"/>
      <c r="D968" s="589"/>
      <c r="E968" s="132"/>
      <c r="F968" s="474"/>
      <c r="G968" s="309"/>
      <c r="H968" s="309"/>
    </row>
    <row r="969" spans="2:8" ht="24.95" customHeight="1" x14ac:dyDescent="0.25">
      <c r="B969" s="474"/>
      <c r="C969" s="576"/>
      <c r="D969" s="589"/>
      <c r="E969" s="132"/>
      <c r="F969" s="474"/>
      <c r="G969" s="309"/>
      <c r="H969" s="309"/>
    </row>
    <row r="970" spans="2:8" ht="24.95" customHeight="1" x14ac:dyDescent="0.25">
      <c r="B970" s="474"/>
      <c r="C970" s="576"/>
      <c r="D970" s="589"/>
      <c r="E970" s="132"/>
      <c r="F970" s="474"/>
      <c r="G970" s="309"/>
      <c r="H970" s="309"/>
    </row>
    <row r="971" spans="2:8" ht="24.95" customHeight="1" x14ac:dyDescent="0.25">
      <c r="B971" s="474"/>
      <c r="C971" s="576"/>
      <c r="D971" s="589"/>
      <c r="E971" s="132"/>
      <c r="F971" s="474"/>
      <c r="G971" s="309"/>
      <c r="H971" s="309"/>
    </row>
    <row r="972" spans="2:8" ht="24.95" customHeight="1" x14ac:dyDescent="0.25">
      <c r="B972" s="474"/>
      <c r="C972" s="576"/>
      <c r="D972" s="589"/>
      <c r="E972" s="132"/>
      <c r="F972" s="474"/>
      <c r="G972" s="309"/>
      <c r="H972" s="309"/>
    </row>
    <row r="973" spans="2:8" ht="24.95" customHeight="1" x14ac:dyDescent="0.25">
      <c r="B973" s="474"/>
      <c r="C973" s="576"/>
      <c r="D973" s="589"/>
      <c r="E973" s="132"/>
      <c r="F973" s="474"/>
      <c r="G973" s="309"/>
      <c r="H973" s="309"/>
    </row>
    <row r="974" spans="2:8" ht="24.95" customHeight="1" x14ac:dyDescent="0.25">
      <c r="B974" s="474"/>
      <c r="C974" s="576"/>
      <c r="D974" s="589"/>
      <c r="E974" s="132"/>
      <c r="F974" s="474"/>
      <c r="G974" s="309"/>
      <c r="H974" s="309"/>
    </row>
    <row r="975" spans="2:8" ht="24.95" customHeight="1" x14ac:dyDescent="0.25">
      <c r="B975" s="474"/>
      <c r="C975" s="576"/>
      <c r="D975" s="589"/>
      <c r="E975" s="132"/>
      <c r="F975" s="474"/>
      <c r="G975" s="309"/>
      <c r="H975" s="309"/>
    </row>
    <row r="976" spans="2:8" ht="24.95" customHeight="1" x14ac:dyDescent="0.25">
      <c r="B976" s="474"/>
      <c r="C976" s="576"/>
      <c r="D976" s="589"/>
      <c r="E976" s="132"/>
      <c r="F976" s="474"/>
      <c r="G976" s="309"/>
      <c r="H976" s="309"/>
    </row>
    <row r="977" spans="2:8" ht="24.95" customHeight="1" x14ac:dyDescent="0.25">
      <c r="B977" s="474"/>
      <c r="C977" s="576"/>
      <c r="D977" s="589"/>
      <c r="E977" s="132"/>
      <c r="F977" s="474"/>
      <c r="G977" s="309"/>
      <c r="H977" s="309"/>
    </row>
    <row r="978" spans="2:8" ht="24.95" customHeight="1" x14ac:dyDescent="0.25">
      <c r="B978" s="474"/>
      <c r="C978" s="576"/>
      <c r="D978" s="589"/>
      <c r="E978" s="132"/>
      <c r="F978" s="474"/>
      <c r="G978" s="309"/>
      <c r="H978" s="309"/>
    </row>
    <row r="979" spans="2:8" ht="24.95" customHeight="1" x14ac:dyDescent="0.25">
      <c r="B979" s="474"/>
      <c r="C979" s="576"/>
      <c r="D979" s="589"/>
      <c r="E979" s="132"/>
      <c r="F979" s="474"/>
      <c r="G979" s="309"/>
      <c r="H979" s="309"/>
    </row>
    <row r="980" spans="2:8" ht="24.95" customHeight="1" x14ac:dyDescent="0.25">
      <c r="B980" s="474"/>
      <c r="C980" s="576"/>
      <c r="D980" s="589"/>
      <c r="E980" s="132"/>
      <c r="F980" s="474"/>
      <c r="G980" s="309"/>
      <c r="H980" s="309"/>
    </row>
    <row r="981" spans="2:8" ht="24.95" customHeight="1" x14ac:dyDescent="0.25">
      <c r="B981" s="474"/>
      <c r="C981" s="576"/>
      <c r="D981" s="589"/>
      <c r="E981" s="132"/>
      <c r="F981" s="474"/>
      <c r="G981" s="309"/>
      <c r="H981" s="309"/>
    </row>
    <row r="982" spans="2:8" ht="24.95" customHeight="1" x14ac:dyDescent="0.25">
      <c r="B982" s="474"/>
      <c r="C982" s="576"/>
      <c r="D982" s="589"/>
      <c r="E982" s="132"/>
      <c r="F982" s="474"/>
      <c r="G982" s="309"/>
      <c r="H982" s="309"/>
    </row>
    <row r="983" spans="2:8" ht="24.95" customHeight="1" x14ac:dyDescent="0.25">
      <c r="B983" s="474"/>
      <c r="C983" s="576"/>
      <c r="D983" s="589"/>
      <c r="E983" s="132"/>
      <c r="F983" s="474"/>
      <c r="G983" s="309"/>
      <c r="H983" s="309"/>
    </row>
    <row r="984" spans="2:8" ht="24.95" customHeight="1" x14ac:dyDescent="0.25">
      <c r="B984" s="474"/>
      <c r="C984" s="576"/>
      <c r="D984" s="589"/>
      <c r="E984" s="132"/>
      <c r="F984" s="474"/>
      <c r="G984" s="309"/>
      <c r="H984" s="309"/>
    </row>
    <row r="985" spans="2:8" ht="24.95" customHeight="1" x14ac:dyDescent="0.25">
      <c r="B985" s="474"/>
      <c r="C985" s="576"/>
      <c r="D985" s="589"/>
      <c r="E985" s="132"/>
      <c r="F985" s="474"/>
      <c r="G985" s="309"/>
      <c r="H985" s="309"/>
    </row>
    <row r="986" spans="2:8" ht="24.95" customHeight="1" x14ac:dyDescent="0.25">
      <c r="B986" s="474"/>
      <c r="C986" s="576"/>
      <c r="D986" s="589"/>
      <c r="E986" s="132"/>
      <c r="F986" s="474"/>
      <c r="G986" s="309"/>
      <c r="H986" s="309"/>
    </row>
    <row r="987" spans="2:8" ht="24.95" customHeight="1" x14ac:dyDescent="0.25">
      <c r="B987" s="474"/>
      <c r="C987" s="576"/>
      <c r="D987" s="589"/>
      <c r="E987" s="132"/>
      <c r="F987" s="474"/>
      <c r="G987" s="309"/>
      <c r="H987" s="309"/>
    </row>
    <row r="988" spans="2:8" ht="24.95" customHeight="1" x14ac:dyDescent="0.25">
      <c r="B988" s="474"/>
      <c r="C988" s="576"/>
      <c r="D988" s="589"/>
      <c r="E988" s="132"/>
      <c r="F988" s="474"/>
      <c r="G988" s="309"/>
      <c r="H988" s="309"/>
    </row>
    <row r="989" spans="2:8" ht="24.95" customHeight="1" x14ac:dyDescent="0.25">
      <c r="B989" s="474"/>
      <c r="C989" s="576"/>
      <c r="D989" s="589"/>
      <c r="E989" s="132"/>
      <c r="F989" s="474"/>
      <c r="G989" s="309"/>
      <c r="H989" s="309"/>
    </row>
    <row r="990" spans="2:8" ht="24.95" customHeight="1" x14ac:dyDescent="0.25">
      <c r="B990" s="474"/>
      <c r="C990" s="576"/>
      <c r="D990" s="589"/>
      <c r="E990" s="132"/>
      <c r="F990" s="474"/>
      <c r="G990" s="309"/>
      <c r="H990" s="309"/>
    </row>
    <row r="991" spans="2:8" ht="24.95" customHeight="1" x14ac:dyDescent="0.25">
      <c r="B991" s="474"/>
      <c r="C991" s="576"/>
      <c r="D991" s="589"/>
      <c r="E991" s="132"/>
      <c r="F991" s="474"/>
      <c r="G991" s="309"/>
      <c r="H991" s="309"/>
    </row>
    <row r="992" spans="2:8" ht="24.95" customHeight="1" x14ac:dyDescent="0.25">
      <c r="B992" s="474"/>
      <c r="C992" s="576"/>
      <c r="D992" s="589"/>
      <c r="E992" s="132"/>
      <c r="F992" s="474"/>
      <c r="G992" s="309"/>
      <c r="H992" s="309"/>
    </row>
    <row r="993" spans="2:8" ht="24.95" customHeight="1" x14ac:dyDescent="0.25">
      <c r="B993" s="474"/>
      <c r="C993" s="576"/>
      <c r="D993" s="589"/>
      <c r="E993" s="132"/>
      <c r="F993" s="474"/>
      <c r="G993" s="309"/>
      <c r="H993" s="309"/>
    </row>
    <row r="994" spans="2:8" ht="24.95" customHeight="1" x14ac:dyDescent="0.25">
      <c r="B994" s="474"/>
      <c r="C994" s="576"/>
      <c r="D994" s="589"/>
      <c r="E994" s="132"/>
      <c r="F994" s="474"/>
      <c r="G994" s="309"/>
      <c r="H994" s="309"/>
    </row>
    <row r="995" spans="2:8" ht="24.95" customHeight="1" x14ac:dyDescent="0.25">
      <c r="B995" s="474"/>
      <c r="C995" s="576"/>
      <c r="D995" s="589"/>
      <c r="E995" s="132"/>
      <c r="F995" s="474"/>
      <c r="G995" s="309"/>
      <c r="H995" s="309"/>
    </row>
    <row r="996" spans="2:8" ht="24.95" customHeight="1" x14ac:dyDescent="0.25">
      <c r="B996" s="474"/>
      <c r="C996" s="576"/>
      <c r="D996" s="589"/>
      <c r="E996" s="132"/>
      <c r="F996" s="474"/>
      <c r="G996" s="309"/>
      <c r="H996" s="309"/>
    </row>
    <row r="997" spans="2:8" ht="24.95" customHeight="1" x14ac:dyDescent="0.25">
      <c r="B997" s="474"/>
      <c r="C997" s="576"/>
      <c r="D997" s="589"/>
      <c r="E997" s="132"/>
      <c r="F997" s="474"/>
      <c r="G997" s="309"/>
      <c r="H997" s="309"/>
    </row>
    <row r="998" spans="2:8" ht="24.95" customHeight="1" x14ac:dyDescent="0.25">
      <c r="B998" s="474"/>
      <c r="C998" s="576"/>
      <c r="D998" s="589"/>
      <c r="E998" s="132"/>
      <c r="F998" s="474"/>
      <c r="G998" s="309"/>
      <c r="H998" s="309"/>
    </row>
    <row r="999" spans="2:8" ht="24.95" customHeight="1" x14ac:dyDescent="0.25">
      <c r="B999" s="474"/>
      <c r="C999" s="576"/>
      <c r="D999" s="589"/>
      <c r="E999" s="132"/>
      <c r="F999" s="474"/>
      <c r="G999" s="309"/>
      <c r="H999" s="309"/>
    </row>
    <row r="1000" spans="2:8" ht="24.95" customHeight="1" x14ac:dyDescent="0.25">
      <c r="B1000" s="474"/>
      <c r="C1000" s="576"/>
      <c r="D1000" s="589"/>
      <c r="E1000" s="132"/>
      <c r="F1000" s="474"/>
      <c r="G1000" s="309"/>
      <c r="H1000" s="309"/>
    </row>
    <row r="1001" spans="2:8" ht="24.95" customHeight="1" x14ac:dyDescent="0.25">
      <c r="B1001" s="474"/>
      <c r="C1001" s="576"/>
      <c r="D1001" s="589"/>
      <c r="E1001" s="132"/>
      <c r="F1001" s="474"/>
      <c r="G1001" s="309"/>
      <c r="H1001" s="309"/>
    </row>
    <row r="1002" spans="2:8" ht="24.95" customHeight="1" x14ac:dyDescent="0.25">
      <c r="B1002" s="474"/>
      <c r="C1002" s="576"/>
      <c r="D1002" s="589"/>
      <c r="E1002" s="132"/>
      <c r="F1002" s="474"/>
      <c r="G1002" s="309"/>
      <c r="H1002" s="309"/>
    </row>
    <row r="1003" spans="2:8" ht="24.95" customHeight="1" x14ac:dyDescent="0.25">
      <c r="B1003" s="474"/>
      <c r="C1003" s="576"/>
      <c r="D1003" s="589"/>
      <c r="E1003" s="132"/>
      <c r="F1003" s="474"/>
      <c r="G1003" s="309"/>
      <c r="H1003" s="309"/>
    </row>
    <row r="1004" spans="2:8" ht="24.95" customHeight="1" x14ac:dyDescent="0.25">
      <c r="B1004" s="474"/>
      <c r="C1004" s="576"/>
      <c r="D1004" s="589"/>
      <c r="E1004" s="132"/>
      <c r="F1004" s="474"/>
      <c r="G1004" s="309"/>
      <c r="H1004" s="309"/>
    </row>
    <row r="1005" spans="2:8" ht="24.95" customHeight="1" x14ac:dyDescent="0.25">
      <c r="B1005" s="474"/>
      <c r="C1005" s="576"/>
      <c r="D1005" s="589"/>
      <c r="E1005" s="132"/>
      <c r="F1005" s="474"/>
      <c r="G1005" s="309"/>
      <c r="H1005" s="309"/>
    </row>
    <row r="1006" spans="2:8" ht="24.95" customHeight="1" x14ac:dyDescent="0.25">
      <c r="B1006" s="474"/>
      <c r="C1006" s="576"/>
      <c r="D1006" s="589"/>
      <c r="E1006" s="132"/>
      <c r="F1006" s="474"/>
      <c r="G1006" s="309"/>
      <c r="H1006" s="309"/>
    </row>
    <row r="1007" spans="2:8" ht="24.95" customHeight="1" x14ac:dyDescent="0.25">
      <c r="B1007" s="474"/>
      <c r="C1007" s="576"/>
      <c r="D1007" s="589"/>
      <c r="E1007" s="132"/>
      <c r="F1007" s="474"/>
      <c r="G1007" s="309"/>
      <c r="H1007" s="309"/>
    </row>
    <row r="1008" spans="2:8" ht="24.95" customHeight="1" x14ac:dyDescent="0.25">
      <c r="B1008" s="474"/>
      <c r="C1008" s="576"/>
      <c r="D1008" s="589"/>
      <c r="E1008" s="132"/>
      <c r="F1008" s="474"/>
      <c r="G1008" s="309"/>
      <c r="H1008" s="309"/>
    </row>
    <row r="1009" spans="2:8" ht="24.95" customHeight="1" x14ac:dyDescent="0.25">
      <c r="B1009" s="474"/>
      <c r="C1009" s="576"/>
      <c r="D1009" s="589"/>
      <c r="E1009" s="132"/>
      <c r="F1009" s="474"/>
      <c r="G1009" s="309"/>
      <c r="H1009" s="309"/>
    </row>
    <row r="1010" spans="2:8" ht="24.95" customHeight="1" x14ac:dyDescent="0.25">
      <c r="B1010" s="474"/>
      <c r="C1010" s="576"/>
      <c r="D1010" s="589"/>
      <c r="E1010" s="132"/>
      <c r="F1010" s="474"/>
      <c r="G1010" s="309"/>
      <c r="H1010" s="309"/>
    </row>
    <row r="1011" spans="2:8" ht="24.95" customHeight="1" x14ac:dyDescent="0.25">
      <c r="B1011" s="474"/>
      <c r="C1011" s="576"/>
      <c r="D1011" s="589"/>
      <c r="E1011" s="132"/>
      <c r="F1011" s="474"/>
      <c r="G1011" s="309"/>
      <c r="H1011" s="309"/>
    </row>
    <row r="1012" spans="2:8" ht="24.95" customHeight="1" x14ac:dyDescent="0.25">
      <c r="B1012" s="474"/>
      <c r="C1012" s="576"/>
      <c r="D1012" s="589"/>
      <c r="E1012" s="132"/>
      <c r="F1012" s="474"/>
      <c r="G1012" s="309"/>
      <c r="H1012" s="309"/>
    </row>
    <row r="1013" spans="2:8" ht="24.95" customHeight="1" x14ac:dyDescent="0.25">
      <c r="B1013" s="474"/>
      <c r="C1013" s="576"/>
      <c r="D1013" s="589"/>
      <c r="E1013" s="132"/>
      <c r="F1013" s="474"/>
      <c r="G1013" s="309"/>
      <c r="H1013" s="309"/>
    </row>
    <row r="1014" spans="2:8" ht="24.95" customHeight="1" x14ac:dyDescent="0.25">
      <c r="B1014" s="474"/>
      <c r="C1014" s="576"/>
      <c r="D1014" s="589"/>
      <c r="E1014" s="132"/>
      <c r="F1014" s="474"/>
      <c r="G1014" s="309"/>
      <c r="H1014" s="309"/>
    </row>
    <row r="1015" spans="2:8" ht="24.95" customHeight="1" x14ac:dyDescent="0.25">
      <c r="B1015" s="474"/>
      <c r="C1015" s="576"/>
      <c r="D1015" s="589"/>
      <c r="E1015" s="132"/>
      <c r="F1015" s="474"/>
      <c r="G1015" s="309"/>
      <c r="H1015" s="309"/>
    </row>
    <row r="1016" spans="2:8" ht="24.95" customHeight="1" x14ac:dyDescent="0.25">
      <c r="B1016" s="474"/>
      <c r="C1016" s="576"/>
      <c r="D1016" s="589"/>
      <c r="E1016" s="132"/>
      <c r="F1016" s="474"/>
      <c r="G1016" s="309"/>
      <c r="H1016" s="309"/>
    </row>
    <row r="1017" spans="2:8" ht="24.95" customHeight="1" x14ac:dyDescent="0.25">
      <c r="B1017" s="474"/>
      <c r="C1017" s="576"/>
      <c r="D1017" s="589"/>
      <c r="E1017" s="132"/>
      <c r="F1017" s="474"/>
      <c r="G1017" s="309"/>
      <c r="H1017" s="309"/>
    </row>
    <row r="1018" spans="2:8" ht="24.95" customHeight="1" x14ac:dyDescent="0.25">
      <c r="B1018" s="474"/>
      <c r="C1018" s="576"/>
      <c r="D1018" s="589"/>
      <c r="E1018" s="132"/>
      <c r="F1018" s="474"/>
      <c r="G1018" s="309"/>
      <c r="H1018" s="309"/>
    </row>
    <row r="1019" spans="2:8" ht="24.95" customHeight="1" x14ac:dyDescent="0.25">
      <c r="B1019" s="474"/>
      <c r="C1019" s="576"/>
      <c r="D1019" s="589"/>
      <c r="E1019" s="132"/>
      <c r="F1019" s="474"/>
      <c r="G1019" s="309"/>
      <c r="H1019" s="309"/>
    </row>
    <row r="1020" spans="2:8" ht="24.95" customHeight="1" x14ac:dyDescent="0.25">
      <c r="B1020" s="474"/>
      <c r="C1020" s="576"/>
      <c r="D1020" s="589"/>
      <c r="E1020" s="132"/>
      <c r="F1020" s="474"/>
      <c r="G1020" s="309"/>
      <c r="H1020" s="309"/>
    </row>
    <row r="1021" spans="2:8" ht="24.95" customHeight="1" x14ac:dyDescent="0.25">
      <c r="B1021" s="474"/>
      <c r="C1021" s="576"/>
      <c r="D1021" s="589"/>
      <c r="E1021" s="132"/>
      <c r="F1021" s="474"/>
      <c r="G1021" s="309"/>
      <c r="H1021" s="309"/>
    </row>
    <row r="1022" spans="2:8" ht="24.95" customHeight="1" x14ac:dyDescent="0.25">
      <c r="B1022" s="474"/>
      <c r="C1022" s="576"/>
      <c r="D1022" s="589"/>
      <c r="E1022" s="132"/>
      <c r="F1022" s="474"/>
      <c r="G1022" s="309"/>
      <c r="H1022" s="309"/>
    </row>
    <row r="1023" spans="2:8" ht="24.95" customHeight="1" x14ac:dyDescent="0.25">
      <c r="B1023" s="474"/>
      <c r="C1023" s="576"/>
      <c r="D1023" s="589"/>
      <c r="E1023" s="132"/>
      <c r="F1023" s="474"/>
      <c r="G1023" s="309"/>
      <c r="H1023" s="309"/>
    </row>
    <row r="1024" spans="2:8" ht="24.95" customHeight="1" x14ac:dyDescent="0.25">
      <c r="B1024" s="474"/>
      <c r="C1024" s="576"/>
      <c r="D1024" s="589"/>
      <c r="E1024" s="132"/>
      <c r="F1024" s="474"/>
      <c r="G1024" s="309"/>
      <c r="H1024" s="309"/>
    </row>
    <row r="1025" spans="2:8" ht="24.95" customHeight="1" x14ac:dyDescent="0.25">
      <c r="B1025" s="474"/>
      <c r="C1025" s="576"/>
      <c r="D1025" s="589"/>
      <c r="E1025" s="132"/>
      <c r="F1025" s="474"/>
      <c r="G1025" s="309"/>
      <c r="H1025" s="309"/>
    </row>
    <row r="1026" spans="2:8" ht="24.95" customHeight="1" x14ac:dyDescent="0.25">
      <c r="B1026" s="474"/>
      <c r="C1026" s="576"/>
      <c r="D1026" s="589"/>
      <c r="E1026" s="132"/>
      <c r="F1026" s="474"/>
      <c r="G1026" s="309"/>
      <c r="H1026" s="309"/>
    </row>
    <row r="1027" spans="2:8" ht="24.95" customHeight="1" x14ac:dyDescent="0.25">
      <c r="B1027" s="474"/>
      <c r="C1027" s="576"/>
      <c r="D1027" s="589"/>
      <c r="E1027" s="132"/>
      <c r="F1027" s="474"/>
      <c r="G1027" s="309"/>
      <c r="H1027" s="309"/>
    </row>
    <row r="1028" spans="2:8" ht="24.95" customHeight="1" x14ac:dyDescent="0.25">
      <c r="B1028" s="474"/>
      <c r="C1028" s="576"/>
      <c r="D1028" s="589"/>
      <c r="E1028" s="132"/>
      <c r="F1028" s="474"/>
      <c r="G1028" s="309"/>
      <c r="H1028" s="309"/>
    </row>
    <row r="1029" spans="2:8" ht="24.95" customHeight="1" x14ac:dyDescent="0.25">
      <c r="B1029" s="474"/>
      <c r="C1029" s="576"/>
      <c r="D1029" s="589"/>
      <c r="E1029" s="132"/>
      <c r="F1029" s="474"/>
      <c r="G1029" s="309"/>
      <c r="H1029" s="309"/>
    </row>
    <row r="1030" spans="2:8" ht="24.95" customHeight="1" x14ac:dyDescent="0.25">
      <c r="B1030" s="474"/>
      <c r="C1030" s="576"/>
      <c r="D1030" s="589"/>
      <c r="E1030" s="132"/>
      <c r="F1030" s="474"/>
      <c r="G1030" s="309"/>
      <c r="H1030" s="309"/>
    </row>
    <row r="1031" spans="2:8" ht="24.95" customHeight="1" x14ac:dyDescent="0.25">
      <c r="B1031" s="474"/>
      <c r="C1031" s="576"/>
      <c r="D1031" s="589"/>
      <c r="E1031" s="132"/>
      <c r="F1031" s="474"/>
      <c r="G1031" s="309"/>
      <c r="H1031" s="309"/>
    </row>
    <row r="1032" spans="2:8" ht="24.95" customHeight="1" x14ac:dyDescent="0.25">
      <c r="B1032" s="474"/>
      <c r="C1032" s="576"/>
      <c r="D1032" s="589"/>
      <c r="E1032" s="132"/>
      <c r="F1032" s="474"/>
      <c r="G1032" s="309"/>
      <c r="H1032" s="309"/>
    </row>
    <row r="1033" spans="2:8" ht="24.95" customHeight="1" x14ac:dyDescent="0.25">
      <c r="B1033" s="474"/>
      <c r="C1033" s="576"/>
      <c r="D1033" s="589"/>
      <c r="E1033" s="132"/>
      <c r="F1033" s="474"/>
      <c r="G1033" s="309"/>
      <c r="H1033" s="309"/>
    </row>
    <row r="1034" spans="2:8" ht="24.95" customHeight="1" x14ac:dyDescent="0.25">
      <c r="B1034" s="474"/>
      <c r="C1034" s="576"/>
      <c r="D1034" s="589"/>
      <c r="E1034" s="132"/>
      <c r="F1034" s="474"/>
      <c r="G1034" s="309"/>
      <c r="H1034" s="309"/>
    </row>
    <row r="1035" spans="2:8" ht="24.95" customHeight="1" x14ac:dyDescent="0.25">
      <c r="B1035" s="474"/>
      <c r="C1035" s="576"/>
      <c r="D1035" s="589"/>
      <c r="E1035" s="132"/>
      <c r="F1035" s="474"/>
      <c r="G1035" s="309"/>
      <c r="H1035" s="309"/>
    </row>
    <row r="1036" spans="2:8" ht="24.95" customHeight="1" x14ac:dyDescent="0.25">
      <c r="B1036" s="474"/>
      <c r="C1036" s="576"/>
      <c r="D1036" s="589"/>
      <c r="E1036" s="132"/>
      <c r="F1036" s="474"/>
      <c r="G1036" s="309"/>
      <c r="H1036" s="309"/>
    </row>
    <row r="1037" spans="2:8" ht="24.95" customHeight="1" x14ac:dyDescent="0.25">
      <c r="B1037" s="474"/>
      <c r="C1037" s="576"/>
      <c r="D1037" s="589"/>
      <c r="E1037" s="132"/>
      <c r="F1037" s="474"/>
      <c r="G1037" s="309"/>
      <c r="H1037" s="309"/>
    </row>
    <row r="1038" spans="2:8" ht="24.95" customHeight="1" x14ac:dyDescent="0.25">
      <c r="B1038" s="474"/>
      <c r="C1038" s="576"/>
      <c r="D1038" s="589"/>
      <c r="E1038" s="132"/>
      <c r="F1038" s="474"/>
      <c r="G1038" s="309"/>
      <c r="H1038" s="309"/>
    </row>
    <row r="1039" spans="2:8" ht="24.95" customHeight="1" x14ac:dyDescent="0.25">
      <c r="B1039" s="474"/>
      <c r="C1039" s="576"/>
      <c r="D1039" s="589"/>
      <c r="E1039" s="132"/>
      <c r="F1039" s="474"/>
      <c r="G1039" s="309"/>
      <c r="H1039" s="309"/>
    </row>
    <row r="1040" spans="2:8" ht="24.95" customHeight="1" x14ac:dyDescent="0.25">
      <c r="B1040" s="474"/>
      <c r="C1040" s="576"/>
      <c r="D1040" s="589"/>
      <c r="E1040" s="132"/>
      <c r="F1040" s="474"/>
      <c r="G1040" s="309"/>
      <c r="H1040" s="309"/>
    </row>
    <row r="1041" spans="2:8" ht="24.95" customHeight="1" x14ac:dyDescent="0.25">
      <c r="B1041" s="474"/>
      <c r="C1041" s="576"/>
      <c r="D1041" s="589"/>
      <c r="E1041" s="132"/>
      <c r="F1041" s="474"/>
      <c r="G1041" s="309"/>
      <c r="H1041" s="309"/>
    </row>
    <row r="1042" spans="2:8" ht="24.95" customHeight="1" x14ac:dyDescent="0.25">
      <c r="B1042" s="474"/>
      <c r="C1042" s="576"/>
      <c r="D1042" s="589"/>
      <c r="E1042" s="132"/>
      <c r="F1042" s="474"/>
      <c r="G1042" s="309"/>
      <c r="H1042" s="309"/>
    </row>
    <row r="1043" spans="2:8" ht="24.95" customHeight="1" x14ac:dyDescent="0.25">
      <c r="B1043" s="474"/>
      <c r="C1043" s="576"/>
      <c r="D1043" s="589"/>
      <c r="E1043" s="132"/>
      <c r="F1043" s="474"/>
      <c r="G1043" s="309"/>
      <c r="H1043" s="309"/>
    </row>
    <row r="1044" spans="2:8" ht="24.95" customHeight="1" x14ac:dyDescent="0.25">
      <c r="B1044" s="474"/>
      <c r="C1044" s="576"/>
      <c r="D1044" s="589"/>
      <c r="E1044" s="132"/>
      <c r="F1044" s="474"/>
      <c r="G1044" s="309"/>
      <c r="H1044" s="309"/>
    </row>
    <row r="1045" spans="2:8" ht="24.95" customHeight="1" x14ac:dyDescent="0.25">
      <c r="B1045" s="474"/>
      <c r="C1045" s="576"/>
      <c r="D1045" s="589"/>
      <c r="E1045" s="132"/>
      <c r="F1045" s="474"/>
      <c r="G1045" s="309"/>
      <c r="H1045" s="309"/>
    </row>
    <row r="1046" spans="2:8" ht="24.95" customHeight="1" x14ac:dyDescent="0.25">
      <c r="B1046" s="474"/>
      <c r="C1046" s="576"/>
      <c r="D1046" s="589"/>
      <c r="E1046" s="132"/>
      <c r="F1046" s="474"/>
      <c r="G1046" s="309"/>
      <c r="H1046" s="309"/>
    </row>
    <row r="1047" spans="2:8" ht="24.95" customHeight="1" x14ac:dyDescent="0.25">
      <c r="B1047" s="474"/>
      <c r="C1047" s="576"/>
      <c r="D1047" s="589"/>
      <c r="E1047" s="132"/>
      <c r="F1047" s="474"/>
      <c r="G1047" s="309"/>
      <c r="H1047" s="309"/>
    </row>
    <row r="1048" spans="2:8" ht="24.95" customHeight="1" x14ac:dyDescent="0.25">
      <c r="B1048" s="474"/>
      <c r="C1048" s="576"/>
      <c r="D1048" s="589"/>
      <c r="E1048" s="132"/>
      <c r="F1048" s="474"/>
      <c r="G1048" s="309"/>
      <c r="H1048" s="309"/>
    </row>
    <row r="1049" spans="2:8" ht="24.95" customHeight="1" x14ac:dyDescent="0.25">
      <c r="B1049" s="474"/>
      <c r="C1049" s="576"/>
      <c r="D1049" s="589"/>
      <c r="E1049" s="132"/>
      <c r="F1049" s="474"/>
      <c r="G1049" s="309"/>
      <c r="H1049" s="309"/>
    </row>
    <row r="1050" spans="2:8" ht="24.95" customHeight="1" x14ac:dyDescent="0.25">
      <c r="B1050" s="474"/>
      <c r="C1050" s="576"/>
      <c r="D1050" s="589"/>
      <c r="E1050" s="132"/>
      <c r="F1050" s="474"/>
      <c r="G1050" s="309"/>
      <c r="H1050" s="309"/>
    </row>
    <row r="1051" spans="2:8" ht="24.95" customHeight="1" x14ac:dyDescent="0.25">
      <c r="B1051" s="474"/>
      <c r="C1051" s="576"/>
      <c r="D1051" s="589"/>
      <c r="E1051" s="132"/>
      <c r="F1051" s="474"/>
      <c r="G1051" s="309"/>
      <c r="H1051" s="309"/>
    </row>
    <row r="1052" spans="2:8" ht="24.95" customHeight="1" x14ac:dyDescent="0.25">
      <c r="B1052" s="474"/>
      <c r="C1052" s="576"/>
      <c r="D1052" s="589"/>
      <c r="E1052" s="132"/>
      <c r="F1052" s="474"/>
      <c r="G1052" s="309"/>
      <c r="H1052" s="309"/>
    </row>
    <row r="1053" spans="2:8" ht="24.95" customHeight="1" x14ac:dyDescent="0.25">
      <c r="B1053" s="474"/>
      <c r="C1053" s="576"/>
      <c r="D1053" s="589"/>
      <c r="E1053" s="132"/>
      <c r="F1053" s="474"/>
      <c r="G1053" s="309"/>
      <c r="H1053" s="309"/>
    </row>
    <row r="1054" spans="2:8" ht="24.95" customHeight="1" x14ac:dyDescent="0.25">
      <c r="B1054" s="474"/>
      <c r="C1054" s="576"/>
      <c r="D1054" s="589"/>
      <c r="E1054" s="132"/>
      <c r="F1054" s="474"/>
      <c r="G1054" s="309"/>
      <c r="H1054" s="309"/>
    </row>
    <row r="1055" spans="2:8" ht="24.95" customHeight="1" x14ac:dyDescent="0.25">
      <c r="B1055" s="474"/>
      <c r="C1055" s="576"/>
      <c r="D1055" s="589"/>
      <c r="E1055" s="132"/>
      <c r="F1055" s="474"/>
      <c r="G1055" s="309"/>
      <c r="H1055" s="309"/>
    </row>
    <row r="1056" spans="2:8" ht="24.95" customHeight="1" x14ac:dyDescent="0.25">
      <c r="B1056" s="474"/>
      <c r="C1056" s="576"/>
      <c r="D1056" s="589"/>
      <c r="E1056" s="132"/>
      <c r="F1056" s="474"/>
      <c r="G1056" s="309"/>
      <c r="H1056" s="309"/>
    </row>
    <row r="1057" spans="2:8" ht="24.95" customHeight="1" x14ac:dyDescent="0.25">
      <c r="B1057" s="474"/>
      <c r="C1057" s="576"/>
      <c r="D1057" s="589"/>
      <c r="E1057" s="132"/>
      <c r="F1057" s="474"/>
      <c r="G1057" s="309"/>
      <c r="H1057" s="309"/>
    </row>
    <row r="1058" spans="2:8" ht="24.95" customHeight="1" x14ac:dyDescent="0.25">
      <c r="B1058" s="474"/>
      <c r="C1058" s="576"/>
      <c r="D1058" s="589"/>
      <c r="E1058" s="132"/>
      <c r="F1058" s="474"/>
      <c r="G1058" s="309"/>
      <c r="H1058" s="309"/>
    </row>
    <row r="1059" spans="2:8" ht="24.95" customHeight="1" x14ac:dyDescent="0.25">
      <c r="B1059" s="474"/>
      <c r="C1059" s="576"/>
      <c r="D1059" s="589"/>
      <c r="E1059" s="132"/>
      <c r="F1059" s="474"/>
      <c r="G1059" s="309"/>
      <c r="H1059" s="309"/>
    </row>
    <row r="1060" spans="2:8" ht="24.95" customHeight="1" x14ac:dyDescent="0.25">
      <c r="B1060" s="474"/>
      <c r="C1060" s="576"/>
      <c r="D1060" s="589"/>
      <c r="E1060" s="132"/>
      <c r="F1060" s="474"/>
      <c r="G1060" s="309"/>
      <c r="H1060" s="309"/>
    </row>
    <row r="1061" spans="2:8" ht="24.95" customHeight="1" x14ac:dyDescent="0.25">
      <c r="B1061" s="474"/>
      <c r="C1061" s="576"/>
      <c r="D1061" s="589"/>
      <c r="E1061" s="132"/>
      <c r="F1061" s="474"/>
      <c r="G1061" s="309"/>
      <c r="H1061" s="309"/>
    </row>
    <row r="1062" spans="2:8" ht="24.95" customHeight="1" x14ac:dyDescent="0.25">
      <c r="B1062" s="474"/>
      <c r="C1062" s="576"/>
      <c r="D1062" s="589"/>
      <c r="E1062" s="132"/>
      <c r="F1062" s="474"/>
      <c r="G1062" s="309"/>
      <c r="H1062" s="309"/>
    </row>
    <row r="1063" spans="2:8" ht="24.95" customHeight="1" x14ac:dyDescent="0.25">
      <c r="B1063" s="474"/>
      <c r="C1063" s="576"/>
      <c r="D1063" s="589"/>
      <c r="E1063" s="132"/>
      <c r="F1063" s="474"/>
      <c r="G1063" s="309"/>
      <c r="H1063" s="309"/>
    </row>
    <row r="1064" spans="2:8" ht="24.95" customHeight="1" x14ac:dyDescent="0.25">
      <c r="B1064" s="474"/>
      <c r="C1064" s="576"/>
      <c r="D1064" s="589"/>
      <c r="E1064" s="132"/>
      <c r="F1064" s="474"/>
      <c r="G1064" s="309"/>
      <c r="H1064" s="309"/>
    </row>
    <row r="1065" spans="2:8" ht="24.95" customHeight="1" x14ac:dyDescent="0.25">
      <c r="B1065" s="474"/>
      <c r="C1065" s="576"/>
      <c r="D1065" s="589"/>
      <c r="E1065" s="132"/>
      <c r="F1065" s="474"/>
      <c r="G1065" s="309"/>
      <c r="H1065" s="309"/>
    </row>
    <row r="1066" spans="2:8" ht="24.95" customHeight="1" x14ac:dyDescent="0.25">
      <c r="B1066" s="474"/>
      <c r="C1066" s="576"/>
      <c r="D1066" s="589"/>
      <c r="E1066" s="132"/>
      <c r="F1066" s="474"/>
      <c r="G1066" s="309"/>
      <c r="H1066" s="309"/>
    </row>
    <row r="1067" spans="2:8" ht="24.95" customHeight="1" x14ac:dyDescent="0.25">
      <c r="B1067" s="474"/>
      <c r="C1067" s="576"/>
      <c r="D1067" s="589"/>
      <c r="E1067" s="132"/>
      <c r="F1067" s="474"/>
      <c r="G1067" s="309"/>
      <c r="H1067" s="309"/>
    </row>
    <row r="1068" spans="2:8" ht="24.95" customHeight="1" x14ac:dyDescent="0.25">
      <c r="B1068" s="474"/>
      <c r="C1068" s="576"/>
      <c r="D1068" s="589"/>
      <c r="E1068" s="132"/>
      <c r="F1068" s="474"/>
      <c r="G1068" s="309"/>
      <c r="H1068" s="309"/>
    </row>
    <row r="1069" spans="2:8" ht="24.95" customHeight="1" x14ac:dyDescent="0.25">
      <c r="B1069" s="474"/>
      <c r="C1069" s="576"/>
      <c r="D1069" s="589"/>
      <c r="E1069" s="132"/>
      <c r="F1069" s="474"/>
      <c r="G1069" s="309"/>
      <c r="H1069" s="309"/>
    </row>
    <row r="1070" spans="2:8" ht="24.95" customHeight="1" x14ac:dyDescent="0.25">
      <c r="B1070" s="474"/>
      <c r="C1070" s="576"/>
      <c r="D1070" s="589"/>
      <c r="E1070" s="132"/>
      <c r="F1070" s="474"/>
      <c r="G1070" s="309"/>
      <c r="H1070" s="309"/>
    </row>
    <row r="1071" spans="2:8" ht="24.95" customHeight="1" x14ac:dyDescent="0.25">
      <c r="B1071" s="474"/>
      <c r="C1071" s="576"/>
      <c r="D1071" s="589"/>
      <c r="E1071" s="132"/>
      <c r="F1071" s="474"/>
      <c r="G1071" s="309"/>
      <c r="H1071" s="309"/>
    </row>
    <row r="1072" spans="2:8" ht="24.95" customHeight="1" x14ac:dyDescent="0.25">
      <c r="B1072" s="474"/>
      <c r="C1072" s="576"/>
      <c r="D1072" s="589"/>
      <c r="E1072" s="132"/>
      <c r="F1072" s="474"/>
      <c r="G1072" s="309"/>
      <c r="H1072" s="309"/>
    </row>
    <row r="1073" spans="2:8" ht="24.95" customHeight="1" x14ac:dyDescent="0.25">
      <c r="B1073" s="474"/>
      <c r="C1073" s="576"/>
      <c r="D1073" s="589"/>
      <c r="E1073" s="132"/>
      <c r="F1073" s="474"/>
      <c r="G1073" s="309"/>
      <c r="H1073" s="309"/>
    </row>
    <row r="1074" spans="2:8" ht="24.95" customHeight="1" x14ac:dyDescent="0.25">
      <c r="B1074" s="474"/>
      <c r="C1074" s="576"/>
      <c r="D1074" s="589"/>
      <c r="E1074" s="132"/>
      <c r="F1074" s="474"/>
      <c r="G1074" s="309"/>
      <c r="H1074" s="309"/>
    </row>
    <row r="1075" spans="2:8" ht="24.95" customHeight="1" x14ac:dyDescent="0.25">
      <c r="B1075" s="474"/>
      <c r="C1075" s="576"/>
      <c r="D1075" s="589"/>
      <c r="E1075" s="132"/>
      <c r="F1075" s="474"/>
      <c r="G1075" s="309"/>
      <c r="H1075" s="309"/>
    </row>
    <row r="1076" spans="2:8" ht="24.95" customHeight="1" x14ac:dyDescent="0.25">
      <c r="B1076" s="474"/>
      <c r="C1076" s="576"/>
      <c r="D1076" s="589"/>
      <c r="E1076" s="132"/>
      <c r="F1076" s="474"/>
      <c r="G1076" s="309"/>
      <c r="H1076" s="309"/>
    </row>
    <row r="1077" spans="2:8" ht="24.95" customHeight="1" x14ac:dyDescent="0.25">
      <c r="B1077" s="474"/>
      <c r="C1077" s="576"/>
      <c r="D1077" s="589"/>
      <c r="E1077" s="132"/>
      <c r="F1077" s="474"/>
      <c r="G1077" s="309"/>
      <c r="H1077" s="309"/>
    </row>
    <row r="1078" spans="2:8" ht="24.95" customHeight="1" x14ac:dyDescent="0.25">
      <c r="B1078" s="474"/>
      <c r="C1078" s="576"/>
      <c r="D1078" s="589"/>
      <c r="E1078" s="132"/>
      <c r="F1078" s="474"/>
      <c r="G1078" s="309"/>
      <c r="H1078" s="309"/>
    </row>
    <row r="1079" spans="2:8" ht="24.95" customHeight="1" x14ac:dyDescent="0.25">
      <c r="B1079" s="474"/>
      <c r="C1079" s="576"/>
      <c r="D1079" s="589"/>
      <c r="E1079" s="132"/>
      <c r="F1079" s="474"/>
      <c r="G1079" s="309"/>
      <c r="H1079" s="309"/>
    </row>
    <row r="1080" spans="2:8" ht="24.95" customHeight="1" x14ac:dyDescent="0.25">
      <c r="B1080" s="474"/>
      <c r="C1080" s="576"/>
      <c r="D1080" s="589"/>
      <c r="E1080" s="132"/>
      <c r="F1080" s="474"/>
      <c r="G1080" s="309"/>
      <c r="H1080" s="309"/>
    </row>
    <row r="1081" spans="2:8" ht="24.95" customHeight="1" x14ac:dyDescent="0.25">
      <c r="B1081" s="474"/>
      <c r="C1081" s="576"/>
      <c r="D1081" s="589"/>
      <c r="E1081" s="132"/>
      <c r="F1081" s="474"/>
      <c r="G1081" s="309"/>
      <c r="H1081" s="309"/>
    </row>
    <row r="1082" spans="2:8" ht="24.95" customHeight="1" x14ac:dyDescent="0.25">
      <c r="B1082" s="474"/>
      <c r="C1082" s="576"/>
      <c r="D1082" s="589"/>
      <c r="E1082" s="132"/>
      <c r="F1082" s="474"/>
      <c r="G1082" s="309"/>
      <c r="H1082" s="309"/>
    </row>
    <row r="1083" spans="2:8" ht="24.95" customHeight="1" x14ac:dyDescent="0.25">
      <c r="B1083" s="474"/>
      <c r="C1083" s="576"/>
      <c r="D1083" s="589"/>
      <c r="E1083" s="132"/>
      <c r="F1083" s="474"/>
      <c r="G1083" s="309"/>
      <c r="H1083" s="309"/>
    </row>
    <row r="1084" spans="2:8" ht="24.95" customHeight="1" x14ac:dyDescent="0.25">
      <c r="B1084" s="474"/>
      <c r="C1084" s="576"/>
      <c r="D1084" s="589"/>
      <c r="E1084" s="132"/>
      <c r="F1084" s="474"/>
      <c r="G1084" s="309"/>
      <c r="H1084" s="309"/>
    </row>
    <row r="1085" spans="2:8" ht="24.95" customHeight="1" x14ac:dyDescent="0.25">
      <c r="B1085" s="474"/>
      <c r="C1085" s="576"/>
      <c r="D1085" s="589"/>
      <c r="E1085" s="132"/>
      <c r="F1085" s="474"/>
      <c r="G1085" s="309"/>
      <c r="H1085" s="309"/>
    </row>
    <row r="1086" spans="2:8" ht="24.95" customHeight="1" x14ac:dyDescent="0.25">
      <c r="B1086" s="474"/>
      <c r="C1086" s="576"/>
      <c r="D1086" s="589"/>
      <c r="E1086" s="132"/>
      <c r="F1086" s="474"/>
      <c r="G1086" s="309"/>
      <c r="H1086" s="309"/>
    </row>
    <row r="1087" spans="2:8" ht="24.95" customHeight="1" x14ac:dyDescent="0.25">
      <c r="B1087" s="474"/>
      <c r="C1087" s="576"/>
      <c r="D1087" s="589"/>
      <c r="E1087" s="132"/>
      <c r="F1087" s="474"/>
      <c r="G1087" s="309"/>
      <c r="H1087" s="309"/>
    </row>
    <row r="1088" spans="2:8" ht="24.95" customHeight="1" x14ac:dyDescent="0.25">
      <c r="B1088" s="474"/>
      <c r="C1088" s="576"/>
      <c r="D1088" s="589"/>
      <c r="E1088" s="132"/>
      <c r="F1088" s="474"/>
      <c r="G1088" s="309"/>
      <c r="H1088" s="309"/>
    </row>
    <row r="1089" spans="2:8" ht="24.95" customHeight="1" x14ac:dyDescent="0.25">
      <c r="B1089" s="474"/>
      <c r="C1089" s="576"/>
      <c r="D1089" s="589"/>
      <c r="E1089" s="132"/>
      <c r="F1089" s="474"/>
      <c r="G1089" s="309"/>
      <c r="H1089" s="309"/>
    </row>
    <row r="1090" spans="2:8" ht="24.95" customHeight="1" x14ac:dyDescent="0.25">
      <c r="B1090" s="474"/>
      <c r="C1090" s="576"/>
      <c r="D1090" s="589"/>
      <c r="E1090" s="132"/>
      <c r="F1090" s="474"/>
      <c r="G1090" s="309"/>
      <c r="H1090" s="309"/>
    </row>
    <row r="1091" spans="2:8" ht="24.95" customHeight="1" x14ac:dyDescent="0.25">
      <c r="B1091" s="474"/>
      <c r="C1091" s="576"/>
      <c r="D1091" s="589"/>
      <c r="E1091" s="132"/>
      <c r="F1091" s="474"/>
      <c r="G1091" s="309"/>
      <c r="H1091" s="309"/>
    </row>
    <row r="1092" spans="2:8" ht="24.95" customHeight="1" x14ac:dyDescent="0.25">
      <c r="B1092" s="474"/>
      <c r="C1092" s="576"/>
      <c r="D1092" s="589"/>
      <c r="E1092" s="132"/>
      <c r="F1092" s="474"/>
      <c r="G1092" s="309"/>
      <c r="H1092" s="309"/>
    </row>
    <row r="1093" spans="2:8" ht="24.95" customHeight="1" x14ac:dyDescent="0.25">
      <c r="B1093" s="474"/>
      <c r="C1093" s="576"/>
      <c r="D1093" s="589"/>
      <c r="E1093" s="132"/>
      <c r="F1093" s="474"/>
      <c r="G1093" s="309"/>
      <c r="H1093" s="309"/>
    </row>
    <row r="1094" spans="2:8" ht="24.95" customHeight="1" x14ac:dyDescent="0.25">
      <c r="B1094" s="474"/>
      <c r="C1094" s="576"/>
      <c r="D1094" s="589"/>
      <c r="E1094" s="132"/>
      <c r="F1094" s="474"/>
      <c r="G1094" s="309"/>
      <c r="H1094" s="309"/>
    </row>
    <row r="1095" spans="2:8" ht="24.95" customHeight="1" x14ac:dyDescent="0.25">
      <c r="B1095" s="474"/>
      <c r="C1095" s="576"/>
      <c r="D1095" s="589"/>
      <c r="E1095" s="132"/>
      <c r="F1095" s="474"/>
      <c r="G1095" s="309"/>
      <c r="H1095" s="309"/>
    </row>
    <row r="1096" spans="2:8" ht="24.95" customHeight="1" x14ac:dyDescent="0.25">
      <c r="B1096" s="474"/>
      <c r="C1096" s="576"/>
      <c r="D1096" s="589"/>
      <c r="E1096" s="132"/>
      <c r="F1096" s="474"/>
      <c r="G1096" s="309"/>
      <c r="H1096" s="309"/>
    </row>
    <row r="1097" spans="2:8" ht="24.95" customHeight="1" x14ac:dyDescent="0.25">
      <c r="B1097" s="474"/>
      <c r="C1097" s="576"/>
      <c r="D1097" s="589"/>
      <c r="E1097" s="132"/>
      <c r="F1097" s="474"/>
      <c r="G1097" s="309"/>
      <c r="H1097" s="309"/>
    </row>
    <row r="1098" spans="2:8" ht="24.95" customHeight="1" x14ac:dyDescent="0.25">
      <c r="B1098" s="474"/>
      <c r="C1098" s="576"/>
      <c r="D1098" s="589"/>
      <c r="E1098" s="132"/>
      <c r="F1098" s="474"/>
      <c r="G1098" s="309"/>
      <c r="H1098" s="309"/>
    </row>
    <row r="1099" spans="2:8" ht="24.95" customHeight="1" x14ac:dyDescent="0.25">
      <c r="B1099" s="474"/>
      <c r="C1099" s="576"/>
      <c r="D1099" s="589"/>
      <c r="E1099" s="132"/>
      <c r="F1099" s="474"/>
      <c r="G1099" s="309"/>
      <c r="H1099" s="309"/>
    </row>
    <row r="1100" spans="2:8" ht="24.95" customHeight="1" x14ac:dyDescent="0.25">
      <c r="B1100" s="474"/>
      <c r="C1100" s="576"/>
      <c r="D1100" s="589"/>
      <c r="E1100" s="132"/>
      <c r="F1100" s="474"/>
      <c r="G1100" s="309"/>
      <c r="H1100" s="309"/>
    </row>
    <row r="1101" spans="2:8" ht="24.95" customHeight="1" x14ac:dyDescent="0.25">
      <c r="B1101" s="474"/>
      <c r="C1101" s="576"/>
      <c r="D1101" s="589"/>
      <c r="E1101" s="132"/>
      <c r="F1101" s="474"/>
      <c r="G1101" s="309"/>
      <c r="H1101" s="309"/>
    </row>
    <row r="1102" spans="2:8" ht="24.95" customHeight="1" x14ac:dyDescent="0.25">
      <c r="B1102" s="474"/>
      <c r="C1102" s="576"/>
      <c r="D1102" s="589"/>
      <c r="E1102" s="132"/>
      <c r="F1102" s="474"/>
      <c r="G1102" s="309"/>
      <c r="H1102" s="309"/>
    </row>
    <row r="1103" spans="2:8" ht="24.95" customHeight="1" x14ac:dyDescent="0.25">
      <c r="B1103" s="474"/>
      <c r="C1103" s="576"/>
      <c r="D1103" s="589"/>
      <c r="E1103" s="132"/>
      <c r="F1103" s="474"/>
      <c r="G1103" s="309"/>
      <c r="H1103" s="309"/>
    </row>
    <row r="1104" spans="2:8" ht="24.95" customHeight="1" x14ac:dyDescent="0.25">
      <c r="B1104" s="474"/>
      <c r="C1104" s="576"/>
      <c r="D1104" s="589"/>
      <c r="E1104" s="132"/>
      <c r="F1104" s="474"/>
      <c r="G1104" s="309"/>
      <c r="H1104" s="309"/>
    </row>
    <row r="1105" spans="2:8" ht="24.95" customHeight="1" x14ac:dyDescent="0.25">
      <c r="B1105" s="474"/>
      <c r="C1105" s="576"/>
      <c r="D1105" s="589"/>
      <c r="E1105" s="132"/>
      <c r="F1105" s="474"/>
      <c r="G1105" s="309"/>
      <c r="H1105" s="309"/>
    </row>
    <row r="1106" spans="2:8" ht="24.95" customHeight="1" x14ac:dyDescent="0.25">
      <c r="B1106" s="474"/>
      <c r="C1106" s="576"/>
      <c r="D1106" s="589"/>
      <c r="E1106" s="132"/>
      <c r="F1106" s="474"/>
      <c r="G1106" s="309"/>
      <c r="H1106" s="309"/>
    </row>
    <row r="1107" spans="2:8" ht="24.95" customHeight="1" x14ac:dyDescent="0.25">
      <c r="B1107" s="474"/>
      <c r="C1107" s="576"/>
      <c r="D1107" s="589"/>
      <c r="E1107" s="132"/>
      <c r="F1107" s="474"/>
      <c r="G1107" s="309"/>
      <c r="H1107" s="309"/>
    </row>
    <row r="1108" spans="2:8" ht="24.95" customHeight="1" x14ac:dyDescent="0.25">
      <c r="B1108" s="474"/>
      <c r="C1108" s="576"/>
      <c r="D1108" s="589"/>
      <c r="E1108" s="132"/>
      <c r="F1108" s="474"/>
      <c r="G1108" s="309"/>
      <c r="H1108" s="309"/>
    </row>
    <row r="1109" spans="2:8" ht="24.95" customHeight="1" x14ac:dyDescent="0.25">
      <c r="B1109" s="474"/>
      <c r="C1109" s="576"/>
      <c r="D1109" s="589"/>
      <c r="E1109" s="132"/>
      <c r="F1109" s="474"/>
      <c r="G1109" s="309"/>
      <c r="H1109" s="309"/>
    </row>
    <row r="1110" spans="2:8" ht="24.95" customHeight="1" x14ac:dyDescent="0.25">
      <c r="B1110" s="474"/>
      <c r="C1110" s="576"/>
      <c r="D1110" s="589"/>
      <c r="E1110" s="132"/>
      <c r="F1110" s="474"/>
      <c r="G1110" s="309"/>
      <c r="H1110" s="309"/>
    </row>
    <row r="1111" spans="2:8" ht="24.95" customHeight="1" x14ac:dyDescent="0.25">
      <c r="B1111" s="474"/>
      <c r="C1111" s="576"/>
      <c r="D1111" s="589"/>
      <c r="E1111" s="132"/>
      <c r="F1111" s="474"/>
      <c r="G1111" s="309"/>
      <c r="H1111" s="309"/>
    </row>
    <row r="1112" spans="2:8" ht="24.95" customHeight="1" x14ac:dyDescent="0.25">
      <c r="B1112" s="474"/>
      <c r="C1112" s="576"/>
      <c r="D1112" s="589"/>
      <c r="E1112" s="132"/>
      <c r="F1112" s="474"/>
      <c r="G1112" s="309"/>
      <c r="H1112" s="309"/>
    </row>
    <row r="1113" spans="2:8" ht="24.95" customHeight="1" x14ac:dyDescent="0.25">
      <c r="B1113" s="474"/>
      <c r="C1113" s="576"/>
      <c r="D1113" s="589"/>
      <c r="E1113" s="132"/>
      <c r="F1113" s="474"/>
      <c r="G1113" s="309"/>
      <c r="H1113" s="309"/>
    </row>
    <row r="1114" spans="2:8" ht="24.95" customHeight="1" x14ac:dyDescent="0.25">
      <c r="B1114" s="474"/>
      <c r="C1114" s="576"/>
      <c r="D1114" s="589"/>
      <c r="E1114" s="132"/>
      <c r="F1114" s="474"/>
      <c r="G1114" s="309"/>
      <c r="H1114" s="309"/>
    </row>
    <row r="1115" spans="2:8" ht="24.95" customHeight="1" x14ac:dyDescent="0.25">
      <c r="B1115" s="474"/>
      <c r="C1115" s="576"/>
      <c r="D1115" s="589"/>
      <c r="E1115" s="132"/>
      <c r="F1115" s="474"/>
      <c r="G1115" s="309"/>
      <c r="H1115" s="309"/>
    </row>
    <row r="1116" spans="2:8" ht="24.95" customHeight="1" x14ac:dyDescent="0.25">
      <c r="B1116" s="474"/>
      <c r="C1116" s="576"/>
      <c r="D1116" s="589"/>
      <c r="E1116" s="132"/>
      <c r="F1116" s="474"/>
      <c r="G1116" s="309"/>
      <c r="H1116" s="309"/>
    </row>
    <row r="1117" spans="2:8" ht="24.95" customHeight="1" x14ac:dyDescent="0.25">
      <c r="B1117" s="474"/>
      <c r="C1117" s="576"/>
      <c r="D1117" s="589"/>
      <c r="E1117" s="132"/>
      <c r="F1117" s="474"/>
      <c r="G1117" s="309"/>
      <c r="H1117" s="309"/>
    </row>
    <row r="1118" spans="2:8" ht="24.95" customHeight="1" x14ac:dyDescent="0.25">
      <c r="B1118" s="474"/>
      <c r="C1118" s="576"/>
      <c r="D1118" s="589"/>
      <c r="E1118" s="132"/>
      <c r="F1118" s="474"/>
      <c r="G1118" s="309"/>
      <c r="H1118" s="309"/>
    </row>
    <row r="1119" spans="2:8" ht="24.95" customHeight="1" x14ac:dyDescent="0.25">
      <c r="B1119" s="474"/>
      <c r="C1119" s="576"/>
      <c r="D1119" s="589"/>
      <c r="E1119" s="132"/>
      <c r="F1119" s="474"/>
      <c r="G1119" s="309"/>
      <c r="H1119" s="309"/>
    </row>
    <row r="1120" spans="2:8" ht="24.95" customHeight="1" x14ac:dyDescent="0.25">
      <c r="B1120" s="474"/>
      <c r="C1120" s="576"/>
      <c r="D1120" s="589"/>
      <c r="E1120" s="132"/>
      <c r="F1120" s="474"/>
      <c r="G1120" s="309"/>
      <c r="H1120" s="309"/>
    </row>
    <row r="1121" spans="2:8" ht="24.95" customHeight="1" x14ac:dyDescent="0.25">
      <c r="B1121" s="474"/>
      <c r="C1121" s="576"/>
      <c r="D1121" s="589"/>
      <c r="E1121" s="132"/>
      <c r="F1121" s="474"/>
      <c r="G1121" s="309"/>
      <c r="H1121" s="309"/>
    </row>
    <row r="1122" spans="2:8" ht="24.95" customHeight="1" x14ac:dyDescent="0.25">
      <c r="B1122" s="474"/>
      <c r="C1122" s="576"/>
      <c r="D1122" s="589"/>
      <c r="E1122" s="132"/>
      <c r="F1122" s="474"/>
      <c r="G1122" s="309"/>
      <c r="H1122" s="309"/>
    </row>
    <row r="1123" spans="2:8" ht="24.95" customHeight="1" x14ac:dyDescent="0.25">
      <c r="B1123" s="474"/>
      <c r="C1123" s="576"/>
      <c r="D1123" s="589"/>
      <c r="E1123" s="132"/>
      <c r="F1123" s="474"/>
      <c r="G1123" s="309"/>
      <c r="H1123" s="309"/>
    </row>
    <row r="1124" spans="2:8" ht="24.95" customHeight="1" x14ac:dyDescent="0.25">
      <c r="B1124" s="474"/>
      <c r="C1124" s="576"/>
      <c r="D1124" s="589"/>
      <c r="E1124" s="132"/>
      <c r="F1124" s="474"/>
      <c r="G1124" s="309"/>
      <c r="H1124" s="309"/>
    </row>
    <row r="1125" spans="2:8" ht="24.95" customHeight="1" x14ac:dyDescent="0.25">
      <c r="B1125" s="474"/>
      <c r="C1125" s="576"/>
      <c r="D1125" s="589"/>
      <c r="E1125" s="132"/>
      <c r="F1125" s="474"/>
      <c r="G1125" s="309"/>
      <c r="H1125" s="309"/>
    </row>
    <row r="1126" spans="2:8" ht="24.95" customHeight="1" x14ac:dyDescent="0.25">
      <c r="B1126" s="474"/>
      <c r="C1126" s="576"/>
      <c r="D1126" s="589"/>
      <c r="E1126" s="132"/>
      <c r="F1126" s="474"/>
      <c r="G1126" s="309"/>
      <c r="H1126" s="309"/>
    </row>
    <row r="1127" spans="2:8" ht="24.95" customHeight="1" x14ac:dyDescent="0.25">
      <c r="B1127" s="474"/>
      <c r="C1127" s="576"/>
      <c r="D1127" s="589"/>
      <c r="E1127" s="132"/>
      <c r="F1127" s="474"/>
      <c r="G1127" s="309"/>
      <c r="H1127" s="309"/>
    </row>
    <row r="1128" spans="2:8" ht="24.95" customHeight="1" x14ac:dyDescent="0.25">
      <c r="B1128" s="474"/>
      <c r="C1128" s="576"/>
      <c r="D1128" s="589"/>
      <c r="E1128" s="132"/>
      <c r="F1128" s="474"/>
      <c r="G1128" s="309"/>
      <c r="H1128" s="309"/>
    </row>
    <row r="1129" spans="2:8" ht="24.95" customHeight="1" x14ac:dyDescent="0.25">
      <c r="B1129" s="474"/>
      <c r="C1129" s="576"/>
      <c r="D1129" s="589"/>
      <c r="E1129" s="132"/>
      <c r="F1129" s="474"/>
      <c r="G1129" s="309"/>
      <c r="H1129" s="309"/>
    </row>
    <row r="1130" spans="2:8" ht="24.95" customHeight="1" x14ac:dyDescent="0.25">
      <c r="B1130" s="474"/>
      <c r="C1130" s="576"/>
      <c r="D1130" s="589"/>
      <c r="E1130" s="132"/>
      <c r="F1130" s="474"/>
      <c r="G1130" s="309"/>
      <c r="H1130" s="309"/>
    </row>
    <row r="1131" spans="2:8" ht="24.95" customHeight="1" x14ac:dyDescent="0.25">
      <c r="B1131" s="474"/>
      <c r="C1131" s="576"/>
      <c r="D1131" s="589"/>
      <c r="E1131" s="132"/>
      <c r="F1131" s="474"/>
      <c r="G1131" s="309"/>
      <c r="H1131" s="309"/>
    </row>
    <row r="1132" spans="2:8" ht="24.95" customHeight="1" x14ac:dyDescent="0.25">
      <c r="B1132" s="474"/>
      <c r="C1132" s="576"/>
      <c r="D1132" s="589"/>
      <c r="E1132" s="132"/>
      <c r="F1132" s="474"/>
      <c r="G1132" s="309"/>
      <c r="H1132" s="309"/>
    </row>
    <row r="1133" spans="2:8" ht="24.95" customHeight="1" x14ac:dyDescent="0.25">
      <c r="B1133" s="474"/>
      <c r="C1133" s="576"/>
      <c r="D1133" s="589"/>
      <c r="E1133" s="132"/>
      <c r="F1133" s="474"/>
      <c r="G1133" s="309"/>
      <c r="H1133" s="309"/>
    </row>
    <row r="1134" spans="2:8" ht="24.95" customHeight="1" x14ac:dyDescent="0.25">
      <c r="B1134" s="474"/>
      <c r="C1134" s="576"/>
      <c r="D1134" s="589"/>
      <c r="E1134" s="132"/>
      <c r="F1134" s="474"/>
      <c r="G1134" s="309"/>
      <c r="H1134" s="309"/>
    </row>
    <row r="1135" spans="2:8" ht="24.95" customHeight="1" x14ac:dyDescent="0.25">
      <c r="B1135" s="474"/>
      <c r="C1135" s="576"/>
      <c r="D1135" s="589"/>
      <c r="E1135" s="132"/>
      <c r="F1135" s="474"/>
      <c r="G1135" s="309"/>
      <c r="H1135" s="309"/>
    </row>
    <row r="1136" spans="2:8" ht="24.95" customHeight="1" x14ac:dyDescent="0.25">
      <c r="B1136" s="474"/>
      <c r="C1136" s="576"/>
      <c r="D1136" s="589"/>
      <c r="E1136" s="132"/>
      <c r="F1136" s="474"/>
      <c r="G1136" s="309"/>
      <c r="H1136" s="309"/>
    </row>
    <row r="1137" spans="2:8" ht="24.95" customHeight="1" x14ac:dyDescent="0.25">
      <c r="B1137" s="474"/>
      <c r="C1137" s="576"/>
      <c r="D1137" s="589"/>
      <c r="E1137" s="132"/>
      <c r="F1137" s="474"/>
      <c r="G1137" s="309"/>
      <c r="H1137" s="309"/>
    </row>
    <row r="1138" spans="2:8" ht="24.95" customHeight="1" x14ac:dyDescent="0.25">
      <c r="B1138" s="474"/>
      <c r="C1138" s="576"/>
      <c r="D1138" s="589"/>
      <c r="E1138" s="132"/>
      <c r="F1138" s="474"/>
      <c r="G1138" s="309"/>
      <c r="H1138" s="309"/>
    </row>
    <row r="1139" spans="2:8" ht="24.95" customHeight="1" x14ac:dyDescent="0.25">
      <c r="B1139" s="474"/>
      <c r="C1139" s="576"/>
      <c r="D1139" s="589"/>
      <c r="E1139" s="132"/>
      <c r="F1139" s="474"/>
      <c r="G1139" s="309"/>
      <c r="H1139" s="309"/>
    </row>
    <row r="1140" spans="2:8" ht="24.95" customHeight="1" x14ac:dyDescent="0.25">
      <c r="B1140" s="474"/>
      <c r="C1140" s="576"/>
      <c r="D1140" s="589"/>
      <c r="E1140" s="132"/>
      <c r="F1140" s="474"/>
      <c r="G1140" s="309"/>
      <c r="H1140" s="309"/>
    </row>
    <row r="1141" spans="2:8" ht="24.95" customHeight="1" x14ac:dyDescent="0.25">
      <c r="B1141" s="474"/>
      <c r="C1141" s="576"/>
      <c r="D1141" s="589"/>
      <c r="E1141" s="132"/>
      <c r="F1141" s="474"/>
      <c r="G1141" s="309"/>
      <c r="H1141" s="309"/>
    </row>
    <row r="1142" spans="2:8" ht="24.95" customHeight="1" x14ac:dyDescent="0.25">
      <c r="B1142" s="474"/>
      <c r="C1142" s="576"/>
      <c r="D1142" s="589"/>
      <c r="E1142" s="132"/>
      <c r="F1142" s="474"/>
      <c r="G1142" s="309"/>
      <c r="H1142" s="309"/>
    </row>
    <row r="1143" spans="2:8" ht="24.95" customHeight="1" x14ac:dyDescent="0.25">
      <c r="B1143" s="474"/>
      <c r="C1143" s="576"/>
      <c r="D1143" s="589"/>
      <c r="E1143" s="132"/>
      <c r="F1143" s="474"/>
      <c r="G1143" s="309"/>
      <c r="H1143" s="309"/>
    </row>
    <row r="1144" spans="2:8" ht="24.95" customHeight="1" x14ac:dyDescent="0.25">
      <c r="B1144" s="474"/>
      <c r="C1144" s="576"/>
      <c r="D1144" s="589"/>
      <c r="E1144" s="132"/>
      <c r="F1144" s="474"/>
      <c r="G1144" s="309"/>
      <c r="H1144" s="309"/>
    </row>
    <row r="1145" spans="2:8" ht="24.95" customHeight="1" x14ac:dyDescent="0.25">
      <c r="B1145" s="474"/>
      <c r="C1145" s="576"/>
      <c r="D1145" s="589"/>
      <c r="E1145" s="132"/>
      <c r="F1145" s="474"/>
      <c r="G1145" s="309"/>
      <c r="H1145" s="309"/>
    </row>
    <row r="1146" spans="2:8" ht="24.95" customHeight="1" x14ac:dyDescent="0.25">
      <c r="B1146" s="474"/>
      <c r="C1146" s="576"/>
      <c r="D1146" s="589"/>
      <c r="E1146" s="132"/>
      <c r="F1146" s="474"/>
      <c r="G1146" s="309"/>
      <c r="H1146" s="309"/>
    </row>
    <row r="1147" spans="2:8" ht="24.95" customHeight="1" x14ac:dyDescent="0.25">
      <c r="B1147" s="474"/>
      <c r="C1147" s="576"/>
      <c r="D1147" s="589"/>
      <c r="E1147" s="132"/>
      <c r="F1147" s="474"/>
      <c r="G1147" s="309"/>
      <c r="H1147" s="309"/>
    </row>
    <row r="1148" spans="2:8" ht="24.95" customHeight="1" x14ac:dyDescent="0.25">
      <c r="B1148" s="474"/>
      <c r="C1148" s="576"/>
      <c r="D1148" s="589"/>
      <c r="E1148" s="132"/>
      <c r="F1148" s="474"/>
      <c r="G1148" s="309"/>
      <c r="H1148" s="309"/>
    </row>
    <row r="1149" spans="2:8" ht="24.95" customHeight="1" x14ac:dyDescent="0.25">
      <c r="B1149" s="474"/>
      <c r="C1149" s="576"/>
      <c r="D1149" s="589"/>
      <c r="E1149" s="132"/>
      <c r="F1149" s="474"/>
      <c r="G1149" s="309"/>
      <c r="H1149" s="309"/>
    </row>
    <row r="1150" spans="2:8" ht="24.95" customHeight="1" x14ac:dyDescent="0.25">
      <c r="B1150" s="474"/>
      <c r="C1150" s="576"/>
      <c r="D1150" s="589"/>
      <c r="E1150" s="132"/>
      <c r="F1150" s="474"/>
      <c r="G1150" s="309"/>
      <c r="H1150" s="309"/>
    </row>
    <row r="1151" spans="2:8" ht="24.95" customHeight="1" x14ac:dyDescent="0.25">
      <c r="B1151" s="474"/>
      <c r="C1151" s="576"/>
      <c r="D1151" s="589"/>
      <c r="E1151" s="132"/>
      <c r="F1151" s="474"/>
      <c r="G1151" s="309"/>
      <c r="H1151" s="309"/>
    </row>
    <row r="1152" spans="2:8" ht="24.95" customHeight="1" x14ac:dyDescent="0.25">
      <c r="B1152" s="474"/>
      <c r="C1152" s="576"/>
      <c r="D1152" s="589"/>
      <c r="E1152" s="132"/>
      <c r="F1152" s="474"/>
      <c r="G1152" s="309"/>
      <c r="H1152" s="309"/>
    </row>
    <row r="1153" spans="2:8" ht="24.95" customHeight="1" x14ac:dyDescent="0.25">
      <c r="B1153" s="474"/>
      <c r="C1153" s="576"/>
      <c r="D1153" s="589"/>
      <c r="E1153" s="132"/>
      <c r="F1153" s="474"/>
      <c r="G1153" s="309"/>
      <c r="H1153" s="309"/>
    </row>
    <row r="1154" spans="2:8" ht="24.95" customHeight="1" x14ac:dyDescent="0.25">
      <c r="B1154" s="474"/>
      <c r="C1154" s="576"/>
      <c r="D1154" s="589"/>
      <c r="E1154" s="132"/>
      <c r="F1154" s="474"/>
      <c r="G1154" s="309"/>
      <c r="H1154" s="309"/>
    </row>
    <row r="1155" spans="2:8" ht="24.95" customHeight="1" x14ac:dyDescent="0.25">
      <c r="B1155" s="474"/>
      <c r="C1155" s="576"/>
      <c r="D1155" s="589"/>
      <c r="E1155" s="132"/>
      <c r="F1155" s="474"/>
      <c r="G1155" s="309"/>
      <c r="H1155" s="309"/>
    </row>
    <row r="1156" spans="2:8" ht="24.95" customHeight="1" x14ac:dyDescent="0.25">
      <c r="B1156" s="474"/>
      <c r="C1156" s="576"/>
      <c r="D1156" s="589"/>
      <c r="E1156" s="132"/>
      <c r="F1156" s="474"/>
      <c r="G1156" s="309"/>
      <c r="H1156" s="309"/>
    </row>
    <row r="1157" spans="2:8" ht="24.95" customHeight="1" x14ac:dyDescent="0.25">
      <c r="B1157" s="474"/>
      <c r="C1157" s="576"/>
      <c r="D1157" s="589"/>
      <c r="E1157" s="132"/>
      <c r="F1157" s="474"/>
      <c r="G1157" s="309"/>
      <c r="H1157" s="309"/>
    </row>
    <row r="1158" spans="2:8" ht="24.95" customHeight="1" x14ac:dyDescent="0.25">
      <c r="B1158" s="474"/>
      <c r="C1158" s="576"/>
      <c r="D1158" s="589"/>
      <c r="E1158" s="132"/>
      <c r="F1158" s="474"/>
      <c r="G1158" s="309"/>
      <c r="H1158" s="309"/>
    </row>
    <row r="1159" spans="2:8" ht="24.95" customHeight="1" x14ac:dyDescent="0.25">
      <c r="B1159" s="474"/>
      <c r="C1159" s="576"/>
      <c r="D1159" s="589"/>
      <c r="E1159" s="132"/>
      <c r="F1159" s="474"/>
      <c r="G1159" s="309"/>
      <c r="H1159" s="309"/>
    </row>
    <row r="1160" spans="2:8" ht="24.95" customHeight="1" x14ac:dyDescent="0.25">
      <c r="B1160" s="474"/>
      <c r="C1160" s="576"/>
      <c r="D1160" s="589"/>
      <c r="E1160" s="132"/>
      <c r="F1160" s="474"/>
      <c r="G1160" s="309"/>
      <c r="H1160" s="309"/>
    </row>
    <row r="1161" spans="2:8" ht="24.95" customHeight="1" x14ac:dyDescent="0.25">
      <c r="B1161" s="474"/>
      <c r="C1161" s="576"/>
      <c r="D1161" s="589"/>
      <c r="E1161" s="132"/>
      <c r="F1161" s="474"/>
      <c r="G1161" s="309"/>
      <c r="H1161" s="309"/>
    </row>
    <row r="1162" spans="2:8" ht="24.95" customHeight="1" x14ac:dyDescent="0.25">
      <c r="B1162" s="474"/>
      <c r="C1162" s="576"/>
      <c r="D1162" s="589"/>
      <c r="E1162" s="132"/>
      <c r="F1162" s="474"/>
      <c r="G1162" s="309"/>
      <c r="H1162" s="309"/>
    </row>
    <row r="1163" spans="2:8" ht="24.95" customHeight="1" x14ac:dyDescent="0.25">
      <c r="B1163" s="474"/>
      <c r="C1163" s="576"/>
      <c r="D1163" s="589"/>
      <c r="E1163" s="132"/>
      <c r="F1163" s="474"/>
      <c r="G1163" s="309"/>
      <c r="H1163" s="309"/>
    </row>
    <row r="1164" spans="2:8" ht="24.95" customHeight="1" x14ac:dyDescent="0.25">
      <c r="B1164" s="474"/>
      <c r="C1164" s="576"/>
      <c r="D1164" s="589"/>
      <c r="E1164" s="132"/>
      <c r="F1164" s="474"/>
      <c r="G1164" s="309"/>
      <c r="H1164" s="309"/>
    </row>
    <row r="1165" spans="2:8" ht="24.95" customHeight="1" x14ac:dyDescent="0.25">
      <c r="B1165" s="474"/>
      <c r="C1165" s="576"/>
      <c r="D1165" s="589"/>
      <c r="E1165" s="132"/>
      <c r="F1165" s="474"/>
      <c r="G1165" s="309"/>
      <c r="H1165" s="309"/>
    </row>
    <row r="1166" spans="2:8" ht="24.95" customHeight="1" x14ac:dyDescent="0.25">
      <c r="B1166" s="474"/>
      <c r="C1166" s="576"/>
      <c r="D1166" s="589"/>
      <c r="E1166" s="132"/>
      <c r="F1166" s="474"/>
      <c r="G1166" s="309"/>
      <c r="H1166" s="309"/>
    </row>
    <row r="1167" spans="2:8" ht="24.95" customHeight="1" x14ac:dyDescent="0.25">
      <c r="B1167" s="474"/>
      <c r="C1167" s="576"/>
      <c r="D1167" s="589"/>
      <c r="E1167" s="132"/>
      <c r="F1167" s="474"/>
      <c r="G1167" s="309"/>
      <c r="H1167" s="309"/>
    </row>
    <row r="1168" spans="2:8" ht="24.95" customHeight="1" x14ac:dyDescent="0.25">
      <c r="B1168" s="474"/>
      <c r="C1168" s="576"/>
      <c r="D1168" s="589"/>
      <c r="E1168" s="132"/>
      <c r="F1168" s="474"/>
      <c r="G1168" s="309"/>
      <c r="H1168" s="309"/>
    </row>
    <row r="1169" spans="2:8" ht="24.95" customHeight="1" x14ac:dyDescent="0.25">
      <c r="B1169" s="474"/>
      <c r="C1169" s="576"/>
      <c r="D1169" s="589"/>
      <c r="E1169" s="132"/>
      <c r="F1169" s="474"/>
      <c r="G1169" s="309"/>
      <c r="H1169" s="309"/>
    </row>
    <row r="1170" spans="2:8" ht="24.95" customHeight="1" x14ac:dyDescent="0.25">
      <c r="B1170" s="474"/>
      <c r="C1170" s="576"/>
      <c r="D1170" s="589"/>
      <c r="E1170" s="132"/>
      <c r="F1170" s="474"/>
      <c r="G1170" s="309"/>
      <c r="H1170" s="309"/>
    </row>
    <row r="1171" spans="2:8" ht="24.95" customHeight="1" x14ac:dyDescent="0.25">
      <c r="B1171" s="474"/>
      <c r="C1171" s="576"/>
      <c r="D1171" s="589"/>
      <c r="E1171" s="132"/>
      <c r="F1171" s="474"/>
      <c r="G1171" s="309"/>
      <c r="H1171" s="309"/>
    </row>
    <row r="1172" spans="2:8" ht="24.95" customHeight="1" x14ac:dyDescent="0.25">
      <c r="B1172" s="474"/>
      <c r="C1172" s="576"/>
      <c r="D1172" s="589"/>
      <c r="E1172" s="132"/>
      <c r="F1172" s="474"/>
      <c r="G1172" s="309"/>
      <c r="H1172" s="309"/>
    </row>
    <row r="1173" spans="2:8" ht="24.95" customHeight="1" x14ac:dyDescent="0.25">
      <c r="B1173" s="474"/>
      <c r="C1173" s="576"/>
      <c r="D1173" s="589"/>
      <c r="E1173" s="132"/>
      <c r="F1173" s="474"/>
      <c r="G1173" s="309"/>
      <c r="H1173" s="309"/>
    </row>
    <row r="1174" spans="2:8" ht="24.95" customHeight="1" x14ac:dyDescent="0.25">
      <c r="B1174" s="474"/>
      <c r="C1174" s="576"/>
      <c r="D1174" s="589"/>
      <c r="E1174" s="132"/>
      <c r="F1174" s="474"/>
      <c r="G1174" s="309"/>
      <c r="H1174" s="309"/>
    </row>
    <row r="1175" spans="2:8" ht="24.95" customHeight="1" x14ac:dyDescent="0.25">
      <c r="B1175" s="474"/>
      <c r="C1175" s="576"/>
      <c r="D1175" s="589"/>
      <c r="E1175" s="132"/>
      <c r="F1175" s="474"/>
      <c r="G1175" s="309"/>
      <c r="H1175" s="309"/>
    </row>
    <row r="1176" spans="2:8" ht="24.95" customHeight="1" x14ac:dyDescent="0.25">
      <c r="B1176" s="474"/>
      <c r="C1176" s="576"/>
      <c r="D1176" s="589"/>
      <c r="E1176" s="132"/>
      <c r="F1176" s="474"/>
      <c r="G1176" s="309"/>
      <c r="H1176" s="309"/>
    </row>
    <row r="1177" spans="2:8" ht="24.95" customHeight="1" x14ac:dyDescent="0.25">
      <c r="B1177" s="474"/>
      <c r="C1177" s="576"/>
      <c r="D1177" s="589"/>
      <c r="E1177" s="132"/>
      <c r="F1177" s="474"/>
      <c r="G1177" s="309"/>
      <c r="H1177" s="309"/>
    </row>
    <row r="1178" spans="2:8" ht="24.95" customHeight="1" x14ac:dyDescent="0.25">
      <c r="B1178" s="474"/>
      <c r="C1178" s="576"/>
      <c r="D1178" s="589"/>
      <c r="E1178" s="132"/>
      <c r="F1178" s="474"/>
      <c r="G1178" s="309"/>
      <c r="H1178" s="309"/>
    </row>
    <row r="1179" spans="2:8" ht="24.95" customHeight="1" x14ac:dyDescent="0.25">
      <c r="B1179" s="474"/>
      <c r="C1179" s="576"/>
      <c r="D1179" s="589"/>
      <c r="E1179" s="132"/>
      <c r="F1179" s="474"/>
      <c r="G1179" s="309"/>
      <c r="H1179" s="309"/>
    </row>
    <row r="1180" spans="2:8" ht="24.95" customHeight="1" x14ac:dyDescent="0.25">
      <c r="B1180" s="474"/>
      <c r="C1180" s="576"/>
      <c r="D1180" s="589"/>
      <c r="E1180" s="132"/>
      <c r="F1180" s="474"/>
      <c r="G1180" s="309"/>
      <c r="H1180" s="309"/>
    </row>
    <row r="1181" spans="2:8" ht="24.95" customHeight="1" x14ac:dyDescent="0.25">
      <c r="B1181" s="474"/>
      <c r="C1181" s="576"/>
      <c r="D1181" s="589"/>
      <c r="E1181" s="132"/>
      <c r="F1181" s="474"/>
      <c r="G1181" s="309"/>
      <c r="H1181" s="309"/>
    </row>
    <row r="1182" spans="2:8" ht="24.95" customHeight="1" x14ac:dyDescent="0.25">
      <c r="B1182" s="474"/>
      <c r="C1182" s="576"/>
      <c r="D1182" s="589"/>
      <c r="E1182" s="132"/>
      <c r="F1182" s="474"/>
      <c r="G1182" s="309"/>
      <c r="H1182" s="309"/>
    </row>
    <row r="1183" spans="2:8" ht="24.95" customHeight="1" x14ac:dyDescent="0.25">
      <c r="B1183" s="474"/>
      <c r="C1183" s="576"/>
      <c r="D1183" s="589"/>
      <c r="E1183" s="132"/>
      <c r="F1183" s="474"/>
      <c r="G1183" s="309"/>
      <c r="H1183" s="309"/>
    </row>
    <row r="1184" spans="2:8" ht="24.95" customHeight="1" x14ac:dyDescent="0.25">
      <c r="B1184" s="474"/>
      <c r="C1184" s="576"/>
      <c r="D1184" s="589"/>
      <c r="E1184" s="132"/>
      <c r="F1184" s="474"/>
      <c r="G1184" s="309"/>
      <c r="H1184" s="309"/>
    </row>
    <row r="1185" spans="2:8" ht="24.95" customHeight="1" x14ac:dyDescent="0.25">
      <c r="B1185" s="474"/>
      <c r="C1185" s="576"/>
      <c r="D1185" s="589"/>
      <c r="E1185" s="132"/>
      <c r="F1185" s="474"/>
      <c r="G1185" s="309"/>
      <c r="H1185" s="309"/>
    </row>
    <row r="1186" spans="2:8" ht="24.95" customHeight="1" x14ac:dyDescent="0.25">
      <c r="B1186" s="474"/>
      <c r="C1186" s="576"/>
      <c r="D1186" s="589"/>
      <c r="E1186" s="132"/>
      <c r="F1186" s="474"/>
      <c r="G1186" s="309"/>
      <c r="H1186" s="309"/>
    </row>
    <row r="1187" spans="2:8" ht="24.95" customHeight="1" x14ac:dyDescent="0.25">
      <c r="B1187" s="474"/>
      <c r="C1187" s="576"/>
      <c r="D1187" s="589"/>
      <c r="E1187" s="132"/>
      <c r="F1187" s="474"/>
      <c r="G1187" s="309"/>
      <c r="H1187" s="309"/>
    </row>
    <row r="1188" spans="2:8" ht="24.95" customHeight="1" x14ac:dyDescent="0.25">
      <c r="B1188" s="474"/>
      <c r="C1188" s="576"/>
      <c r="D1188" s="589"/>
      <c r="E1188" s="132"/>
      <c r="F1188" s="474"/>
      <c r="G1188" s="309"/>
      <c r="H1188" s="309"/>
    </row>
    <row r="1189" spans="2:8" ht="24.95" customHeight="1" x14ac:dyDescent="0.25">
      <c r="B1189" s="474"/>
      <c r="C1189" s="576"/>
      <c r="D1189" s="589"/>
      <c r="E1189" s="132"/>
      <c r="F1189" s="474"/>
      <c r="G1189" s="309"/>
      <c r="H1189" s="309"/>
    </row>
    <row r="1190" spans="2:8" ht="24.95" customHeight="1" x14ac:dyDescent="0.25">
      <c r="B1190" s="474"/>
      <c r="C1190" s="576"/>
      <c r="D1190" s="589"/>
      <c r="E1190" s="132"/>
      <c r="F1190" s="474"/>
      <c r="G1190" s="309"/>
      <c r="H1190" s="309"/>
    </row>
    <row r="1191" spans="2:8" ht="24.95" customHeight="1" x14ac:dyDescent="0.25">
      <c r="B1191" s="474"/>
      <c r="C1191" s="576"/>
      <c r="D1191" s="589"/>
      <c r="E1191" s="132"/>
      <c r="F1191" s="474"/>
      <c r="G1191" s="309"/>
      <c r="H1191" s="309"/>
    </row>
    <row r="1192" spans="2:8" ht="24.95" customHeight="1" x14ac:dyDescent="0.25">
      <c r="B1192" s="474"/>
      <c r="C1192" s="576"/>
      <c r="D1192" s="589"/>
      <c r="E1192" s="132"/>
      <c r="F1192" s="474"/>
      <c r="G1192" s="309"/>
      <c r="H1192" s="309"/>
    </row>
    <row r="1193" spans="2:8" ht="24.95" customHeight="1" x14ac:dyDescent="0.25">
      <c r="B1193" s="474"/>
      <c r="C1193" s="576"/>
      <c r="D1193" s="589"/>
      <c r="E1193" s="132"/>
      <c r="F1193" s="474"/>
      <c r="G1193" s="309"/>
      <c r="H1193" s="309"/>
    </row>
    <row r="1194" spans="2:8" ht="24.95" customHeight="1" x14ac:dyDescent="0.25">
      <c r="B1194" s="474"/>
      <c r="C1194" s="576"/>
      <c r="D1194" s="589"/>
      <c r="E1194" s="132"/>
      <c r="F1194" s="474"/>
      <c r="G1194" s="309"/>
      <c r="H1194" s="309"/>
    </row>
    <row r="1195" spans="2:8" ht="24.95" customHeight="1" x14ac:dyDescent="0.25">
      <c r="B1195" s="474"/>
      <c r="C1195" s="576"/>
      <c r="D1195" s="589"/>
      <c r="E1195" s="132"/>
      <c r="F1195" s="474"/>
      <c r="G1195" s="309"/>
      <c r="H1195" s="309"/>
    </row>
    <row r="1196" spans="2:8" ht="24.95" customHeight="1" x14ac:dyDescent="0.25">
      <c r="B1196" s="474"/>
      <c r="C1196" s="576"/>
      <c r="D1196" s="589"/>
      <c r="E1196" s="132"/>
      <c r="F1196" s="474"/>
      <c r="G1196" s="309"/>
      <c r="H1196" s="309"/>
    </row>
    <row r="1197" spans="2:8" ht="24.95" customHeight="1" x14ac:dyDescent="0.25">
      <c r="B1197" s="474"/>
      <c r="C1197" s="576"/>
      <c r="D1197" s="589"/>
      <c r="E1197" s="132"/>
      <c r="F1197" s="474"/>
      <c r="G1197" s="309"/>
      <c r="H1197" s="309"/>
    </row>
    <row r="1198" spans="2:8" ht="24.95" customHeight="1" x14ac:dyDescent="0.25">
      <c r="B1198" s="474"/>
      <c r="C1198" s="576"/>
      <c r="D1198" s="589"/>
      <c r="E1198" s="132"/>
      <c r="F1198" s="474"/>
      <c r="G1198" s="309"/>
      <c r="H1198" s="309"/>
    </row>
    <row r="1199" spans="2:8" ht="24.95" customHeight="1" x14ac:dyDescent="0.25">
      <c r="B1199" s="474"/>
      <c r="C1199" s="576"/>
      <c r="D1199" s="589"/>
      <c r="E1199" s="132"/>
      <c r="F1199" s="474"/>
      <c r="G1199" s="309"/>
      <c r="H1199" s="309"/>
    </row>
    <row r="1200" spans="2:8" ht="24.95" customHeight="1" x14ac:dyDescent="0.25">
      <c r="B1200" s="474"/>
      <c r="C1200" s="576"/>
      <c r="D1200" s="589"/>
      <c r="E1200" s="132"/>
      <c r="F1200" s="474"/>
      <c r="G1200" s="309"/>
      <c r="H1200" s="309"/>
    </row>
    <row r="1201" spans="2:8" ht="24.95" customHeight="1" x14ac:dyDescent="0.25">
      <c r="B1201" s="474"/>
      <c r="C1201" s="576"/>
      <c r="D1201" s="589"/>
      <c r="E1201" s="132"/>
      <c r="F1201" s="474"/>
      <c r="G1201" s="309"/>
      <c r="H1201" s="309"/>
    </row>
    <row r="1202" spans="2:8" ht="24.95" customHeight="1" x14ac:dyDescent="0.25">
      <c r="B1202" s="474"/>
      <c r="C1202" s="576"/>
      <c r="D1202" s="589"/>
      <c r="E1202" s="132"/>
      <c r="F1202" s="474"/>
      <c r="G1202" s="309"/>
      <c r="H1202" s="309"/>
    </row>
    <row r="1203" spans="2:8" ht="24.95" customHeight="1" x14ac:dyDescent="0.25">
      <c r="B1203" s="474"/>
      <c r="C1203" s="576"/>
      <c r="D1203" s="589"/>
      <c r="E1203" s="132"/>
      <c r="F1203" s="474"/>
      <c r="G1203" s="309"/>
      <c r="H1203" s="309"/>
    </row>
    <row r="1204" spans="2:8" ht="24.95" customHeight="1" x14ac:dyDescent="0.25">
      <c r="B1204" s="474"/>
      <c r="C1204" s="576"/>
      <c r="D1204" s="589"/>
      <c r="E1204" s="132"/>
      <c r="F1204" s="474"/>
      <c r="G1204" s="309"/>
      <c r="H1204" s="309"/>
    </row>
    <row r="1205" spans="2:8" ht="24.95" customHeight="1" x14ac:dyDescent="0.25">
      <c r="B1205" s="474"/>
      <c r="C1205" s="576"/>
      <c r="D1205" s="589"/>
      <c r="E1205" s="132"/>
      <c r="F1205" s="474"/>
      <c r="G1205" s="309"/>
      <c r="H1205" s="309"/>
    </row>
    <row r="1206" spans="2:8" ht="24.95" customHeight="1" x14ac:dyDescent="0.25">
      <c r="B1206" s="474"/>
      <c r="C1206" s="576"/>
      <c r="D1206" s="589"/>
      <c r="E1206" s="132"/>
      <c r="F1206" s="474"/>
      <c r="G1206" s="309"/>
      <c r="H1206" s="309"/>
    </row>
    <row r="1207" spans="2:8" ht="24.95" customHeight="1" x14ac:dyDescent="0.25">
      <c r="B1207" s="474"/>
      <c r="C1207" s="576"/>
      <c r="D1207" s="589"/>
      <c r="E1207" s="132"/>
      <c r="F1207" s="474"/>
      <c r="G1207" s="309"/>
      <c r="H1207" s="309"/>
    </row>
    <row r="1208" spans="2:8" ht="24.95" customHeight="1" x14ac:dyDescent="0.25">
      <c r="B1208" s="474"/>
      <c r="C1208" s="576"/>
      <c r="D1208" s="589"/>
      <c r="E1208" s="132"/>
      <c r="F1208" s="474"/>
      <c r="G1208" s="309"/>
      <c r="H1208" s="309"/>
    </row>
    <row r="1209" spans="2:8" ht="24.95" customHeight="1" x14ac:dyDescent="0.25">
      <c r="B1209" s="474"/>
      <c r="C1209" s="576"/>
      <c r="D1209" s="589"/>
      <c r="E1209" s="132"/>
      <c r="F1209" s="474"/>
      <c r="G1209" s="309"/>
      <c r="H1209" s="309"/>
    </row>
    <row r="1210" spans="2:8" ht="24.95" customHeight="1" x14ac:dyDescent="0.25">
      <c r="B1210" s="474"/>
      <c r="C1210" s="576"/>
      <c r="D1210" s="589"/>
      <c r="E1210" s="132"/>
      <c r="F1210" s="474"/>
      <c r="G1210" s="309"/>
      <c r="H1210" s="309"/>
    </row>
    <row r="1211" spans="2:8" ht="24.95" customHeight="1" x14ac:dyDescent="0.25">
      <c r="B1211" s="474"/>
      <c r="C1211" s="576"/>
      <c r="D1211" s="589"/>
      <c r="E1211" s="132"/>
      <c r="F1211" s="474"/>
      <c r="G1211" s="309"/>
      <c r="H1211" s="309"/>
    </row>
    <row r="1212" spans="2:8" ht="24.95" customHeight="1" x14ac:dyDescent="0.25">
      <c r="B1212" s="474"/>
      <c r="C1212" s="576"/>
      <c r="D1212" s="589"/>
      <c r="E1212" s="132"/>
      <c r="F1212" s="474"/>
      <c r="G1212" s="309"/>
      <c r="H1212" s="309"/>
    </row>
    <row r="1213" spans="2:8" ht="24.95" customHeight="1" x14ac:dyDescent="0.25">
      <c r="B1213" s="474"/>
      <c r="C1213" s="576"/>
      <c r="D1213" s="589"/>
      <c r="E1213" s="132"/>
      <c r="F1213" s="474"/>
      <c r="G1213" s="309"/>
      <c r="H1213" s="309"/>
    </row>
    <row r="1214" spans="2:8" ht="24.95" customHeight="1" x14ac:dyDescent="0.25">
      <c r="B1214" s="474"/>
      <c r="C1214" s="576"/>
      <c r="D1214" s="589"/>
      <c r="E1214" s="132"/>
      <c r="F1214" s="474"/>
      <c r="G1214" s="309"/>
      <c r="H1214" s="309"/>
    </row>
    <row r="1215" spans="2:8" ht="24.95" customHeight="1" x14ac:dyDescent="0.25">
      <c r="B1215" s="474"/>
      <c r="C1215" s="576"/>
      <c r="D1215" s="589"/>
      <c r="E1215" s="132"/>
      <c r="F1215" s="474"/>
      <c r="G1215" s="309"/>
      <c r="H1215" s="309"/>
    </row>
    <row r="1216" spans="2:8" ht="24.95" customHeight="1" x14ac:dyDescent="0.25">
      <c r="B1216" s="474"/>
      <c r="C1216" s="576"/>
      <c r="D1216" s="589"/>
      <c r="E1216" s="132"/>
      <c r="F1216" s="474"/>
      <c r="G1216" s="309"/>
      <c r="H1216" s="309"/>
    </row>
    <row r="1217" spans="2:8" ht="24.95" customHeight="1" x14ac:dyDescent="0.25">
      <c r="B1217" s="474"/>
      <c r="C1217" s="576"/>
      <c r="D1217" s="589"/>
      <c r="E1217" s="132"/>
      <c r="F1217" s="474"/>
      <c r="G1217" s="309"/>
      <c r="H1217" s="309"/>
    </row>
    <row r="1218" spans="2:8" ht="24.95" customHeight="1" x14ac:dyDescent="0.25">
      <c r="B1218" s="474"/>
      <c r="C1218" s="576"/>
      <c r="D1218" s="589"/>
      <c r="E1218" s="132"/>
      <c r="F1218" s="474"/>
      <c r="G1218" s="309"/>
      <c r="H1218" s="309"/>
    </row>
    <row r="1219" spans="2:8" ht="24.95" customHeight="1" x14ac:dyDescent="0.25">
      <c r="B1219" s="474"/>
      <c r="C1219" s="576"/>
      <c r="D1219" s="589"/>
      <c r="E1219" s="132"/>
      <c r="F1219" s="474"/>
      <c r="G1219" s="309"/>
      <c r="H1219" s="309"/>
    </row>
    <row r="1220" spans="2:8" ht="24.95" customHeight="1" x14ac:dyDescent="0.25">
      <c r="B1220" s="474"/>
      <c r="C1220" s="576"/>
      <c r="D1220" s="589"/>
      <c r="E1220" s="132"/>
      <c r="F1220" s="474"/>
      <c r="G1220" s="309"/>
      <c r="H1220" s="309"/>
    </row>
    <row r="1221" spans="2:8" ht="24.95" customHeight="1" x14ac:dyDescent="0.25">
      <c r="B1221" s="474"/>
      <c r="C1221" s="576"/>
      <c r="D1221" s="589"/>
      <c r="E1221" s="132"/>
      <c r="F1221" s="474"/>
      <c r="G1221" s="309"/>
      <c r="H1221" s="309"/>
    </row>
    <row r="1222" spans="2:8" ht="24.95" customHeight="1" x14ac:dyDescent="0.25">
      <c r="B1222" s="474"/>
      <c r="C1222" s="576"/>
      <c r="D1222" s="589"/>
      <c r="E1222" s="132"/>
      <c r="F1222" s="474"/>
      <c r="G1222" s="309"/>
      <c r="H1222" s="309"/>
    </row>
    <row r="1223" spans="2:8" ht="24.95" customHeight="1" x14ac:dyDescent="0.25">
      <c r="B1223" s="474"/>
      <c r="C1223" s="576"/>
      <c r="D1223" s="589"/>
      <c r="E1223" s="132"/>
      <c r="F1223" s="474"/>
      <c r="G1223" s="309"/>
      <c r="H1223" s="309"/>
    </row>
    <row r="1224" spans="2:8" ht="24.95" customHeight="1" x14ac:dyDescent="0.25">
      <c r="B1224" s="474"/>
      <c r="C1224" s="576"/>
      <c r="D1224" s="589"/>
      <c r="E1224" s="132"/>
      <c r="F1224" s="474"/>
      <c r="G1224" s="309"/>
      <c r="H1224" s="309"/>
    </row>
    <row r="1225" spans="2:8" ht="24.95" customHeight="1" x14ac:dyDescent="0.25">
      <c r="B1225" s="474"/>
      <c r="C1225" s="576"/>
      <c r="D1225" s="589"/>
      <c r="E1225" s="132"/>
      <c r="F1225" s="474"/>
      <c r="G1225" s="309"/>
      <c r="H1225" s="309"/>
    </row>
    <row r="1226" spans="2:8" ht="24.95" customHeight="1" x14ac:dyDescent="0.25">
      <c r="B1226" s="474"/>
      <c r="C1226" s="576"/>
      <c r="D1226" s="589"/>
      <c r="E1226" s="132"/>
      <c r="F1226" s="474"/>
      <c r="G1226" s="309"/>
      <c r="H1226" s="309"/>
    </row>
    <row r="1227" spans="2:8" ht="24.95" customHeight="1" x14ac:dyDescent="0.25">
      <c r="B1227" s="474"/>
      <c r="C1227" s="576"/>
      <c r="D1227" s="589"/>
      <c r="E1227" s="132"/>
      <c r="F1227" s="474"/>
      <c r="G1227" s="309"/>
      <c r="H1227" s="309"/>
    </row>
    <row r="1228" spans="2:8" ht="24.95" customHeight="1" x14ac:dyDescent="0.25">
      <c r="B1228" s="474"/>
      <c r="C1228" s="576"/>
      <c r="D1228" s="589"/>
      <c r="E1228" s="132"/>
      <c r="F1228" s="474"/>
      <c r="G1228" s="309"/>
      <c r="H1228" s="309"/>
    </row>
    <row r="1229" spans="2:8" ht="24.95" customHeight="1" x14ac:dyDescent="0.25">
      <c r="B1229" s="474"/>
      <c r="C1229" s="576"/>
      <c r="D1229" s="589"/>
      <c r="E1229" s="132"/>
      <c r="F1229" s="474"/>
      <c r="G1229" s="309"/>
      <c r="H1229" s="309"/>
    </row>
    <row r="1230" spans="2:8" ht="24.95" customHeight="1" x14ac:dyDescent="0.25">
      <c r="B1230" s="474"/>
      <c r="C1230" s="576"/>
      <c r="D1230" s="589"/>
      <c r="E1230" s="132"/>
      <c r="F1230" s="474"/>
      <c r="G1230" s="309"/>
      <c r="H1230" s="309"/>
    </row>
    <row r="1231" spans="2:8" ht="24.95" customHeight="1" x14ac:dyDescent="0.25">
      <c r="B1231" s="474"/>
      <c r="C1231" s="576"/>
      <c r="D1231" s="589"/>
      <c r="E1231" s="132"/>
      <c r="F1231" s="474"/>
      <c r="G1231" s="309"/>
      <c r="H1231" s="309"/>
    </row>
    <row r="1232" spans="2:8" ht="24.95" customHeight="1" x14ac:dyDescent="0.25">
      <c r="B1232" s="474"/>
      <c r="C1232" s="576"/>
      <c r="D1232" s="589"/>
      <c r="E1232" s="132"/>
      <c r="F1232" s="474"/>
      <c r="G1232" s="309"/>
      <c r="H1232" s="309"/>
    </row>
    <row r="1233" spans="2:8" ht="24.95" customHeight="1" x14ac:dyDescent="0.25">
      <c r="B1233" s="474"/>
      <c r="C1233" s="576"/>
      <c r="D1233" s="589"/>
      <c r="E1233" s="132"/>
      <c r="F1233" s="474"/>
      <c r="G1233" s="309"/>
      <c r="H1233" s="309"/>
    </row>
    <row r="1234" spans="2:8" ht="24.95" customHeight="1" x14ac:dyDescent="0.25">
      <c r="B1234" s="474"/>
      <c r="C1234" s="576"/>
      <c r="D1234" s="589"/>
      <c r="E1234" s="132"/>
      <c r="F1234" s="474"/>
      <c r="G1234" s="309"/>
      <c r="H1234" s="309"/>
    </row>
    <row r="1235" spans="2:8" ht="24.95" customHeight="1" x14ac:dyDescent="0.25">
      <c r="B1235" s="474"/>
      <c r="C1235" s="576"/>
      <c r="D1235" s="589"/>
      <c r="E1235" s="132"/>
      <c r="F1235" s="474"/>
      <c r="G1235" s="309"/>
      <c r="H1235" s="309"/>
    </row>
    <row r="1236" spans="2:8" ht="24.95" customHeight="1" x14ac:dyDescent="0.25">
      <c r="B1236" s="474"/>
      <c r="C1236" s="576"/>
      <c r="D1236" s="589"/>
      <c r="E1236" s="132"/>
      <c r="F1236" s="474"/>
      <c r="G1236" s="309"/>
      <c r="H1236" s="309"/>
    </row>
    <row r="1237" spans="2:8" ht="24.95" customHeight="1" x14ac:dyDescent="0.25">
      <c r="B1237" s="474"/>
      <c r="C1237" s="576"/>
      <c r="D1237" s="589"/>
      <c r="E1237" s="132"/>
      <c r="F1237" s="474"/>
      <c r="G1237" s="309"/>
      <c r="H1237" s="309"/>
    </row>
    <row r="1238" spans="2:8" ht="24.95" customHeight="1" x14ac:dyDescent="0.25">
      <c r="B1238" s="474"/>
      <c r="C1238" s="576"/>
      <c r="D1238" s="589"/>
      <c r="E1238" s="132"/>
      <c r="F1238" s="474"/>
      <c r="G1238" s="309"/>
      <c r="H1238" s="309"/>
    </row>
    <row r="1239" spans="2:8" ht="24.95" customHeight="1" x14ac:dyDescent="0.25">
      <c r="B1239" s="474"/>
      <c r="C1239" s="576"/>
      <c r="D1239" s="589"/>
      <c r="E1239" s="132"/>
      <c r="F1239" s="474"/>
      <c r="G1239" s="309"/>
      <c r="H1239" s="309"/>
    </row>
    <row r="1240" spans="2:8" ht="24.95" customHeight="1" x14ac:dyDescent="0.25">
      <c r="B1240" s="474"/>
      <c r="C1240" s="576"/>
      <c r="D1240" s="589"/>
      <c r="E1240" s="132"/>
      <c r="F1240" s="474"/>
      <c r="G1240" s="309"/>
      <c r="H1240" s="309"/>
    </row>
    <row r="1241" spans="2:8" ht="24.95" customHeight="1" x14ac:dyDescent="0.25">
      <c r="B1241" s="474"/>
      <c r="C1241" s="576"/>
      <c r="D1241" s="589"/>
      <c r="E1241" s="132"/>
      <c r="F1241" s="474"/>
      <c r="G1241" s="309"/>
      <c r="H1241" s="309"/>
    </row>
    <row r="1242" spans="2:8" ht="24.95" customHeight="1" x14ac:dyDescent="0.25">
      <c r="B1242" s="474"/>
      <c r="C1242" s="576"/>
      <c r="D1242" s="589"/>
      <c r="E1242" s="132"/>
      <c r="F1242" s="474"/>
      <c r="G1242" s="309"/>
      <c r="H1242" s="309"/>
    </row>
    <row r="1243" spans="2:8" ht="24.95" customHeight="1" x14ac:dyDescent="0.25">
      <c r="B1243" s="474"/>
      <c r="C1243" s="576"/>
      <c r="D1243" s="589"/>
      <c r="E1243" s="132"/>
      <c r="F1243" s="474"/>
      <c r="G1243" s="309"/>
      <c r="H1243" s="309"/>
    </row>
    <row r="1244" spans="2:8" ht="24.95" customHeight="1" x14ac:dyDescent="0.25">
      <c r="B1244" s="474"/>
      <c r="C1244" s="576"/>
      <c r="D1244" s="589"/>
      <c r="E1244" s="132"/>
      <c r="F1244" s="474"/>
      <c r="G1244" s="309"/>
      <c r="H1244" s="309"/>
    </row>
    <row r="1245" spans="2:8" ht="24.95" customHeight="1" x14ac:dyDescent="0.25">
      <c r="B1245" s="474"/>
      <c r="C1245" s="576"/>
      <c r="D1245" s="589"/>
      <c r="E1245" s="132"/>
      <c r="F1245" s="474"/>
      <c r="G1245" s="309"/>
      <c r="H1245" s="309"/>
    </row>
    <row r="1246" spans="2:8" ht="24.95" customHeight="1" x14ac:dyDescent="0.25">
      <c r="B1246" s="474"/>
      <c r="C1246" s="576"/>
      <c r="D1246" s="589"/>
      <c r="E1246" s="132"/>
      <c r="F1246" s="474"/>
      <c r="G1246" s="309"/>
      <c r="H1246" s="309"/>
    </row>
    <row r="1247" spans="2:8" ht="24.95" customHeight="1" x14ac:dyDescent="0.25">
      <c r="B1247" s="474"/>
      <c r="C1247" s="576"/>
      <c r="D1247" s="589"/>
      <c r="E1247" s="132"/>
      <c r="F1247" s="474"/>
      <c r="G1247" s="309"/>
      <c r="H1247" s="309"/>
    </row>
    <row r="1248" spans="2:8" ht="24.95" customHeight="1" x14ac:dyDescent="0.25">
      <c r="B1248" s="474"/>
      <c r="C1248" s="576"/>
      <c r="D1248" s="589"/>
      <c r="E1248" s="132"/>
      <c r="F1248" s="474"/>
      <c r="G1248" s="309"/>
      <c r="H1248" s="309"/>
    </row>
    <row r="1249" spans="2:8" ht="24.95" customHeight="1" x14ac:dyDescent="0.25">
      <c r="B1249" s="474"/>
      <c r="C1249" s="576"/>
      <c r="D1249" s="589"/>
      <c r="E1249" s="132"/>
      <c r="F1249" s="474"/>
      <c r="G1249" s="309"/>
      <c r="H1249" s="309"/>
    </row>
    <row r="1250" spans="2:8" ht="24.95" customHeight="1" x14ac:dyDescent="0.25">
      <c r="B1250" s="474"/>
      <c r="C1250" s="576"/>
      <c r="D1250" s="589"/>
      <c r="E1250" s="132"/>
      <c r="F1250" s="474"/>
      <c r="G1250" s="309"/>
      <c r="H1250" s="309"/>
    </row>
    <row r="1251" spans="2:8" ht="24.95" customHeight="1" x14ac:dyDescent="0.25">
      <c r="B1251" s="474"/>
      <c r="C1251" s="576"/>
      <c r="D1251" s="589"/>
      <c r="E1251" s="132"/>
      <c r="F1251" s="474"/>
      <c r="G1251" s="309"/>
      <c r="H1251" s="309"/>
    </row>
    <row r="1252" spans="2:8" ht="24.95" customHeight="1" x14ac:dyDescent="0.25">
      <c r="B1252" s="474"/>
      <c r="C1252" s="576"/>
      <c r="D1252" s="589"/>
      <c r="E1252" s="132"/>
      <c r="F1252" s="474"/>
      <c r="G1252" s="309"/>
      <c r="H1252" s="309"/>
    </row>
    <row r="1253" spans="2:8" ht="24.95" customHeight="1" x14ac:dyDescent="0.25">
      <c r="B1253" s="474"/>
      <c r="C1253" s="576"/>
      <c r="D1253" s="589"/>
      <c r="E1253" s="132"/>
      <c r="F1253" s="474"/>
      <c r="G1253" s="309"/>
      <c r="H1253" s="309"/>
    </row>
    <row r="1254" spans="2:8" ht="24.95" customHeight="1" x14ac:dyDescent="0.25">
      <c r="B1254" s="474"/>
      <c r="C1254" s="576"/>
      <c r="D1254" s="589"/>
      <c r="E1254" s="132"/>
      <c r="F1254" s="474"/>
      <c r="G1254" s="309"/>
      <c r="H1254" s="309"/>
    </row>
    <row r="1255" spans="2:8" ht="24.95" customHeight="1" x14ac:dyDescent="0.25">
      <c r="B1255" s="474"/>
      <c r="C1255" s="576"/>
      <c r="D1255" s="589"/>
      <c r="E1255" s="132"/>
      <c r="F1255" s="474"/>
      <c r="G1255" s="309"/>
      <c r="H1255" s="309"/>
    </row>
    <row r="1256" spans="2:8" ht="24.95" customHeight="1" x14ac:dyDescent="0.25">
      <c r="B1256" s="474"/>
      <c r="C1256" s="576"/>
      <c r="D1256" s="589"/>
      <c r="E1256" s="132"/>
      <c r="F1256" s="474"/>
      <c r="G1256" s="309"/>
      <c r="H1256" s="309"/>
    </row>
    <row r="1257" spans="2:8" ht="24.95" customHeight="1" x14ac:dyDescent="0.25">
      <c r="B1257" s="474"/>
      <c r="C1257" s="576"/>
      <c r="D1257" s="589"/>
      <c r="E1257" s="132"/>
      <c r="F1257" s="474"/>
      <c r="G1257" s="309"/>
      <c r="H1257" s="309"/>
    </row>
    <row r="1258" spans="2:8" ht="24.95" customHeight="1" x14ac:dyDescent="0.25">
      <c r="B1258" s="474"/>
      <c r="C1258" s="576"/>
      <c r="D1258" s="589"/>
      <c r="E1258" s="132"/>
      <c r="F1258" s="474"/>
      <c r="G1258" s="309"/>
      <c r="H1258" s="309"/>
    </row>
    <row r="1259" spans="2:8" ht="24.95" customHeight="1" x14ac:dyDescent="0.25">
      <c r="B1259" s="474"/>
      <c r="C1259" s="576"/>
      <c r="D1259" s="589"/>
      <c r="E1259" s="132"/>
      <c r="F1259" s="474"/>
      <c r="G1259" s="309"/>
      <c r="H1259" s="309"/>
    </row>
    <row r="1260" spans="2:8" ht="24.95" customHeight="1" x14ac:dyDescent="0.25">
      <c r="B1260" s="474"/>
      <c r="C1260" s="576"/>
      <c r="D1260" s="589"/>
      <c r="E1260" s="132"/>
      <c r="F1260" s="474"/>
      <c r="G1260" s="309"/>
      <c r="H1260" s="309"/>
    </row>
    <row r="1261" spans="2:8" ht="24.95" customHeight="1" x14ac:dyDescent="0.25">
      <c r="B1261" s="474"/>
      <c r="C1261" s="576"/>
      <c r="D1261" s="589"/>
      <c r="E1261" s="132"/>
      <c r="F1261" s="474"/>
      <c r="G1261" s="309"/>
      <c r="H1261" s="309"/>
    </row>
    <row r="1262" spans="2:8" ht="24.95" customHeight="1" x14ac:dyDescent="0.25">
      <c r="B1262" s="474"/>
      <c r="C1262" s="576"/>
      <c r="D1262" s="589"/>
      <c r="E1262" s="132"/>
      <c r="F1262" s="474"/>
      <c r="G1262" s="309"/>
      <c r="H1262" s="309"/>
    </row>
    <row r="1263" spans="2:8" ht="24.95" customHeight="1" x14ac:dyDescent="0.25">
      <c r="B1263" s="474"/>
      <c r="C1263" s="576"/>
      <c r="D1263" s="589"/>
      <c r="E1263" s="132"/>
      <c r="F1263" s="474"/>
      <c r="G1263" s="309"/>
      <c r="H1263" s="309"/>
    </row>
    <row r="1264" spans="2:8" ht="24.95" customHeight="1" x14ac:dyDescent="0.25">
      <c r="B1264" s="474"/>
      <c r="C1264" s="576"/>
      <c r="D1264" s="589"/>
      <c r="E1264" s="132"/>
      <c r="F1264" s="474"/>
      <c r="G1264" s="309"/>
      <c r="H1264" s="309"/>
    </row>
    <row r="1265" spans="2:8" ht="24.95" customHeight="1" x14ac:dyDescent="0.25">
      <c r="B1265" s="474"/>
      <c r="C1265" s="576"/>
      <c r="D1265" s="589"/>
      <c r="E1265" s="132"/>
      <c r="F1265" s="474"/>
      <c r="G1265" s="309"/>
      <c r="H1265" s="309"/>
    </row>
    <row r="1266" spans="2:8" ht="24.95" customHeight="1" x14ac:dyDescent="0.25">
      <c r="B1266" s="474"/>
      <c r="C1266" s="576"/>
      <c r="D1266" s="589"/>
      <c r="E1266" s="132"/>
      <c r="F1266" s="474"/>
      <c r="G1266" s="309"/>
      <c r="H1266" s="309"/>
    </row>
    <row r="1267" spans="2:8" ht="24.95" customHeight="1" x14ac:dyDescent="0.25">
      <c r="B1267" s="474"/>
      <c r="C1267" s="576"/>
      <c r="D1267" s="589"/>
      <c r="E1267" s="132"/>
      <c r="F1267" s="474"/>
      <c r="G1267" s="309"/>
      <c r="H1267" s="309"/>
    </row>
    <row r="1268" spans="2:8" ht="24.95" customHeight="1" x14ac:dyDescent="0.25">
      <c r="B1268" s="474"/>
      <c r="C1268" s="576"/>
      <c r="D1268" s="589"/>
      <c r="E1268" s="132"/>
      <c r="F1268" s="474"/>
      <c r="G1268" s="309"/>
      <c r="H1268" s="309"/>
    </row>
    <row r="1269" spans="2:8" ht="24.95" customHeight="1" x14ac:dyDescent="0.25">
      <c r="B1269" s="474"/>
      <c r="C1269" s="576"/>
      <c r="D1269" s="589"/>
      <c r="E1269" s="132"/>
      <c r="F1269" s="474"/>
      <c r="G1269" s="309"/>
      <c r="H1269" s="309"/>
    </row>
    <row r="1270" spans="2:8" ht="24.95" customHeight="1" x14ac:dyDescent="0.25">
      <c r="B1270" s="474"/>
      <c r="C1270" s="576"/>
      <c r="D1270" s="589"/>
      <c r="E1270" s="132"/>
      <c r="F1270" s="474"/>
      <c r="G1270" s="309"/>
      <c r="H1270" s="309"/>
    </row>
    <row r="1271" spans="2:8" ht="24.95" customHeight="1" x14ac:dyDescent="0.25">
      <c r="B1271" s="474"/>
      <c r="C1271" s="576"/>
      <c r="D1271" s="589"/>
      <c r="E1271" s="132"/>
      <c r="F1271" s="474"/>
      <c r="G1271" s="309"/>
      <c r="H1271" s="309"/>
    </row>
    <row r="1272" spans="2:8" ht="24.95" customHeight="1" x14ac:dyDescent="0.25">
      <c r="B1272" s="474"/>
      <c r="C1272" s="576"/>
      <c r="D1272" s="589"/>
      <c r="E1272" s="132"/>
      <c r="F1272" s="474"/>
      <c r="G1272" s="309"/>
      <c r="H1272" s="309"/>
    </row>
    <row r="1273" spans="2:8" ht="24.95" customHeight="1" x14ac:dyDescent="0.25">
      <c r="B1273" s="474"/>
      <c r="C1273" s="576"/>
      <c r="D1273" s="589"/>
      <c r="E1273" s="132"/>
      <c r="F1273" s="474"/>
      <c r="G1273" s="309"/>
      <c r="H1273" s="309"/>
    </row>
    <row r="1274" spans="2:8" ht="24.95" customHeight="1" x14ac:dyDescent="0.25">
      <c r="B1274" s="474"/>
      <c r="C1274" s="576"/>
      <c r="D1274" s="589"/>
      <c r="E1274" s="132"/>
      <c r="F1274" s="474"/>
      <c r="G1274" s="309"/>
      <c r="H1274" s="309"/>
    </row>
    <row r="1275" spans="2:8" ht="24.95" customHeight="1" x14ac:dyDescent="0.25">
      <c r="B1275" s="474"/>
      <c r="C1275" s="576"/>
      <c r="D1275" s="589"/>
      <c r="E1275" s="132"/>
      <c r="F1275" s="474"/>
      <c r="G1275" s="309"/>
      <c r="H1275" s="309"/>
    </row>
    <row r="1276" spans="2:8" ht="24.95" customHeight="1" x14ac:dyDescent="0.25">
      <c r="B1276" s="474"/>
      <c r="C1276" s="576"/>
      <c r="D1276" s="589"/>
      <c r="E1276" s="132"/>
      <c r="F1276" s="474"/>
      <c r="G1276" s="309"/>
      <c r="H1276" s="309"/>
    </row>
    <row r="1277" spans="2:8" ht="24.95" customHeight="1" x14ac:dyDescent="0.25">
      <c r="B1277" s="474"/>
      <c r="C1277" s="576"/>
      <c r="D1277" s="589"/>
      <c r="E1277" s="132"/>
      <c r="F1277" s="474"/>
      <c r="G1277" s="309"/>
      <c r="H1277" s="309"/>
    </row>
    <row r="1278" spans="2:8" ht="24.95" customHeight="1" x14ac:dyDescent="0.25">
      <c r="B1278" s="474"/>
      <c r="C1278" s="576"/>
      <c r="D1278" s="589"/>
      <c r="E1278" s="132"/>
      <c r="F1278" s="474"/>
      <c r="G1278" s="309"/>
      <c r="H1278" s="309"/>
    </row>
    <row r="1279" spans="2:8" ht="24.95" customHeight="1" x14ac:dyDescent="0.25">
      <c r="B1279" s="474"/>
      <c r="C1279" s="576"/>
      <c r="D1279" s="589"/>
      <c r="E1279" s="132"/>
      <c r="F1279" s="474"/>
      <c r="G1279" s="309"/>
      <c r="H1279" s="309"/>
    </row>
    <row r="1280" spans="2:8" ht="24.95" customHeight="1" x14ac:dyDescent="0.25">
      <c r="B1280" s="474"/>
      <c r="C1280" s="576"/>
      <c r="D1280" s="589"/>
      <c r="E1280" s="132"/>
      <c r="F1280" s="474"/>
      <c r="G1280" s="309"/>
      <c r="H1280" s="309"/>
    </row>
    <row r="1281" spans="2:8" ht="24.95" customHeight="1" x14ac:dyDescent="0.25">
      <c r="B1281" s="474"/>
      <c r="C1281" s="576"/>
      <c r="D1281" s="589"/>
      <c r="E1281" s="132"/>
      <c r="F1281" s="474"/>
      <c r="G1281" s="309"/>
      <c r="H1281" s="309"/>
    </row>
    <row r="1282" spans="2:8" ht="24.95" customHeight="1" x14ac:dyDescent="0.25">
      <c r="B1282" s="474"/>
      <c r="C1282" s="576"/>
      <c r="D1282" s="589"/>
      <c r="E1282" s="132"/>
      <c r="F1282" s="474"/>
      <c r="G1282" s="309"/>
      <c r="H1282" s="309"/>
    </row>
    <row r="1283" spans="2:8" ht="24.95" customHeight="1" x14ac:dyDescent="0.25">
      <c r="B1283" s="474"/>
      <c r="C1283" s="576"/>
      <c r="D1283" s="589"/>
      <c r="E1283" s="132"/>
      <c r="F1283" s="474"/>
      <c r="G1283" s="309"/>
      <c r="H1283" s="309"/>
    </row>
    <row r="1284" spans="2:8" ht="24.95" customHeight="1" x14ac:dyDescent="0.25">
      <c r="B1284" s="474"/>
      <c r="C1284" s="576"/>
      <c r="D1284" s="589"/>
      <c r="E1284" s="132"/>
      <c r="F1284" s="474"/>
      <c r="G1284" s="309"/>
      <c r="H1284" s="309"/>
    </row>
    <row r="1285" spans="2:8" ht="24.95" customHeight="1" x14ac:dyDescent="0.25">
      <c r="B1285" s="474"/>
      <c r="C1285" s="576"/>
      <c r="D1285" s="589"/>
      <c r="E1285" s="132"/>
      <c r="F1285" s="474"/>
      <c r="G1285" s="309"/>
      <c r="H1285" s="309"/>
    </row>
    <row r="1286" spans="2:8" ht="24.95" customHeight="1" x14ac:dyDescent="0.25">
      <c r="B1286" s="474"/>
      <c r="C1286" s="576"/>
      <c r="D1286" s="589"/>
      <c r="E1286" s="132"/>
      <c r="F1286" s="474"/>
      <c r="G1286" s="309"/>
      <c r="H1286" s="309"/>
    </row>
    <row r="1287" spans="2:8" ht="24.95" customHeight="1" x14ac:dyDescent="0.25">
      <c r="B1287" s="474"/>
      <c r="C1287" s="576"/>
      <c r="D1287" s="589"/>
      <c r="E1287" s="132"/>
      <c r="F1287" s="474"/>
      <c r="G1287" s="309"/>
      <c r="H1287" s="309"/>
    </row>
    <row r="1288" spans="2:8" ht="24.95" customHeight="1" x14ac:dyDescent="0.25">
      <c r="B1288" s="474"/>
      <c r="C1288" s="576"/>
      <c r="D1288" s="589"/>
      <c r="E1288" s="132"/>
      <c r="F1288" s="474"/>
      <c r="G1288" s="309"/>
      <c r="H1288" s="309"/>
    </row>
    <row r="1289" spans="2:8" ht="24.95" customHeight="1" x14ac:dyDescent="0.25">
      <c r="B1289" s="474"/>
      <c r="C1289" s="576"/>
      <c r="D1289" s="589"/>
      <c r="E1289" s="132"/>
      <c r="F1289" s="474"/>
      <c r="G1289" s="309"/>
      <c r="H1289" s="309"/>
    </row>
    <row r="1290" spans="2:8" ht="24.95" customHeight="1" x14ac:dyDescent="0.25">
      <c r="B1290" s="474"/>
      <c r="C1290" s="576"/>
      <c r="D1290" s="589"/>
      <c r="E1290" s="132"/>
      <c r="F1290" s="474"/>
      <c r="G1290" s="309"/>
      <c r="H1290" s="309"/>
    </row>
    <row r="1291" spans="2:8" ht="24.95" customHeight="1" x14ac:dyDescent="0.25">
      <c r="B1291" s="474"/>
      <c r="C1291" s="576"/>
      <c r="D1291" s="589"/>
      <c r="E1291" s="132"/>
      <c r="F1291" s="474"/>
      <c r="G1291" s="309"/>
      <c r="H1291" s="309"/>
    </row>
    <row r="1292" spans="2:8" ht="24.95" customHeight="1" x14ac:dyDescent="0.25">
      <c r="B1292" s="474"/>
      <c r="C1292" s="576"/>
      <c r="D1292" s="589"/>
      <c r="E1292" s="132"/>
      <c r="F1292" s="474"/>
      <c r="G1292" s="309"/>
      <c r="H1292" s="309"/>
    </row>
    <row r="1293" spans="2:8" ht="24.95" customHeight="1" x14ac:dyDescent="0.25">
      <c r="B1293" s="474"/>
      <c r="C1293" s="576"/>
      <c r="D1293" s="589"/>
      <c r="E1293" s="132"/>
      <c r="F1293" s="474"/>
      <c r="G1293" s="309"/>
      <c r="H1293" s="309"/>
    </row>
    <row r="1294" spans="2:8" ht="24.95" customHeight="1" x14ac:dyDescent="0.25">
      <c r="B1294" s="474"/>
      <c r="C1294" s="576"/>
      <c r="D1294" s="589"/>
      <c r="E1294" s="132"/>
      <c r="F1294" s="474"/>
      <c r="G1294" s="309"/>
      <c r="H1294" s="309"/>
    </row>
    <row r="1295" spans="2:8" ht="24.95" customHeight="1" x14ac:dyDescent="0.25">
      <c r="B1295" s="474"/>
      <c r="C1295" s="576"/>
      <c r="D1295" s="589"/>
      <c r="E1295" s="132"/>
      <c r="F1295" s="474"/>
      <c r="G1295" s="309"/>
      <c r="H1295" s="309"/>
    </row>
    <row r="1296" spans="2:8" ht="24.95" customHeight="1" x14ac:dyDescent="0.25">
      <c r="B1296" s="474"/>
      <c r="C1296" s="576"/>
      <c r="D1296" s="589"/>
      <c r="E1296" s="132"/>
      <c r="F1296" s="474"/>
      <c r="G1296" s="309"/>
      <c r="H1296" s="309"/>
    </row>
    <row r="1297" spans="2:8" ht="24.95" customHeight="1" x14ac:dyDescent="0.25">
      <c r="B1297" s="474"/>
      <c r="C1297" s="576"/>
      <c r="D1297" s="589"/>
      <c r="E1297" s="132"/>
      <c r="F1297" s="474"/>
      <c r="G1297" s="309"/>
      <c r="H1297" s="309"/>
    </row>
    <row r="1298" spans="2:8" ht="24.95" customHeight="1" x14ac:dyDescent="0.25">
      <c r="B1298" s="474"/>
      <c r="C1298" s="576"/>
      <c r="D1298" s="589"/>
      <c r="E1298" s="132"/>
      <c r="F1298" s="474"/>
      <c r="G1298" s="309"/>
      <c r="H1298" s="309"/>
    </row>
    <row r="1299" spans="2:8" ht="24.95" customHeight="1" x14ac:dyDescent="0.25">
      <c r="B1299" s="474"/>
      <c r="C1299" s="576"/>
      <c r="D1299" s="589"/>
      <c r="E1299" s="132"/>
      <c r="F1299" s="474"/>
      <c r="G1299" s="309"/>
      <c r="H1299" s="309"/>
    </row>
    <row r="1300" spans="2:8" ht="24.95" customHeight="1" x14ac:dyDescent="0.25">
      <c r="B1300" s="474"/>
      <c r="C1300" s="576"/>
      <c r="D1300" s="589"/>
      <c r="E1300" s="132"/>
      <c r="F1300" s="474"/>
      <c r="G1300" s="309"/>
      <c r="H1300" s="309"/>
    </row>
    <row r="1301" spans="2:8" ht="24.95" customHeight="1" x14ac:dyDescent="0.25">
      <c r="B1301" s="474"/>
      <c r="C1301" s="576"/>
      <c r="D1301" s="589"/>
      <c r="E1301" s="132"/>
      <c r="F1301" s="474"/>
      <c r="G1301" s="309"/>
      <c r="H1301" s="309"/>
    </row>
    <row r="1302" spans="2:8" ht="24.95" customHeight="1" x14ac:dyDescent="0.25">
      <c r="B1302" s="474"/>
      <c r="C1302" s="576"/>
      <c r="D1302" s="589"/>
      <c r="E1302" s="132"/>
      <c r="F1302" s="474"/>
      <c r="G1302" s="309"/>
      <c r="H1302" s="309"/>
    </row>
    <row r="1303" spans="2:8" ht="24.95" customHeight="1" x14ac:dyDescent="0.25">
      <c r="B1303" s="474"/>
      <c r="C1303" s="576"/>
      <c r="D1303" s="589"/>
      <c r="E1303" s="132"/>
      <c r="F1303" s="474"/>
      <c r="G1303" s="309"/>
      <c r="H1303" s="309"/>
    </row>
    <row r="1304" spans="2:8" ht="24.95" customHeight="1" x14ac:dyDescent="0.25">
      <c r="B1304" s="474"/>
      <c r="C1304" s="576"/>
      <c r="D1304" s="589"/>
      <c r="E1304" s="132"/>
      <c r="F1304" s="474"/>
      <c r="G1304" s="309"/>
      <c r="H1304" s="309"/>
    </row>
    <row r="1305" spans="2:8" ht="24.95" customHeight="1" x14ac:dyDescent="0.25">
      <c r="B1305" s="474"/>
      <c r="C1305" s="576"/>
      <c r="D1305" s="589"/>
      <c r="E1305" s="132"/>
      <c r="F1305" s="474"/>
      <c r="G1305" s="309"/>
      <c r="H1305" s="309"/>
    </row>
    <row r="1306" spans="2:8" ht="24.95" customHeight="1" x14ac:dyDescent="0.25">
      <c r="B1306" s="474"/>
      <c r="C1306" s="576"/>
      <c r="D1306" s="589"/>
      <c r="E1306" s="132"/>
      <c r="F1306" s="474"/>
      <c r="G1306" s="309"/>
      <c r="H1306" s="309"/>
    </row>
    <row r="1307" spans="2:8" ht="24.95" customHeight="1" x14ac:dyDescent="0.25">
      <c r="B1307" s="474"/>
      <c r="C1307" s="576"/>
      <c r="D1307" s="589"/>
      <c r="E1307" s="132"/>
      <c r="F1307" s="474"/>
      <c r="G1307" s="309"/>
      <c r="H1307" s="309"/>
    </row>
    <row r="1308" spans="2:8" ht="24.95" customHeight="1" x14ac:dyDescent="0.25">
      <c r="B1308" s="474"/>
      <c r="C1308" s="576"/>
      <c r="D1308" s="589"/>
      <c r="E1308" s="132"/>
      <c r="F1308" s="474"/>
      <c r="G1308" s="309"/>
      <c r="H1308" s="309"/>
    </row>
    <row r="1309" spans="2:8" ht="24.95" customHeight="1" x14ac:dyDescent="0.25">
      <c r="B1309" s="474"/>
      <c r="C1309" s="576"/>
      <c r="D1309" s="589"/>
      <c r="E1309" s="132"/>
      <c r="F1309" s="474"/>
      <c r="G1309" s="309"/>
      <c r="H1309" s="309"/>
    </row>
    <row r="1310" spans="2:8" ht="24.95" customHeight="1" x14ac:dyDescent="0.25">
      <c r="B1310" s="474"/>
      <c r="C1310" s="576"/>
      <c r="D1310" s="589"/>
      <c r="E1310" s="132"/>
      <c r="F1310" s="474"/>
      <c r="G1310" s="309"/>
      <c r="H1310" s="309"/>
    </row>
    <row r="1311" spans="2:8" ht="24.95" customHeight="1" x14ac:dyDescent="0.25">
      <c r="B1311" s="474"/>
      <c r="C1311" s="576"/>
      <c r="D1311" s="589"/>
      <c r="E1311" s="132"/>
      <c r="F1311" s="474"/>
      <c r="G1311" s="309"/>
      <c r="H1311" s="309"/>
    </row>
    <row r="1312" spans="2:8" ht="24.95" customHeight="1" x14ac:dyDescent="0.25">
      <c r="B1312" s="474"/>
      <c r="C1312" s="576"/>
      <c r="D1312" s="589"/>
      <c r="E1312" s="132"/>
      <c r="F1312" s="474"/>
      <c r="G1312" s="309"/>
      <c r="H1312" s="309"/>
    </row>
    <row r="1313" spans="2:8" ht="24.95" customHeight="1" x14ac:dyDescent="0.25">
      <c r="B1313" s="474"/>
      <c r="C1313" s="576"/>
      <c r="D1313" s="589"/>
      <c r="E1313" s="132"/>
      <c r="F1313" s="474"/>
      <c r="G1313" s="309"/>
      <c r="H1313" s="309"/>
    </row>
    <row r="1314" spans="2:8" ht="24.95" customHeight="1" x14ac:dyDescent="0.25">
      <c r="B1314" s="474"/>
      <c r="C1314" s="576"/>
      <c r="D1314" s="589"/>
      <c r="E1314" s="132"/>
      <c r="F1314" s="474"/>
      <c r="G1314" s="309"/>
      <c r="H1314" s="309"/>
    </row>
    <row r="1315" spans="2:8" ht="24.95" customHeight="1" x14ac:dyDescent="0.25">
      <c r="B1315" s="474"/>
      <c r="C1315" s="576"/>
      <c r="D1315" s="589"/>
      <c r="E1315" s="132"/>
      <c r="F1315" s="474"/>
      <c r="G1315" s="309"/>
      <c r="H1315" s="309"/>
    </row>
    <row r="1316" spans="2:8" ht="24.95" customHeight="1" x14ac:dyDescent="0.25">
      <c r="B1316" s="474"/>
      <c r="C1316" s="576"/>
      <c r="D1316" s="589"/>
      <c r="E1316" s="132"/>
      <c r="F1316" s="474"/>
      <c r="G1316" s="309"/>
      <c r="H1316" s="309"/>
    </row>
    <row r="1317" spans="2:8" ht="24.95" customHeight="1" x14ac:dyDescent="0.25">
      <c r="B1317" s="474"/>
      <c r="C1317" s="576"/>
      <c r="D1317" s="589"/>
      <c r="E1317" s="132"/>
      <c r="F1317" s="474"/>
      <c r="G1317" s="309"/>
      <c r="H1317" s="309"/>
    </row>
    <row r="1318" spans="2:8" ht="24.95" customHeight="1" x14ac:dyDescent="0.25">
      <c r="B1318" s="474"/>
      <c r="C1318" s="576"/>
      <c r="D1318" s="589"/>
      <c r="E1318" s="132"/>
      <c r="F1318" s="474"/>
      <c r="G1318" s="309"/>
      <c r="H1318" s="309"/>
    </row>
    <row r="1319" spans="2:8" ht="24.95" customHeight="1" x14ac:dyDescent="0.25">
      <c r="B1319" s="474"/>
      <c r="C1319" s="576"/>
      <c r="D1319" s="589"/>
      <c r="E1319" s="132"/>
      <c r="F1319" s="474"/>
      <c r="G1319" s="309"/>
      <c r="H1319" s="309"/>
    </row>
    <row r="1320" spans="2:8" ht="24.95" customHeight="1" x14ac:dyDescent="0.25">
      <c r="B1320" s="474"/>
      <c r="C1320" s="576"/>
      <c r="D1320" s="589"/>
      <c r="E1320" s="132"/>
      <c r="F1320" s="474"/>
      <c r="G1320" s="309"/>
      <c r="H1320" s="309"/>
    </row>
    <row r="1321" spans="2:8" ht="24.95" customHeight="1" x14ac:dyDescent="0.25">
      <c r="B1321" s="474"/>
      <c r="C1321" s="576"/>
      <c r="D1321" s="589"/>
      <c r="E1321" s="132"/>
      <c r="F1321" s="474"/>
      <c r="G1321" s="309"/>
      <c r="H1321" s="309"/>
    </row>
    <row r="1322" spans="2:8" ht="24.95" customHeight="1" x14ac:dyDescent="0.25">
      <c r="B1322" s="474"/>
      <c r="C1322" s="576"/>
      <c r="D1322" s="589"/>
      <c r="E1322" s="132"/>
      <c r="F1322" s="474"/>
      <c r="G1322" s="309"/>
      <c r="H1322" s="309"/>
    </row>
    <row r="1323" spans="2:8" ht="24.95" customHeight="1" x14ac:dyDescent="0.25">
      <c r="B1323" s="474"/>
      <c r="C1323" s="576"/>
      <c r="D1323" s="589"/>
      <c r="E1323" s="132"/>
      <c r="F1323" s="474"/>
      <c r="G1323" s="309"/>
      <c r="H1323" s="309"/>
    </row>
    <row r="1324" spans="2:8" ht="24.95" customHeight="1" x14ac:dyDescent="0.25">
      <c r="B1324" s="474"/>
      <c r="C1324" s="576"/>
      <c r="D1324" s="589"/>
      <c r="E1324" s="132"/>
      <c r="F1324" s="474"/>
      <c r="G1324" s="309"/>
      <c r="H1324" s="309"/>
    </row>
    <row r="1325" spans="2:8" ht="24.95" customHeight="1" x14ac:dyDescent="0.25">
      <c r="B1325" s="474"/>
      <c r="C1325" s="576"/>
      <c r="D1325" s="589"/>
      <c r="E1325" s="132"/>
      <c r="F1325" s="474"/>
      <c r="G1325" s="309"/>
      <c r="H1325" s="309"/>
    </row>
    <row r="1326" spans="2:8" ht="24.95" customHeight="1" x14ac:dyDescent="0.25">
      <c r="B1326" s="474"/>
      <c r="C1326" s="576"/>
      <c r="D1326" s="589"/>
      <c r="E1326" s="132"/>
      <c r="F1326" s="474"/>
      <c r="G1326" s="309"/>
      <c r="H1326" s="309"/>
    </row>
    <row r="1327" spans="2:8" ht="24.95" customHeight="1" x14ac:dyDescent="0.25">
      <c r="B1327" s="474"/>
      <c r="C1327" s="576"/>
      <c r="D1327" s="589"/>
      <c r="E1327" s="132"/>
      <c r="F1327" s="474"/>
      <c r="G1327" s="309"/>
      <c r="H1327" s="309"/>
    </row>
    <row r="1328" spans="2:8" ht="24.95" customHeight="1" x14ac:dyDescent="0.25">
      <c r="B1328" s="474"/>
      <c r="C1328" s="576"/>
      <c r="D1328" s="589"/>
      <c r="E1328" s="132"/>
      <c r="F1328" s="474"/>
      <c r="G1328" s="309"/>
      <c r="H1328" s="309"/>
    </row>
    <row r="1329" spans="2:8" ht="24.95" customHeight="1" x14ac:dyDescent="0.25">
      <c r="B1329" s="474"/>
      <c r="C1329" s="576"/>
      <c r="D1329" s="589"/>
      <c r="E1329" s="132"/>
      <c r="F1329" s="474"/>
      <c r="G1329" s="309"/>
      <c r="H1329" s="309"/>
    </row>
    <row r="1330" spans="2:8" ht="24.95" customHeight="1" x14ac:dyDescent="0.25">
      <c r="B1330" s="474"/>
      <c r="C1330" s="576"/>
      <c r="D1330" s="589"/>
      <c r="E1330" s="132"/>
      <c r="F1330" s="474"/>
      <c r="G1330" s="309"/>
      <c r="H1330" s="309"/>
    </row>
    <row r="1331" spans="2:8" ht="24.95" customHeight="1" x14ac:dyDescent="0.25">
      <c r="B1331" s="474"/>
      <c r="C1331" s="576"/>
      <c r="D1331" s="589"/>
      <c r="E1331" s="132"/>
      <c r="F1331" s="474"/>
      <c r="G1331" s="309"/>
      <c r="H1331" s="309"/>
    </row>
    <row r="1332" spans="2:8" ht="24.95" customHeight="1" x14ac:dyDescent="0.25">
      <c r="B1332" s="474"/>
      <c r="C1332" s="576"/>
      <c r="D1332" s="589"/>
      <c r="E1332" s="132"/>
      <c r="F1332" s="474"/>
      <c r="G1332" s="309"/>
      <c r="H1332" s="309"/>
    </row>
    <row r="1333" spans="2:8" ht="24.95" customHeight="1" x14ac:dyDescent="0.25">
      <c r="B1333" s="474"/>
      <c r="C1333" s="576"/>
      <c r="D1333" s="589"/>
      <c r="E1333" s="132"/>
      <c r="F1333" s="474"/>
      <c r="G1333" s="309"/>
      <c r="H1333" s="309"/>
    </row>
    <row r="1334" spans="2:8" ht="24.95" customHeight="1" x14ac:dyDescent="0.25">
      <c r="B1334" s="474"/>
      <c r="C1334" s="576"/>
      <c r="D1334" s="589"/>
      <c r="E1334" s="132"/>
      <c r="F1334" s="474"/>
      <c r="G1334" s="309"/>
      <c r="H1334" s="309"/>
    </row>
    <row r="1335" spans="2:8" ht="24.95" customHeight="1" x14ac:dyDescent="0.25">
      <c r="B1335" s="474"/>
      <c r="C1335" s="576"/>
      <c r="D1335" s="589"/>
      <c r="E1335" s="132"/>
      <c r="F1335" s="474"/>
      <c r="G1335" s="309"/>
      <c r="H1335" s="309"/>
    </row>
    <row r="1336" spans="2:8" ht="24.95" customHeight="1" x14ac:dyDescent="0.25">
      <c r="B1336" s="474"/>
      <c r="C1336" s="576"/>
      <c r="D1336" s="589"/>
      <c r="E1336" s="132"/>
      <c r="F1336" s="474"/>
      <c r="G1336" s="309"/>
      <c r="H1336" s="309"/>
    </row>
    <row r="1337" spans="2:8" ht="24.95" customHeight="1" x14ac:dyDescent="0.25">
      <c r="B1337" s="474"/>
      <c r="C1337" s="576"/>
      <c r="D1337" s="589"/>
      <c r="E1337" s="132"/>
      <c r="F1337" s="474"/>
      <c r="G1337" s="309"/>
      <c r="H1337" s="309"/>
    </row>
    <row r="1338" spans="2:8" ht="24.95" customHeight="1" x14ac:dyDescent="0.25">
      <c r="B1338" s="474"/>
      <c r="C1338" s="576"/>
      <c r="D1338" s="589"/>
      <c r="E1338" s="132"/>
      <c r="F1338" s="474"/>
      <c r="G1338" s="309"/>
      <c r="H1338" s="309"/>
    </row>
    <row r="1339" spans="2:8" ht="24.95" customHeight="1" x14ac:dyDescent="0.25">
      <c r="B1339" s="474"/>
      <c r="C1339" s="576"/>
      <c r="D1339" s="589"/>
      <c r="E1339" s="132"/>
      <c r="F1339" s="474"/>
      <c r="G1339" s="309"/>
      <c r="H1339" s="309"/>
    </row>
    <row r="1340" spans="2:8" ht="24.95" customHeight="1" x14ac:dyDescent="0.25">
      <c r="B1340" s="474"/>
      <c r="C1340" s="576"/>
      <c r="D1340" s="589"/>
      <c r="E1340" s="132"/>
      <c r="F1340" s="474"/>
      <c r="G1340" s="309"/>
      <c r="H1340" s="309"/>
    </row>
    <row r="1341" spans="2:8" ht="24.95" customHeight="1" x14ac:dyDescent="0.25">
      <c r="B1341" s="474"/>
      <c r="C1341" s="576"/>
      <c r="D1341" s="589"/>
      <c r="E1341" s="132"/>
      <c r="F1341" s="474"/>
      <c r="G1341" s="309"/>
      <c r="H1341" s="309"/>
    </row>
    <row r="1342" spans="2:8" ht="24.95" customHeight="1" x14ac:dyDescent="0.25">
      <c r="B1342" s="474"/>
      <c r="C1342" s="576"/>
      <c r="D1342" s="589"/>
      <c r="E1342" s="132"/>
      <c r="F1342" s="474"/>
      <c r="G1342" s="309"/>
      <c r="H1342" s="309"/>
    </row>
    <row r="1343" spans="2:8" ht="24.95" customHeight="1" x14ac:dyDescent="0.25">
      <c r="B1343" s="474"/>
      <c r="C1343" s="576"/>
      <c r="D1343" s="589"/>
      <c r="E1343" s="132"/>
      <c r="F1343" s="474"/>
      <c r="G1343" s="309"/>
      <c r="H1343" s="309"/>
    </row>
    <row r="1344" spans="2:8" ht="24.95" customHeight="1" x14ac:dyDescent="0.25">
      <c r="B1344" s="474"/>
      <c r="C1344" s="576"/>
      <c r="D1344" s="589"/>
      <c r="E1344" s="132"/>
      <c r="F1344" s="474"/>
      <c r="G1344" s="309"/>
      <c r="H1344" s="309"/>
    </row>
    <row r="1345" spans="2:8" ht="24.95" customHeight="1" x14ac:dyDescent="0.25">
      <c r="B1345" s="474"/>
      <c r="C1345" s="576"/>
      <c r="D1345" s="589"/>
      <c r="E1345" s="132"/>
      <c r="F1345" s="474"/>
      <c r="G1345" s="309"/>
      <c r="H1345" s="309"/>
    </row>
    <row r="1346" spans="2:8" ht="24.95" customHeight="1" x14ac:dyDescent="0.25">
      <c r="B1346" s="474"/>
      <c r="C1346" s="576"/>
      <c r="D1346" s="589"/>
      <c r="E1346" s="132"/>
      <c r="F1346" s="474"/>
      <c r="G1346" s="309"/>
      <c r="H1346" s="309"/>
    </row>
    <row r="1347" spans="2:8" ht="24.95" customHeight="1" x14ac:dyDescent="0.25">
      <c r="B1347" s="474"/>
      <c r="C1347" s="576"/>
      <c r="D1347" s="589"/>
      <c r="E1347" s="132"/>
      <c r="F1347" s="474"/>
      <c r="G1347" s="309"/>
      <c r="H1347" s="309"/>
    </row>
    <row r="1348" spans="2:8" ht="24.95" customHeight="1" x14ac:dyDescent="0.25">
      <c r="B1348" s="474"/>
      <c r="C1348" s="576"/>
      <c r="D1348" s="589"/>
      <c r="E1348" s="132"/>
      <c r="F1348" s="474"/>
      <c r="G1348" s="309"/>
      <c r="H1348" s="309"/>
    </row>
    <row r="1349" spans="2:8" ht="24.95" customHeight="1" x14ac:dyDescent="0.25">
      <c r="B1349" s="474"/>
      <c r="C1349" s="576"/>
      <c r="D1349" s="589"/>
      <c r="E1349" s="132"/>
      <c r="F1349" s="474"/>
      <c r="G1349" s="309"/>
      <c r="H1349" s="309"/>
    </row>
    <row r="1350" spans="2:8" ht="24.95" customHeight="1" x14ac:dyDescent="0.25">
      <c r="B1350" s="474"/>
      <c r="C1350" s="576"/>
      <c r="D1350" s="589"/>
      <c r="E1350" s="132"/>
      <c r="F1350" s="474"/>
      <c r="G1350" s="309"/>
      <c r="H1350" s="309"/>
    </row>
    <row r="1351" spans="2:8" ht="24.95" customHeight="1" x14ac:dyDescent="0.25">
      <c r="B1351" s="474"/>
      <c r="C1351" s="576"/>
      <c r="D1351" s="589"/>
      <c r="E1351" s="132"/>
      <c r="F1351" s="474"/>
      <c r="G1351" s="309"/>
      <c r="H1351" s="309"/>
    </row>
    <row r="1352" spans="2:8" ht="24.95" customHeight="1" x14ac:dyDescent="0.25">
      <c r="B1352" s="474"/>
      <c r="C1352" s="576"/>
      <c r="D1352" s="589"/>
      <c r="E1352" s="132"/>
      <c r="F1352" s="474"/>
      <c r="G1352" s="309"/>
      <c r="H1352" s="309"/>
    </row>
    <row r="1353" spans="2:8" ht="24.95" customHeight="1" x14ac:dyDescent="0.25">
      <c r="B1353" s="474"/>
      <c r="C1353" s="576"/>
      <c r="D1353" s="589"/>
      <c r="E1353" s="132"/>
      <c r="F1353" s="474"/>
      <c r="G1353" s="309"/>
      <c r="H1353" s="309"/>
    </row>
    <row r="1354" spans="2:8" ht="24.95" customHeight="1" x14ac:dyDescent="0.25">
      <c r="B1354" s="474"/>
      <c r="C1354" s="576"/>
      <c r="D1354" s="589"/>
      <c r="E1354" s="132"/>
      <c r="F1354" s="474"/>
      <c r="G1354" s="309"/>
      <c r="H1354" s="309"/>
    </row>
    <row r="1355" spans="2:8" ht="24.95" customHeight="1" x14ac:dyDescent="0.25">
      <c r="B1355" s="474"/>
      <c r="C1355" s="576"/>
      <c r="D1355" s="589"/>
      <c r="E1355" s="132"/>
      <c r="F1355" s="474"/>
      <c r="G1355" s="309"/>
      <c r="H1355" s="309"/>
    </row>
    <row r="1356" spans="2:8" ht="24.95" customHeight="1" x14ac:dyDescent="0.25">
      <c r="B1356" s="474"/>
      <c r="C1356" s="576"/>
      <c r="D1356" s="589"/>
      <c r="E1356" s="132"/>
      <c r="F1356" s="474"/>
      <c r="G1356" s="309"/>
      <c r="H1356" s="309"/>
    </row>
    <row r="1357" spans="2:8" ht="24.95" customHeight="1" x14ac:dyDescent="0.25">
      <c r="B1357" s="474"/>
      <c r="C1357" s="576"/>
      <c r="D1357" s="589"/>
      <c r="E1357" s="132"/>
      <c r="F1357" s="474"/>
      <c r="G1357" s="309"/>
      <c r="H1357" s="309"/>
    </row>
    <row r="1358" spans="2:8" ht="24.95" customHeight="1" x14ac:dyDescent="0.25">
      <c r="B1358" s="474"/>
      <c r="C1358" s="576"/>
      <c r="D1358" s="589"/>
      <c r="E1358" s="132"/>
      <c r="F1358" s="474"/>
      <c r="G1358" s="309"/>
    </row>
    <row r="1359" spans="2:8" ht="24.95" customHeight="1" x14ac:dyDescent="0.25">
      <c r="B1359" s="474"/>
      <c r="C1359" s="576"/>
      <c r="D1359" s="589"/>
      <c r="E1359" s="132"/>
      <c r="F1359" s="474"/>
      <c r="G1359" s="309"/>
    </row>
    <row r="1360" spans="2:8" ht="24.95" customHeight="1" x14ac:dyDescent="0.25">
      <c r="B1360" s="474"/>
      <c r="C1360" s="576"/>
      <c r="D1360" s="589"/>
      <c r="E1360" s="132"/>
      <c r="F1360" s="474"/>
      <c r="G1360" s="309"/>
    </row>
    <row r="1361" spans="2:7" ht="24.95" customHeight="1" x14ac:dyDescent="0.25">
      <c r="B1361" s="474"/>
      <c r="C1361" s="576"/>
      <c r="D1361" s="589"/>
      <c r="E1361" s="132"/>
      <c r="F1361" s="474"/>
      <c r="G1361" s="309"/>
    </row>
    <row r="1362" spans="2:7" ht="24.95" customHeight="1" x14ac:dyDescent="0.25">
      <c r="B1362" s="474"/>
      <c r="C1362" s="576"/>
      <c r="D1362" s="589"/>
      <c r="E1362" s="132"/>
      <c r="F1362" s="474"/>
      <c r="G1362" s="309"/>
    </row>
    <row r="1363" spans="2:7" ht="24.95" customHeight="1" x14ac:dyDescent="0.25">
      <c r="B1363" s="474"/>
      <c r="C1363" s="576"/>
      <c r="D1363" s="589"/>
      <c r="E1363" s="132"/>
      <c r="F1363" s="474"/>
      <c r="G1363" s="309"/>
    </row>
    <row r="1364" spans="2:7" ht="24.95" customHeight="1" x14ac:dyDescent="0.25">
      <c r="B1364" s="474"/>
      <c r="C1364" s="576"/>
      <c r="D1364" s="589"/>
      <c r="E1364" s="132"/>
      <c r="F1364" s="474"/>
      <c r="G1364" s="309"/>
    </row>
    <row r="1365" spans="2:7" ht="24.95" customHeight="1" x14ac:dyDescent="0.25">
      <c r="B1365" s="474"/>
      <c r="C1365" s="576"/>
      <c r="D1365" s="589"/>
      <c r="E1365" s="132"/>
      <c r="F1365" s="474"/>
      <c r="G1365" s="309"/>
    </row>
    <row r="1366" spans="2:7" ht="24.95" customHeight="1" x14ac:dyDescent="0.25">
      <c r="B1366" s="474"/>
      <c r="C1366" s="576"/>
      <c r="D1366" s="589"/>
      <c r="E1366" s="132"/>
      <c r="F1366" s="474"/>
      <c r="G1366" s="309"/>
    </row>
    <row r="1367" spans="2:7" ht="24.95" customHeight="1" x14ac:dyDescent="0.25">
      <c r="B1367" s="474"/>
      <c r="C1367" s="576"/>
      <c r="D1367" s="589"/>
      <c r="E1367" s="132"/>
      <c r="F1367" s="474"/>
      <c r="G1367" s="309"/>
    </row>
    <row r="1368" spans="2:7" ht="24.95" customHeight="1" x14ac:dyDescent="0.25">
      <c r="B1368" s="474"/>
      <c r="C1368" s="576"/>
      <c r="D1368" s="589"/>
      <c r="E1368" s="132"/>
      <c r="F1368" s="474"/>
      <c r="G1368" s="309"/>
    </row>
    <row r="1369" spans="2:7" ht="24.95" customHeight="1" x14ac:dyDescent="0.25">
      <c r="B1369" s="474"/>
      <c r="C1369" s="576"/>
      <c r="D1369" s="589"/>
      <c r="E1369" s="132"/>
      <c r="F1369" s="474"/>
      <c r="G1369" s="309"/>
    </row>
    <row r="1370" spans="2:7" ht="24.95" customHeight="1" x14ac:dyDescent="0.25">
      <c r="B1370" s="474"/>
      <c r="C1370" s="576"/>
      <c r="D1370" s="589"/>
      <c r="E1370" s="132"/>
      <c r="F1370" s="474"/>
      <c r="G1370" s="309"/>
    </row>
    <row r="1371" spans="2:7" ht="24.95" customHeight="1" x14ac:dyDescent="0.25">
      <c r="B1371" s="474"/>
      <c r="C1371" s="576"/>
      <c r="D1371" s="589"/>
      <c r="E1371" s="132"/>
      <c r="F1371" s="474"/>
      <c r="G1371" s="309"/>
    </row>
    <row r="1372" spans="2:7" ht="24.95" customHeight="1" x14ac:dyDescent="0.25">
      <c r="B1372" s="474"/>
      <c r="C1372" s="576"/>
      <c r="D1372" s="589"/>
      <c r="E1372" s="132"/>
      <c r="F1372" s="474"/>
      <c r="G1372" s="309"/>
    </row>
    <row r="1373" spans="2:7" ht="24.95" customHeight="1" x14ac:dyDescent="0.25">
      <c r="B1373" s="474"/>
      <c r="C1373" s="576"/>
      <c r="D1373" s="589"/>
      <c r="E1373" s="132"/>
      <c r="F1373" s="474"/>
      <c r="G1373" s="309"/>
    </row>
    <row r="1374" spans="2:7" ht="24.95" customHeight="1" x14ac:dyDescent="0.25">
      <c r="B1374" s="474"/>
      <c r="C1374" s="576"/>
      <c r="D1374" s="589"/>
      <c r="E1374" s="132"/>
      <c r="F1374" s="474"/>
      <c r="G1374" s="309"/>
    </row>
    <row r="1375" spans="2:7" ht="24.95" customHeight="1" x14ac:dyDescent="0.25">
      <c r="B1375" s="474"/>
      <c r="C1375" s="576"/>
      <c r="D1375" s="589"/>
      <c r="E1375" s="132"/>
      <c r="F1375" s="474"/>
      <c r="G1375" s="309"/>
    </row>
    <row r="1376" spans="2:7" ht="24.95" customHeight="1" x14ac:dyDescent="0.25">
      <c r="B1376" s="474"/>
      <c r="C1376" s="576"/>
      <c r="D1376" s="589"/>
      <c r="E1376" s="132"/>
      <c r="F1376" s="474"/>
      <c r="G1376" s="309"/>
    </row>
    <row r="1377" spans="2:7" ht="24.95" customHeight="1" x14ac:dyDescent="0.25">
      <c r="B1377" s="474"/>
      <c r="C1377" s="576"/>
      <c r="D1377" s="589"/>
      <c r="E1377" s="132"/>
      <c r="F1377" s="474"/>
      <c r="G1377" s="309"/>
    </row>
    <row r="1378" spans="2:7" ht="24.95" customHeight="1" x14ac:dyDescent="0.25">
      <c r="B1378" s="474"/>
      <c r="C1378" s="576"/>
      <c r="D1378" s="589"/>
      <c r="E1378" s="132"/>
      <c r="F1378" s="474"/>
      <c r="G1378" s="309"/>
    </row>
    <row r="1379" spans="2:7" ht="24.95" customHeight="1" x14ac:dyDescent="0.25">
      <c r="B1379" s="474"/>
      <c r="C1379" s="576"/>
      <c r="D1379" s="589"/>
      <c r="E1379" s="132"/>
      <c r="F1379" s="474"/>
      <c r="G1379" s="309"/>
    </row>
    <row r="1380" spans="2:7" ht="24.95" customHeight="1" x14ac:dyDescent="0.25">
      <c r="B1380" s="474"/>
      <c r="C1380" s="576"/>
      <c r="D1380" s="589"/>
      <c r="E1380" s="132"/>
      <c r="F1380" s="474"/>
      <c r="G1380" s="309"/>
    </row>
    <row r="1381" spans="2:7" ht="24.95" customHeight="1" x14ac:dyDescent="0.25">
      <c r="B1381" s="474"/>
      <c r="C1381" s="576"/>
      <c r="D1381" s="589"/>
      <c r="E1381" s="132"/>
      <c r="F1381" s="474"/>
      <c r="G1381" s="309"/>
    </row>
    <row r="1382" spans="2:7" ht="24.95" customHeight="1" x14ac:dyDescent="0.25">
      <c r="B1382" s="474"/>
      <c r="C1382" s="576"/>
      <c r="D1382" s="589"/>
      <c r="E1382" s="132"/>
      <c r="F1382" s="474"/>
      <c r="G1382" s="309"/>
    </row>
    <row r="1383" spans="2:7" ht="24.95" customHeight="1" x14ac:dyDescent="0.25">
      <c r="B1383" s="474"/>
      <c r="C1383" s="576"/>
      <c r="D1383" s="589"/>
      <c r="E1383" s="132"/>
      <c r="F1383" s="474"/>
      <c r="G1383" s="309"/>
    </row>
    <row r="1384" spans="2:7" ht="24.95" customHeight="1" x14ac:dyDescent="0.25">
      <c r="B1384" s="474"/>
      <c r="C1384" s="576"/>
      <c r="D1384" s="589"/>
      <c r="E1384" s="132"/>
      <c r="F1384" s="474"/>
      <c r="G1384" s="309"/>
    </row>
    <row r="1385" spans="2:7" ht="24.95" customHeight="1" x14ac:dyDescent="0.25">
      <c r="B1385" s="474"/>
      <c r="C1385" s="576"/>
      <c r="D1385" s="589"/>
      <c r="E1385" s="132"/>
      <c r="F1385" s="474"/>
      <c r="G1385" s="309"/>
    </row>
    <row r="1386" spans="2:7" ht="24.95" customHeight="1" x14ac:dyDescent="0.25">
      <c r="B1386" s="474"/>
      <c r="C1386" s="576"/>
      <c r="D1386" s="589"/>
      <c r="E1386" s="132"/>
      <c r="F1386" s="474"/>
      <c r="G1386" s="309"/>
    </row>
    <row r="1387" spans="2:7" ht="24.95" customHeight="1" x14ac:dyDescent="0.25">
      <c r="B1387" s="474"/>
      <c r="C1387" s="576"/>
      <c r="D1387" s="589"/>
      <c r="E1387" s="132"/>
      <c r="F1387" s="474"/>
      <c r="G1387" s="309"/>
    </row>
    <row r="1388" spans="2:7" ht="24.95" customHeight="1" x14ac:dyDescent="0.25">
      <c r="B1388" s="474"/>
      <c r="C1388" s="576"/>
      <c r="D1388" s="589"/>
      <c r="E1388" s="132"/>
      <c r="F1388" s="474"/>
      <c r="G1388" s="309"/>
    </row>
    <row r="1389" spans="2:7" ht="24.95" customHeight="1" x14ac:dyDescent="0.25">
      <c r="B1389" s="474"/>
      <c r="C1389" s="576"/>
      <c r="D1389" s="589"/>
      <c r="E1389" s="132"/>
      <c r="F1389" s="474"/>
      <c r="G1389" s="309"/>
    </row>
    <row r="1390" spans="2:7" ht="24.95" customHeight="1" x14ac:dyDescent="0.25">
      <c r="B1390" s="474"/>
      <c r="C1390" s="576"/>
      <c r="D1390" s="589"/>
      <c r="E1390" s="132"/>
      <c r="F1390" s="474"/>
      <c r="G1390" s="309"/>
    </row>
    <row r="1391" spans="2:7" ht="24.95" customHeight="1" x14ac:dyDescent="0.25">
      <c r="B1391" s="474"/>
      <c r="C1391" s="576"/>
      <c r="D1391" s="589"/>
      <c r="E1391" s="132"/>
      <c r="F1391" s="474"/>
      <c r="G1391" s="309"/>
    </row>
    <row r="1392" spans="2:7" ht="24.95" customHeight="1" x14ac:dyDescent="0.25">
      <c r="B1392" s="474"/>
      <c r="C1392" s="576"/>
      <c r="D1392" s="589"/>
      <c r="E1392" s="132"/>
      <c r="F1392" s="474"/>
      <c r="G1392" s="309"/>
    </row>
    <row r="1393" spans="2:7" ht="24.95" customHeight="1" x14ac:dyDescent="0.25">
      <c r="B1393" s="474"/>
      <c r="C1393" s="576"/>
      <c r="D1393" s="589"/>
      <c r="E1393" s="132"/>
      <c r="F1393" s="474"/>
      <c r="G1393" s="309"/>
    </row>
    <row r="1394" spans="2:7" ht="24.95" customHeight="1" x14ac:dyDescent="0.25">
      <c r="B1394" s="474"/>
      <c r="C1394" s="576"/>
      <c r="D1394" s="589"/>
      <c r="E1394" s="132"/>
      <c r="F1394" s="474"/>
      <c r="G1394" s="309"/>
    </row>
    <row r="1395" spans="2:7" ht="24.95" customHeight="1" x14ac:dyDescent="0.25">
      <c r="B1395" s="474"/>
      <c r="C1395" s="576"/>
      <c r="D1395" s="589"/>
      <c r="E1395" s="132"/>
      <c r="F1395" s="474"/>
      <c r="G1395" s="309"/>
    </row>
    <row r="1396" spans="2:7" ht="24.95" customHeight="1" x14ac:dyDescent="0.25">
      <c r="B1396" s="474"/>
      <c r="C1396" s="576"/>
      <c r="D1396" s="589"/>
      <c r="E1396" s="132"/>
      <c r="F1396" s="474"/>
      <c r="G1396" s="309"/>
    </row>
    <row r="1397" spans="2:7" ht="24.95" customHeight="1" x14ac:dyDescent="0.25">
      <c r="B1397" s="474"/>
      <c r="C1397" s="576"/>
      <c r="D1397" s="589"/>
      <c r="E1397" s="132"/>
      <c r="F1397" s="474"/>
      <c r="G1397" s="309"/>
    </row>
    <row r="1398" spans="2:7" ht="24.95" customHeight="1" x14ac:dyDescent="0.25">
      <c r="B1398" s="474"/>
      <c r="C1398" s="576"/>
      <c r="D1398" s="589"/>
      <c r="E1398" s="132"/>
      <c r="F1398" s="474"/>
      <c r="G1398" s="309"/>
    </row>
    <row r="1399" spans="2:7" ht="24.95" customHeight="1" x14ac:dyDescent="0.25">
      <c r="B1399" s="474"/>
      <c r="C1399" s="576"/>
      <c r="D1399" s="589"/>
      <c r="E1399" s="132"/>
      <c r="F1399" s="474"/>
      <c r="G1399" s="309"/>
    </row>
    <row r="1400" spans="2:7" ht="24.95" customHeight="1" x14ac:dyDescent="0.25">
      <c r="B1400" s="474"/>
      <c r="C1400" s="576"/>
      <c r="D1400" s="589"/>
      <c r="E1400" s="132"/>
      <c r="F1400" s="474"/>
      <c r="G1400" s="309"/>
    </row>
    <row r="1401" spans="2:7" ht="24.95" customHeight="1" x14ac:dyDescent="0.25">
      <c r="B1401" s="474"/>
      <c r="C1401" s="576"/>
      <c r="D1401" s="589"/>
      <c r="E1401" s="132"/>
      <c r="F1401" s="474"/>
      <c r="G1401" s="309"/>
    </row>
    <row r="1402" spans="2:7" ht="24.95" customHeight="1" x14ac:dyDescent="0.25">
      <c r="B1402" s="474"/>
      <c r="C1402" s="576"/>
      <c r="D1402" s="589"/>
      <c r="E1402" s="132"/>
      <c r="F1402" s="474"/>
      <c r="G1402" s="309"/>
    </row>
    <row r="1403" spans="2:7" ht="24.95" customHeight="1" x14ac:dyDescent="0.25">
      <c r="B1403" s="474"/>
      <c r="C1403" s="576"/>
      <c r="D1403" s="589"/>
      <c r="E1403" s="132"/>
      <c r="F1403" s="474"/>
      <c r="G1403" s="309"/>
    </row>
    <row r="1404" spans="2:7" ht="24.95" customHeight="1" x14ac:dyDescent="0.25">
      <c r="B1404" s="474"/>
      <c r="C1404" s="576"/>
      <c r="D1404" s="589"/>
      <c r="E1404" s="132"/>
      <c r="F1404" s="474"/>
      <c r="G1404" s="309"/>
    </row>
    <row r="1405" spans="2:7" ht="24.95" customHeight="1" x14ac:dyDescent="0.25">
      <c r="B1405" s="474"/>
      <c r="C1405" s="576"/>
      <c r="D1405" s="589"/>
      <c r="E1405" s="132"/>
      <c r="F1405" s="474"/>
      <c r="G1405" s="309"/>
    </row>
    <row r="1406" spans="2:7" ht="24.95" customHeight="1" x14ac:dyDescent="0.25">
      <c r="B1406" s="474"/>
      <c r="C1406" s="576"/>
      <c r="D1406" s="589"/>
      <c r="E1406" s="132"/>
      <c r="F1406" s="474"/>
      <c r="G1406" s="309"/>
    </row>
    <row r="1407" spans="2:7" ht="24.95" customHeight="1" x14ac:dyDescent="0.25">
      <c r="B1407" s="474"/>
      <c r="C1407" s="576"/>
      <c r="D1407" s="589"/>
      <c r="E1407" s="132"/>
      <c r="F1407" s="474"/>
      <c r="G1407" s="309"/>
    </row>
    <row r="1408" spans="2:7" ht="24.95" customHeight="1" x14ac:dyDescent="0.25">
      <c r="B1408" s="474"/>
      <c r="C1408" s="576"/>
      <c r="D1408" s="589"/>
      <c r="E1408" s="132"/>
      <c r="F1408" s="474"/>
      <c r="G1408" s="309"/>
    </row>
    <row r="1409" spans="2:7" ht="24.95" customHeight="1" x14ac:dyDescent="0.25">
      <c r="B1409" s="474"/>
      <c r="C1409" s="576"/>
      <c r="D1409" s="589"/>
      <c r="E1409" s="132"/>
      <c r="F1409" s="474"/>
      <c r="G1409" s="309"/>
    </row>
    <row r="1410" spans="2:7" ht="24.95" customHeight="1" x14ac:dyDescent="0.25">
      <c r="B1410" s="474"/>
      <c r="C1410" s="576"/>
      <c r="D1410" s="589"/>
      <c r="E1410" s="132"/>
      <c r="F1410" s="474"/>
      <c r="G1410" s="309"/>
    </row>
    <row r="1411" spans="2:7" ht="24.95" customHeight="1" x14ac:dyDescent="0.25">
      <c r="B1411" s="474"/>
      <c r="C1411" s="576"/>
      <c r="D1411" s="589"/>
      <c r="E1411" s="132"/>
      <c r="F1411" s="474"/>
      <c r="G1411" s="309"/>
    </row>
    <row r="1412" spans="2:7" ht="24.95" customHeight="1" x14ac:dyDescent="0.25">
      <c r="B1412" s="474"/>
      <c r="C1412" s="576"/>
      <c r="D1412" s="589"/>
      <c r="E1412" s="132"/>
      <c r="F1412" s="474"/>
      <c r="G1412" s="309"/>
    </row>
    <row r="1413" spans="2:7" ht="24.95" customHeight="1" x14ac:dyDescent="0.25">
      <c r="B1413" s="474"/>
      <c r="C1413" s="576"/>
      <c r="D1413" s="589"/>
      <c r="E1413" s="132"/>
      <c r="F1413" s="474"/>
      <c r="G1413" s="309"/>
    </row>
    <row r="1414" spans="2:7" ht="24.95" customHeight="1" x14ac:dyDescent="0.25">
      <c r="B1414" s="474"/>
      <c r="C1414" s="576"/>
      <c r="D1414" s="589"/>
      <c r="E1414" s="132"/>
      <c r="F1414" s="474"/>
      <c r="G1414" s="309"/>
    </row>
    <row r="1415" spans="2:7" ht="24.95" customHeight="1" x14ac:dyDescent="0.25">
      <c r="B1415" s="474"/>
      <c r="C1415" s="576"/>
      <c r="D1415" s="589"/>
      <c r="E1415" s="132"/>
      <c r="F1415" s="474"/>
      <c r="G1415" s="309"/>
    </row>
    <row r="1416" spans="2:7" ht="24.95" customHeight="1" x14ac:dyDescent="0.25">
      <c r="B1416" s="474"/>
      <c r="C1416" s="576"/>
      <c r="D1416" s="589"/>
      <c r="E1416" s="132"/>
      <c r="F1416" s="474"/>
      <c r="G1416" s="309"/>
    </row>
    <row r="1417" spans="2:7" ht="24.95" customHeight="1" x14ac:dyDescent="0.25">
      <c r="B1417" s="474"/>
      <c r="C1417" s="576"/>
      <c r="D1417" s="589"/>
      <c r="E1417" s="132"/>
      <c r="F1417" s="474"/>
      <c r="G1417" s="309"/>
    </row>
    <row r="1418" spans="2:7" ht="24.95" customHeight="1" x14ac:dyDescent="0.25">
      <c r="B1418" s="474"/>
      <c r="C1418" s="576"/>
      <c r="D1418" s="589"/>
      <c r="E1418" s="132"/>
      <c r="F1418" s="474"/>
      <c r="G1418" s="309"/>
    </row>
    <row r="1419" spans="2:7" ht="24.95" customHeight="1" x14ac:dyDescent="0.25">
      <c r="B1419" s="474"/>
      <c r="C1419" s="576"/>
      <c r="D1419" s="589"/>
      <c r="E1419" s="132"/>
      <c r="F1419" s="474"/>
      <c r="G1419" s="309"/>
    </row>
    <row r="1420" spans="2:7" ht="24.95" customHeight="1" x14ac:dyDescent="0.25">
      <c r="B1420" s="474"/>
      <c r="C1420" s="576"/>
      <c r="D1420" s="589"/>
      <c r="E1420" s="132"/>
      <c r="F1420" s="474"/>
      <c r="G1420" s="309"/>
    </row>
    <row r="1421" spans="2:7" ht="24.95" customHeight="1" x14ac:dyDescent="0.25">
      <c r="B1421" s="474"/>
      <c r="C1421" s="576"/>
      <c r="D1421" s="589"/>
      <c r="E1421" s="132"/>
      <c r="F1421" s="474"/>
      <c r="G1421" s="309"/>
    </row>
    <row r="1422" spans="2:7" ht="24.95" customHeight="1" x14ac:dyDescent="0.25">
      <c r="B1422" s="474"/>
      <c r="C1422" s="576"/>
      <c r="D1422" s="589"/>
      <c r="E1422" s="132"/>
      <c r="F1422" s="474"/>
      <c r="G1422" s="309"/>
    </row>
    <row r="1423" spans="2:7" ht="24.95" customHeight="1" x14ac:dyDescent="0.25">
      <c r="B1423" s="474"/>
      <c r="C1423" s="576"/>
      <c r="D1423" s="589"/>
      <c r="E1423" s="132"/>
      <c r="F1423" s="474"/>
      <c r="G1423" s="309"/>
    </row>
    <row r="1424" spans="2:7" ht="24.95" customHeight="1" x14ac:dyDescent="0.25">
      <c r="B1424" s="474"/>
      <c r="C1424" s="576"/>
      <c r="D1424" s="589"/>
      <c r="E1424" s="132"/>
      <c r="F1424" s="474"/>
      <c r="G1424" s="309"/>
    </row>
    <row r="1425" spans="2:7" ht="24.95" customHeight="1" x14ac:dyDescent="0.25">
      <c r="B1425" s="474"/>
      <c r="C1425" s="576"/>
      <c r="D1425" s="589"/>
      <c r="E1425" s="132"/>
      <c r="F1425" s="474"/>
      <c r="G1425" s="309"/>
    </row>
    <row r="1426" spans="2:7" ht="24.95" customHeight="1" x14ac:dyDescent="0.25">
      <c r="B1426" s="474"/>
      <c r="C1426" s="576"/>
      <c r="D1426" s="589"/>
      <c r="E1426" s="132"/>
      <c r="F1426" s="474"/>
      <c r="G1426" s="309"/>
    </row>
    <row r="1427" spans="2:7" ht="24.95" customHeight="1" x14ac:dyDescent="0.25">
      <c r="B1427" s="474"/>
      <c r="C1427" s="576"/>
      <c r="D1427" s="589"/>
      <c r="E1427" s="132"/>
      <c r="F1427" s="474"/>
      <c r="G1427" s="309"/>
    </row>
    <row r="1428" spans="2:7" ht="24.95" customHeight="1" x14ac:dyDescent="0.25">
      <c r="B1428" s="474"/>
      <c r="C1428" s="576"/>
      <c r="D1428" s="589"/>
      <c r="E1428" s="132"/>
      <c r="F1428" s="474"/>
      <c r="G1428" s="309"/>
    </row>
    <row r="1429" spans="2:7" ht="24.95" customHeight="1" x14ac:dyDescent="0.25">
      <c r="B1429" s="474"/>
      <c r="C1429" s="576"/>
      <c r="D1429" s="589"/>
      <c r="E1429" s="132"/>
      <c r="F1429" s="474"/>
      <c r="G1429" s="309"/>
    </row>
    <row r="1430" spans="2:7" ht="24.95" customHeight="1" x14ac:dyDescent="0.25">
      <c r="B1430" s="474"/>
      <c r="C1430" s="576"/>
      <c r="D1430" s="589"/>
      <c r="E1430" s="132"/>
      <c r="F1430" s="474"/>
      <c r="G1430" s="309"/>
    </row>
    <row r="1431" spans="2:7" ht="24.95" customHeight="1" x14ac:dyDescent="0.25">
      <c r="B1431" s="474"/>
      <c r="C1431" s="576"/>
      <c r="D1431" s="589"/>
      <c r="E1431" s="132"/>
      <c r="F1431" s="474"/>
      <c r="G1431" s="309"/>
    </row>
    <row r="1432" spans="2:7" ht="24.95" customHeight="1" x14ac:dyDescent="0.25">
      <c r="B1432" s="474"/>
      <c r="C1432" s="576"/>
      <c r="D1432" s="589"/>
      <c r="E1432" s="132"/>
      <c r="F1432" s="474"/>
      <c r="G1432" s="309"/>
    </row>
    <row r="1433" spans="2:7" ht="24.95" customHeight="1" x14ac:dyDescent="0.25">
      <c r="B1433" s="474"/>
      <c r="C1433" s="576"/>
      <c r="D1433" s="589"/>
      <c r="E1433" s="132"/>
      <c r="F1433" s="474"/>
      <c r="G1433" s="309"/>
    </row>
    <row r="1434" spans="2:7" ht="24.95" customHeight="1" x14ac:dyDescent="0.25">
      <c r="B1434" s="474"/>
      <c r="C1434" s="576"/>
      <c r="D1434" s="589"/>
      <c r="E1434" s="132"/>
      <c r="F1434" s="474"/>
      <c r="G1434" s="309"/>
    </row>
    <row r="1435" spans="2:7" ht="24.95" customHeight="1" x14ac:dyDescent="0.25">
      <c r="B1435" s="474"/>
      <c r="C1435" s="576"/>
      <c r="D1435" s="589"/>
      <c r="E1435" s="132"/>
      <c r="F1435" s="474"/>
      <c r="G1435" s="309"/>
    </row>
    <row r="1436" spans="2:7" ht="24.95" customHeight="1" x14ac:dyDescent="0.25">
      <c r="B1436" s="474"/>
      <c r="C1436" s="576"/>
      <c r="D1436" s="589"/>
      <c r="E1436" s="132"/>
      <c r="F1436" s="474"/>
      <c r="G1436" s="309"/>
    </row>
    <row r="1437" spans="2:7" ht="24.95" customHeight="1" x14ac:dyDescent="0.25">
      <c r="B1437" s="474"/>
      <c r="C1437" s="576"/>
      <c r="D1437" s="589"/>
      <c r="E1437" s="132"/>
      <c r="F1437" s="474"/>
      <c r="G1437" s="309"/>
    </row>
    <row r="1438" spans="2:7" ht="24.95" customHeight="1" x14ac:dyDescent="0.25">
      <c r="B1438" s="474"/>
      <c r="C1438" s="576"/>
      <c r="D1438" s="589"/>
      <c r="E1438" s="132"/>
      <c r="F1438" s="474"/>
      <c r="G1438" s="309"/>
    </row>
    <row r="1439" spans="2:7" ht="24.95" customHeight="1" x14ac:dyDescent="0.25">
      <c r="B1439" s="474"/>
      <c r="C1439" s="576"/>
      <c r="D1439" s="589"/>
      <c r="E1439" s="132"/>
      <c r="F1439" s="474"/>
      <c r="G1439" s="309"/>
    </row>
    <row r="1440" spans="2:7" ht="24.95" customHeight="1" x14ac:dyDescent="0.25">
      <c r="B1440" s="474"/>
      <c r="C1440" s="576"/>
      <c r="D1440" s="589"/>
      <c r="E1440" s="132"/>
      <c r="F1440" s="474"/>
      <c r="G1440" s="309"/>
    </row>
    <row r="1441" spans="2:7" ht="24.95" customHeight="1" x14ac:dyDescent="0.25">
      <c r="B1441" s="474"/>
      <c r="C1441" s="576"/>
      <c r="D1441" s="589"/>
      <c r="E1441" s="132"/>
      <c r="F1441" s="474"/>
      <c r="G1441" s="309"/>
    </row>
    <row r="1442" spans="2:7" ht="24.95" customHeight="1" x14ac:dyDescent="0.25">
      <c r="B1442" s="474"/>
      <c r="C1442" s="576"/>
      <c r="D1442" s="589"/>
      <c r="E1442" s="132"/>
      <c r="F1442" s="474"/>
      <c r="G1442" s="309"/>
    </row>
    <row r="1443" spans="2:7" ht="24.95" customHeight="1" x14ac:dyDescent="0.25">
      <c r="B1443" s="474"/>
      <c r="C1443" s="576"/>
      <c r="D1443" s="589"/>
      <c r="E1443" s="132"/>
      <c r="F1443" s="474"/>
      <c r="G1443" s="309"/>
    </row>
    <row r="1444" spans="2:7" ht="24.95" customHeight="1" x14ac:dyDescent="0.25">
      <c r="B1444" s="474"/>
      <c r="C1444" s="576"/>
      <c r="D1444" s="589"/>
      <c r="E1444" s="132"/>
      <c r="F1444" s="474"/>
      <c r="G1444" s="309"/>
    </row>
    <row r="1445" spans="2:7" ht="24.95" customHeight="1" x14ac:dyDescent="0.25">
      <c r="B1445" s="474"/>
      <c r="C1445" s="576"/>
      <c r="D1445" s="589"/>
      <c r="E1445" s="132"/>
      <c r="F1445" s="474"/>
      <c r="G1445" s="309"/>
    </row>
    <row r="1446" spans="2:7" ht="24.95" customHeight="1" x14ac:dyDescent="0.25">
      <c r="B1446" s="474"/>
      <c r="C1446" s="576"/>
      <c r="D1446" s="589"/>
      <c r="E1446" s="132"/>
      <c r="F1446" s="474"/>
      <c r="G1446" s="309"/>
    </row>
    <row r="1447" spans="2:7" ht="24.95" customHeight="1" x14ac:dyDescent="0.25">
      <c r="B1447" s="474"/>
      <c r="C1447" s="576"/>
      <c r="D1447" s="589"/>
      <c r="E1447" s="132"/>
      <c r="F1447" s="474"/>
      <c r="G1447" s="309"/>
    </row>
    <row r="1448" spans="2:7" ht="24.95" customHeight="1" x14ac:dyDescent="0.25">
      <c r="B1448" s="474"/>
      <c r="C1448" s="576"/>
      <c r="D1448" s="589"/>
      <c r="E1448" s="132"/>
      <c r="F1448" s="474"/>
      <c r="G1448" s="309"/>
    </row>
    <row r="1449" spans="2:7" ht="24.95" customHeight="1" x14ac:dyDescent="0.25">
      <c r="B1449" s="474"/>
      <c r="C1449" s="576"/>
      <c r="D1449" s="589"/>
      <c r="E1449" s="132"/>
      <c r="F1449" s="474"/>
      <c r="G1449" s="309"/>
    </row>
    <row r="1450" spans="2:7" ht="24.95" customHeight="1" x14ac:dyDescent="0.25">
      <c r="B1450" s="474"/>
      <c r="C1450" s="576"/>
      <c r="D1450" s="589"/>
      <c r="E1450" s="132"/>
      <c r="F1450" s="474"/>
      <c r="G1450" s="309"/>
    </row>
    <row r="1451" spans="2:7" ht="24.95" customHeight="1" x14ac:dyDescent="0.25">
      <c r="B1451" s="474"/>
      <c r="C1451" s="576"/>
      <c r="D1451" s="589"/>
      <c r="E1451" s="132"/>
      <c r="F1451" s="474"/>
      <c r="G1451" s="309"/>
    </row>
    <row r="1452" spans="2:7" ht="24.95" customHeight="1" x14ac:dyDescent="0.25">
      <c r="B1452" s="474"/>
      <c r="C1452" s="576"/>
      <c r="D1452" s="589"/>
      <c r="E1452" s="132"/>
      <c r="F1452" s="474"/>
      <c r="G1452" s="309"/>
    </row>
    <row r="1453" spans="2:7" ht="24.95" customHeight="1" x14ac:dyDescent="0.25">
      <c r="B1453" s="474"/>
      <c r="C1453" s="576"/>
      <c r="D1453" s="589"/>
      <c r="E1453" s="132"/>
      <c r="F1453" s="474"/>
      <c r="G1453" s="309"/>
    </row>
    <row r="1454" spans="2:7" ht="24.95" customHeight="1" x14ac:dyDescent="0.25">
      <c r="B1454" s="474"/>
      <c r="C1454" s="576"/>
      <c r="D1454" s="589"/>
      <c r="E1454" s="132"/>
      <c r="F1454" s="474"/>
      <c r="G1454" s="309"/>
    </row>
    <row r="1455" spans="2:7" ht="24.95" customHeight="1" x14ac:dyDescent="0.25">
      <c r="B1455" s="474"/>
      <c r="C1455" s="576"/>
      <c r="D1455" s="589"/>
      <c r="E1455" s="132"/>
      <c r="F1455" s="474"/>
      <c r="G1455" s="309"/>
    </row>
    <row r="1456" spans="2:7" ht="24.95" customHeight="1" x14ac:dyDescent="0.25">
      <c r="B1456" s="474"/>
      <c r="C1456" s="576"/>
      <c r="D1456" s="589"/>
      <c r="E1456" s="132"/>
      <c r="F1456" s="474"/>
      <c r="G1456" s="309"/>
    </row>
    <row r="1457" spans="2:7" ht="24.95" customHeight="1" x14ac:dyDescent="0.25">
      <c r="B1457" s="474"/>
      <c r="C1457" s="576"/>
      <c r="D1457" s="589"/>
      <c r="E1457" s="132"/>
      <c r="F1457" s="474"/>
      <c r="G1457" s="309"/>
    </row>
    <row r="1458" spans="2:7" ht="24.95" customHeight="1" x14ac:dyDescent="0.25">
      <c r="B1458" s="474"/>
      <c r="C1458" s="576"/>
      <c r="D1458" s="589"/>
      <c r="E1458" s="132"/>
      <c r="F1458" s="474"/>
      <c r="G1458" s="309"/>
    </row>
    <row r="1459" spans="2:7" ht="24.95" customHeight="1" x14ac:dyDescent="0.25">
      <c r="B1459" s="474"/>
      <c r="C1459" s="576"/>
      <c r="D1459" s="589"/>
      <c r="E1459" s="132"/>
      <c r="F1459" s="474"/>
      <c r="G1459" s="309"/>
    </row>
    <row r="1460" spans="2:7" ht="24.95" customHeight="1" x14ac:dyDescent="0.25">
      <c r="B1460" s="474"/>
      <c r="C1460" s="576"/>
      <c r="D1460" s="589"/>
      <c r="E1460" s="132"/>
      <c r="F1460" s="474"/>
      <c r="G1460" s="309"/>
    </row>
    <row r="1461" spans="2:7" ht="24.95" customHeight="1" x14ac:dyDescent="0.25">
      <c r="B1461" s="474"/>
      <c r="C1461" s="576"/>
      <c r="D1461" s="589"/>
      <c r="E1461" s="132"/>
      <c r="F1461" s="474"/>
      <c r="G1461" s="309"/>
    </row>
    <row r="1462" spans="2:7" ht="24.95" customHeight="1" x14ac:dyDescent="0.25">
      <c r="B1462" s="474"/>
      <c r="C1462" s="576"/>
      <c r="D1462" s="589"/>
      <c r="E1462" s="132"/>
      <c r="F1462" s="474"/>
      <c r="G1462" s="309"/>
    </row>
    <row r="1463" spans="2:7" ht="24.95" customHeight="1" x14ac:dyDescent="0.25">
      <c r="B1463" s="474"/>
      <c r="C1463" s="576"/>
      <c r="D1463" s="589"/>
      <c r="E1463" s="132"/>
      <c r="F1463" s="474"/>
      <c r="G1463" s="309"/>
    </row>
    <row r="1464" spans="2:7" ht="24.95" customHeight="1" x14ac:dyDescent="0.25">
      <c r="B1464" s="474"/>
      <c r="C1464" s="576"/>
      <c r="D1464" s="589"/>
      <c r="E1464" s="132"/>
      <c r="F1464" s="474"/>
      <c r="G1464" s="309"/>
    </row>
    <row r="1465" spans="2:7" ht="24.95" customHeight="1" x14ac:dyDescent="0.25">
      <c r="B1465" s="474"/>
      <c r="C1465" s="576"/>
      <c r="D1465" s="589"/>
      <c r="E1465" s="132"/>
      <c r="F1465" s="474"/>
      <c r="G1465" s="309"/>
    </row>
    <row r="1466" spans="2:7" ht="24.95" customHeight="1" x14ac:dyDescent="0.25">
      <c r="B1466" s="474"/>
      <c r="C1466" s="576"/>
      <c r="D1466" s="589"/>
      <c r="E1466" s="132"/>
      <c r="F1466" s="474"/>
      <c r="G1466" s="309"/>
    </row>
    <row r="1467" spans="2:7" ht="24.95" customHeight="1" x14ac:dyDescent="0.25">
      <c r="B1467" s="474"/>
      <c r="C1467" s="576"/>
      <c r="D1467" s="589"/>
      <c r="E1467" s="132"/>
      <c r="F1467" s="474"/>
      <c r="G1467" s="309"/>
    </row>
    <row r="1468" spans="2:7" ht="24.95" customHeight="1" x14ac:dyDescent="0.25">
      <c r="B1468" s="474"/>
      <c r="C1468" s="576"/>
      <c r="D1468" s="589"/>
      <c r="E1468" s="132"/>
      <c r="F1468" s="474"/>
      <c r="G1468" s="309"/>
    </row>
    <row r="1469" spans="2:7" ht="24.95" customHeight="1" x14ac:dyDescent="0.25">
      <c r="B1469" s="474"/>
      <c r="C1469" s="576"/>
      <c r="D1469" s="589"/>
      <c r="E1469" s="132"/>
      <c r="F1469" s="474"/>
      <c r="G1469" s="309"/>
    </row>
    <row r="1470" spans="2:7" ht="24.95" customHeight="1" x14ac:dyDescent="0.25">
      <c r="B1470" s="474"/>
      <c r="C1470" s="576"/>
      <c r="D1470" s="589"/>
      <c r="E1470" s="132"/>
      <c r="F1470" s="474"/>
      <c r="G1470" s="309"/>
    </row>
    <row r="1471" spans="2:7" ht="24.95" customHeight="1" x14ac:dyDescent="0.25">
      <c r="B1471" s="474"/>
      <c r="C1471" s="576"/>
      <c r="D1471" s="589"/>
      <c r="E1471" s="132"/>
      <c r="F1471" s="474"/>
      <c r="G1471" s="309"/>
    </row>
    <row r="1472" spans="2:7" ht="24.95" customHeight="1" x14ac:dyDescent="0.25">
      <c r="B1472" s="474"/>
      <c r="C1472" s="576"/>
      <c r="D1472" s="589"/>
      <c r="E1472" s="132"/>
      <c r="F1472" s="474"/>
      <c r="G1472" s="309"/>
    </row>
    <row r="1473" spans="2:7" ht="24.95" customHeight="1" x14ac:dyDescent="0.25">
      <c r="B1473" s="474"/>
      <c r="C1473" s="576"/>
      <c r="D1473" s="589"/>
      <c r="E1473" s="132"/>
      <c r="F1473" s="474"/>
      <c r="G1473" s="309"/>
    </row>
    <row r="1474" spans="2:7" ht="24.95" customHeight="1" x14ac:dyDescent="0.25">
      <c r="B1474" s="474"/>
      <c r="C1474" s="576"/>
      <c r="D1474" s="589"/>
      <c r="E1474" s="132"/>
      <c r="F1474" s="474"/>
      <c r="G1474" s="309"/>
    </row>
    <row r="1475" spans="2:7" ht="24.95" customHeight="1" x14ac:dyDescent="0.25">
      <c r="B1475" s="474"/>
      <c r="C1475" s="576"/>
      <c r="D1475" s="589"/>
      <c r="E1475" s="132"/>
      <c r="F1475" s="474"/>
      <c r="G1475" s="309"/>
    </row>
    <row r="1476" spans="2:7" ht="24.95" customHeight="1" x14ac:dyDescent="0.25">
      <c r="B1476" s="474"/>
      <c r="C1476" s="576"/>
      <c r="D1476" s="589"/>
      <c r="E1476" s="132"/>
      <c r="F1476" s="474"/>
      <c r="G1476" s="309"/>
    </row>
    <row r="1477" spans="2:7" ht="24.95" customHeight="1" x14ac:dyDescent="0.25">
      <c r="B1477" s="474"/>
      <c r="C1477" s="576"/>
      <c r="D1477" s="589"/>
      <c r="E1477" s="132"/>
      <c r="F1477" s="474"/>
      <c r="G1477" s="309"/>
    </row>
    <row r="1478" spans="2:7" ht="24.95" customHeight="1" x14ac:dyDescent="0.25">
      <c r="B1478" s="474"/>
      <c r="C1478" s="576"/>
      <c r="D1478" s="589"/>
      <c r="E1478" s="132"/>
      <c r="F1478" s="474"/>
      <c r="G1478" s="309"/>
    </row>
    <row r="1479" spans="2:7" ht="24.95" customHeight="1" x14ac:dyDescent="0.25">
      <c r="B1479" s="474"/>
      <c r="C1479" s="576"/>
      <c r="D1479" s="589"/>
      <c r="E1479" s="132"/>
      <c r="F1479" s="474"/>
      <c r="G1479" s="309"/>
    </row>
    <row r="1480" spans="2:7" ht="24.95" customHeight="1" x14ac:dyDescent="0.25">
      <c r="B1480" s="474"/>
      <c r="C1480" s="576"/>
      <c r="D1480" s="589"/>
      <c r="E1480" s="132"/>
      <c r="F1480" s="474"/>
      <c r="G1480" s="309"/>
    </row>
    <row r="1481" spans="2:7" ht="24.95" customHeight="1" x14ac:dyDescent="0.25">
      <c r="B1481" s="474"/>
      <c r="C1481" s="576"/>
      <c r="D1481" s="589"/>
      <c r="E1481" s="132"/>
      <c r="F1481" s="474"/>
      <c r="G1481" s="309"/>
    </row>
    <row r="1482" spans="2:7" ht="24.95" customHeight="1" x14ac:dyDescent="0.25">
      <c r="B1482" s="474"/>
      <c r="C1482" s="576"/>
      <c r="D1482" s="589"/>
      <c r="E1482" s="132"/>
      <c r="F1482" s="474"/>
      <c r="G1482" s="309"/>
    </row>
    <row r="1483" spans="2:7" ht="24.95" customHeight="1" x14ac:dyDescent="0.25">
      <c r="B1483" s="474"/>
      <c r="C1483" s="576"/>
      <c r="D1483" s="589"/>
      <c r="E1483" s="132"/>
      <c r="F1483" s="474"/>
      <c r="G1483" s="309"/>
    </row>
    <row r="1484" spans="2:7" ht="24.95" customHeight="1" x14ac:dyDescent="0.25">
      <c r="B1484" s="474"/>
      <c r="C1484" s="576"/>
      <c r="D1484" s="589"/>
      <c r="E1484" s="132"/>
      <c r="F1484" s="474"/>
      <c r="G1484" s="309"/>
    </row>
    <row r="1485" spans="2:7" ht="24.95" customHeight="1" x14ac:dyDescent="0.25">
      <c r="B1485" s="474"/>
      <c r="C1485" s="576"/>
      <c r="D1485" s="589"/>
      <c r="E1485" s="132"/>
      <c r="F1485" s="474"/>
      <c r="G1485" s="309"/>
    </row>
    <row r="1486" spans="2:7" ht="24.95" customHeight="1" x14ac:dyDescent="0.25">
      <c r="B1486" s="474"/>
      <c r="C1486" s="576"/>
      <c r="D1486" s="589"/>
      <c r="E1486" s="132"/>
      <c r="F1486" s="474"/>
      <c r="G1486" s="309"/>
    </row>
    <row r="1487" spans="2:7" ht="24.95" customHeight="1" x14ac:dyDescent="0.25">
      <c r="B1487" s="474"/>
      <c r="C1487" s="576"/>
      <c r="D1487" s="589"/>
      <c r="E1487" s="132"/>
      <c r="F1487" s="474"/>
      <c r="G1487" s="309"/>
    </row>
    <row r="1488" spans="2:7" ht="24.95" customHeight="1" x14ac:dyDescent="0.25">
      <c r="B1488" s="474"/>
      <c r="C1488" s="576"/>
      <c r="D1488" s="589"/>
      <c r="E1488" s="132"/>
      <c r="F1488" s="474"/>
      <c r="G1488" s="309"/>
    </row>
    <row r="1489" spans="2:7" ht="24.95" customHeight="1" x14ac:dyDescent="0.25">
      <c r="B1489" s="474"/>
      <c r="C1489" s="576"/>
      <c r="D1489" s="589"/>
      <c r="E1489" s="132"/>
      <c r="F1489" s="474"/>
      <c r="G1489" s="309"/>
    </row>
    <row r="1490" spans="2:7" ht="24.95" customHeight="1" x14ac:dyDescent="0.25">
      <c r="B1490" s="474"/>
      <c r="C1490" s="576"/>
      <c r="D1490" s="589"/>
      <c r="E1490" s="132"/>
      <c r="F1490" s="474"/>
      <c r="G1490" s="309"/>
    </row>
    <row r="1491" spans="2:7" ht="24.95" customHeight="1" x14ac:dyDescent="0.25">
      <c r="B1491" s="474"/>
      <c r="C1491" s="576"/>
      <c r="D1491" s="589"/>
      <c r="E1491" s="132"/>
      <c r="F1491" s="474"/>
      <c r="G1491" s="309"/>
    </row>
    <row r="1492" spans="2:7" ht="24.95" customHeight="1" x14ac:dyDescent="0.25">
      <c r="B1492" s="474"/>
      <c r="C1492" s="576"/>
      <c r="D1492" s="589"/>
      <c r="E1492" s="132"/>
      <c r="F1492" s="474"/>
      <c r="G1492" s="309"/>
    </row>
    <row r="1493" spans="2:7" ht="24.95" customHeight="1" x14ac:dyDescent="0.25">
      <c r="B1493" s="474"/>
      <c r="C1493" s="576"/>
      <c r="D1493" s="589"/>
      <c r="E1493" s="132"/>
      <c r="F1493" s="474"/>
      <c r="G1493" s="309"/>
    </row>
    <row r="1494" spans="2:7" ht="24.95" customHeight="1" x14ac:dyDescent="0.25">
      <c r="B1494" s="474"/>
      <c r="C1494" s="576"/>
      <c r="D1494" s="589"/>
      <c r="E1494" s="132"/>
      <c r="F1494" s="474"/>
      <c r="G1494" s="309"/>
    </row>
    <row r="1495" spans="2:7" ht="24.95" customHeight="1" x14ac:dyDescent="0.25">
      <c r="B1495" s="474"/>
      <c r="C1495" s="576"/>
      <c r="D1495" s="589"/>
      <c r="E1495" s="132"/>
      <c r="F1495" s="474"/>
      <c r="G1495" s="309"/>
    </row>
    <row r="1496" spans="2:7" ht="24.95" customHeight="1" x14ac:dyDescent="0.25">
      <c r="B1496" s="474"/>
      <c r="C1496" s="576"/>
      <c r="D1496" s="589"/>
      <c r="E1496" s="132"/>
      <c r="F1496" s="474"/>
      <c r="G1496" s="309"/>
    </row>
    <row r="1497" spans="2:7" ht="24.95" customHeight="1" x14ac:dyDescent="0.25">
      <c r="B1497" s="474"/>
      <c r="C1497" s="576"/>
      <c r="D1497" s="589"/>
      <c r="E1497" s="132"/>
      <c r="F1497" s="474"/>
      <c r="G1497" s="309"/>
    </row>
    <row r="1498" spans="2:7" ht="24.95" customHeight="1" x14ac:dyDescent="0.25">
      <c r="B1498" s="474"/>
      <c r="C1498" s="576"/>
      <c r="D1498" s="589"/>
      <c r="E1498" s="132"/>
      <c r="F1498" s="474"/>
      <c r="G1498" s="309"/>
    </row>
    <row r="1499" spans="2:7" ht="24.95" customHeight="1" x14ac:dyDescent="0.25">
      <c r="B1499" s="474"/>
      <c r="C1499" s="576"/>
      <c r="D1499" s="589"/>
      <c r="E1499" s="132"/>
      <c r="F1499" s="474"/>
      <c r="G1499" s="309"/>
    </row>
    <row r="1500" spans="2:7" ht="24.95" customHeight="1" x14ac:dyDescent="0.25">
      <c r="B1500" s="474"/>
      <c r="C1500" s="576"/>
      <c r="D1500" s="589"/>
      <c r="E1500" s="132"/>
      <c r="F1500" s="474"/>
      <c r="G1500" s="309"/>
    </row>
    <row r="1501" spans="2:7" ht="24.95" customHeight="1" x14ac:dyDescent="0.25">
      <c r="B1501" s="474"/>
      <c r="C1501" s="576"/>
      <c r="D1501" s="589"/>
      <c r="E1501" s="132"/>
      <c r="F1501" s="474"/>
      <c r="G1501" s="309"/>
    </row>
    <row r="1502" spans="2:7" ht="24.95" customHeight="1" x14ac:dyDescent="0.25">
      <c r="B1502" s="474"/>
      <c r="C1502" s="576"/>
      <c r="D1502" s="589"/>
      <c r="E1502" s="132"/>
      <c r="F1502" s="474"/>
      <c r="G1502" s="309"/>
    </row>
    <row r="1503" spans="2:7" ht="24.95" customHeight="1" x14ac:dyDescent="0.25">
      <c r="B1503" s="474"/>
      <c r="C1503" s="576"/>
      <c r="D1503" s="589"/>
      <c r="E1503" s="132"/>
      <c r="F1503" s="474"/>
      <c r="G1503" s="309"/>
    </row>
    <row r="1504" spans="2:7" ht="24.95" customHeight="1" x14ac:dyDescent="0.25">
      <c r="B1504" s="474"/>
      <c r="C1504" s="576"/>
      <c r="D1504" s="589"/>
      <c r="E1504" s="132"/>
      <c r="F1504" s="474"/>
      <c r="G1504" s="309"/>
    </row>
    <row r="1505" spans="2:7" ht="24.95" customHeight="1" x14ac:dyDescent="0.25">
      <c r="B1505" s="474"/>
      <c r="C1505" s="576"/>
      <c r="D1505" s="589"/>
      <c r="E1505" s="132"/>
      <c r="F1505" s="474"/>
      <c r="G1505" s="309"/>
    </row>
    <row r="1506" spans="2:7" ht="24.95" customHeight="1" x14ac:dyDescent="0.25">
      <c r="B1506" s="474"/>
      <c r="C1506" s="576"/>
      <c r="D1506" s="589"/>
      <c r="E1506" s="132"/>
      <c r="F1506" s="474"/>
      <c r="G1506" s="309"/>
    </row>
    <row r="1507" spans="2:7" ht="24.95" customHeight="1" x14ac:dyDescent="0.25">
      <c r="B1507" s="474"/>
      <c r="C1507" s="576"/>
      <c r="D1507" s="589"/>
      <c r="E1507" s="132"/>
      <c r="F1507" s="474"/>
      <c r="G1507" s="309"/>
    </row>
    <row r="1508" spans="2:7" ht="24.95" customHeight="1" x14ac:dyDescent="0.25">
      <c r="B1508" s="474"/>
      <c r="C1508" s="576"/>
      <c r="D1508" s="589"/>
      <c r="E1508" s="132"/>
      <c r="F1508" s="474"/>
      <c r="G1508" s="309"/>
    </row>
    <row r="1509" spans="2:7" ht="24.95" customHeight="1" x14ac:dyDescent="0.25">
      <c r="B1509" s="474"/>
      <c r="C1509" s="576"/>
      <c r="D1509" s="589"/>
      <c r="E1509" s="132"/>
      <c r="F1509" s="474"/>
      <c r="G1509" s="309"/>
    </row>
    <row r="1510" spans="2:7" ht="24.95" customHeight="1" x14ac:dyDescent="0.25">
      <c r="B1510" s="474"/>
      <c r="C1510" s="576"/>
      <c r="D1510" s="589"/>
      <c r="E1510" s="132"/>
      <c r="F1510" s="474"/>
      <c r="G1510" s="309"/>
    </row>
    <row r="1511" spans="2:7" ht="24.95" customHeight="1" x14ac:dyDescent="0.25">
      <c r="B1511" s="474"/>
      <c r="C1511" s="576"/>
      <c r="D1511" s="589"/>
      <c r="E1511" s="132"/>
      <c r="F1511" s="474"/>
      <c r="G1511" s="309"/>
    </row>
    <row r="1512" spans="2:7" ht="24.95" customHeight="1" x14ac:dyDescent="0.25">
      <c r="B1512" s="474"/>
      <c r="C1512" s="576"/>
      <c r="D1512" s="589"/>
      <c r="E1512" s="132"/>
      <c r="F1512" s="474"/>
      <c r="G1512" s="309"/>
    </row>
    <row r="1513" spans="2:7" ht="24.95" customHeight="1" x14ac:dyDescent="0.25">
      <c r="B1513" s="474"/>
      <c r="C1513" s="576"/>
      <c r="D1513" s="589"/>
      <c r="E1513" s="132"/>
      <c r="F1513" s="474"/>
      <c r="G1513" s="309"/>
    </row>
    <row r="1514" spans="2:7" ht="24.95" customHeight="1" x14ac:dyDescent="0.25">
      <c r="B1514" s="474"/>
      <c r="C1514" s="576"/>
      <c r="D1514" s="589"/>
      <c r="E1514" s="132"/>
      <c r="F1514" s="474"/>
      <c r="G1514" s="309"/>
    </row>
    <row r="1515" spans="2:7" ht="24.95" customHeight="1" x14ac:dyDescent="0.25">
      <c r="B1515" s="474"/>
      <c r="C1515" s="576"/>
      <c r="D1515" s="589"/>
      <c r="E1515" s="132"/>
      <c r="F1515" s="474"/>
      <c r="G1515" s="309"/>
    </row>
    <row r="1516" spans="2:7" ht="24.95" customHeight="1" x14ac:dyDescent="0.25">
      <c r="B1516" s="474"/>
      <c r="C1516" s="576"/>
      <c r="D1516" s="589"/>
      <c r="E1516" s="132"/>
      <c r="F1516" s="474"/>
      <c r="G1516" s="309"/>
    </row>
    <row r="1517" spans="2:7" ht="24.95" customHeight="1" x14ac:dyDescent="0.25">
      <c r="B1517" s="474"/>
      <c r="C1517" s="576"/>
      <c r="D1517" s="589"/>
      <c r="E1517" s="132"/>
      <c r="F1517" s="474"/>
      <c r="G1517" s="309"/>
    </row>
    <row r="1518" spans="2:7" ht="24.95" customHeight="1" x14ac:dyDescent="0.25">
      <c r="B1518" s="474"/>
      <c r="C1518" s="576"/>
      <c r="D1518" s="589"/>
      <c r="E1518" s="132"/>
      <c r="F1518" s="474"/>
      <c r="G1518" s="309"/>
    </row>
    <row r="1519" spans="2:7" ht="24.95" customHeight="1" x14ac:dyDescent="0.25">
      <c r="B1519" s="474"/>
      <c r="C1519" s="576"/>
      <c r="D1519" s="589"/>
      <c r="E1519" s="132"/>
      <c r="F1519" s="474"/>
      <c r="G1519" s="309"/>
    </row>
    <row r="1520" spans="2:7" ht="24.95" customHeight="1" x14ac:dyDescent="0.25">
      <c r="B1520" s="474"/>
      <c r="C1520" s="576"/>
      <c r="D1520" s="589"/>
      <c r="E1520" s="132"/>
      <c r="F1520" s="474"/>
      <c r="G1520" s="309"/>
    </row>
    <row r="1521" spans="2:7" ht="24.95" customHeight="1" x14ac:dyDescent="0.25">
      <c r="B1521" s="474"/>
      <c r="C1521" s="576"/>
      <c r="D1521" s="589"/>
      <c r="E1521" s="132"/>
      <c r="F1521" s="474"/>
      <c r="G1521" s="309"/>
    </row>
    <row r="1522" spans="2:7" ht="24.95" customHeight="1" x14ac:dyDescent="0.25">
      <c r="B1522" s="474"/>
      <c r="C1522" s="576"/>
      <c r="D1522" s="589"/>
      <c r="E1522" s="132"/>
      <c r="F1522" s="474"/>
      <c r="G1522" s="309"/>
    </row>
    <row r="1523" spans="2:7" ht="24.95" customHeight="1" x14ac:dyDescent="0.25">
      <c r="B1523" s="474"/>
      <c r="C1523" s="576"/>
      <c r="D1523" s="589"/>
      <c r="E1523" s="132"/>
      <c r="F1523" s="474"/>
      <c r="G1523" s="309"/>
    </row>
    <row r="1524" spans="2:7" ht="24.95" customHeight="1" x14ac:dyDescent="0.25">
      <c r="B1524" s="474"/>
      <c r="C1524" s="576"/>
      <c r="D1524" s="589"/>
      <c r="E1524" s="132"/>
      <c r="F1524" s="474"/>
      <c r="G1524" s="309"/>
    </row>
    <row r="1525" spans="2:7" ht="24.95" customHeight="1" x14ac:dyDescent="0.25">
      <c r="B1525" s="474"/>
      <c r="C1525" s="576"/>
      <c r="D1525" s="589"/>
      <c r="E1525" s="132"/>
      <c r="F1525" s="474"/>
      <c r="G1525" s="309"/>
    </row>
    <row r="1526" spans="2:7" ht="24.95" customHeight="1" x14ac:dyDescent="0.25">
      <c r="B1526" s="474"/>
      <c r="C1526" s="576"/>
      <c r="D1526" s="589"/>
      <c r="E1526" s="132"/>
      <c r="F1526" s="474"/>
      <c r="G1526" s="309"/>
    </row>
    <row r="1527" spans="2:7" ht="24.95" customHeight="1" x14ac:dyDescent="0.25">
      <c r="B1527" s="474"/>
      <c r="C1527" s="576"/>
      <c r="D1527" s="589"/>
      <c r="E1527" s="132"/>
      <c r="F1527" s="474"/>
      <c r="G1527" s="309"/>
    </row>
    <row r="1528" spans="2:7" ht="24.95" customHeight="1" x14ac:dyDescent="0.25">
      <c r="B1528" s="474"/>
      <c r="C1528" s="576"/>
      <c r="D1528" s="589"/>
      <c r="E1528" s="132"/>
      <c r="F1528" s="474"/>
      <c r="G1528" s="309"/>
    </row>
    <row r="1529" spans="2:7" ht="24.95" customHeight="1" x14ac:dyDescent="0.25">
      <c r="B1529" s="474"/>
      <c r="C1529" s="576"/>
      <c r="D1529" s="589"/>
      <c r="E1529" s="132"/>
      <c r="F1529" s="474"/>
      <c r="G1529" s="309"/>
    </row>
    <row r="1530" spans="2:7" ht="24.95" customHeight="1" x14ac:dyDescent="0.25">
      <c r="B1530" s="474"/>
      <c r="C1530" s="576"/>
      <c r="D1530" s="589"/>
      <c r="E1530" s="132"/>
      <c r="F1530" s="474"/>
      <c r="G1530" s="309"/>
    </row>
    <row r="1531" spans="2:7" ht="24.95" customHeight="1" x14ac:dyDescent="0.25">
      <c r="B1531" s="474"/>
      <c r="C1531" s="576"/>
      <c r="D1531" s="589"/>
      <c r="E1531" s="132"/>
      <c r="F1531" s="474"/>
      <c r="G1531" s="309"/>
    </row>
    <row r="1532" spans="2:7" ht="24.95" customHeight="1" x14ac:dyDescent="0.25">
      <c r="B1532" s="474"/>
      <c r="C1532" s="576"/>
      <c r="D1532" s="589"/>
      <c r="E1532" s="132"/>
      <c r="F1532" s="474"/>
      <c r="G1532" s="309"/>
    </row>
    <row r="1533" spans="2:7" ht="24.95" customHeight="1" x14ac:dyDescent="0.25">
      <c r="B1533" s="474"/>
      <c r="C1533" s="576"/>
      <c r="D1533" s="589"/>
      <c r="E1533" s="132"/>
      <c r="F1533" s="474"/>
      <c r="G1533" s="309"/>
    </row>
    <row r="1534" spans="2:7" ht="24.95" customHeight="1" x14ac:dyDescent="0.25">
      <c r="B1534" s="474"/>
      <c r="C1534" s="576"/>
      <c r="D1534" s="589"/>
      <c r="E1534" s="132"/>
      <c r="F1534" s="474"/>
      <c r="G1534" s="309"/>
    </row>
    <row r="1535" spans="2:7" ht="24.95" customHeight="1" x14ac:dyDescent="0.25">
      <c r="B1535" s="474"/>
      <c r="C1535" s="576"/>
      <c r="D1535" s="589"/>
      <c r="E1535" s="132"/>
      <c r="F1535" s="474"/>
      <c r="G1535" s="309"/>
    </row>
    <row r="1536" spans="2:7" ht="24.95" customHeight="1" x14ac:dyDescent="0.25">
      <c r="B1536" s="474"/>
      <c r="C1536" s="576"/>
      <c r="D1536" s="589"/>
      <c r="E1536" s="132"/>
      <c r="F1536" s="474"/>
      <c r="G1536" s="309"/>
    </row>
    <row r="1537" spans="2:7" ht="24.95" customHeight="1" x14ac:dyDescent="0.25">
      <c r="B1537" s="474"/>
      <c r="C1537" s="576"/>
      <c r="D1537" s="589"/>
      <c r="E1537" s="132"/>
      <c r="F1537" s="474"/>
      <c r="G1537" s="309"/>
    </row>
    <row r="1538" spans="2:7" ht="24.95" customHeight="1" x14ac:dyDescent="0.25">
      <c r="B1538" s="474"/>
      <c r="C1538" s="576"/>
      <c r="D1538" s="589"/>
      <c r="E1538" s="132"/>
      <c r="F1538" s="474"/>
      <c r="G1538" s="309"/>
    </row>
    <row r="1539" spans="2:7" ht="24.95" customHeight="1" x14ac:dyDescent="0.25">
      <c r="B1539" s="474"/>
      <c r="C1539" s="576"/>
      <c r="D1539" s="589"/>
      <c r="E1539" s="132"/>
      <c r="F1539" s="474"/>
      <c r="G1539" s="309"/>
    </row>
    <row r="1540" spans="2:7" ht="24.95" customHeight="1" x14ac:dyDescent="0.25">
      <c r="B1540" s="474"/>
      <c r="C1540" s="576"/>
      <c r="D1540" s="589"/>
      <c r="E1540" s="132"/>
      <c r="F1540" s="474"/>
      <c r="G1540" s="309"/>
    </row>
    <row r="1541" spans="2:7" ht="24.95" customHeight="1" x14ac:dyDescent="0.25">
      <c r="B1541" s="474"/>
      <c r="C1541" s="576"/>
      <c r="D1541" s="589"/>
      <c r="E1541" s="132"/>
      <c r="F1541" s="474"/>
      <c r="G1541" s="309"/>
    </row>
    <row r="1542" spans="2:7" ht="24.95" customHeight="1" x14ac:dyDescent="0.25">
      <c r="B1542" s="474"/>
      <c r="C1542" s="576"/>
      <c r="D1542" s="589"/>
      <c r="E1542" s="132"/>
      <c r="F1542" s="474"/>
      <c r="G1542" s="309"/>
    </row>
    <row r="1543" spans="2:7" ht="24.95" customHeight="1" x14ac:dyDescent="0.25">
      <c r="B1543" s="474"/>
      <c r="C1543" s="576"/>
      <c r="D1543" s="589"/>
      <c r="E1543" s="132"/>
      <c r="F1543" s="474"/>
      <c r="G1543" s="309"/>
    </row>
    <row r="1544" spans="2:7" ht="24.95" customHeight="1" x14ac:dyDescent="0.25">
      <c r="B1544" s="474"/>
      <c r="C1544" s="576"/>
      <c r="D1544" s="589"/>
      <c r="E1544" s="132"/>
      <c r="F1544" s="474"/>
      <c r="G1544" s="309"/>
    </row>
    <row r="1545" spans="2:7" ht="24.95" customHeight="1" x14ac:dyDescent="0.25">
      <c r="B1545" s="474"/>
      <c r="C1545" s="576"/>
      <c r="D1545" s="589"/>
      <c r="E1545" s="132"/>
      <c r="F1545" s="474"/>
      <c r="G1545" s="309"/>
    </row>
    <row r="1546" spans="2:7" ht="24.95" customHeight="1" x14ac:dyDescent="0.25">
      <c r="B1546" s="474"/>
      <c r="C1546" s="576"/>
      <c r="D1546" s="589"/>
      <c r="E1546" s="132"/>
      <c r="F1546" s="474"/>
      <c r="G1546" s="309"/>
    </row>
    <row r="1547" spans="2:7" ht="24.95" customHeight="1" x14ac:dyDescent="0.25">
      <c r="B1547" s="474"/>
      <c r="C1547" s="576"/>
      <c r="D1547" s="589"/>
      <c r="E1547" s="132"/>
      <c r="F1547" s="474"/>
      <c r="G1547" s="309"/>
    </row>
    <row r="1548" spans="2:7" ht="24.95" customHeight="1" x14ac:dyDescent="0.25">
      <c r="B1548" s="474"/>
      <c r="C1548" s="576"/>
      <c r="D1548" s="589"/>
      <c r="E1548" s="132"/>
      <c r="F1548" s="474"/>
      <c r="G1548" s="309"/>
    </row>
    <row r="1549" spans="2:7" ht="24.95" customHeight="1" x14ac:dyDescent="0.25">
      <c r="B1549" s="474"/>
      <c r="C1549" s="576"/>
      <c r="D1549" s="589"/>
      <c r="E1549" s="132"/>
      <c r="F1549" s="474"/>
      <c r="G1549" s="309"/>
    </row>
    <row r="1550" spans="2:7" ht="24.95" customHeight="1" x14ac:dyDescent="0.25">
      <c r="B1550" s="474"/>
      <c r="C1550" s="576"/>
      <c r="D1550" s="589"/>
      <c r="E1550" s="132"/>
      <c r="F1550" s="474"/>
      <c r="G1550" s="309"/>
    </row>
    <row r="1551" spans="2:7" ht="24.95" customHeight="1" x14ac:dyDescent="0.25">
      <c r="B1551" s="474"/>
      <c r="C1551" s="576"/>
      <c r="D1551" s="589"/>
      <c r="E1551" s="132"/>
      <c r="F1551" s="474"/>
      <c r="G1551" s="309"/>
    </row>
    <row r="1552" spans="2:7" ht="24.95" customHeight="1" x14ac:dyDescent="0.25">
      <c r="B1552" s="474"/>
      <c r="C1552" s="576"/>
      <c r="D1552" s="589"/>
      <c r="E1552" s="132"/>
      <c r="F1552" s="474"/>
      <c r="G1552" s="309"/>
    </row>
    <row r="1553" spans="2:7" ht="24.95" customHeight="1" x14ac:dyDescent="0.25">
      <c r="B1553" s="474"/>
      <c r="C1553" s="576"/>
      <c r="D1553" s="589"/>
      <c r="E1553" s="132"/>
      <c r="F1553" s="474"/>
      <c r="G1553" s="309"/>
    </row>
    <row r="1554" spans="2:7" ht="24.95" customHeight="1" x14ac:dyDescent="0.25">
      <c r="B1554" s="474"/>
      <c r="C1554" s="576"/>
      <c r="D1554" s="589"/>
      <c r="E1554" s="132"/>
      <c r="F1554" s="474"/>
      <c r="G1554" s="309"/>
    </row>
    <row r="1555" spans="2:7" ht="24.95" customHeight="1" x14ac:dyDescent="0.25">
      <c r="B1555" s="474"/>
      <c r="C1555" s="576"/>
      <c r="D1555" s="589"/>
      <c r="E1555" s="132"/>
      <c r="F1555" s="474"/>
      <c r="G1555" s="309"/>
    </row>
    <row r="1556" spans="2:7" ht="24.95" customHeight="1" x14ac:dyDescent="0.25">
      <c r="B1556" s="474"/>
      <c r="C1556" s="576"/>
      <c r="D1556" s="589"/>
      <c r="E1556" s="132"/>
      <c r="F1556" s="474"/>
      <c r="G1556" s="309"/>
    </row>
    <row r="1557" spans="2:7" ht="24.95" customHeight="1" x14ac:dyDescent="0.25">
      <c r="B1557" s="474"/>
      <c r="C1557" s="576"/>
      <c r="D1557" s="589"/>
      <c r="E1557" s="132"/>
      <c r="F1557" s="474"/>
      <c r="G1557" s="309"/>
    </row>
    <row r="1558" spans="2:7" ht="24.95" customHeight="1" x14ac:dyDescent="0.25">
      <c r="B1558" s="474"/>
      <c r="C1558" s="576"/>
      <c r="D1558" s="589"/>
      <c r="E1558" s="132"/>
      <c r="F1558" s="474"/>
      <c r="G1558" s="309"/>
    </row>
    <row r="1559" spans="2:7" ht="24.95" customHeight="1" x14ac:dyDescent="0.25">
      <c r="B1559" s="474"/>
      <c r="C1559" s="576"/>
      <c r="D1559" s="589"/>
      <c r="E1559" s="132"/>
      <c r="F1559" s="474"/>
      <c r="G1559" s="309"/>
    </row>
    <row r="1560" spans="2:7" ht="24.95" customHeight="1" x14ac:dyDescent="0.25">
      <c r="B1560" s="474"/>
      <c r="C1560" s="576"/>
      <c r="D1560" s="589"/>
      <c r="E1560" s="132"/>
      <c r="F1560" s="474"/>
      <c r="G1560" s="309"/>
    </row>
    <row r="1561" spans="2:7" ht="24.95" customHeight="1" x14ac:dyDescent="0.25">
      <c r="B1561" s="474"/>
      <c r="C1561" s="576"/>
      <c r="D1561" s="589"/>
      <c r="E1561" s="132"/>
      <c r="F1561" s="474"/>
      <c r="G1561" s="309"/>
    </row>
    <row r="1562" spans="2:7" ht="24.95" customHeight="1" x14ac:dyDescent="0.25">
      <c r="B1562" s="474"/>
      <c r="C1562" s="576"/>
      <c r="D1562" s="589"/>
      <c r="E1562" s="132"/>
      <c r="F1562" s="474"/>
      <c r="G1562" s="309"/>
    </row>
    <row r="1563" spans="2:7" ht="24.95" customHeight="1" x14ac:dyDescent="0.25">
      <c r="B1563" s="474"/>
      <c r="C1563" s="576"/>
      <c r="D1563" s="589"/>
      <c r="E1563" s="132"/>
      <c r="F1563" s="474"/>
      <c r="G1563" s="309"/>
    </row>
    <row r="1564" spans="2:7" ht="24.95" customHeight="1" x14ac:dyDescent="0.25">
      <c r="B1564" s="474"/>
      <c r="C1564" s="576"/>
      <c r="D1564" s="589"/>
      <c r="E1564" s="132"/>
      <c r="F1564" s="474"/>
      <c r="G1564" s="309"/>
    </row>
    <row r="1565" spans="2:7" ht="24.95" customHeight="1" x14ac:dyDescent="0.25">
      <c r="B1565" s="474"/>
      <c r="C1565" s="576"/>
      <c r="D1565" s="589"/>
      <c r="E1565" s="132"/>
      <c r="F1565" s="474"/>
      <c r="G1565" s="309"/>
    </row>
    <row r="1566" spans="2:7" ht="24.95" customHeight="1" x14ac:dyDescent="0.25">
      <c r="B1566" s="474"/>
      <c r="C1566" s="576"/>
      <c r="D1566" s="589"/>
      <c r="E1566" s="132"/>
      <c r="F1566" s="474"/>
      <c r="G1566" s="309"/>
    </row>
    <row r="1567" spans="2:7" ht="24.95" customHeight="1" x14ac:dyDescent="0.25">
      <c r="B1567" s="474"/>
      <c r="C1567" s="576"/>
      <c r="D1567" s="589"/>
      <c r="E1567" s="132"/>
      <c r="F1567" s="474"/>
      <c r="G1567" s="309"/>
    </row>
    <row r="1568" spans="2:7" ht="24.95" customHeight="1" x14ac:dyDescent="0.25">
      <c r="B1568" s="474"/>
      <c r="C1568" s="576"/>
      <c r="D1568" s="589"/>
      <c r="E1568" s="132"/>
      <c r="F1568" s="474"/>
      <c r="G1568" s="309"/>
    </row>
    <row r="1569" spans="2:7" ht="24.95" customHeight="1" x14ac:dyDescent="0.25">
      <c r="B1569" s="474"/>
      <c r="C1569" s="576"/>
      <c r="D1569" s="589"/>
      <c r="E1569" s="132"/>
      <c r="F1569" s="474"/>
      <c r="G1569" s="309"/>
    </row>
    <row r="1570" spans="2:7" ht="24.95" customHeight="1" x14ac:dyDescent="0.25">
      <c r="B1570" s="474"/>
      <c r="C1570" s="576"/>
      <c r="D1570" s="589"/>
      <c r="E1570" s="132"/>
      <c r="F1570" s="474"/>
      <c r="G1570" s="309"/>
    </row>
    <row r="1571" spans="2:7" ht="24.95" customHeight="1" x14ac:dyDescent="0.25">
      <c r="B1571" s="474"/>
      <c r="C1571" s="576"/>
      <c r="D1571" s="589"/>
      <c r="E1571" s="132"/>
      <c r="F1571" s="474"/>
      <c r="G1571" s="309"/>
    </row>
    <row r="1572" spans="2:7" ht="24.95" customHeight="1" x14ac:dyDescent="0.25">
      <c r="B1572" s="474"/>
      <c r="C1572" s="576"/>
      <c r="D1572" s="589"/>
      <c r="E1572" s="132"/>
      <c r="F1572" s="474"/>
      <c r="G1572" s="309"/>
    </row>
    <row r="1573" spans="2:7" ht="24.95" customHeight="1" x14ac:dyDescent="0.25">
      <c r="B1573" s="474"/>
      <c r="C1573" s="576"/>
      <c r="D1573" s="589"/>
      <c r="E1573" s="132"/>
      <c r="F1573" s="474"/>
      <c r="G1573" s="309"/>
    </row>
    <row r="1574" spans="2:7" ht="24.95" customHeight="1" x14ac:dyDescent="0.25">
      <c r="B1574" s="474"/>
      <c r="C1574" s="576"/>
      <c r="D1574" s="589"/>
      <c r="E1574" s="132"/>
      <c r="F1574" s="474"/>
      <c r="G1574" s="309"/>
    </row>
    <row r="1575" spans="2:7" ht="24.95" customHeight="1" x14ac:dyDescent="0.25">
      <c r="B1575" s="474"/>
      <c r="C1575" s="576"/>
      <c r="D1575" s="589"/>
      <c r="E1575" s="132"/>
      <c r="F1575" s="474"/>
      <c r="G1575" s="309"/>
    </row>
    <row r="1576" spans="2:7" ht="24.95" customHeight="1" x14ac:dyDescent="0.25">
      <c r="B1576" s="474"/>
      <c r="C1576" s="576"/>
      <c r="D1576" s="589"/>
      <c r="E1576" s="132"/>
      <c r="F1576" s="474"/>
      <c r="G1576" s="309"/>
    </row>
    <row r="1577" spans="2:7" ht="24.95" customHeight="1" x14ac:dyDescent="0.25">
      <c r="B1577" s="474"/>
      <c r="C1577" s="576"/>
      <c r="D1577" s="589"/>
      <c r="E1577" s="132"/>
      <c r="F1577" s="474"/>
      <c r="G1577" s="309"/>
    </row>
    <row r="1578" spans="2:7" ht="24.95" customHeight="1" x14ac:dyDescent="0.25">
      <c r="B1578" s="474"/>
      <c r="C1578" s="576"/>
      <c r="D1578" s="589"/>
      <c r="E1578" s="132"/>
      <c r="F1578" s="474"/>
      <c r="G1578" s="309"/>
    </row>
    <row r="1579" spans="2:7" ht="24.95" customHeight="1" x14ac:dyDescent="0.25">
      <c r="B1579" s="474"/>
      <c r="C1579" s="576"/>
      <c r="D1579" s="589"/>
      <c r="E1579" s="132"/>
      <c r="F1579" s="474"/>
      <c r="G1579" s="309"/>
    </row>
    <row r="1580" spans="2:7" ht="24.95" customHeight="1" x14ac:dyDescent="0.25">
      <c r="B1580" s="474"/>
      <c r="C1580" s="576"/>
      <c r="D1580" s="589"/>
      <c r="E1580" s="132"/>
      <c r="F1580" s="474"/>
      <c r="G1580" s="309"/>
    </row>
    <row r="1581" spans="2:7" ht="24.95" customHeight="1" x14ac:dyDescent="0.25">
      <c r="B1581" s="474"/>
      <c r="C1581" s="576"/>
      <c r="D1581" s="589"/>
      <c r="E1581" s="132"/>
      <c r="F1581" s="474"/>
      <c r="G1581" s="309"/>
    </row>
    <row r="1582" spans="2:7" ht="24.95" customHeight="1" x14ac:dyDescent="0.25">
      <c r="B1582" s="474"/>
      <c r="C1582" s="576"/>
      <c r="D1582" s="589"/>
      <c r="E1582" s="132"/>
      <c r="F1582" s="474"/>
      <c r="G1582" s="309"/>
    </row>
    <row r="1583" spans="2:7" ht="24.95" customHeight="1" x14ac:dyDescent="0.25">
      <c r="B1583" s="474"/>
      <c r="C1583" s="576"/>
      <c r="D1583" s="589"/>
      <c r="E1583" s="132"/>
      <c r="F1583" s="474"/>
      <c r="G1583" s="309"/>
    </row>
    <row r="1584" spans="2:7" ht="24.95" customHeight="1" x14ac:dyDescent="0.25">
      <c r="B1584" s="474"/>
      <c r="C1584" s="576"/>
      <c r="D1584" s="589"/>
      <c r="E1584" s="132"/>
      <c r="F1584" s="474"/>
      <c r="G1584" s="309"/>
    </row>
    <row r="1585" spans="2:7" ht="24.95" customHeight="1" x14ac:dyDescent="0.25">
      <c r="B1585" s="474"/>
      <c r="C1585" s="576"/>
      <c r="D1585" s="589"/>
      <c r="E1585" s="132"/>
      <c r="F1585" s="474"/>
      <c r="G1585" s="309"/>
    </row>
    <row r="1586" spans="2:7" ht="24.95" customHeight="1" x14ac:dyDescent="0.25">
      <c r="B1586" s="474"/>
      <c r="C1586" s="576"/>
      <c r="D1586" s="589"/>
      <c r="E1586" s="132"/>
      <c r="F1586" s="474"/>
      <c r="G1586" s="309"/>
    </row>
    <row r="1587" spans="2:7" ht="24.95" customHeight="1" x14ac:dyDescent="0.25">
      <c r="B1587" s="474"/>
      <c r="C1587" s="576"/>
      <c r="D1587" s="589"/>
      <c r="E1587" s="132"/>
      <c r="F1587" s="474"/>
      <c r="G1587" s="309"/>
    </row>
    <row r="1588" spans="2:7" ht="24.95" customHeight="1" x14ac:dyDescent="0.25">
      <c r="B1588" s="474"/>
      <c r="C1588" s="576"/>
      <c r="D1588" s="589"/>
      <c r="E1588" s="132"/>
      <c r="F1588" s="474"/>
      <c r="G1588" s="309"/>
    </row>
    <row r="1589" spans="2:7" ht="24.95" customHeight="1" x14ac:dyDescent="0.25">
      <c r="B1589" s="474"/>
      <c r="C1589" s="576"/>
      <c r="D1589" s="589"/>
      <c r="E1589" s="132"/>
      <c r="F1589" s="474"/>
      <c r="G1589" s="309"/>
    </row>
    <row r="1590" spans="2:7" ht="24.95" customHeight="1" x14ac:dyDescent="0.25">
      <c r="B1590" s="474"/>
      <c r="C1590" s="576"/>
      <c r="D1590" s="589"/>
      <c r="E1590" s="132"/>
      <c r="F1590" s="474"/>
      <c r="G1590" s="309"/>
    </row>
    <row r="1591" spans="2:7" ht="24.95" customHeight="1" x14ac:dyDescent="0.25">
      <c r="B1591" s="474"/>
      <c r="C1591" s="576"/>
      <c r="D1591" s="589"/>
      <c r="E1591" s="132"/>
      <c r="F1591" s="474"/>
      <c r="G1591" s="309"/>
    </row>
    <row r="1592" spans="2:7" ht="24.95" customHeight="1" x14ac:dyDescent="0.25">
      <c r="B1592" s="474"/>
      <c r="C1592" s="576"/>
      <c r="D1592" s="589"/>
      <c r="E1592" s="132"/>
      <c r="F1592" s="474"/>
      <c r="G1592" s="309"/>
    </row>
    <row r="1593" spans="2:7" ht="24.95" customHeight="1" x14ac:dyDescent="0.25">
      <c r="B1593" s="474"/>
      <c r="C1593" s="576"/>
      <c r="D1593" s="589"/>
      <c r="E1593" s="132"/>
      <c r="F1593" s="474"/>
      <c r="G1593" s="309"/>
    </row>
    <row r="1594" spans="2:7" ht="24.95" customHeight="1" x14ac:dyDescent="0.25">
      <c r="B1594" s="474"/>
      <c r="C1594" s="576"/>
      <c r="D1594" s="589"/>
      <c r="E1594" s="132"/>
      <c r="F1594" s="474"/>
      <c r="G1594" s="309"/>
    </row>
    <row r="1595" spans="2:7" ht="24.95" customHeight="1" x14ac:dyDescent="0.25">
      <c r="B1595" s="474"/>
      <c r="C1595" s="576"/>
      <c r="D1595" s="589"/>
      <c r="E1595" s="132"/>
      <c r="F1595" s="474"/>
      <c r="G1595" s="309"/>
    </row>
    <row r="1596" spans="2:7" ht="24.95" customHeight="1" x14ac:dyDescent="0.25">
      <c r="B1596" s="474"/>
      <c r="C1596" s="576"/>
      <c r="D1596" s="589"/>
      <c r="E1596" s="132"/>
      <c r="F1596" s="474"/>
      <c r="G1596" s="309"/>
    </row>
    <row r="1597" spans="2:7" ht="24.95" customHeight="1" x14ac:dyDescent="0.25">
      <c r="B1597" s="474"/>
      <c r="C1597" s="576"/>
      <c r="D1597" s="589"/>
      <c r="E1597" s="132"/>
      <c r="F1597" s="474"/>
      <c r="G1597" s="309"/>
    </row>
    <row r="1598" spans="2:7" ht="24.95" customHeight="1" x14ac:dyDescent="0.25">
      <c r="B1598" s="474"/>
      <c r="C1598" s="576"/>
      <c r="D1598" s="589"/>
      <c r="E1598" s="132"/>
      <c r="F1598" s="474"/>
      <c r="G1598" s="309"/>
    </row>
    <row r="1599" spans="2:7" ht="24.95" customHeight="1" x14ac:dyDescent="0.25">
      <c r="B1599" s="474"/>
      <c r="C1599" s="576"/>
      <c r="D1599" s="589"/>
      <c r="E1599" s="132"/>
      <c r="F1599" s="474"/>
      <c r="G1599" s="309"/>
    </row>
    <row r="1600" spans="2:7" ht="24.95" customHeight="1" x14ac:dyDescent="0.25">
      <c r="B1600" s="474"/>
      <c r="C1600" s="576"/>
      <c r="D1600" s="589"/>
      <c r="E1600" s="132"/>
      <c r="F1600" s="474"/>
      <c r="G1600" s="309"/>
    </row>
    <row r="1601" spans="2:7" ht="24.95" customHeight="1" x14ac:dyDescent="0.25">
      <c r="B1601" s="474"/>
      <c r="C1601" s="576"/>
      <c r="D1601" s="589"/>
      <c r="E1601" s="132"/>
      <c r="F1601" s="474"/>
      <c r="G1601" s="309"/>
    </row>
    <row r="1602" spans="2:7" ht="24.95" customHeight="1" x14ac:dyDescent="0.25">
      <c r="B1602" s="474"/>
      <c r="C1602" s="576"/>
      <c r="D1602" s="589"/>
      <c r="E1602" s="132"/>
      <c r="F1602" s="474"/>
      <c r="G1602" s="309"/>
    </row>
    <row r="1603" spans="2:7" ht="24.95" customHeight="1" x14ac:dyDescent="0.25">
      <c r="B1603" s="474"/>
      <c r="C1603" s="576"/>
      <c r="D1603" s="589"/>
      <c r="E1603" s="132"/>
      <c r="F1603" s="474"/>
      <c r="G1603" s="309"/>
    </row>
    <row r="1604" spans="2:7" ht="24.95" customHeight="1" x14ac:dyDescent="0.25">
      <c r="B1604" s="474"/>
      <c r="C1604" s="576"/>
      <c r="D1604" s="589"/>
      <c r="E1604" s="132"/>
      <c r="F1604" s="474"/>
      <c r="G1604" s="309"/>
    </row>
    <row r="1605" spans="2:7" ht="24.95" customHeight="1" x14ac:dyDescent="0.25">
      <c r="B1605" s="474"/>
      <c r="C1605" s="576"/>
      <c r="D1605" s="589"/>
      <c r="E1605" s="132"/>
      <c r="F1605" s="474"/>
      <c r="G1605" s="309"/>
    </row>
    <row r="1606" spans="2:7" ht="24.95" customHeight="1" x14ac:dyDescent="0.25">
      <c r="B1606" s="474"/>
      <c r="C1606" s="576"/>
      <c r="D1606" s="589"/>
      <c r="E1606" s="132"/>
      <c r="F1606" s="474"/>
      <c r="G1606" s="309"/>
    </row>
    <row r="1607" spans="2:7" ht="24.95" customHeight="1" x14ac:dyDescent="0.25">
      <c r="B1607" s="474"/>
      <c r="C1607" s="576"/>
      <c r="D1607" s="589"/>
      <c r="E1607" s="132"/>
      <c r="F1607" s="474"/>
      <c r="G1607" s="309"/>
    </row>
    <row r="1608" spans="2:7" ht="24.95" customHeight="1" x14ac:dyDescent="0.25">
      <c r="B1608" s="474"/>
      <c r="C1608" s="576"/>
      <c r="D1608" s="589"/>
      <c r="E1608" s="132"/>
      <c r="F1608" s="474"/>
      <c r="G1608" s="309"/>
    </row>
    <row r="1609" spans="2:7" ht="24.95" customHeight="1" x14ac:dyDescent="0.25">
      <c r="B1609" s="474"/>
      <c r="C1609" s="576"/>
      <c r="D1609" s="589"/>
      <c r="E1609" s="132"/>
      <c r="F1609" s="474"/>
      <c r="G1609" s="309"/>
    </row>
    <row r="1610" spans="2:7" ht="24.95" customHeight="1" x14ac:dyDescent="0.25">
      <c r="B1610" s="474"/>
      <c r="C1610" s="576"/>
      <c r="D1610" s="589"/>
      <c r="E1610" s="132"/>
      <c r="F1610" s="474"/>
      <c r="G1610" s="309"/>
    </row>
    <row r="1611" spans="2:7" ht="24.95" customHeight="1" x14ac:dyDescent="0.25">
      <c r="B1611" s="474"/>
      <c r="C1611" s="576"/>
      <c r="D1611" s="589"/>
      <c r="E1611" s="132"/>
      <c r="F1611" s="474"/>
      <c r="G1611" s="309"/>
    </row>
    <row r="1612" spans="2:7" ht="24.95" customHeight="1" x14ac:dyDescent="0.25">
      <c r="B1612" s="474"/>
      <c r="C1612" s="576"/>
      <c r="D1612" s="589"/>
      <c r="E1612" s="132"/>
      <c r="F1612" s="474"/>
      <c r="G1612" s="309"/>
    </row>
    <row r="1613" spans="2:7" ht="24.95" customHeight="1" x14ac:dyDescent="0.25">
      <c r="B1613" s="474"/>
      <c r="C1613" s="576"/>
      <c r="D1613" s="589"/>
      <c r="E1613" s="132"/>
      <c r="F1613" s="474"/>
      <c r="G1613" s="309"/>
    </row>
    <row r="1614" spans="2:7" ht="24.95" customHeight="1" x14ac:dyDescent="0.25">
      <c r="B1614" s="474"/>
      <c r="C1614" s="576"/>
      <c r="D1614" s="589"/>
      <c r="E1614" s="132"/>
      <c r="F1614" s="474"/>
      <c r="G1614" s="309"/>
    </row>
    <row r="1615" spans="2:7" ht="24.95" customHeight="1" x14ac:dyDescent="0.25">
      <c r="B1615" s="474"/>
      <c r="C1615" s="576"/>
      <c r="D1615" s="589"/>
      <c r="E1615" s="132"/>
      <c r="F1615" s="474"/>
      <c r="G1615" s="309"/>
    </row>
    <row r="1616" spans="2:7" ht="24.95" customHeight="1" x14ac:dyDescent="0.25">
      <c r="B1616" s="474"/>
      <c r="C1616" s="576"/>
      <c r="D1616" s="589"/>
      <c r="E1616" s="132"/>
      <c r="F1616" s="474"/>
      <c r="G1616" s="309"/>
    </row>
    <row r="1617" spans="2:7" ht="24.95" customHeight="1" x14ac:dyDescent="0.25">
      <c r="B1617" s="474"/>
      <c r="C1617" s="576"/>
      <c r="D1617" s="589"/>
      <c r="E1617" s="132"/>
      <c r="F1617" s="474"/>
      <c r="G1617" s="309"/>
    </row>
    <row r="1618" spans="2:7" ht="24.95" customHeight="1" x14ac:dyDescent="0.25">
      <c r="B1618" s="474"/>
      <c r="C1618" s="576"/>
      <c r="D1618" s="589"/>
      <c r="E1618" s="132"/>
      <c r="F1618" s="474"/>
      <c r="G1618" s="309"/>
    </row>
    <row r="1619" spans="2:7" ht="24.95" customHeight="1" x14ac:dyDescent="0.25">
      <c r="B1619" s="474"/>
      <c r="C1619" s="576"/>
      <c r="D1619" s="589"/>
      <c r="E1619" s="132"/>
      <c r="F1619" s="474"/>
      <c r="G1619" s="309"/>
    </row>
    <row r="1620" spans="2:7" ht="24.95" customHeight="1" x14ac:dyDescent="0.25">
      <c r="B1620" s="474"/>
      <c r="C1620" s="576"/>
      <c r="D1620" s="589"/>
      <c r="E1620" s="132"/>
      <c r="F1620" s="474"/>
      <c r="G1620" s="309"/>
    </row>
    <row r="1621" spans="2:7" ht="24.95" customHeight="1" x14ac:dyDescent="0.25">
      <c r="B1621" s="474"/>
      <c r="C1621" s="576"/>
      <c r="D1621" s="589"/>
      <c r="E1621" s="132"/>
      <c r="F1621" s="474"/>
      <c r="G1621" s="309"/>
    </row>
    <row r="1622" spans="2:7" ht="24.95" customHeight="1" x14ac:dyDescent="0.25">
      <c r="B1622" s="474"/>
      <c r="C1622" s="576"/>
      <c r="D1622" s="589"/>
      <c r="E1622" s="132"/>
      <c r="F1622" s="474"/>
      <c r="G1622" s="309"/>
    </row>
    <row r="1623" spans="2:7" ht="24.95" customHeight="1" x14ac:dyDescent="0.25">
      <c r="B1623" s="474"/>
      <c r="C1623" s="576"/>
      <c r="D1623" s="589"/>
      <c r="E1623" s="132"/>
      <c r="F1623" s="474"/>
      <c r="G1623" s="309"/>
    </row>
    <row r="1624" spans="2:7" ht="24.95" customHeight="1" x14ac:dyDescent="0.25">
      <c r="B1624" s="474"/>
      <c r="C1624" s="576"/>
      <c r="D1624" s="589"/>
      <c r="E1624" s="132"/>
      <c r="F1624" s="474"/>
      <c r="G1624" s="309"/>
    </row>
    <row r="1625" spans="2:7" ht="24.95" customHeight="1" x14ac:dyDescent="0.25">
      <c r="B1625" s="474"/>
      <c r="C1625" s="576"/>
      <c r="D1625" s="589"/>
      <c r="E1625" s="132"/>
      <c r="F1625" s="474"/>
      <c r="G1625" s="309"/>
    </row>
    <row r="1626" spans="2:7" ht="24.95" customHeight="1" x14ac:dyDescent="0.25">
      <c r="B1626" s="474"/>
      <c r="C1626" s="576"/>
      <c r="D1626" s="589"/>
      <c r="E1626" s="132"/>
      <c r="F1626" s="474"/>
      <c r="G1626" s="309"/>
    </row>
    <row r="1627" spans="2:7" ht="24.95" customHeight="1" x14ac:dyDescent="0.25">
      <c r="B1627" s="474"/>
      <c r="C1627" s="576"/>
      <c r="D1627" s="589"/>
      <c r="E1627" s="132"/>
      <c r="F1627" s="474"/>
      <c r="G1627" s="309"/>
    </row>
    <row r="1628" spans="2:7" ht="24.95" customHeight="1" x14ac:dyDescent="0.25">
      <c r="C1628" s="576"/>
    </row>
    <row r="1629" spans="2:7" ht="24.95" customHeight="1" x14ac:dyDescent="0.25">
      <c r="C1629" s="576"/>
    </row>
    <row r="1630" spans="2:7" ht="24.95" customHeight="1" x14ac:dyDescent="0.25">
      <c r="C1630" s="576"/>
    </row>
    <row r="1631" spans="2:7" ht="24.95" customHeight="1" x14ac:dyDescent="0.25">
      <c r="C1631" s="576"/>
    </row>
    <row r="1632" spans="2:7" ht="24.95" customHeight="1" x14ac:dyDescent="0.25">
      <c r="C1632" s="576"/>
    </row>
    <row r="1633" spans="3:3" ht="24.95" customHeight="1" x14ac:dyDescent="0.25">
      <c r="C1633" s="576"/>
    </row>
    <row r="1634" spans="3:3" ht="24.95" customHeight="1" x14ac:dyDescent="0.25">
      <c r="C1634" s="576"/>
    </row>
    <row r="1635" spans="3:3" ht="24.95" customHeight="1" x14ac:dyDescent="0.25">
      <c r="C1635" s="576"/>
    </row>
    <row r="1636" spans="3:3" ht="24.95" customHeight="1" x14ac:dyDescent="0.25">
      <c r="C1636" s="576"/>
    </row>
    <row r="1637" spans="3:3" ht="24.95" customHeight="1" x14ac:dyDescent="0.25">
      <c r="C1637" s="576"/>
    </row>
    <row r="1638" spans="3:3" ht="24.95" customHeight="1" x14ac:dyDescent="0.25">
      <c r="C1638" s="576"/>
    </row>
    <row r="1639" spans="3:3" ht="24.95" customHeight="1" x14ac:dyDescent="0.25">
      <c r="C1639" s="576"/>
    </row>
    <row r="1640" spans="3:3" ht="24.95" customHeight="1" x14ac:dyDescent="0.25">
      <c r="C1640" s="576"/>
    </row>
    <row r="1641" spans="3:3" ht="24.95" customHeight="1" x14ac:dyDescent="0.25">
      <c r="C1641" s="576"/>
    </row>
    <row r="1642" spans="3:3" ht="24.95" customHeight="1" x14ac:dyDescent="0.25">
      <c r="C1642" s="576"/>
    </row>
    <row r="1643" spans="3:3" ht="24.95" customHeight="1" x14ac:dyDescent="0.25">
      <c r="C1643" s="576"/>
    </row>
    <row r="1644" spans="3:3" ht="24.95" customHeight="1" x14ac:dyDescent="0.25">
      <c r="C1644" s="576"/>
    </row>
    <row r="1645" spans="3:3" ht="24.95" customHeight="1" x14ac:dyDescent="0.25">
      <c r="C1645" s="576"/>
    </row>
    <row r="1646" spans="3:3" ht="24.95" customHeight="1" x14ac:dyDescent="0.25">
      <c r="C1646" s="576"/>
    </row>
    <row r="1647" spans="3:3" ht="24.95" customHeight="1" x14ac:dyDescent="0.25">
      <c r="C1647" s="576"/>
    </row>
    <row r="1648" spans="3:3" ht="24.95" customHeight="1" x14ac:dyDescent="0.25">
      <c r="C1648" s="576"/>
    </row>
    <row r="1649" spans="3:3" ht="24.95" customHeight="1" x14ac:dyDescent="0.25">
      <c r="C1649" s="576"/>
    </row>
    <row r="1650" spans="3:3" ht="24.95" customHeight="1" x14ac:dyDescent="0.25">
      <c r="C1650" s="576"/>
    </row>
    <row r="1651" spans="3:3" ht="24.95" customHeight="1" x14ac:dyDescent="0.25">
      <c r="C1651" s="576"/>
    </row>
    <row r="1652" spans="3:3" ht="24.95" customHeight="1" x14ac:dyDescent="0.25">
      <c r="C1652" s="576"/>
    </row>
    <row r="1653" spans="3:3" ht="24.95" customHeight="1" x14ac:dyDescent="0.25">
      <c r="C1653" s="576"/>
    </row>
    <row r="1654" spans="3:3" ht="24.95" customHeight="1" x14ac:dyDescent="0.25">
      <c r="C1654" s="576"/>
    </row>
    <row r="1655" spans="3:3" ht="24.95" customHeight="1" x14ac:dyDescent="0.25">
      <c r="C1655" s="576"/>
    </row>
    <row r="1656" spans="3:3" ht="24.95" customHeight="1" x14ac:dyDescent="0.25">
      <c r="C1656" s="576"/>
    </row>
    <row r="1657" spans="3:3" ht="24.95" customHeight="1" x14ac:dyDescent="0.25">
      <c r="C1657" s="576"/>
    </row>
    <row r="1658" spans="3:3" ht="24.95" customHeight="1" x14ac:dyDescent="0.25">
      <c r="C1658" s="576"/>
    </row>
    <row r="1659" spans="3:3" ht="24.95" customHeight="1" x14ac:dyDescent="0.25">
      <c r="C1659" s="576"/>
    </row>
    <row r="1048575" spans="5:5" ht="24.95" customHeight="1" x14ac:dyDescent="0.25">
      <c r="E1048575" s="475"/>
    </row>
  </sheetData>
  <autoFilter ref="B1:H333">
    <sortState ref="B2:H333">
      <sortCondition ref="E1:E333"/>
    </sortState>
  </autoFilter>
  <conditionalFormatting sqref="B126:B132 E135:G1627 B135:B140 B142:B171 B173:B324 B333:B1627">
    <cfRule type="expression" dxfId="205" priority="300">
      <formula>$C126="ABONO"</formula>
    </cfRule>
  </conditionalFormatting>
  <conditionalFormatting sqref="B126:B132 E135:G1627 B135:B140 B142:B171 B173:B324 B333:B1627">
    <cfRule type="expression" dxfId="204" priority="293">
      <formula>$C126="ANEXO A CREDITO"</formula>
    </cfRule>
    <cfRule type="expression" dxfId="203" priority="294">
      <formula>$C126="CIERRE DE CREDITO"</formula>
    </cfRule>
    <cfRule type="expression" dxfId="202" priority="295">
      <formula>$C126="APERTURA DE CREDITO"</formula>
    </cfRule>
  </conditionalFormatting>
  <conditionalFormatting sqref="E126:E132">
    <cfRule type="expression" dxfId="201" priority="280">
      <formula>$C126="ABONO"</formula>
    </cfRule>
  </conditionalFormatting>
  <conditionalFormatting sqref="E126:E132">
    <cfRule type="expression" dxfId="200" priority="277">
      <formula>$C126="ANEXO A CREDITO"</formula>
    </cfRule>
    <cfRule type="expression" dxfId="199" priority="278">
      <formula>$C126="CIERRE DE CREDITO"</formula>
    </cfRule>
    <cfRule type="expression" dxfId="198" priority="279">
      <formula>$C126="APERTURA DE CREDITO"</formula>
    </cfRule>
  </conditionalFormatting>
  <conditionalFormatting sqref="F126:F132">
    <cfRule type="expression" dxfId="197" priority="276">
      <formula>$C126="ABONO"</formula>
    </cfRule>
  </conditionalFormatting>
  <conditionalFormatting sqref="F126:F132">
    <cfRule type="expression" dxfId="196" priority="273">
      <formula>$C126="ANEXO A CREDITO"</formula>
    </cfRule>
    <cfRule type="expression" dxfId="195" priority="274">
      <formula>$C126="CIERRE DE CREDITO"</formula>
    </cfRule>
    <cfRule type="expression" dxfId="194" priority="275">
      <formula>$C126="APERTURA DE CREDITO"</formula>
    </cfRule>
  </conditionalFormatting>
  <conditionalFormatting sqref="G126:G132">
    <cfRule type="expression" dxfId="193" priority="272">
      <formula>$C126="ABONO"</formula>
    </cfRule>
  </conditionalFormatting>
  <conditionalFormatting sqref="G126:G132">
    <cfRule type="expression" dxfId="192" priority="269">
      <formula>$C126="ANEXO A CREDITO"</formula>
    </cfRule>
    <cfRule type="expression" dxfId="191" priority="270">
      <formula>$C126="CIERRE DE CREDITO"</formula>
    </cfRule>
    <cfRule type="expression" dxfId="190" priority="271">
      <formula>$C126="APERTURA DE CREDITO"</formula>
    </cfRule>
  </conditionalFormatting>
  <conditionalFormatting sqref="F134">
    <cfRule type="expression" dxfId="189" priority="196">
      <formula>$C134="ABONO"</formula>
    </cfRule>
  </conditionalFormatting>
  <conditionalFormatting sqref="F134">
    <cfRule type="expression" dxfId="188" priority="193">
      <formula>$C134="ANEXO A CREDITO"</formula>
    </cfRule>
    <cfRule type="expression" dxfId="187" priority="194">
      <formula>$C134="CIERRE DE CREDITO"</formula>
    </cfRule>
    <cfRule type="expression" dxfId="186" priority="195">
      <formula>$C134="APERTURA DE CREDITO"</formula>
    </cfRule>
  </conditionalFormatting>
  <conditionalFormatting sqref="B104:B125 E104:G125">
    <cfRule type="expression" dxfId="185" priority="244">
      <formula>$C104="ABONO"</formula>
    </cfRule>
  </conditionalFormatting>
  <conditionalFormatting sqref="B104:B125 E104:G125">
    <cfRule type="expression" dxfId="184" priority="241">
      <formula>$C104="ANEXO A CREDITO"</formula>
    </cfRule>
    <cfRule type="expression" dxfId="183" priority="242">
      <formula>$C104="CIERRE DE CREDITO"</formula>
    </cfRule>
    <cfRule type="expression" dxfId="182" priority="243">
      <formula>$C104="APERTURA DE CREDITO"</formula>
    </cfRule>
  </conditionalFormatting>
  <conditionalFormatting sqref="C2:G2 E3:G103 B78:B81 B85:B103 B3:B74">
    <cfRule type="expression" dxfId="181" priority="240">
      <formula>$C2="ABONO"</formula>
    </cfRule>
  </conditionalFormatting>
  <conditionalFormatting sqref="C2:G2 E3:G103 B78:B81 B85:B103 B3:B74">
    <cfRule type="expression" dxfId="180" priority="237">
      <formula>$C2="ANEXO A CREDITO"</formula>
    </cfRule>
    <cfRule type="expression" dxfId="179" priority="238">
      <formula>$C2="CIERRE DE CREDITO"</formula>
    </cfRule>
    <cfRule type="expression" dxfId="178" priority="239">
      <formula>$C2="APERTURA DE CREDITO"</formula>
    </cfRule>
  </conditionalFormatting>
  <conditionalFormatting sqref="B133">
    <cfRule type="expression" dxfId="177" priority="224">
      <formula>$C133="ABONO"</formula>
    </cfRule>
  </conditionalFormatting>
  <conditionalFormatting sqref="B133">
    <cfRule type="expression" dxfId="176" priority="221">
      <formula>$C133="ANEXO A CREDITO"</formula>
    </cfRule>
    <cfRule type="expression" dxfId="175" priority="222">
      <formula>$C133="CIERRE DE CREDITO"</formula>
    </cfRule>
    <cfRule type="expression" dxfId="174" priority="223">
      <formula>$C133="APERTURA DE CREDITO"</formula>
    </cfRule>
  </conditionalFormatting>
  <conditionalFormatting sqref="E133">
    <cfRule type="expression" dxfId="173" priority="220">
      <formula>$C133="ABONO"</formula>
    </cfRule>
  </conditionalFormatting>
  <conditionalFormatting sqref="E133">
    <cfRule type="expression" dxfId="172" priority="217">
      <formula>$C133="ANEXO A CREDITO"</formula>
    </cfRule>
    <cfRule type="expression" dxfId="171" priority="218">
      <formula>$C133="CIERRE DE CREDITO"</formula>
    </cfRule>
    <cfRule type="expression" dxfId="170" priority="219">
      <formula>$C133="APERTURA DE CREDITO"</formula>
    </cfRule>
  </conditionalFormatting>
  <conditionalFormatting sqref="F133">
    <cfRule type="expression" dxfId="169" priority="216">
      <formula>$C133="ABONO"</formula>
    </cfRule>
  </conditionalFormatting>
  <conditionalFormatting sqref="F133">
    <cfRule type="expression" dxfId="168" priority="213">
      <formula>$C133="ANEXO A CREDITO"</formula>
    </cfRule>
    <cfRule type="expression" dxfId="167" priority="214">
      <formula>$C133="CIERRE DE CREDITO"</formula>
    </cfRule>
    <cfRule type="expression" dxfId="166" priority="215">
      <formula>$C133="APERTURA DE CREDITO"</formula>
    </cfRule>
  </conditionalFormatting>
  <conditionalFormatting sqref="G133">
    <cfRule type="expression" dxfId="165" priority="212">
      <formula>$C133="ABONO"</formula>
    </cfRule>
  </conditionalFormatting>
  <conditionalFormatting sqref="G133">
    <cfRule type="expression" dxfId="164" priority="209">
      <formula>$C133="ANEXO A CREDITO"</formula>
    </cfRule>
    <cfRule type="expression" dxfId="163" priority="210">
      <formula>$C133="CIERRE DE CREDITO"</formula>
    </cfRule>
    <cfRule type="expression" dxfId="162" priority="211">
      <formula>$C133="APERTURA DE CREDITO"</formula>
    </cfRule>
  </conditionalFormatting>
  <conditionalFormatting sqref="B2">
    <cfRule type="expression" dxfId="161" priority="88">
      <formula>$C2="ABONO"</formula>
    </cfRule>
  </conditionalFormatting>
  <conditionalFormatting sqref="B2">
    <cfRule type="expression" dxfId="160" priority="85">
      <formula>$C2="ANEXO A CREDITO"</formula>
    </cfRule>
    <cfRule type="expression" dxfId="159" priority="86">
      <formula>$C2="CIERRE DE CREDITO"</formula>
    </cfRule>
    <cfRule type="expression" dxfId="158" priority="87">
      <formula>$C2="APERTURA DE CREDITO"</formula>
    </cfRule>
  </conditionalFormatting>
  <conditionalFormatting sqref="E134">
    <cfRule type="expression" dxfId="157" priority="200">
      <formula>$C134="ABONO"</formula>
    </cfRule>
  </conditionalFormatting>
  <conditionalFormatting sqref="E134">
    <cfRule type="expression" dxfId="156" priority="197">
      <formula>$C134="ANEXO A CREDITO"</formula>
    </cfRule>
    <cfRule type="expression" dxfId="155" priority="198">
      <formula>$C134="CIERRE DE CREDITO"</formula>
    </cfRule>
    <cfRule type="expression" dxfId="154" priority="199">
      <formula>$C134="APERTURA DE CREDITO"</formula>
    </cfRule>
  </conditionalFormatting>
  <conditionalFormatting sqref="G134">
    <cfRule type="expression" dxfId="153" priority="192">
      <formula>$C134="ABONO"</formula>
    </cfRule>
  </conditionalFormatting>
  <conditionalFormatting sqref="G134">
    <cfRule type="expression" dxfId="152" priority="189">
      <formula>$C134="ANEXO A CREDITO"</formula>
    </cfRule>
    <cfRule type="expression" dxfId="151" priority="190">
      <formula>$C134="CIERRE DE CREDITO"</formula>
    </cfRule>
    <cfRule type="expression" dxfId="150" priority="191">
      <formula>$C134="APERTURA DE CREDITO"</formula>
    </cfRule>
  </conditionalFormatting>
  <conditionalFormatting sqref="H320">
    <cfRule type="expression" dxfId="149" priority="120">
      <formula>$C320="ABONO"</formula>
    </cfRule>
  </conditionalFormatting>
  <conditionalFormatting sqref="H320">
    <cfRule type="expression" dxfId="148" priority="117">
      <formula>$C320="ANEXO A CREDITO"</formula>
    </cfRule>
    <cfRule type="expression" dxfId="147" priority="118">
      <formula>$C320="CIERRE DE CREDITO"</formula>
    </cfRule>
    <cfRule type="expression" dxfId="146" priority="119">
      <formula>$C320="APERTURA DE CREDITO"</formula>
    </cfRule>
  </conditionalFormatting>
  <conditionalFormatting sqref="D3:D322">
    <cfRule type="expression" dxfId="145" priority="184">
      <formula>$C3="ABONO"</formula>
    </cfRule>
  </conditionalFormatting>
  <conditionalFormatting sqref="D3:D322">
    <cfRule type="expression" dxfId="144" priority="181">
      <formula>$C3="ANEXO A CREDITO"</formula>
    </cfRule>
    <cfRule type="expression" dxfId="143" priority="182">
      <formula>$C3="CIERRE DE CREDITO"</formula>
    </cfRule>
    <cfRule type="expression" dxfId="142" priority="183">
      <formula>$C3="APERTURA DE CREDITO"</formula>
    </cfRule>
  </conditionalFormatting>
  <conditionalFormatting sqref="D323:D1627">
    <cfRule type="expression" dxfId="141" priority="180">
      <formula>$C323="ABONO"</formula>
    </cfRule>
  </conditionalFormatting>
  <conditionalFormatting sqref="D323:D1627">
    <cfRule type="expression" dxfId="140" priority="177">
      <formula>$C323="ANEXO A CREDITO"</formula>
    </cfRule>
    <cfRule type="expression" dxfId="139" priority="178">
      <formula>$C323="CIERRE DE CREDITO"</formula>
    </cfRule>
    <cfRule type="expression" dxfId="138" priority="179">
      <formula>$C323="APERTURA DE CREDITO"</formula>
    </cfRule>
  </conditionalFormatting>
  <conditionalFormatting sqref="B329">
    <cfRule type="expression" dxfId="137" priority="32">
      <formula>$C329="ABONO"</formula>
    </cfRule>
  </conditionalFormatting>
  <conditionalFormatting sqref="B329">
    <cfRule type="expression" dxfId="136" priority="29">
      <formula>$C329="ANEXO A CREDITO"</formula>
    </cfRule>
    <cfRule type="expression" dxfId="135" priority="30">
      <formula>$C329="CIERRE DE CREDITO"</formula>
    </cfRule>
    <cfRule type="expression" dxfId="134" priority="31">
      <formula>$C329="APERTURA DE CREDITO"</formula>
    </cfRule>
  </conditionalFormatting>
  <conditionalFormatting sqref="C329">
    <cfRule type="expression" dxfId="133" priority="28">
      <formula>$C329="ABONO"</formula>
    </cfRule>
  </conditionalFormatting>
  <conditionalFormatting sqref="C329">
    <cfRule type="expression" dxfId="132" priority="25">
      <formula>$C329="ANEXO A CREDITO"</formula>
    </cfRule>
    <cfRule type="expression" dxfId="131" priority="26">
      <formula>$C329="CIERRE DE CREDITO"</formula>
    </cfRule>
    <cfRule type="expression" dxfId="130" priority="27">
      <formula>$C329="APERTURA DE CREDITO"</formula>
    </cfRule>
  </conditionalFormatting>
  <conditionalFormatting sqref="H9">
    <cfRule type="expression" dxfId="129" priority="128">
      <formula>$C9="ABONO"</formula>
    </cfRule>
  </conditionalFormatting>
  <conditionalFormatting sqref="H9">
    <cfRule type="expression" dxfId="128" priority="125">
      <formula>$C9="ANEXO A CREDITO"</formula>
    </cfRule>
    <cfRule type="expression" dxfId="127" priority="126">
      <formula>$C9="CIERRE DE CREDITO"</formula>
    </cfRule>
    <cfRule type="expression" dxfId="126" priority="127">
      <formula>$C9="APERTURA DE CREDITO"</formula>
    </cfRule>
  </conditionalFormatting>
  <conditionalFormatting sqref="I5">
    <cfRule type="expression" dxfId="125" priority="132">
      <formula>$C5="ABONO"</formula>
    </cfRule>
  </conditionalFormatting>
  <conditionalFormatting sqref="I5">
    <cfRule type="expression" dxfId="124" priority="129">
      <formula>$C5="ANEXO A CREDITO"</formula>
    </cfRule>
    <cfRule type="expression" dxfId="123" priority="130">
      <formula>$C5="CIERRE DE CREDITO"</formula>
    </cfRule>
    <cfRule type="expression" dxfId="122" priority="131">
      <formula>$C5="APERTURA DE CREDITO"</formula>
    </cfRule>
  </conditionalFormatting>
  <conditionalFormatting sqref="H2:H8 H10:H277 H279:H319 H321:H1357">
    <cfRule type="expression" dxfId="121" priority="136">
      <formula>$C2="ABONO"</formula>
    </cfRule>
  </conditionalFormatting>
  <conditionalFormatting sqref="H2:H8 H10:H277 H279:H319 H321:H1357">
    <cfRule type="expression" dxfId="120" priority="133">
      <formula>$C2="ANEXO A CREDITO"</formula>
    </cfRule>
    <cfRule type="expression" dxfId="119" priority="134">
      <formula>$C2="CIERRE DE CREDITO"</formula>
    </cfRule>
    <cfRule type="expression" dxfId="118" priority="135">
      <formula>$C2="APERTURA DE CREDITO"</formula>
    </cfRule>
  </conditionalFormatting>
  <conditionalFormatting sqref="H278">
    <cfRule type="expression" dxfId="117" priority="124">
      <formula>$C278="ABONO"</formula>
    </cfRule>
  </conditionalFormatting>
  <conditionalFormatting sqref="H278">
    <cfRule type="expression" dxfId="116" priority="121">
      <formula>$C278="ANEXO A CREDITO"</formula>
    </cfRule>
    <cfRule type="expression" dxfId="115" priority="122">
      <formula>$C278="CIERRE DE CREDITO"</formula>
    </cfRule>
    <cfRule type="expression" dxfId="114" priority="123">
      <formula>$C278="APERTURA DE CREDITO"</formula>
    </cfRule>
  </conditionalFormatting>
  <conditionalFormatting sqref="B134">
    <cfRule type="expression" dxfId="113" priority="116">
      <formula>$C134="ABONO"</formula>
    </cfRule>
  </conditionalFormatting>
  <conditionalFormatting sqref="B134">
    <cfRule type="expression" dxfId="112" priority="113">
      <formula>$C134="ANEXO A CREDITO"</formula>
    </cfRule>
    <cfRule type="expression" dxfId="111" priority="114">
      <formula>$C134="CIERRE DE CREDITO"</formula>
    </cfRule>
    <cfRule type="expression" dxfId="110" priority="115">
      <formula>$C134="APERTURA DE CREDITO"</formula>
    </cfRule>
  </conditionalFormatting>
  <conditionalFormatting sqref="B75">
    <cfRule type="expression" dxfId="109" priority="112">
      <formula>$C75="ABONO"</formula>
    </cfRule>
  </conditionalFormatting>
  <conditionalFormatting sqref="B75">
    <cfRule type="expression" dxfId="108" priority="109">
      <formula>$C75="ANEXO A CREDITO"</formula>
    </cfRule>
    <cfRule type="expression" dxfId="107" priority="110">
      <formula>$C75="CIERRE DE CREDITO"</formula>
    </cfRule>
    <cfRule type="expression" dxfId="106" priority="111">
      <formula>$C75="APERTURA DE CREDITO"</formula>
    </cfRule>
  </conditionalFormatting>
  <conditionalFormatting sqref="B76">
    <cfRule type="expression" dxfId="105" priority="108">
      <formula>$C76="ABONO"</formula>
    </cfRule>
  </conditionalFormatting>
  <conditionalFormatting sqref="B76">
    <cfRule type="expression" dxfId="104" priority="105">
      <formula>$C76="ANEXO A CREDITO"</formula>
    </cfRule>
    <cfRule type="expression" dxfId="103" priority="106">
      <formula>$C76="CIERRE DE CREDITO"</formula>
    </cfRule>
    <cfRule type="expression" dxfId="102" priority="107">
      <formula>$C76="APERTURA DE CREDITO"</formula>
    </cfRule>
  </conditionalFormatting>
  <conditionalFormatting sqref="B77">
    <cfRule type="expression" dxfId="101" priority="104">
      <formula>$C77="ABONO"</formula>
    </cfRule>
  </conditionalFormatting>
  <conditionalFormatting sqref="B77">
    <cfRule type="expression" dxfId="100" priority="101">
      <formula>$C77="ANEXO A CREDITO"</formula>
    </cfRule>
    <cfRule type="expression" dxfId="99" priority="102">
      <formula>$C77="CIERRE DE CREDITO"</formula>
    </cfRule>
    <cfRule type="expression" dxfId="98" priority="103">
      <formula>$C77="APERTURA DE CREDITO"</formula>
    </cfRule>
  </conditionalFormatting>
  <conditionalFormatting sqref="B82">
    <cfRule type="expression" dxfId="97" priority="100">
      <formula>$C82="ABONO"</formula>
    </cfRule>
  </conditionalFormatting>
  <conditionalFormatting sqref="B82">
    <cfRule type="expression" dxfId="96" priority="97">
      <formula>$C82="ANEXO A CREDITO"</formula>
    </cfRule>
    <cfRule type="expression" dxfId="95" priority="98">
      <formula>$C82="CIERRE DE CREDITO"</formula>
    </cfRule>
    <cfRule type="expression" dxfId="94" priority="99">
      <formula>$C82="APERTURA DE CREDITO"</formula>
    </cfRule>
  </conditionalFormatting>
  <conditionalFormatting sqref="B83">
    <cfRule type="expression" dxfId="93" priority="96">
      <formula>$C83="ABONO"</formula>
    </cfRule>
  </conditionalFormatting>
  <conditionalFormatting sqref="B83">
    <cfRule type="expression" dxfId="92" priority="93">
      <formula>$C83="ANEXO A CREDITO"</formula>
    </cfRule>
    <cfRule type="expression" dxfId="91" priority="94">
      <formula>$C83="CIERRE DE CREDITO"</formula>
    </cfRule>
    <cfRule type="expression" dxfId="90" priority="95">
      <formula>$C83="APERTURA DE CREDITO"</formula>
    </cfRule>
  </conditionalFormatting>
  <conditionalFormatting sqref="B84">
    <cfRule type="expression" dxfId="89" priority="92">
      <formula>$C84="ABONO"</formula>
    </cfRule>
  </conditionalFormatting>
  <conditionalFormatting sqref="B84">
    <cfRule type="expression" dxfId="88" priority="89">
      <formula>$C84="ANEXO A CREDITO"</formula>
    </cfRule>
    <cfRule type="expression" dxfId="87" priority="90">
      <formula>$C84="CIERRE DE CREDITO"</formula>
    </cfRule>
    <cfRule type="expression" dxfId="86" priority="91">
      <formula>$C84="APERTURA DE CREDITO"</formula>
    </cfRule>
  </conditionalFormatting>
  <conditionalFormatting sqref="B141">
    <cfRule type="expression" dxfId="85" priority="84">
      <formula>$C141="ABONO"</formula>
    </cfRule>
  </conditionalFormatting>
  <conditionalFormatting sqref="B141">
    <cfRule type="expression" dxfId="84" priority="81">
      <formula>$C141="ANEXO A CREDITO"</formula>
    </cfRule>
    <cfRule type="expression" dxfId="83" priority="82">
      <formula>$C141="CIERRE DE CREDITO"</formula>
    </cfRule>
    <cfRule type="expression" dxfId="82" priority="83">
      <formula>$C141="APERTURA DE CREDITO"</formula>
    </cfRule>
  </conditionalFormatting>
  <conditionalFormatting sqref="B172">
    <cfRule type="expression" dxfId="81" priority="80">
      <formula>$C172="ABONO"</formula>
    </cfRule>
  </conditionalFormatting>
  <conditionalFormatting sqref="B172">
    <cfRule type="expression" dxfId="80" priority="77">
      <formula>$C172="ANEXO A CREDITO"</formula>
    </cfRule>
    <cfRule type="expression" dxfId="79" priority="78">
      <formula>$C172="CIERRE DE CREDITO"</formula>
    </cfRule>
    <cfRule type="expression" dxfId="78" priority="79">
      <formula>$C172="APERTURA DE CREDITO"</formula>
    </cfRule>
  </conditionalFormatting>
  <conditionalFormatting sqref="C3 C6:C324 C333:C1659">
    <cfRule type="expression" dxfId="77" priority="76">
      <formula>$C3="ABONO"</formula>
    </cfRule>
  </conditionalFormatting>
  <conditionalFormatting sqref="C3 C6:C324 C333:C1659">
    <cfRule type="expression" dxfId="76" priority="73">
      <formula>$C3="ANEXO A CREDITO"</formula>
    </cfRule>
    <cfRule type="expression" dxfId="75" priority="74">
      <formula>$C3="CIERRE DE CREDITO"</formula>
    </cfRule>
    <cfRule type="expression" dxfId="74" priority="75">
      <formula>$C3="APERTURA DE CREDITO"</formula>
    </cfRule>
  </conditionalFormatting>
  <conditionalFormatting sqref="C5">
    <cfRule type="expression" dxfId="73" priority="72">
      <formula>$C5="ABONO"</formula>
    </cfRule>
  </conditionalFormatting>
  <conditionalFormatting sqref="C5">
    <cfRule type="expression" dxfId="72" priority="69">
      <formula>$C5="ANEXO A CREDITO"</formula>
    </cfRule>
    <cfRule type="expression" dxfId="71" priority="70">
      <formula>$C5="CIERRE DE CREDITO"</formula>
    </cfRule>
    <cfRule type="expression" dxfId="70" priority="71">
      <formula>$C5="APERTURA DE CREDITO"</formula>
    </cfRule>
  </conditionalFormatting>
  <conditionalFormatting sqref="C4">
    <cfRule type="expression" dxfId="69" priority="68">
      <formula>$C4="ABONO"</formula>
    </cfRule>
  </conditionalFormatting>
  <conditionalFormatting sqref="C4">
    <cfRule type="expression" dxfId="68" priority="65">
      <formula>$C4="ANEXO A CREDITO"</formula>
    </cfRule>
    <cfRule type="expression" dxfId="67" priority="66">
      <formula>$C4="CIERRE DE CREDITO"</formula>
    </cfRule>
    <cfRule type="expression" dxfId="66" priority="67">
      <formula>$C4="APERTURA DE CREDITO"</formula>
    </cfRule>
  </conditionalFormatting>
  <conditionalFormatting sqref="B325">
    <cfRule type="expression" dxfId="65" priority="64">
      <formula>$C325="ABONO"</formula>
    </cfRule>
  </conditionalFormatting>
  <conditionalFormatting sqref="B325">
    <cfRule type="expression" dxfId="64" priority="61">
      <formula>$C325="ANEXO A CREDITO"</formula>
    </cfRule>
    <cfRule type="expression" dxfId="63" priority="62">
      <formula>$C325="CIERRE DE CREDITO"</formula>
    </cfRule>
    <cfRule type="expression" dxfId="62" priority="63">
      <formula>$C325="APERTURA DE CREDITO"</formula>
    </cfRule>
  </conditionalFormatting>
  <conditionalFormatting sqref="C325">
    <cfRule type="expression" dxfId="61" priority="60">
      <formula>$C325="ABONO"</formula>
    </cfRule>
  </conditionalFormatting>
  <conditionalFormatting sqref="C325">
    <cfRule type="expression" dxfId="60" priority="57">
      <formula>$C325="ANEXO A CREDITO"</formula>
    </cfRule>
    <cfRule type="expression" dxfId="59" priority="58">
      <formula>$C325="CIERRE DE CREDITO"</formula>
    </cfRule>
    <cfRule type="expression" dxfId="58" priority="59">
      <formula>$C325="APERTURA DE CREDITO"</formula>
    </cfRule>
  </conditionalFormatting>
  <conditionalFormatting sqref="B326">
    <cfRule type="expression" dxfId="57" priority="56">
      <formula>$C326="ABONO"</formula>
    </cfRule>
  </conditionalFormatting>
  <conditionalFormatting sqref="B326">
    <cfRule type="expression" dxfId="56" priority="53">
      <formula>$C326="ANEXO A CREDITO"</formula>
    </cfRule>
    <cfRule type="expression" dxfId="55" priority="54">
      <formula>$C326="CIERRE DE CREDITO"</formula>
    </cfRule>
    <cfRule type="expression" dxfId="54" priority="55">
      <formula>$C326="APERTURA DE CREDITO"</formula>
    </cfRule>
  </conditionalFormatting>
  <conditionalFormatting sqref="C326">
    <cfRule type="expression" dxfId="53" priority="52">
      <formula>$C326="ABONO"</formula>
    </cfRule>
  </conditionalFormatting>
  <conditionalFormatting sqref="C326">
    <cfRule type="expression" dxfId="52" priority="49">
      <formula>$C326="ANEXO A CREDITO"</formula>
    </cfRule>
    <cfRule type="expression" dxfId="51" priority="50">
      <formula>$C326="CIERRE DE CREDITO"</formula>
    </cfRule>
    <cfRule type="expression" dxfId="50" priority="51">
      <formula>$C326="APERTURA DE CREDITO"</formula>
    </cfRule>
  </conditionalFormatting>
  <conditionalFormatting sqref="B327">
    <cfRule type="expression" dxfId="49" priority="48">
      <formula>$C327="ABONO"</formula>
    </cfRule>
  </conditionalFormatting>
  <conditionalFormatting sqref="B327">
    <cfRule type="expression" dxfId="48" priority="45">
      <formula>$C327="ANEXO A CREDITO"</formula>
    </cfRule>
    <cfRule type="expression" dxfId="47" priority="46">
      <formula>$C327="CIERRE DE CREDITO"</formula>
    </cfRule>
    <cfRule type="expression" dxfId="46" priority="47">
      <formula>$C327="APERTURA DE CREDITO"</formula>
    </cfRule>
  </conditionalFormatting>
  <conditionalFormatting sqref="C327">
    <cfRule type="expression" dxfId="45" priority="44">
      <formula>$C327="ABONO"</formula>
    </cfRule>
  </conditionalFormatting>
  <conditionalFormatting sqref="C327">
    <cfRule type="expression" dxfId="44" priority="41">
      <formula>$C327="ANEXO A CREDITO"</formula>
    </cfRule>
    <cfRule type="expression" dxfId="43" priority="42">
      <formula>$C327="CIERRE DE CREDITO"</formula>
    </cfRule>
    <cfRule type="expression" dxfId="42" priority="43">
      <formula>$C327="APERTURA DE CREDITO"</formula>
    </cfRule>
  </conditionalFormatting>
  <conditionalFormatting sqref="C332">
    <cfRule type="expression" dxfId="41" priority="1">
      <formula>$C332="ANEXO A CREDITO"</formula>
    </cfRule>
    <cfRule type="expression" dxfId="40" priority="2">
      <formula>$C332="CIERRE DE CREDITO"</formula>
    </cfRule>
    <cfRule type="expression" dxfId="39" priority="3">
      <formula>$C332="APERTURA DE CREDITO"</formula>
    </cfRule>
  </conditionalFormatting>
  <conditionalFormatting sqref="B328">
    <cfRule type="expression" dxfId="38" priority="40">
      <formula>$C328="ABONO"</formula>
    </cfRule>
  </conditionalFormatting>
  <conditionalFormatting sqref="B328">
    <cfRule type="expression" dxfId="37" priority="37">
      <formula>$C328="ANEXO A CREDITO"</formula>
    </cfRule>
    <cfRule type="expression" dxfId="36" priority="38">
      <formula>$C328="CIERRE DE CREDITO"</formula>
    </cfRule>
    <cfRule type="expression" dxfId="35" priority="39">
      <formula>$C328="APERTURA DE CREDITO"</formula>
    </cfRule>
  </conditionalFormatting>
  <conditionalFormatting sqref="C328">
    <cfRule type="expression" dxfId="34" priority="36">
      <formula>$C328="ABONO"</formula>
    </cfRule>
  </conditionalFormatting>
  <conditionalFormatting sqref="C328">
    <cfRule type="expression" dxfId="33" priority="33">
      <formula>$C328="ANEXO A CREDITO"</formula>
    </cfRule>
    <cfRule type="expression" dxfId="32" priority="34">
      <formula>$C328="CIERRE DE CREDITO"</formula>
    </cfRule>
    <cfRule type="expression" dxfId="31" priority="35">
      <formula>$C328="APERTURA DE CREDITO"</formula>
    </cfRule>
  </conditionalFormatting>
  <conditionalFormatting sqref="B330">
    <cfRule type="expression" dxfId="30" priority="24">
      <formula>$C330="ABONO"</formula>
    </cfRule>
  </conditionalFormatting>
  <conditionalFormatting sqref="B330">
    <cfRule type="expression" dxfId="29" priority="21">
      <formula>$C330="ANEXO A CREDITO"</formula>
    </cfRule>
    <cfRule type="expression" dxfId="28" priority="22">
      <formula>$C330="CIERRE DE CREDITO"</formula>
    </cfRule>
    <cfRule type="expression" dxfId="27" priority="23">
      <formula>$C330="APERTURA DE CREDITO"</formula>
    </cfRule>
  </conditionalFormatting>
  <conditionalFormatting sqref="C330">
    <cfRule type="expression" dxfId="26" priority="20">
      <formula>$C330="ABONO"</formula>
    </cfRule>
  </conditionalFormatting>
  <conditionalFormatting sqref="C330">
    <cfRule type="expression" dxfId="25" priority="17">
      <formula>$C330="ANEXO A CREDITO"</formula>
    </cfRule>
    <cfRule type="expression" dxfId="24" priority="18">
      <formula>$C330="CIERRE DE CREDITO"</formula>
    </cfRule>
    <cfRule type="expression" dxfId="23" priority="19">
      <formula>$C330="APERTURA DE CREDITO"</formula>
    </cfRule>
  </conditionalFormatting>
  <conditionalFormatting sqref="B331">
    <cfRule type="expression" dxfId="22" priority="16">
      <formula>$C331="ABONO"</formula>
    </cfRule>
  </conditionalFormatting>
  <conditionalFormatting sqref="B331">
    <cfRule type="expression" dxfId="21" priority="13">
      <formula>$C331="ANEXO A CREDITO"</formula>
    </cfRule>
    <cfRule type="expression" dxfId="20" priority="14">
      <formula>$C331="CIERRE DE CREDITO"</formula>
    </cfRule>
    <cfRule type="expression" dxfId="19" priority="15">
      <formula>$C331="APERTURA DE CREDITO"</formula>
    </cfRule>
  </conditionalFormatting>
  <conditionalFormatting sqref="C331">
    <cfRule type="expression" dxfId="18" priority="12">
      <formula>$C331="ABONO"</formula>
    </cfRule>
  </conditionalFormatting>
  <conditionalFormatting sqref="C331">
    <cfRule type="expression" dxfId="17" priority="9">
      <formula>$C331="ANEXO A CREDITO"</formula>
    </cfRule>
    <cfRule type="expression" dxfId="16" priority="10">
      <formula>$C331="CIERRE DE CREDITO"</formula>
    </cfRule>
    <cfRule type="expression" dxfId="15" priority="11">
      <formula>$C331="APERTURA DE CREDITO"</formula>
    </cfRule>
  </conditionalFormatting>
  <conditionalFormatting sqref="B332">
    <cfRule type="expression" dxfId="14" priority="8">
      <formula>$C332="ABONO"</formula>
    </cfRule>
  </conditionalFormatting>
  <conditionalFormatting sqref="B332">
    <cfRule type="expression" dxfId="13" priority="5">
      <formula>$C332="ANEXO A CREDITO"</formula>
    </cfRule>
    <cfRule type="expression" dxfId="12" priority="6">
      <formula>$C332="CIERRE DE CREDITO"</formula>
    </cfRule>
    <cfRule type="expression" dxfId="11" priority="7">
      <formula>$C332="APERTURA DE CREDITO"</formula>
    </cfRule>
  </conditionalFormatting>
  <conditionalFormatting sqref="C332">
    <cfRule type="expression" dxfId="10" priority="4">
      <formula>$C332="ABONO"</formula>
    </cfRule>
  </conditionalFormatting>
  <dataValidations count="2">
    <dataValidation type="list" allowBlank="1" showInputMessage="1" showErrorMessage="1" sqref="C323:C1627">
      <formula1>"ABONO,APERTURA DE CREDITO,CIERRE DE CREDITO, ANEXO A CREDITO"</formula1>
    </dataValidation>
    <dataValidation type="list" allowBlank="1" showInputMessage="1" showErrorMessage="1" sqref="C2:C322">
      <formula1>$Q$2:$Q$5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M99"/>
  <sheetViews>
    <sheetView topLeftCell="B32" workbookViewId="0">
      <selection activeCell="I44" sqref="I44"/>
    </sheetView>
  </sheetViews>
  <sheetFormatPr baseColWidth="10" defaultRowHeight="15" x14ac:dyDescent="0.25"/>
  <cols>
    <col min="1" max="1" width="15.28515625" customWidth="1"/>
    <col min="2" max="2" width="45.140625" customWidth="1"/>
    <col min="3" max="3" width="22.28515625" customWidth="1"/>
    <col min="4" max="4" width="14.7109375" customWidth="1"/>
    <col min="5" max="6" width="14.7109375" style="586" customWidth="1"/>
    <col min="7" max="7" width="14.7109375" customWidth="1"/>
    <col min="8" max="9" width="11.42578125" customWidth="1"/>
    <col min="10" max="10" width="11.42578125" style="468"/>
    <col min="11" max="11" width="13.42578125" style="413" customWidth="1"/>
    <col min="12" max="12" width="16" customWidth="1"/>
    <col min="13" max="13" width="16.5703125" customWidth="1"/>
  </cols>
  <sheetData>
    <row r="1" spans="1:13" x14ac:dyDescent="0.25">
      <c r="A1" s="852" t="s">
        <v>356</v>
      </c>
      <c r="B1" s="853" t="s">
        <v>191</v>
      </c>
      <c r="C1" s="853" t="s">
        <v>352</v>
      </c>
      <c r="D1" s="854" t="s">
        <v>354</v>
      </c>
      <c r="E1" s="855"/>
      <c r="F1" s="855"/>
      <c r="G1" s="856"/>
      <c r="H1" s="601" t="s">
        <v>192</v>
      </c>
      <c r="I1" s="601" t="s">
        <v>303</v>
      </c>
      <c r="J1" s="601" t="s">
        <v>355</v>
      </c>
      <c r="K1" s="602" t="s">
        <v>358</v>
      </c>
      <c r="L1" s="594" t="s">
        <v>783</v>
      </c>
      <c r="M1" s="594" t="s">
        <v>784</v>
      </c>
    </row>
    <row r="2" spans="1:13" x14ac:dyDescent="0.25">
      <c r="A2" s="852"/>
      <c r="B2" s="853"/>
      <c r="C2" s="853"/>
      <c r="D2" s="580" t="s">
        <v>353</v>
      </c>
      <c r="E2" s="603" t="s">
        <v>297</v>
      </c>
      <c r="F2" s="601" t="s">
        <v>192</v>
      </c>
      <c r="G2" s="597" t="s">
        <v>781</v>
      </c>
      <c r="H2" s="601"/>
      <c r="I2" s="601"/>
      <c r="J2" s="601"/>
      <c r="K2" s="602"/>
      <c r="L2" s="595">
        <f ca="1">TODAY()</f>
        <v>45277</v>
      </c>
      <c r="M2" s="594">
        <v>15</v>
      </c>
    </row>
    <row r="3" spans="1:13" s="490" customFormat="1" x14ac:dyDescent="0.25">
      <c r="A3" s="857" t="s">
        <v>278</v>
      </c>
      <c r="B3" s="831" t="s">
        <v>502</v>
      </c>
      <c r="C3" s="825"/>
      <c r="D3" s="592"/>
      <c r="E3" s="596">
        <v>44819</v>
      </c>
      <c r="F3" s="604">
        <f>'NOTAS DE CREDITOS'!H80</f>
        <v>297</v>
      </c>
      <c r="G3" s="587" t="str">
        <f t="shared" ref="G3:G34" ca="1" si="0">IF(E3="","",IF(E3+$M$2&lt;$L$2,"VENCIDA","VIGENTE"))</f>
        <v>VENCIDA</v>
      </c>
      <c r="H3" s="825">
        <f>SUM(F3:F5)</f>
        <v>1167</v>
      </c>
      <c r="I3" s="858">
        <f>439.25+297+'DETALLE DE CREDITOS'!F52+'DETALLE DE CREDITOS'!F185</f>
        <v>910.25</v>
      </c>
      <c r="J3" s="848">
        <f>H3-I3</f>
        <v>256.75</v>
      </c>
      <c r="K3" s="851" t="s">
        <v>496</v>
      </c>
    </row>
    <row r="4" spans="1:13" s="366" customFormat="1" x14ac:dyDescent="0.25">
      <c r="A4" s="857"/>
      <c r="B4" s="826"/>
      <c r="C4" s="826"/>
      <c r="D4" s="591"/>
      <c r="E4" s="593">
        <v>44828</v>
      </c>
      <c r="F4" s="598">
        <f>'NOTAS DE CREDITOS'!H96</f>
        <v>291</v>
      </c>
      <c r="G4" s="587" t="str">
        <f t="shared" ca="1" si="0"/>
        <v>VENCIDA</v>
      </c>
      <c r="H4" s="826"/>
      <c r="I4" s="859"/>
      <c r="J4" s="849"/>
      <c r="K4" s="851"/>
    </row>
    <row r="5" spans="1:13" s="366" customFormat="1" x14ac:dyDescent="0.25">
      <c r="A5" s="857"/>
      <c r="B5" s="827"/>
      <c r="C5" s="827"/>
      <c r="D5" s="324"/>
      <c r="E5" s="593">
        <v>44802</v>
      </c>
      <c r="F5" s="598">
        <f>'NOTAS DE CREDITOS'!H112</f>
        <v>579</v>
      </c>
      <c r="G5" s="587" t="str">
        <f t="shared" ca="1" si="0"/>
        <v>VENCIDA</v>
      </c>
      <c r="H5" s="827"/>
      <c r="I5" s="860"/>
      <c r="J5" s="850"/>
      <c r="K5" s="851"/>
    </row>
    <row r="6" spans="1:13" x14ac:dyDescent="0.25">
      <c r="A6" s="836" t="s">
        <v>357</v>
      </c>
      <c r="B6" s="836" t="s">
        <v>292</v>
      </c>
      <c r="C6" s="722"/>
      <c r="D6" s="577"/>
      <c r="E6" s="596">
        <v>44844</v>
      </c>
      <c r="F6" s="598">
        <f>'NOTAS DE CREDITOS'!H48</f>
        <v>260</v>
      </c>
      <c r="G6" s="587" t="str">
        <f t="shared" ca="1" si="0"/>
        <v>VENCIDA</v>
      </c>
      <c r="H6" s="724">
        <f>SUM(F6:F10)</f>
        <v>484</v>
      </c>
      <c r="I6" s="844">
        <f>'DETALLE DE CREDITOS'!F222</f>
        <v>110</v>
      </c>
      <c r="J6" s="846">
        <f>H6-I6</f>
        <v>374</v>
      </c>
      <c r="K6" s="836" t="s">
        <v>496</v>
      </c>
      <c r="M6" s="586"/>
    </row>
    <row r="7" spans="1:13" x14ac:dyDescent="0.25">
      <c r="A7" s="837"/>
      <c r="B7" s="837"/>
      <c r="C7" s="842"/>
      <c r="D7" s="584">
        <f>'DETALLE DE CREDITOS'!D234</f>
        <v>5494</v>
      </c>
      <c r="E7" s="593">
        <f>'DETALLE DE CREDITOS'!E234</f>
        <v>45218</v>
      </c>
      <c r="F7" s="598">
        <f>'DETALLE DE CREDITOS'!F234</f>
        <v>63</v>
      </c>
      <c r="G7" s="587" t="str">
        <f t="shared" ca="1" si="0"/>
        <v>VENCIDA</v>
      </c>
      <c r="H7" s="843"/>
      <c r="I7" s="845"/>
      <c r="J7" s="847"/>
      <c r="K7" s="837"/>
      <c r="M7" s="586"/>
    </row>
    <row r="8" spans="1:13" x14ac:dyDescent="0.25">
      <c r="A8" s="837"/>
      <c r="B8" s="837"/>
      <c r="C8" s="842"/>
      <c r="D8" s="584">
        <f>'DETALLE DE CREDITOS'!D251</f>
        <v>5817</v>
      </c>
      <c r="E8" s="593">
        <f>'DETALLE DE CREDITOS'!E251</f>
        <v>45232</v>
      </c>
      <c r="F8" s="598">
        <f>'DETALLE DE CREDITOS'!F251</f>
        <v>7</v>
      </c>
      <c r="G8" s="587" t="str">
        <f t="shared" ca="1" si="0"/>
        <v>VENCIDA</v>
      </c>
      <c r="H8" s="843"/>
      <c r="I8" s="845"/>
      <c r="J8" s="847"/>
      <c r="K8" s="837"/>
    </row>
    <row r="9" spans="1:13" x14ac:dyDescent="0.25">
      <c r="A9" s="837"/>
      <c r="B9" s="837"/>
      <c r="C9" s="842"/>
      <c r="D9" s="584">
        <f>'DETALLE DE CREDITOS'!D252</f>
        <v>5820</v>
      </c>
      <c r="E9" s="593">
        <f>'DETALLE DE CREDITOS'!E252</f>
        <v>45232</v>
      </c>
      <c r="F9" s="598">
        <f>'DETALLE DE CREDITOS'!F252</f>
        <v>4</v>
      </c>
      <c r="G9" s="587" t="str">
        <f t="shared" ca="1" si="0"/>
        <v>VENCIDA</v>
      </c>
      <c r="H9" s="843"/>
      <c r="I9" s="845"/>
      <c r="J9" s="847"/>
      <c r="K9" s="837"/>
    </row>
    <row r="10" spans="1:13" x14ac:dyDescent="0.25">
      <c r="A10" s="837"/>
      <c r="B10" s="837"/>
      <c r="C10" s="842"/>
      <c r="D10" s="584"/>
      <c r="E10" s="593">
        <v>44841</v>
      </c>
      <c r="F10" s="598">
        <f>'NOTAS DE CREDITOS'!H64</f>
        <v>150</v>
      </c>
      <c r="G10" s="587" t="str">
        <f t="shared" ca="1" si="0"/>
        <v>VENCIDA</v>
      </c>
      <c r="H10" s="843"/>
      <c r="I10" s="845"/>
      <c r="J10" s="847"/>
      <c r="K10" s="837"/>
    </row>
    <row r="11" spans="1:13" x14ac:dyDescent="0.25">
      <c r="A11" s="838"/>
      <c r="B11" s="839" t="s">
        <v>278</v>
      </c>
      <c r="C11" s="654"/>
      <c r="D11" s="574">
        <f>'DETALLE DE CREDITOS'!D25</f>
        <v>1589</v>
      </c>
      <c r="E11" s="481">
        <f>'DETALLE DE CREDITOS'!E25</f>
        <v>44998</v>
      </c>
      <c r="F11" s="574">
        <f>'DETALLE DE CREDITOS'!F25</f>
        <v>29</v>
      </c>
      <c r="G11" s="587" t="str">
        <f t="shared" ca="1" si="0"/>
        <v>VENCIDA</v>
      </c>
      <c r="H11" s="840">
        <f>SUM(F11:F18)</f>
        <v>635</v>
      </c>
      <c r="I11" s="665">
        <v>0</v>
      </c>
      <c r="J11" s="841">
        <f>H11-I11</f>
        <v>635</v>
      </c>
      <c r="K11" s="816" t="s">
        <v>496</v>
      </c>
    </row>
    <row r="12" spans="1:13" x14ac:dyDescent="0.25">
      <c r="A12" s="838"/>
      <c r="B12" s="839"/>
      <c r="C12" s="654"/>
      <c r="D12" s="574">
        <f>'DETALLE DE CREDITOS'!D31</f>
        <v>1811</v>
      </c>
      <c r="E12" s="481">
        <f>'DETALLE DE CREDITOS'!E31</f>
        <v>45012</v>
      </c>
      <c r="F12" s="574">
        <f>'DETALLE DE CREDITOS'!F31</f>
        <v>125</v>
      </c>
      <c r="G12" s="587" t="str">
        <f t="shared" ca="1" si="0"/>
        <v>VENCIDA</v>
      </c>
      <c r="H12" s="840"/>
      <c r="I12" s="665"/>
      <c r="J12" s="841"/>
      <c r="K12" s="816"/>
    </row>
    <row r="13" spans="1:13" x14ac:dyDescent="0.25">
      <c r="A13" s="838"/>
      <c r="B13" s="839"/>
      <c r="C13" s="654"/>
      <c r="D13" s="574">
        <f>'DETALLE DE CREDITOS'!D69</f>
        <v>2867</v>
      </c>
      <c r="E13" s="481">
        <f>'DETALLE DE CREDITOS'!E69</f>
        <v>45069</v>
      </c>
      <c r="F13" s="574">
        <f>'DETALLE DE CREDITOS'!F69</f>
        <v>150</v>
      </c>
      <c r="G13" s="587" t="str">
        <f t="shared" ca="1" si="0"/>
        <v>VENCIDA</v>
      </c>
      <c r="H13" s="840"/>
      <c r="I13" s="665"/>
      <c r="J13" s="841"/>
      <c r="K13" s="816"/>
    </row>
    <row r="14" spans="1:13" x14ac:dyDescent="0.25">
      <c r="A14" s="838"/>
      <c r="B14" s="839"/>
      <c r="C14" s="654"/>
      <c r="D14" s="575">
        <f>'DETALLE DE CREDITOS'!D130</f>
        <v>3805</v>
      </c>
      <c r="E14" s="342">
        <f>'DETALLE DE CREDITOS'!E130</f>
        <v>45122</v>
      </c>
      <c r="F14" s="575">
        <f>'DETALLE DE CREDITOS'!F130</f>
        <v>178</v>
      </c>
      <c r="G14" s="587" t="str">
        <f t="shared" ca="1" si="0"/>
        <v>VENCIDA</v>
      </c>
      <c r="H14" s="840"/>
      <c r="I14" s="665"/>
      <c r="J14" s="841"/>
      <c r="K14" s="816"/>
    </row>
    <row r="15" spans="1:13" x14ac:dyDescent="0.25">
      <c r="A15" s="838"/>
      <c r="B15" s="839"/>
      <c r="C15" s="654"/>
      <c r="D15" s="575">
        <f>'DETALLE DE CREDITOS'!D139</f>
        <v>3864</v>
      </c>
      <c r="E15" s="342">
        <f>'DETALLE DE CREDITOS'!E139</f>
        <v>45126</v>
      </c>
      <c r="F15" s="575">
        <f>'DETALLE DE CREDITOS'!F139</f>
        <v>28</v>
      </c>
      <c r="G15" s="587" t="str">
        <f t="shared" ca="1" si="0"/>
        <v>VENCIDA</v>
      </c>
      <c r="H15" s="840"/>
      <c r="I15" s="665"/>
      <c r="J15" s="841"/>
      <c r="K15" s="816"/>
    </row>
    <row r="16" spans="1:13" x14ac:dyDescent="0.25">
      <c r="A16" s="838"/>
      <c r="B16" s="839"/>
      <c r="C16" s="654"/>
      <c r="D16" s="575">
        <f>'DETALLE DE CREDITOS'!D151</f>
        <v>4104</v>
      </c>
      <c r="E16" s="342">
        <f>'DETALLE DE CREDITOS'!E151</f>
        <v>45141</v>
      </c>
      <c r="F16" s="575">
        <f>'DETALLE DE CREDITOS'!F151</f>
        <v>80</v>
      </c>
      <c r="G16" s="587" t="str">
        <f t="shared" ca="1" si="0"/>
        <v>VENCIDA</v>
      </c>
      <c r="H16" s="840"/>
      <c r="I16" s="665"/>
      <c r="J16" s="841"/>
      <c r="K16" s="816"/>
    </row>
    <row r="17" spans="1:11" x14ac:dyDescent="0.25">
      <c r="A17" s="838"/>
      <c r="B17" s="839"/>
      <c r="C17" s="654"/>
      <c r="D17" s="575">
        <f>'DETALLE DE CREDITOS'!D182</f>
        <v>4406</v>
      </c>
      <c r="E17" s="342">
        <f>'DETALLE DE CREDITOS'!E182</f>
        <v>45163</v>
      </c>
      <c r="F17" s="575">
        <f>'DETALLE DE CREDITOS'!F182</f>
        <v>25</v>
      </c>
      <c r="G17" s="587" t="str">
        <f t="shared" ca="1" si="0"/>
        <v>VENCIDA</v>
      </c>
      <c r="H17" s="840"/>
      <c r="I17" s="665"/>
      <c r="J17" s="841"/>
      <c r="K17" s="816"/>
    </row>
    <row r="18" spans="1:11" x14ac:dyDescent="0.25">
      <c r="A18" s="838"/>
      <c r="B18" s="839"/>
      <c r="C18" s="654"/>
      <c r="D18" s="575">
        <f>'DETALLE DE CREDITOS'!D229</f>
        <v>5346</v>
      </c>
      <c r="E18" s="342">
        <f>'DETALLE DE CREDITOS'!E229</f>
        <v>45211</v>
      </c>
      <c r="F18" s="575">
        <f>'DETALLE DE CREDITOS'!F229</f>
        <v>20</v>
      </c>
      <c r="G18" s="587" t="str">
        <f t="shared" ca="1" si="0"/>
        <v>VENCIDA</v>
      </c>
      <c r="H18" s="840"/>
      <c r="I18" s="665"/>
      <c r="J18" s="841"/>
      <c r="K18" s="816"/>
    </row>
    <row r="19" spans="1:11" x14ac:dyDescent="0.25">
      <c r="A19" s="575" t="s">
        <v>509</v>
      </c>
      <c r="B19" s="575" t="s">
        <v>570</v>
      </c>
      <c r="C19" s="575"/>
      <c r="D19" s="575">
        <f>'DETALLE DE CREDITOS'!D95</f>
        <v>2078</v>
      </c>
      <c r="E19" s="342">
        <f>'DETALLE DE CREDITOS'!E95</f>
        <v>45085</v>
      </c>
      <c r="F19" s="575">
        <f>'DETALLE DE CREDITOS'!F95</f>
        <v>104</v>
      </c>
      <c r="G19" s="587" t="str">
        <f t="shared" ca="1" si="0"/>
        <v>VENCIDA</v>
      </c>
      <c r="H19" s="575">
        <f>SUM(F19)</f>
        <v>104</v>
      </c>
      <c r="I19" s="575">
        <v>0</v>
      </c>
      <c r="J19" s="576">
        <f>H19-I19</f>
        <v>104</v>
      </c>
      <c r="K19" s="578" t="s">
        <v>496</v>
      </c>
    </row>
    <row r="20" spans="1:11" x14ac:dyDescent="0.25">
      <c r="A20" s="822" t="s">
        <v>357</v>
      </c>
      <c r="B20" s="822" t="s">
        <v>357</v>
      </c>
      <c r="C20" s="822"/>
      <c r="D20" s="575">
        <f>'DETALLE DE CREDITOS'!D119</f>
        <v>3746</v>
      </c>
      <c r="E20" s="342">
        <f>'DETALLE DE CREDITOS'!E119</f>
        <v>45118</v>
      </c>
      <c r="F20" s="575">
        <f>'DETALLE DE CREDITOS'!F119</f>
        <v>152</v>
      </c>
      <c r="G20" s="587" t="str">
        <f t="shared" ca="1" si="0"/>
        <v>VENCIDA</v>
      </c>
      <c r="H20" s="822">
        <f>SUM(F20:F30)</f>
        <v>2259</v>
      </c>
      <c r="I20" s="822">
        <v>0</v>
      </c>
      <c r="J20" s="819">
        <f>+H20-I20</f>
        <v>2259</v>
      </c>
      <c r="K20" s="820" t="s">
        <v>496</v>
      </c>
    </row>
    <row r="21" spans="1:11" x14ac:dyDescent="0.25">
      <c r="A21" s="834"/>
      <c r="B21" s="834"/>
      <c r="C21" s="834"/>
      <c r="D21" s="575">
        <f>'DETALLE DE CREDITOS'!D120</f>
        <v>3753</v>
      </c>
      <c r="E21" s="342">
        <f>'DETALLE DE CREDITOS'!E120</f>
        <v>45118</v>
      </c>
      <c r="F21" s="575">
        <f>'DETALLE DE CREDITOS'!F120</f>
        <v>389</v>
      </c>
      <c r="G21" s="587" t="str">
        <f t="shared" ca="1" si="0"/>
        <v>VENCIDA</v>
      </c>
      <c r="H21" s="834"/>
      <c r="I21" s="834"/>
      <c r="J21" s="835"/>
      <c r="K21" s="824"/>
    </row>
    <row r="22" spans="1:11" x14ac:dyDescent="0.25">
      <c r="A22" s="834"/>
      <c r="B22" s="834"/>
      <c r="C22" s="834"/>
      <c r="D22" s="575">
        <f>'DETALLE DE CREDITOS'!D121</f>
        <v>3754</v>
      </c>
      <c r="E22" s="342">
        <f>'DETALLE DE CREDITOS'!E121</f>
        <v>45118</v>
      </c>
      <c r="F22" s="575">
        <f>'DETALLE DE CREDITOS'!F121</f>
        <v>203</v>
      </c>
      <c r="G22" s="587" t="str">
        <f t="shared" ca="1" si="0"/>
        <v>VENCIDA</v>
      </c>
      <c r="H22" s="834"/>
      <c r="I22" s="834"/>
      <c r="J22" s="835"/>
      <c r="K22" s="824"/>
    </row>
    <row r="23" spans="1:11" x14ac:dyDescent="0.25">
      <c r="A23" s="834"/>
      <c r="B23" s="834"/>
      <c r="C23" s="834"/>
      <c r="D23" s="575">
        <f>'DETALLE DE CREDITOS'!D122</f>
        <v>3780</v>
      </c>
      <c r="E23" s="342">
        <f>'DETALLE DE CREDITOS'!E122</f>
        <v>45119</v>
      </c>
      <c r="F23" s="575">
        <f>'DETALLE DE CREDITOS'!F122</f>
        <v>93</v>
      </c>
      <c r="G23" s="587" t="str">
        <f t="shared" ca="1" si="0"/>
        <v>VENCIDA</v>
      </c>
      <c r="H23" s="834"/>
      <c r="I23" s="834"/>
      <c r="J23" s="835"/>
      <c r="K23" s="824"/>
    </row>
    <row r="24" spans="1:11" x14ac:dyDescent="0.25">
      <c r="A24" s="834"/>
      <c r="B24" s="834"/>
      <c r="C24" s="834"/>
      <c r="D24" s="575">
        <f>'DETALLE DE CREDITOS'!D124</f>
        <v>3786</v>
      </c>
      <c r="E24" s="342">
        <f>'DETALLE DE CREDITOS'!E124</f>
        <v>45120</v>
      </c>
      <c r="F24" s="575">
        <f>'DETALLE DE CREDITOS'!F124</f>
        <v>283</v>
      </c>
      <c r="G24" s="587" t="str">
        <f t="shared" ca="1" si="0"/>
        <v>VENCIDA</v>
      </c>
      <c r="H24" s="834"/>
      <c r="I24" s="834"/>
      <c r="J24" s="835"/>
      <c r="K24" s="824"/>
    </row>
    <row r="25" spans="1:11" x14ac:dyDescent="0.25">
      <c r="A25" s="834"/>
      <c r="B25" s="834"/>
      <c r="C25" s="834"/>
      <c r="D25" s="575">
        <f>'DETALLE DE CREDITOS'!D123</f>
        <v>3790</v>
      </c>
      <c r="E25" s="342">
        <f>'DETALLE DE CREDITOS'!E123</f>
        <v>45120</v>
      </c>
      <c r="F25" s="575">
        <f>'DETALLE DE CREDITOS'!F123</f>
        <v>55</v>
      </c>
      <c r="G25" s="587" t="str">
        <f t="shared" ca="1" si="0"/>
        <v>VENCIDA</v>
      </c>
      <c r="H25" s="834"/>
      <c r="I25" s="834"/>
      <c r="J25" s="835"/>
      <c r="K25" s="824"/>
    </row>
    <row r="26" spans="1:11" x14ac:dyDescent="0.25">
      <c r="A26" s="834"/>
      <c r="B26" s="834"/>
      <c r="C26" s="834"/>
      <c r="D26" s="575">
        <f>'DETALLE DE CREDITOS'!D141</f>
        <v>3865</v>
      </c>
      <c r="E26" s="342">
        <f>'DETALLE DE CREDITOS'!E141</f>
        <v>45126</v>
      </c>
      <c r="F26" s="575">
        <f>'DETALLE DE CREDITOS'!F141</f>
        <v>375</v>
      </c>
      <c r="G26" s="587" t="str">
        <f t="shared" ca="1" si="0"/>
        <v>VENCIDA</v>
      </c>
      <c r="H26" s="834"/>
      <c r="I26" s="834"/>
      <c r="J26" s="835"/>
      <c r="K26" s="824"/>
    </row>
    <row r="27" spans="1:11" x14ac:dyDescent="0.25">
      <c r="A27" s="834"/>
      <c r="B27" s="834"/>
      <c r="C27" s="834"/>
      <c r="D27" s="575">
        <f>'DETALLE DE CREDITOS'!D129</f>
        <v>3803</v>
      </c>
      <c r="E27" s="342">
        <f>'DETALLE DE CREDITOS'!E129</f>
        <v>45121</v>
      </c>
      <c r="F27" s="575">
        <f>'DETALLE DE CREDITOS'!F129</f>
        <v>375</v>
      </c>
      <c r="G27" s="587" t="str">
        <f t="shared" ca="1" si="0"/>
        <v>VENCIDA</v>
      </c>
      <c r="H27" s="834"/>
      <c r="I27" s="834"/>
      <c r="J27" s="835"/>
      <c r="K27" s="824"/>
    </row>
    <row r="28" spans="1:11" x14ac:dyDescent="0.25">
      <c r="A28" s="834"/>
      <c r="B28" s="834"/>
      <c r="C28" s="834"/>
      <c r="D28" s="575">
        <f>'DETALLE DE CREDITOS'!D132</f>
        <v>3816</v>
      </c>
      <c r="E28" s="342">
        <f>'DETALLE DE CREDITOS'!E132</f>
        <v>45122</v>
      </c>
      <c r="F28" s="575">
        <f>'DETALLE DE CREDITOS'!F132</f>
        <v>55</v>
      </c>
      <c r="G28" s="587" t="str">
        <f t="shared" ca="1" si="0"/>
        <v>VENCIDA</v>
      </c>
      <c r="H28" s="834"/>
      <c r="I28" s="834"/>
      <c r="J28" s="835"/>
      <c r="K28" s="824"/>
    </row>
    <row r="29" spans="1:11" x14ac:dyDescent="0.25">
      <c r="A29" s="834"/>
      <c r="B29" s="834"/>
      <c r="C29" s="834"/>
      <c r="D29" s="575">
        <f>'DETALLE DE CREDITOS'!D133</f>
        <v>3815</v>
      </c>
      <c r="E29" s="342">
        <f>'DETALLE DE CREDITOS'!E133</f>
        <v>45122</v>
      </c>
      <c r="F29" s="575">
        <f>'DETALLE DE CREDITOS'!F133</f>
        <v>165</v>
      </c>
      <c r="G29" s="587" t="str">
        <f t="shared" ca="1" si="0"/>
        <v>VENCIDA</v>
      </c>
      <c r="H29" s="834"/>
      <c r="I29" s="834"/>
      <c r="J29" s="835"/>
      <c r="K29" s="824"/>
    </row>
    <row r="30" spans="1:11" x14ac:dyDescent="0.25">
      <c r="A30" s="823"/>
      <c r="B30" s="823"/>
      <c r="C30" s="823"/>
      <c r="D30" s="575">
        <f>'DETALLE DE CREDITOS'!D138</f>
        <v>3842</v>
      </c>
      <c r="E30" s="342">
        <f>'DETALLE DE CREDITOS'!E138</f>
        <v>45125</v>
      </c>
      <c r="F30" s="575">
        <f>'DETALLE DE CREDITOS'!F138</f>
        <v>114</v>
      </c>
      <c r="G30" s="587" t="str">
        <f t="shared" ca="1" si="0"/>
        <v>VENCIDA</v>
      </c>
      <c r="H30" s="823"/>
      <c r="I30" s="823"/>
      <c r="J30" s="633"/>
      <c r="K30" s="821"/>
    </row>
    <row r="31" spans="1:11" x14ac:dyDescent="0.25">
      <c r="A31" s="822" t="s">
        <v>631</v>
      </c>
      <c r="B31" s="822" t="s">
        <v>472</v>
      </c>
      <c r="C31" s="822"/>
      <c r="D31" s="575">
        <f>'DETALLE DE CREDITOS'!D187</f>
        <v>4525</v>
      </c>
      <c r="E31" s="342">
        <f>'DETALLE DE CREDITOS'!E187</f>
        <v>45173</v>
      </c>
      <c r="F31" s="575">
        <f>'DETALLE DE CREDITOS'!F187</f>
        <v>1034</v>
      </c>
      <c r="G31" s="587" t="str">
        <f t="shared" ca="1" si="0"/>
        <v>VENCIDA</v>
      </c>
      <c r="H31" s="822">
        <f>SUM(F31:F32)</f>
        <v>1082</v>
      </c>
      <c r="I31" s="822">
        <f>'DETALLE DE CREDITOS'!F191+'DETALLE DE CREDITOS'!F209</f>
        <v>1065</v>
      </c>
      <c r="J31" s="819">
        <f>H31-I31</f>
        <v>17</v>
      </c>
      <c r="K31" s="820" t="s">
        <v>496</v>
      </c>
    </row>
    <row r="32" spans="1:11" x14ac:dyDescent="0.25">
      <c r="A32" s="823"/>
      <c r="B32" s="823"/>
      <c r="C32" s="823"/>
      <c r="D32" s="575">
        <f>'DETALLE DE CREDITOS'!D188</f>
        <v>4526</v>
      </c>
      <c r="E32" s="342">
        <f>'DETALLE DE CREDITOS'!E188</f>
        <v>45173</v>
      </c>
      <c r="F32" s="575">
        <f>'DETALLE DE CREDITOS'!F188</f>
        <v>48</v>
      </c>
      <c r="G32" s="587" t="str">
        <f t="shared" ca="1" si="0"/>
        <v>VENCIDA</v>
      </c>
      <c r="H32" s="823"/>
      <c r="I32" s="823"/>
      <c r="J32" s="633"/>
      <c r="K32" s="821"/>
    </row>
    <row r="33" spans="1:11" x14ac:dyDescent="0.25">
      <c r="A33" s="822"/>
      <c r="B33" s="822" t="s">
        <v>640</v>
      </c>
      <c r="C33" s="822"/>
      <c r="D33" s="284">
        <f>'DETALLE DE CREDITOS'!D190</f>
        <v>4692</v>
      </c>
      <c r="E33" s="537">
        <f>'DETALLE DE CREDITOS'!E190</f>
        <v>45180</v>
      </c>
      <c r="F33" s="284">
        <f>'DETALLE DE CREDITOS'!F190</f>
        <v>68</v>
      </c>
      <c r="G33" s="587" t="str">
        <f t="shared" ca="1" si="0"/>
        <v>VENCIDA</v>
      </c>
      <c r="H33" s="822">
        <f>SUM(F33:F34)</f>
        <v>82</v>
      </c>
      <c r="I33" s="822">
        <f>'DETALLE DE CREDITOS'!F224+'DETALLE DE CREDITOS'!F242+'DETALLE DE CREDITOS'!F243+'DETALLE DE CREDITOS'!F283</f>
        <v>60</v>
      </c>
      <c r="J33" s="819">
        <f>H33-I33</f>
        <v>22</v>
      </c>
      <c r="K33" s="820" t="s">
        <v>496</v>
      </c>
    </row>
    <row r="34" spans="1:11" x14ac:dyDescent="0.25">
      <c r="A34" s="834"/>
      <c r="B34" s="834"/>
      <c r="C34" s="834"/>
      <c r="D34" s="284">
        <f>'DETALLE DE CREDITOS'!D284</f>
        <v>6419</v>
      </c>
      <c r="E34" s="537">
        <f>'DETALLE DE CREDITOS'!E284</f>
        <v>45247</v>
      </c>
      <c r="F34" s="284">
        <f>'DETALLE DE CREDITOS'!F284</f>
        <v>14</v>
      </c>
      <c r="G34" s="587" t="str">
        <f t="shared" ca="1" si="0"/>
        <v>VENCIDA</v>
      </c>
      <c r="H34" s="834"/>
      <c r="I34" s="834"/>
      <c r="J34" s="835"/>
      <c r="K34" s="824"/>
    </row>
    <row r="35" spans="1:11" x14ac:dyDescent="0.25">
      <c r="A35" s="822" t="s">
        <v>690</v>
      </c>
      <c r="B35" s="822" t="s">
        <v>461</v>
      </c>
      <c r="C35" s="822"/>
      <c r="D35" s="575">
        <f>'DETALLE DE CREDITOS'!D198</f>
        <v>4790</v>
      </c>
      <c r="E35" s="342">
        <f>'DETALLE DE CREDITOS'!E198</f>
        <v>45184</v>
      </c>
      <c r="F35" s="575">
        <f>'DETALLE DE CREDITOS'!F198</f>
        <v>30</v>
      </c>
      <c r="G35" s="587" t="str">
        <f t="shared" ref="G35:G66" ca="1" si="1">IF(E35="","",IF(E35+$M$2&lt;$L$2,"VENCIDA","VIGENTE"))</f>
        <v>VENCIDA</v>
      </c>
      <c r="H35" s="822">
        <f>SUM(F35:F38)</f>
        <v>152</v>
      </c>
      <c r="I35" s="822">
        <f>'DETALLE DE CREDITOS'!F264+'DETALLE DE CREDITOS'!F267</f>
        <v>95</v>
      </c>
      <c r="J35" s="819">
        <f>H35-I35</f>
        <v>57</v>
      </c>
      <c r="K35" s="820" t="s">
        <v>496</v>
      </c>
    </row>
    <row r="36" spans="1:11" x14ac:dyDescent="0.25">
      <c r="A36" s="834"/>
      <c r="B36" s="834"/>
      <c r="C36" s="834"/>
      <c r="D36" s="575">
        <f>'DETALLE DE CREDITOS'!D244</f>
        <v>5730</v>
      </c>
      <c r="E36" s="342">
        <f>'DETALLE DE CREDITOS'!E244</f>
        <v>45230</v>
      </c>
      <c r="F36" s="575">
        <f>'DETALLE DE CREDITOS'!F244</f>
        <v>65</v>
      </c>
      <c r="G36" s="587" t="str">
        <f t="shared" ca="1" si="1"/>
        <v>VENCIDA</v>
      </c>
      <c r="H36" s="834"/>
      <c r="I36" s="834"/>
      <c r="J36" s="835"/>
      <c r="K36" s="824"/>
    </row>
    <row r="37" spans="1:11" x14ac:dyDescent="0.25">
      <c r="A37" s="834"/>
      <c r="B37" s="834"/>
      <c r="C37" s="834"/>
      <c r="D37" s="575">
        <f>'DETALLE DE CREDITOS'!D250</f>
        <v>5810</v>
      </c>
      <c r="E37" s="342">
        <f>'DETALLE DE CREDITOS'!E250</f>
        <v>45232</v>
      </c>
      <c r="F37" s="575">
        <f>'DETALLE DE CREDITOS'!F250</f>
        <v>42</v>
      </c>
      <c r="G37" s="587" t="str">
        <f t="shared" ca="1" si="1"/>
        <v>VENCIDA</v>
      </c>
      <c r="H37" s="834"/>
      <c r="I37" s="834"/>
      <c r="J37" s="835"/>
      <c r="K37" s="824"/>
    </row>
    <row r="38" spans="1:11" x14ac:dyDescent="0.25">
      <c r="A38" s="823"/>
      <c r="B38" s="823"/>
      <c r="C38" s="823"/>
      <c r="D38" s="575">
        <f>'DETALLE DE CREDITOS'!D259</f>
        <v>5941</v>
      </c>
      <c r="E38" s="342">
        <f>'DETALLE DE CREDITOS'!E259</f>
        <v>45233</v>
      </c>
      <c r="F38" s="575">
        <f>'DETALLE DE CREDITOS'!F259</f>
        <v>15</v>
      </c>
      <c r="G38" s="587" t="str">
        <f t="shared" ca="1" si="1"/>
        <v>VENCIDA</v>
      </c>
      <c r="H38" s="823"/>
      <c r="I38" s="823"/>
      <c r="J38" s="633"/>
      <c r="K38" s="821"/>
    </row>
    <row r="39" spans="1:11" x14ac:dyDescent="0.25">
      <c r="A39" s="822"/>
      <c r="B39" s="822" t="s">
        <v>277</v>
      </c>
      <c r="C39" s="822"/>
      <c r="D39" s="575">
        <f>'DETALLE DE CREDITOS'!D210</f>
        <v>5061</v>
      </c>
      <c r="E39" s="342">
        <f>'DETALLE DE CREDITOS'!E210</f>
        <v>45194</v>
      </c>
      <c r="F39" s="575">
        <f>'DETALLE DE CREDITOS'!F210</f>
        <v>170.36</v>
      </c>
      <c r="G39" s="587" t="str">
        <f t="shared" ca="1" si="1"/>
        <v>VENCIDA</v>
      </c>
      <c r="H39" s="822">
        <f>SUM(F39:F43)</f>
        <v>784.18</v>
      </c>
      <c r="I39" s="822">
        <f>'DETALLE DE CREDITOS'!F223+'DETALLE DE CREDITOS'!F236+'DETALLE DE CREDITOS'!F238+'DETALLE DE CREDITOS'!F269+'DETALLE DE CREDITOS'!F287+'DETALLE DE CREDITOS'!F288+'DETALLE DE CREDITOS'!F290+'DETALLE DE CREDITOS'!F292+'DETALLE DE CREDITOS'!F310+'DETALLE DE CREDITOS'!F311+'DETALLE DE CREDITOS'!F323+'DETALLE DE CREDITOS'!F324+'DETALLE DE CREDITOS'!F329+'DETALLE DE CREDITOS'!F331+'DETALLE DE CREDITOS'!F332+'DETALLE DE CREDITOS'!F333+'DETALLE DE CREDITOS'!F338</f>
        <v>342.48</v>
      </c>
      <c r="J39" s="819">
        <f>H39-I39</f>
        <v>441.69999999999993</v>
      </c>
      <c r="K39" s="820" t="s">
        <v>496</v>
      </c>
    </row>
    <row r="40" spans="1:11" x14ac:dyDescent="0.25">
      <c r="A40" s="834"/>
      <c r="B40" s="834"/>
      <c r="C40" s="834"/>
      <c r="D40" s="575">
        <f>'DETALLE DE CREDITOS'!D239</f>
        <v>5666</v>
      </c>
      <c r="E40" s="342">
        <f>'DETALLE DE CREDITOS'!E239</f>
        <v>45226</v>
      </c>
      <c r="F40" s="575">
        <f>'DETALLE DE CREDITOS'!F239</f>
        <v>114</v>
      </c>
      <c r="G40" s="587" t="str">
        <f t="shared" ca="1" si="1"/>
        <v>VENCIDA</v>
      </c>
      <c r="H40" s="834"/>
      <c r="I40" s="834"/>
      <c r="J40" s="835"/>
      <c r="K40" s="824"/>
    </row>
    <row r="41" spans="1:11" x14ac:dyDescent="0.25">
      <c r="A41" s="834"/>
      <c r="B41" s="834"/>
      <c r="C41" s="834"/>
      <c r="D41" s="575">
        <f>'DETALLE DE CREDITOS'!D268</f>
        <v>6074</v>
      </c>
      <c r="E41" s="342">
        <f>'DETALLE DE CREDITOS'!E268</f>
        <v>45236</v>
      </c>
      <c r="F41" s="575">
        <f>'DETALLE DE CREDITOS'!F268</f>
        <v>346.16</v>
      </c>
      <c r="G41" s="587" t="str">
        <f t="shared" ca="1" si="1"/>
        <v>VENCIDA</v>
      </c>
      <c r="H41" s="834"/>
      <c r="I41" s="834"/>
      <c r="J41" s="835"/>
      <c r="K41" s="824"/>
    </row>
    <row r="42" spans="1:11" x14ac:dyDescent="0.25">
      <c r="A42" s="834"/>
      <c r="B42" s="834"/>
      <c r="C42" s="834"/>
      <c r="D42" s="575">
        <f>'DETALLE DE CREDITOS'!D289</f>
        <v>0</v>
      </c>
      <c r="E42" s="342">
        <f>'DETALLE DE CREDITOS'!E289</f>
        <v>45251</v>
      </c>
      <c r="F42" s="575">
        <f>'DETALLE DE CREDITOS'!F289</f>
        <v>84</v>
      </c>
      <c r="G42" s="587" t="str">
        <f t="shared" ca="1" si="1"/>
        <v>VENCIDA</v>
      </c>
      <c r="H42" s="834"/>
      <c r="I42" s="834"/>
      <c r="J42" s="835"/>
      <c r="K42" s="824"/>
    </row>
    <row r="43" spans="1:11" x14ac:dyDescent="0.25">
      <c r="A43" s="823"/>
      <c r="B43" s="823"/>
      <c r="C43" s="823"/>
      <c r="D43" s="575">
        <f>'DETALLE DE CREDITOS'!D330</f>
        <v>0</v>
      </c>
      <c r="E43" s="342">
        <f>'DETALLE DE CREDITOS'!E330</f>
        <v>45269</v>
      </c>
      <c r="F43" s="575">
        <f>'DETALLE DE CREDITOS'!F330</f>
        <v>69.66</v>
      </c>
      <c r="G43" s="587" t="str">
        <f t="shared" ca="1" si="1"/>
        <v>VIGENTE</v>
      </c>
      <c r="H43" s="823"/>
      <c r="I43" s="823"/>
      <c r="J43" s="633"/>
      <c r="K43" s="821"/>
    </row>
    <row r="44" spans="1:11" x14ac:dyDescent="0.25">
      <c r="A44" s="575" t="s">
        <v>631</v>
      </c>
      <c r="B44" s="575" t="s">
        <v>700</v>
      </c>
      <c r="C44" s="575"/>
      <c r="D44" s="575">
        <f>'DETALLE DE CREDITOS'!D212</f>
        <v>5092</v>
      </c>
      <c r="E44" s="342">
        <f>'DETALLE DE CREDITOS'!E212</f>
        <v>45196</v>
      </c>
      <c r="F44" s="575">
        <f>'DETALLE DE CREDITOS'!F212</f>
        <v>109</v>
      </c>
      <c r="G44" s="587" t="str">
        <f t="shared" ca="1" si="1"/>
        <v>VENCIDA</v>
      </c>
      <c r="H44" s="575">
        <f>SUM(F44)</f>
        <v>109</v>
      </c>
      <c r="I44" s="575">
        <v>0</v>
      </c>
      <c r="J44" s="576">
        <f>H44-I44</f>
        <v>109</v>
      </c>
      <c r="K44" s="578" t="s">
        <v>496</v>
      </c>
    </row>
    <row r="45" spans="1:11" x14ac:dyDescent="0.25">
      <c r="A45" s="575" t="s">
        <v>764</v>
      </c>
      <c r="B45" s="575" t="s">
        <v>508</v>
      </c>
      <c r="C45" s="575"/>
      <c r="D45" s="575">
        <f>'DETALLE DE CREDITOS'!D225</f>
        <v>5240</v>
      </c>
      <c r="E45" s="342">
        <f>'DETALLE DE CREDITOS'!E225</f>
        <v>45205</v>
      </c>
      <c r="F45" s="575">
        <f>'DETALLE DE CREDITOS'!F225</f>
        <v>106</v>
      </c>
      <c r="G45" s="587" t="str">
        <f t="shared" ca="1" si="1"/>
        <v>VENCIDA</v>
      </c>
      <c r="H45" s="575">
        <f>SUM(F45)</f>
        <v>106</v>
      </c>
      <c r="I45" s="575">
        <v>0</v>
      </c>
      <c r="J45" s="576">
        <f>H45-I45</f>
        <v>106</v>
      </c>
      <c r="K45" s="578" t="s">
        <v>496</v>
      </c>
    </row>
    <row r="46" spans="1:11" s="366" customFormat="1" ht="14.25" customHeight="1" x14ac:dyDescent="0.25">
      <c r="A46" s="825"/>
      <c r="B46" s="825" t="s">
        <v>579</v>
      </c>
      <c r="C46" s="825"/>
      <c r="D46" s="284">
        <f>'DETALLE DE CREDITOS'!D249</f>
        <v>5997</v>
      </c>
      <c r="E46" s="537">
        <f>'DETALLE DE CREDITOS'!E249</f>
        <v>45232</v>
      </c>
      <c r="F46" s="284">
        <f>'DETALLE DE CREDITOS'!F249</f>
        <v>150</v>
      </c>
      <c r="G46" s="587" t="str">
        <f t="shared" ca="1" si="1"/>
        <v>VENCIDA</v>
      </c>
      <c r="H46" s="825">
        <f>SUM(F46:F48)</f>
        <v>186</v>
      </c>
      <c r="I46" s="825">
        <f>'DETALLE DE CREDITOS'!F274+'DETALLE DE CREDITOS'!F327</f>
        <v>190</v>
      </c>
      <c r="J46" s="828">
        <f>H46-I46</f>
        <v>-4</v>
      </c>
      <c r="K46" s="831" t="s">
        <v>496</v>
      </c>
    </row>
    <row r="47" spans="1:11" s="366" customFormat="1" x14ac:dyDescent="0.25">
      <c r="A47" s="826"/>
      <c r="B47" s="826"/>
      <c r="C47" s="826"/>
      <c r="D47" s="284">
        <f>'DETALLE DE CREDITOS'!D262</f>
        <v>5862</v>
      </c>
      <c r="E47" s="537">
        <f>'DETALLE DE CREDITOS'!E262</f>
        <v>45234</v>
      </c>
      <c r="F47" s="284">
        <f>'DETALLE DE CREDITOS'!F262</f>
        <v>22</v>
      </c>
      <c r="G47" s="587" t="str">
        <f t="shared" ca="1" si="1"/>
        <v>VENCIDA</v>
      </c>
      <c r="H47" s="826"/>
      <c r="I47" s="826"/>
      <c r="J47" s="829"/>
      <c r="K47" s="832"/>
    </row>
    <row r="48" spans="1:11" s="366" customFormat="1" x14ac:dyDescent="0.25">
      <c r="A48" s="827"/>
      <c r="B48" s="827"/>
      <c r="C48" s="827"/>
      <c r="D48" s="284">
        <f>'DETALLE DE CREDITOS'!D291</f>
        <v>6703</v>
      </c>
      <c r="E48" s="537">
        <f>'DETALLE DE CREDITOS'!E291</f>
        <v>45257</v>
      </c>
      <c r="F48" s="284">
        <f>'DETALLE DE CREDITOS'!F291</f>
        <v>14</v>
      </c>
      <c r="G48" s="587" t="str">
        <f t="shared" ca="1" si="1"/>
        <v>VENCIDA</v>
      </c>
      <c r="H48" s="827"/>
      <c r="I48" s="827"/>
      <c r="J48" s="830"/>
      <c r="K48" s="833"/>
    </row>
    <row r="49" spans="1:11" x14ac:dyDescent="0.25">
      <c r="A49" s="575" t="s">
        <v>744</v>
      </c>
      <c r="B49" s="575" t="s">
        <v>743</v>
      </c>
      <c r="C49" s="575"/>
      <c r="D49" s="575">
        <f>'DETALLE DE CREDITOS'!D282</f>
        <v>6396</v>
      </c>
      <c r="E49" s="342">
        <f>'DETALLE DE CREDITOS'!E282</f>
        <v>45246</v>
      </c>
      <c r="F49" s="575">
        <f>'DETALLE DE CREDITOS'!F282</f>
        <v>96</v>
      </c>
      <c r="G49" s="587" t="str">
        <f t="shared" ca="1" si="1"/>
        <v>VENCIDA</v>
      </c>
      <c r="H49" s="575">
        <f>SUM(F49)</f>
        <v>96</v>
      </c>
      <c r="I49" s="575">
        <v>0</v>
      </c>
      <c r="J49" s="576">
        <f>H49-I49</f>
        <v>96</v>
      </c>
      <c r="K49" s="578" t="s">
        <v>496</v>
      </c>
    </row>
    <row r="50" spans="1:11" x14ac:dyDescent="0.25">
      <c r="A50" s="575"/>
      <c r="B50" s="575" t="s">
        <v>475</v>
      </c>
      <c r="C50" s="575"/>
      <c r="D50" s="575">
        <f>'DETALLE DE CREDITOS'!D285</f>
        <v>6497</v>
      </c>
      <c r="E50" s="342">
        <f>'DETALLE DE CREDITOS'!E285</f>
        <v>45251</v>
      </c>
      <c r="F50" s="575">
        <f>'DETALLE DE CREDITOS'!F285</f>
        <v>8</v>
      </c>
      <c r="G50" s="587" t="str">
        <f t="shared" ca="1" si="1"/>
        <v>VENCIDA</v>
      </c>
      <c r="H50" s="575">
        <f>SUM(F50)</f>
        <v>8</v>
      </c>
      <c r="I50" s="575">
        <v>0</v>
      </c>
      <c r="J50" s="576">
        <f>H50-I50</f>
        <v>8</v>
      </c>
      <c r="K50" s="578" t="s">
        <v>496</v>
      </c>
    </row>
    <row r="51" spans="1:11" x14ac:dyDescent="0.25">
      <c r="A51" s="822"/>
      <c r="B51" s="822" t="s">
        <v>507</v>
      </c>
      <c r="C51" s="822"/>
      <c r="D51" s="599">
        <f>'DETALLE DE CREDITOS'!D334</f>
        <v>7217</v>
      </c>
      <c r="E51" s="599">
        <f>'DETALLE DE CREDITOS'!E334</f>
        <v>45275</v>
      </c>
      <c r="F51" s="599">
        <f>'DETALLE DE CREDITOS'!F334</f>
        <v>8</v>
      </c>
      <c r="G51" s="587" t="str">
        <f t="shared" ca="1" si="1"/>
        <v>VIGENTE</v>
      </c>
      <c r="H51" s="822">
        <f>SUM(F51:F52)</f>
        <v>21</v>
      </c>
      <c r="I51" s="822">
        <f>'DETALLE DE CREDITOS'!F298</f>
        <v>6</v>
      </c>
      <c r="J51" s="819">
        <f>H51-I51</f>
        <v>15</v>
      </c>
      <c r="K51" s="820" t="s">
        <v>496</v>
      </c>
    </row>
    <row r="52" spans="1:11" x14ac:dyDescent="0.25">
      <c r="A52" s="823"/>
      <c r="B52" s="823"/>
      <c r="C52" s="823"/>
      <c r="D52" s="575">
        <f>'DETALLE DE CREDITOS'!D294</f>
        <v>6818</v>
      </c>
      <c r="E52" s="342">
        <f>'DETALLE DE CREDITOS'!E294</f>
        <v>45259</v>
      </c>
      <c r="F52" s="575">
        <f>'DETALLE DE CREDITOS'!F294</f>
        <v>13</v>
      </c>
      <c r="G52" s="587" t="str">
        <f t="shared" ca="1" si="1"/>
        <v>VENCIDA</v>
      </c>
      <c r="H52" s="823"/>
      <c r="I52" s="823"/>
      <c r="J52" s="633"/>
      <c r="K52" s="821"/>
    </row>
    <row r="53" spans="1:11" x14ac:dyDescent="0.25">
      <c r="A53" s="575"/>
      <c r="B53" s="575" t="s">
        <v>754</v>
      </c>
      <c r="C53" s="575"/>
      <c r="D53" s="575">
        <f>'DETALLE DE CREDITOS'!D315</f>
        <v>6887</v>
      </c>
      <c r="E53" s="342">
        <f>'DETALLE DE CREDITOS'!E315</f>
        <v>45264</v>
      </c>
      <c r="F53" s="575">
        <f>'DETALLE DE CREDITOS'!F315</f>
        <v>31</v>
      </c>
      <c r="G53" s="587" t="str">
        <f t="shared" ca="1" si="1"/>
        <v>VIGENTE</v>
      </c>
      <c r="H53" s="575">
        <f>SUM(F53)</f>
        <v>31</v>
      </c>
      <c r="I53" s="575">
        <f>'DETALLE DE CREDITOS'!F337</f>
        <v>34</v>
      </c>
      <c r="J53" s="576">
        <f t="shared" ref="J53:J55" si="2">H53-I53</f>
        <v>-3</v>
      </c>
      <c r="K53" s="578" t="s">
        <v>496</v>
      </c>
    </row>
    <row r="54" spans="1:11" x14ac:dyDescent="0.25">
      <c r="A54" s="575"/>
      <c r="B54" s="575" t="s">
        <v>750</v>
      </c>
      <c r="C54" s="575"/>
      <c r="D54" s="575">
        <f>'DETALLE DE CREDITOS'!D293</f>
        <v>6799</v>
      </c>
      <c r="E54" s="342">
        <f>'DETALLE DE CREDITOS'!E293</f>
        <v>45259</v>
      </c>
      <c r="F54" s="575">
        <f>'DETALLE DE CREDITOS'!F293</f>
        <v>360</v>
      </c>
      <c r="G54" s="587" t="str">
        <f t="shared" ca="1" si="1"/>
        <v>VENCIDA</v>
      </c>
      <c r="H54" s="575">
        <f>SUM(F54)</f>
        <v>360</v>
      </c>
      <c r="I54" s="575">
        <v>0</v>
      </c>
      <c r="J54" s="576">
        <f t="shared" si="2"/>
        <v>360</v>
      </c>
      <c r="K54" s="578" t="s">
        <v>496</v>
      </c>
    </row>
    <row r="55" spans="1:11" ht="30" x14ac:dyDescent="0.25">
      <c r="A55" s="575"/>
      <c r="B55" s="575" t="s">
        <v>752</v>
      </c>
      <c r="C55" s="575"/>
      <c r="D55" s="575">
        <f>'DETALLE DE CREDITOS'!D296</f>
        <v>6785</v>
      </c>
      <c r="E55" s="342">
        <f>'DETALLE DE CREDITOS'!E296</f>
        <v>45259</v>
      </c>
      <c r="F55" s="575">
        <f>'DETALLE DE CREDITOS'!F296</f>
        <v>419</v>
      </c>
      <c r="G55" s="587" t="str">
        <f t="shared" ca="1" si="1"/>
        <v>VENCIDA</v>
      </c>
      <c r="H55" s="575">
        <f>SUM(F55)</f>
        <v>419</v>
      </c>
      <c r="I55" s="575">
        <f>'DETALLE DE CREDITOS'!F297+'DETALLE DE CREDITOS'!F299+'DETALLE DE CREDITOS'!F300</f>
        <v>155</v>
      </c>
      <c r="J55" s="576">
        <f t="shared" si="2"/>
        <v>264</v>
      </c>
      <c r="K55" s="578" t="s">
        <v>755</v>
      </c>
    </row>
    <row r="56" spans="1:11" x14ac:dyDescent="0.25">
      <c r="A56" s="575"/>
      <c r="B56" s="575" t="s">
        <v>458</v>
      </c>
      <c r="C56" s="575"/>
      <c r="D56" s="575">
        <f>'DETALLE DE CREDITOS'!D316</f>
        <v>6886</v>
      </c>
      <c r="E56" s="342">
        <f>'DETALLE DE CREDITOS'!E316</f>
        <v>45264</v>
      </c>
      <c r="F56" s="575">
        <f>'DETALLE DE CREDITOS'!F316</f>
        <v>23</v>
      </c>
      <c r="G56" s="587" t="str">
        <f t="shared" ca="1" si="1"/>
        <v>VIGENTE</v>
      </c>
      <c r="H56" s="575">
        <f>SUM(F56)</f>
        <v>23</v>
      </c>
      <c r="I56" s="575">
        <v>0</v>
      </c>
      <c r="J56" s="576">
        <f>H56-I56</f>
        <v>23</v>
      </c>
      <c r="K56" s="578" t="s">
        <v>496</v>
      </c>
    </row>
    <row r="57" spans="1:11" x14ac:dyDescent="0.25">
      <c r="A57" s="822"/>
      <c r="B57" s="822" t="s">
        <v>759</v>
      </c>
      <c r="C57" s="822"/>
      <c r="D57" s="575">
        <f>'DETALLE DE CREDITOS'!D319</f>
        <v>6934</v>
      </c>
      <c r="E57" s="342">
        <f>'DETALLE DE CREDITOS'!E319</f>
        <v>45264</v>
      </c>
      <c r="F57" s="575">
        <f>'DETALLE DE CREDITOS'!F319</f>
        <v>67</v>
      </c>
      <c r="G57" s="587" t="str">
        <f t="shared" ca="1" si="1"/>
        <v>VIGENTE</v>
      </c>
      <c r="H57" s="822">
        <f>SUM(F57:F58)</f>
        <v>127</v>
      </c>
      <c r="I57" s="822">
        <v>0</v>
      </c>
      <c r="J57" s="819">
        <f>H57-I57</f>
        <v>127</v>
      </c>
      <c r="K57" s="820" t="s">
        <v>496</v>
      </c>
    </row>
    <row r="58" spans="1:11" x14ac:dyDescent="0.25">
      <c r="A58" s="823"/>
      <c r="B58" s="823"/>
      <c r="C58" s="823"/>
      <c r="D58" s="575">
        <f>'DETALLE DE CREDITOS'!D320</f>
        <v>6959</v>
      </c>
      <c r="E58" s="342">
        <f>'DETALLE DE CREDITOS'!E320</f>
        <v>45265</v>
      </c>
      <c r="F58" s="575">
        <f>'DETALLE DE CREDITOS'!F320</f>
        <v>60</v>
      </c>
      <c r="G58" s="587" t="str">
        <f t="shared" ca="1" si="1"/>
        <v>VIGENTE</v>
      </c>
      <c r="H58" s="823"/>
      <c r="I58" s="823"/>
      <c r="J58" s="633"/>
      <c r="K58" s="821"/>
    </row>
    <row r="59" spans="1:11" s="564" customFormat="1" x14ac:dyDescent="0.25">
      <c r="A59" s="557" t="s">
        <v>357</v>
      </c>
      <c r="B59" s="557" t="s">
        <v>762</v>
      </c>
      <c r="C59" s="557"/>
      <c r="D59" s="557">
        <f>'DETALLE DE CREDITOS'!D321</f>
        <v>7003</v>
      </c>
      <c r="E59" s="571">
        <f>'DETALLE DE CREDITOS'!E321</f>
        <v>45266</v>
      </c>
      <c r="F59" s="557">
        <f>'DETALLE DE CREDITOS'!F321</f>
        <v>25</v>
      </c>
      <c r="G59" s="587" t="str">
        <f t="shared" ca="1" si="1"/>
        <v>VIGENTE</v>
      </c>
      <c r="H59" s="575">
        <f t="shared" ref="H59:H60" si="3">SUM(F59)</f>
        <v>25</v>
      </c>
      <c r="I59" s="557">
        <v>0</v>
      </c>
      <c r="J59" s="576">
        <f>H59-I59</f>
        <v>25</v>
      </c>
      <c r="K59" s="585" t="s">
        <v>496</v>
      </c>
    </row>
    <row r="60" spans="1:11" x14ac:dyDescent="0.25">
      <c r="A60" s="575" t="s">
        <v>764</v>
      </c>
      <c r="B60" s="557" t="s">
        <v>763</v>
      </c>
      <c r="C60" s="557"/>
      <c r="D60" s="557">
        <f>'DETALLE DE CREDITOS'!D322</f>
        <v>6995</v>
      </c>
      <c r="E60" s="571">
        <f>'DETALLE DE CREDITOS'!E322</f>
        <v>45266</v>
      </c>
      <c r="F60" s="557">
        <f>'DETALLE DE CREDITOS'!F322</f>
        <v>26</v>
      </c>
      <c r="G60" s="587" t="str">
        <f t="shared" ca="1" si="1"/>
        <v>VIGENTE</v>
      </c>
      <c r="H60" s="575">
        <f t="shared" si="3"/>
        <v>26</v>
      </c>
      <c r="I60" s="575">
        <v>0</v>
      </c>
      <c r="J60" s="576">
        <f>H60-I60</f>
        <v>26</v>
      </c>
      <c r="K60" s="578" t="s">
        <v>496</v>
      </c>
    </row>
    <row r="61" spans="1:11" x14ac:dyDescent="0.25">
      <c r="A61" s="575" t="s">
        <v>786</v>
      </c>
      <c r="B61" s="557" t="s">
        <v>785</v>
      </c>
      <c r="C61" s="557"/>
      <c r="D61" s="557">
        <f>'DETALLE DE CREDITOS'!D335</f>
        <v>7219</v>
      </c>
      <c r="E61" s="557">
        <f>'DETALLE DE CREDITOS'!E335</f>
        <v>45275</v>
      </c>
      <c r="F61" s="557">
        <f>'DETALLE DE CREDITOS'!F335</f>
        <v>100</v>
      </c>
      <c r="G61" s="587" t="str">
        <f t="shared" ca="1" si="1"/>
        <v>VIGENTE</v>
      </c>
      <c r="H61" s="575">
        <f>SUM(F61)</f>
        <v>100</v>
      </c>
      <c r="I61" s="575">
        <f>'DETALLE DE CREDITOS'!F336</f>
        <v>30</v>
      </c>
      <c r="J61" s="600">
        <f t="shared" ref="J61:J98" si="4">H61-I61</f>
        <v>70</v>
      </c>
      <c r="K61" s="578" t="s">
        <v>496</v>
      </c>
    </row>
    <row r="62" spans="1:11" x14ac:dyDescent="0.25">
      <c r="A62" s="575"/>
      <c r="B62" s="576"/>
      <c r="C62" s="575"/>
      <c r="D62" s="576"/>
      <c r="E62" s="342"/>
      <c r="F62" s="575"/>
      <c r="G62" s="587" t="str">
        <f t="shared" si="1"/>
        <v/>
      </c>
      <c r="H62" s="575"/>
      <c r="I62" s="575"/>
      <c r="J62" s="600">
        <f t="shared" si="4"/>
        <v>0</v>
      </c>
      <c r="K62" s="578"/>
    </row>
    <row r="63" spans="1:11" x14ac:dyDescent="0.25">
      <c r="A63" s="575"/>
      <c r="B63" s="576"/>
      <c r="C63" s="575"/>
      <c r="D63" s="576"/>
      <c r="E63" s="342"/>
      <c r="F63" s="575"/>
      <c r="G63" s="587" t="str">
        <f t="shared" si="1"/>
        <v/>
      </c>
      <c r="H63" s="575"/>
      <c r="I63" s="575"/>
      <c r="J63" s="600">
        <f t="shared" si="4"/>
        <v>0</v>
      </c>
      <c r="K63" s="578"/>
    </row>
    <row r="64" spans="1:11" x14ac:dyDescent="0.25">
      <c r="A64" s="575"/>
      <c r="B64" s="576"/>
      <c r="C64" s="575"/>
      <c r="D64" s="576"/>
      <c r="E64" s="342"/>
      <c r="F64" s="575"/>
      <c r="G64" s="587" t="str">
        <f t="shared" si="1"/>
        <v/>
      </c>
      <c r="H64" s="575"/>
      <c r="I64" s="575"/>
      <c r="J64" s="600">
        <f t="shared" si="4"/>
        <v>0</v>
      </c>
      <c r="K64" s="578"/>
    </row>
    <row r="65" spans="1:11" x14ac:dyDescent="0.25">
      <c r="A65" s="575"/>
      <c r="B65" s="576"/>
      <c r="C65" s="575"/>
      <c r="D65" s="576"/>
      <c r="E65" s="342"/>
      <c r="F65" s="575"/>
      <c r="G65" s="587" t="str">
        <f t="shared" si="1"/>
        <v/>
      </c>
      <c r="H65" s="575"/>
      <c r="I65" s="575"/>
      <c r="J65" s="600">
        <f t="shared" si="4"/>
        <v>0</v>
      </c>
      <c r="K65" s="578"/>
    </row>
    <row r="66" spans="1:11" x14ac:dyDescent="0.25">
      <c r="A66" s="575"/>
      <c r="B66" s="576"/>
      <c r="C66" s="575"/>
      <c r="D66" s="576"/>
      <c r="E66" s="342"/>
      <c r="F66" s="575"/>
      <c r="G66" s="587" t="str">
        <f t="shared" si="1"/>
        <v/>
      </c>
      <c r="H66" s="575"/>
      <c r="I66" s="575"/>
      <c r="J66" s="600">
        <f t="shared" si="4"/>
        <v>0</v>
      </c>
      <c r="K66" s="578"/>
    </row>
    <row r="67" spans="1:11" x14ac:dyDescent="0.25">
      <c r="A67" s="575"/>
      <c r="B67" s="576"/>
      <c r="C67" s="575"/>
      <c r="D67" s="576"/>
      <c r="E67" s="342"/>
      <c r="F67" s="575"/>
      <c r="G67" s="587" t="str">
        <f t="shared" ref="G67:G98" si="5">IF(E67="","",IF(E67+$M$2&lt;$L$2,"VENCIDA","VIGENTE"))</f>
        <v/>
      </c>
      <c r="H67" s="575"/>
      <c r="I67" s="575"/>
      <c r="J67" s="600">
        <f t="shared" si="4"/>
        <v>0</v>
      </c>
      <c r="K67" s="578"/>
    </row>
    <row r="68" spans="1:11" x14ac:dyDescent="0.25">
      <c r="A68" s="575"/>
      <c r="B68" s="576"/>
      <c r="C68" s="575"/>
      <c r="D68" s="576"/>
      <c r="E68" s="342"/>
      <c r="F68" s="575"/>
      <c r="G68" s="587" t="str">
        <f t="shared" si="5"/>
        <v/>
      </c>
      <c r="H68" s="575"/>
      <c r="I68" s="575"/>
      <c r="J68" s="600">
        <f t="shared" si="4"/>
        <v>0</v>
      </c>
      <c r="K68" s="578"/>
    </row>
    <row r="69" spans="1:11" x14ac:dyDescent="0.25">
      <c r="A69" s="575"/>
      <c r="B69" s="576"/>
      <c r="C69" s="575"/>
      <c r="D69" s="576"/>
      <c r="E69" s="342"/>
      <c r="F69" s="575"/>
      <c r="G69" s="587" t="str">
        <f t="shared" si="5"/>
        <v/>
      </c>
      <c r="H69" s="575"/>
      <c r="I69" s="575"/>
      <c r="J69" s="600">
        <f t="shared" si="4"/>
        <v>0</v>
      </c>
      <c r="K69" s="578"/>
    </row>
    <row r="70" spans="1:11" x14ac:dyDescent="0.25">
      <c r="A70" s="575"/>
      <c r="B70" s="576"/>
      <c r="C70" s="575"/>
      <c r="D70" s="576"/>
      <c r="E70" s="342"/>
      <c r="F70" s="575"/>
      <c r="G70" s="587" t="str">
        <f t="shared" si="5"/>
        <v/>
      </c>
      <c r="H70" s="575"/>
      <c r="I70" s="575"/>
      <c r="J70" s="600">
        <f t="shared" si="4"/>
        <v>0</v>
      </c>
      <c r="K70" s="578"/>
    </row>
    <row r="71" spans="1:11" x14ac:dyDescent="0.25">
      <c r="A71" s="575"/>
      <c r="B71" s="575"/>
      <c r="C71" s="575"/>
      <c r="D71" s="575"/>
      <c r="E71" s="342"/>
      <c r="F71" s="575"/>
      <c r="G71" s="587" t="str">
        <f t="shared" si="5"/>
        <v/>
      </c>
      <c r="H71" s="575"/>
      <c r="I71" s="575"/>
      <c r="J71" s="600">
        <f t="shared" si="4"/>
        <v>0</v>
      </c>
      <c r="K71" s="578"/>
    </row>
    <row r="72" spans="1:11" x14ac:dyDescent="0.25">
      <c r="A72" s="575"/>
      <c r="B72" s="575"/>
      <c r="C72" s="575"/>
      <c r="D72" s="575"/>
      <c r="E72" s="342"/>
      <c r="F72" s="575"/>
      <c r="G72" s="587" t="str">
        <f t="shared" si="5"/>
        <v/>
      </c>
      <c r="H72" s="575"/>
      <c r="I72" s="575"/>
      <c r="J72" s="600">
        <f t="shared" si="4"/>
        <v>0</v>
      </c>
      <c r="K72" s="578"/>
    </row>
    <row r="73" spans="1:11" x14ac:dyDescent="0.25">
      <c r="A73" s="575"/>
      <c r="B73" s="575"/>
      <c r="C73" s="575"/>
      <c r="D73" s="575"/>
      <c r="E73" s="342"/>
      <c r="F73" s="575"/>
      <c r="G73" s="587" t="str">
        <f t="shared" si="5"/>
        <v/>
      </c>
      <c r="H73" s="575"/>
      <c r="I73" s="575"/>
      <c r="J73" s="600">
        <f t="shared" si="4"/>
        <v>0</v>
      </c>
      <c r="K73" s="578"/>
    </row>
    <row r="74" spans="1:11" x14ac:dyDescent="0.25">
      <c r="A74" s="575"/>
      <c r="B74" s="575"/>
      <c r="C74" s="575"/>
      <c r="D74" s="575"/>
      <c r="E74" s="342"/>
      <c r="F74" s="575"/>
      <c r="G74" s="587" t="str">
        <f t="shared" si="5"/>
        <v/>
      </c>
      <c r="H74" s="575"/>
      <c r="I74" s="575"/>
      <c r="J74" s="600">
        <f t="shared" si="4"/>
        <v>0</v>
      </c>
      <c r="K74" s="578"/>
    </row>
    <row r="75" spans="1:11" x14ac:dyDescent="0.25">
      <c r="A75" s="575"/>
      <c r="B75" s="575"/>
      <c r="C75" s="575"/>
      <c r="D75" s="575"/>
      <c r="E75" s="342"/>
      <c r="F75" s="575"/>
      <c r="G75" s="587" t="str">
        <f t="shared" si="5"/>
        <v/>
      </c>
      <c r="H75" s="575"/>
      <c r="I75" s="575"/>
      <c r="J75" s="600">
        <f t="shared" si="4"/>
        <v>0</v>
      </c>
      <c r="K75" s="578"/>
    </row>
    <row r="76" spans="1:11" x14ac:dyDescent="0.25">
      <c r="A76" s="575"/>
      <c r="B76" s="575"/>
      <c r="C76" s="575"/>
      <c r="D76" s="575"/>
      <c r="E76" s="342"/>
      <c r="F76" s="575"/>
      <c r="G76" s="587" t="str">
        <f t="shared" si="5"/>
        <v/>
      </c>
      <c r="H76" s="575"/>
      <c r="I76" s="575"/>
      <c r="J76" s="600">
        <f t="shared" si="4"/>
        <v>0</v>
      </c>
      <c r="K76" s="578"/>
    </row>
    <row r="77" spans="1:11" x14ac:dyDescent="0.25">
      <c r="A77" s="575"/>
      <c r="B77" s="575"/>
      <c r="C77" s="575"/>
      <c r="D77" s="575"/>
      <c r="E77" s="342"/>
      <c r="F77" s="575"/>
      <c r="G77" s="587" t="str">
        <f t="shared" si="5"/>
        <v/>
      </c>
      <c r="H77" s="575"/>
      <c r="I77" s="575"/>
      <c r="J77" s="600">
        <f t="shared" si="4"/>
        <v>0</v>
      </c>
      <c r="K77" s="578"/>
    </row>
    <row r="78" spans="1:11" x14ac:dyDescent="0.25">
      <c r="A78" s="575"/>
      <c r="B78" s="575"/>
      <c r="C78" s="575"/>
      <c r="D78" s="575"/>
      <c r="E78" s="342"/>
      <c r="F78" s="575"/>
      <c r="G78" s="587" t="str">
        <f t="shared" si="5"/>
        <v/>
      </c>
      <c r="H78" s="575"/>
      <c r="I78" s="575"/>
      <c r="J78" s="600">
        <f t="shared" si="4"/>
        <v>0</v>
      </c>
      <c r="K78" s="578"/>
    </row>
    <row r="79" spans="1:11" x14ac:dyDescent="0.25">
      <c r="A79" s="575"/>
      <c r="B79" s="575"/>
      <c r="C79" s="575"/>
      <c r="D79" s="575"/>
      <c r="E79" s="342"/>
      <c r="F79" s="575"/>
      <c r="G79" s="587" t="str">
        <f t="shared" si="5"/>
        <v/>
      </c>
      <c r="H79" s="575"/>
      <c r="I79" s="575"/>
      <c r="J79" s="600">
        <f t="shared" si="4"/>
        <v>0</v>
      </c>
      <c r="K79" s="578"/>
    </row>
    <row r="80" spans="1:11" x14ac:dyDescent="0.25">
      <c r="A80" s="575"/>
      <c r="B80" s="575"/>
      <c r="C80" s="575"/>
      <c r="D80" s="575"/>
      <c r="E80" s="342"/>
      <c r="F80" s="575"/>
      <c r="G80" s="587" t="str">
        <f t="shared" si="5"/>
        <v/>
      </c>
      <c r="H80" s="575"/>
      <c r="I80" s="575"/>
      <c r="J80" s="600">
        <f t="shared" si="4"/>
        <v>0</v>
      </c>
      <c r="K80" s="578"/>
    </row>
    <row r="81" spans="1:11" x14ac:dyDescent="0.25">
      <c r="A81" s="575"/>
      <c r="B81" s="575"/>
      <c r="C81" s="575"/>
      <c r="D81" s="575"/>
      <c r="E81" s="342"/>
      <c r="F81" s="575"/>
      <c r="G81" s="587" t="str">
        <f t="shared" si="5"/>
        <v/>
      </c>
      <c r="H81" s="575"/>
      <c r="I81" s="575"/>
      <c r="J81" s="600">
        <f t="shared" si="4"/>
        <v>0</v>
      </c>
      <c r="K81" s="578"/>
    </row>
    <row r="82" spans="1:11" x14ac:dyDescent="0.25">
      <c r="A82" s="575"/>
      <c r="B82" s="575"/>
      <c r="C82" s="575"/>
      <c r="D82" s="575"/>
      <c r="E82" s="342"/>
      <c r="F82" s="575"/>
      <c r="G82" s="587" t="str">
        <f t="shared" si="5"/>
        <v/>
      </c>
      <c r="H82" s="575"/>
      <c r="I82" s="575"/>
      <c r="J82" s="600">
        <f t="shared" si="4"/>
        <v>0</v>
      </c>
      <c r="K82" s="578"/>
    </row>
    <row r="83" spans="1:11" x14ac:dyDescent="0.25">
      <c r="A83" s="575"/>
      <c r="B83" s="575"/>
      <c r="C83" s="575"/>
      <c r="D83" s="575"/>
      <c r="E83" s="342"/>
      <c r="F83" s="575"/>
      <c r="G83" s="587" t="str">
        <f t="shared" si="5"/>
        <v/>
      </c>
      <c r="H83" s="575"/>
      <c r="I83" s="575"/>
      <c r="J83" s="600">
        <f t="shared" si="4"/>
        <v>0</v>
      </c>
      <c r="K83" s="578"/>
    </row>
    <row r="84" spans="1:11" x14ac:dyDescent="0.25">
      <c r="A84" s="575"/>
      <c r="B84" s="575"/>
      <c r="C84" s="575"/>
      <c r="D84" s="575"/>
      <c r="E84" s="342"/>
      <c r="F84" s="575"/>
      <c r="G84" s="587" t="str">
        <f t="shared" si="5"/>
        <v/>
      </c>
      <c r="H84" s="575"/>
      <c r="I84" s="575"/>
      <c r="J84" s="600">
        <f t="shared" si="4"/>
        <v>0</v>
      </c>
      <c r="K84" s="578"/>
    </row>
    <row r="85" spans="1:11" x14ac:dyDescent="0.25">
      <c r="A85" s="575"/>
      <c r="B85" s="575"/>
      <c r="C85" s="575"/>
      <c r="D85" s="575"/>
      <c r="E85" s="342"/>
      <c r="F85" s="575"/>
      <c r="G85" s="587" t="str">
        <f t="shared" si="5"/>
        <v/>
      </c>
      <c r="H85" s="575"/>
      <c r="I85" s="575"/>
      <c r="J85" s="600">
        <f t="shared" si="4"/>
        <v>0</v>
      </c>
      <c r="K85" s="578"/>
    </row>
    <row r="86" spans="1:11" x14ac:dyDescent="0.25">
      <c r="A86" s="575"/>
      <c r="B86" s="575"/>
      <c r="C86" s="575"/>
      <c r="D86" s="575"/>
      <c r="E86" s="342"/>
      <c r="F86" s="575"/>
      <c r="G86" s="587" t="str">
        <f t="shared" si="5"/>
        <v/>
      </c>
      <c r="H86" s="575"/>
      <c r="I86" s="575"/>
      <c r="J86" s="600">
        <f t="shared" si="4"/>
        <v>0</v>
      </c>
      <c r="K86" s="578"/>
    </row>
    <row r="87" spans="1:11" x14ac:dyDescent="0.25">
      <c r="A87" s="575"/>
      <c r="B87" s="575"/>
      <c r="C87" s="575"/>
      <c r="D87" s="575"/>
      <c r="E87" s="342"/>
      <c r="F87" s="575"/>
      <c r="G87" s="587" t="str">
        <f t="shared" si="5"/>
        <v/>
      </c>
      <c r="H87" s="575"/>
      <c r="I87" s="575"/>
      <c r="J87" s="600">
        <f t="shared" si="4"/>
        <v>0</v>
      </c>
      <c r="K87" s="578"/>
    </row>
    <row r="88" spans="1:11" x14ac:dyDescent="0.25">
      <c r="A88" s="575"/>
      <c r="B88" s="575"/>
      <c r="C88" s="575"/>
      <c r="D88" s="575"/>
      <c r="E88" s="342"/>
      <c r="F88" s="575"/>
      <c r="G88" s="587" t="str">
        <f t="shared" si="5"/>
        <v/>
      </c>
      <c r="H88" s="575"/>
      <c r="I88" s="575"/>
      <c r="J88" s="600">
        <f t="shared" si="4"/>
        <v>0</v>
      </c>
      <c r="K88" s="578"/>
    </row>
    <row r="89" spans="1:11" x14ac:dyDescent="0.25">
      <c r="A89" s="575"/>
      <c r="B89" s="575"/>
      <c r="C89" s="575"/>
      <c r="D89" s="575"/>
      <c r="E89" s="342"/>
      <c r="F89" s="575"/>
      <c r="G89" s="587" t="str">
        <f t="shared" si="5"/>
        <v/>
      </c>
      <c r="H89" s="575"/>
      <c r="I89" s="575"/>
      <c r="J89" s="600">
        <f t="shared" si="4"/>
        <v>0</v>
      </c>
      <c r="K89" s="578"/>
    </row>
    <row r="90" spans="1:11" x14ac:dyDescent="0.25">
      <c r="A90" s="575"/>
      <c r="B90" s="575"/>
      <c r="C90" s="575"/>
      <c r="D90" s="575"/>
      <c r="E90" s="342"/>
      <c r="F90" s="575"/>
      <c r="G90" s="587" t="str">
        <f t="shared" si="5"/>
        <v/>
      </c>
      <c r="H90" s="575"/>
      <c r="I90" s="575"/>
      <c r="J90" s="600">
        <f t="shared" si="4"/>
        <v>0</v>
      </c>
      <c r="K90" s="578"/>
    </row>
    <row r="91" spans="1:11" x14ac:dyDescent="0.25">
      <c r="A91" s="575"/>
      <c r="B91" s="575"/>
      <c r="C91" s="575"/>
      <c r="D91" s="575"/>
      <c r="E91" s="342"/>
      <c r="F91" s="575"/>
      <c r="G91" s="587" t="str">
        <f t="shared" si="5"/>
        <v/>
      </c>
      <c r="H91" s="575"/>
      <c r="I91" s="575"/>
      <c r="J91" s="600">
        <f t="shared" si="4"/>
        <v>0</v>
      </c>
      <c r="K91" s="578"/>
    </row>
    <row r="92" spans="1:11" x14ac:dyDescent="0.25">
      <c r="A92" s="575"/>
      <c r="B92" s="575"/>
      <c r="C92" s="575"/>
      <c r="D92" s="575"/>
      <c r="E92" s="342"/>
      <c r="F92" s="575"/>
      <c r="G92" s="587" t="str">
        <f t="shared" si="5"/>
        <v/>
      </c>
      <c r="H92" s="575"/>
      <c r="I92" s="575"/>
      <c r="J92" s="600">
        <f t="shared" si="4"/>
        <v>0</v>
      </c>
      <c r="K92" s="578"/>
    </row>
    <row r="93" spans="1:11" x14ac:dyDescent="0.25">
      <c r="A93" s="575"/>
      <c r="B93" s="575"/>
      <c r="C93" s="575"/>
      <c r="D93" s="575"/>
      <c r="E93" s="342"/>
      <c r="F93" s="575"/>
      <c r="G93" s="587" t="str">
        <f t="shared" si="5"/>
        <v/>
      </c>
      <c r="H93" s="575"/>
      <c r="I93" s="575"/>
      <c r="J93" s="600">
        <f t="shared" si="4"/>
        <v>0</v>
      </c>
      <c r="K93" s="578"/>
    </row>
    <row r="94" spans="1:11" x14ac:dyDescent="0.25">
      <c r="A94" s="575"/>
      <c r="B94" s="575"/>
      <c r="C94" s="575"/>
      <c r="D94" s="575"/>
      <c r="E94" s="342"/>
      <c r="F94" s="575"/>
      <c r="G94" s="587" t="str">
        <f t="shared" si="5"/>
        <v/>
      </c>
      <c r="H94" s="575"/>
      <c r="I94" s="575"/>
      <c r="J94" s="600">
        <f t="shared" si="4"/>
        <v>0</v>
      </c>
      <c r="K94" s="578"/>
    </row>
    <row r="95" spans="1:11" x14ac:dyDescent="0.25">
      <c r="A95" s="575"/>
      <c r="B95" s="575"/>
      <c r="C95" s="575"/>
      <c r="D95" s="575"/>
      <c r="E95" s="342"/>
      <c r="F95" s="575"/>
      <c r="G95" s="587" t="str">
        <f t="shared" si="5"/>
        <v/>
      </c>
      <c r="H95" s="575"/>
      <c r="I95" s="575"/>
      <c r="J95" s="600">
        <f t="shared" si="4"/>
        <v>0</v>
      </c>
      <c r="K95" s="578"/>
    </row>
    <row r="96" spans="1:11" x14ac:dyDescent="0.25">
      <c r="A96" s="575"/>
      <c r="B96" s="575"/>
      <c r="C96" s="575"/>
      <c r="D96" s="575"/>
      <c r="E96" s="342"/>
      <c r="F96" s="575"/>
      <c r="G96" s="587" t="str">
        <f t="shared" si="5"/>
        <v/>
      </c>
      <c r="H96" s="575"/>
      <c r="I96" s="575"/>
      <c r="J96" s="600">
        <f t="shared" si="4"/>
        <v>0</v>
      </c>
      <c r="K96" s="578"/>
    </row>
    <row r="97" spans="1:11" x14ac:dyDescent="0.25">
      <c r="A97" s="575"/>
      <c r="B97" s="575"/>
      <c r="C97" s="575"/>
      <c r="D97" s="575"/>
      <c r="E97" s="342"/>
      <c r="F97" s="575"/>
      <c r="G97" s="587" t="str">
        <f t="shared" si="5"/>
        <v/>
      </c>
      <c r="H97" s="575"/>
      <c r="I97" s="31"/>
      <c r="J97" s="600">
        <f t="shared" si="4"/>
        <v>0</v>
      </c>
      <c r="K97" s="566"/>
    </row>
    <row r="98" spans="1:11" x14ac:dyDescent="0.25">
      <c r="A98" s="575"/>
      <c r="B98" s="575"/>
      <c r="C98" s="575"/>
      <c r="D98" s="575"/>
      <c r="E98" s="342"/>
      <c r="F98" s="575"/>
      <c r="G98" s="587" t="str">
        <f t="shared" si="5"/>
        <v/>
      </c>
      <c r="H98" s="575"/>
      <c r="I98" s="31"/>
      <c r="J98" s="600">
        <f t="shared" si="4"/>
        <v>0</v>
      </c>
      <c r="K98" s="566"/>
    </row>
    <row r="99" spans="1:11" x14ac:dyDescent="0.25">
      <c r="A99" s="575"/>
    </row>
  </sheetData>
  <autoFilter ref="B1:B99"/>
  <mergeCells count="81">
    <mergeCell ref="J3:J5"/>
    <mergeCell ref="K3:K5"/>
    <mergeCell ref="A1:A2"/>
    <mergeCell ref="B1:B2"/>
    <mergeCell ref="C1:C2"/>
    <mergeCell ref="D1:G1"/>
    <mergeCell ref="A3:A5"/>
    <mergeCell ref="B3:B5"/>
    <mergeCell ref="C3:C5"/>
    <mergeCell ref="H3:H5"/>
    <mergeCell ref="I3:I5"/>
    <mergeCell ref="K6:K10"/>
    <mergeCell ref="A11:A18"/>
    <mergeCell ref="B11:B18"/>
    <mergeCell ref="C11:C18"/>
    <mergeCell ref="H11:H18"/>
    <mergeCell ref="I11:I18"/>
    <mergeCell ref="J11:J18"/>
    <mergeCell ref="K11:K18"/>
    <mergeCell ref="A6:A10"/>
    <mergeCell ref="B6:B10"/>
    <mergeCell ref="C6:C10"/>
    <mergeCell ref="H6:H10"/>
    <mergeCell ref="I6:I10"/>
    <mergeCell ref="J6:J10"/>
    <mergeCell ref="K20:K30"/>
    <mergeCell ref="A31:A32"/>
    <mergeCell ref="B31:B32"/>
    <mergeCell ref="C31:C32"/>
    <mergeCell ref="H31:H32"/>
    <mergeCell ref="I31:I32"/>
    <mergeCell ref="J31:J32"/>
    <mergeCell ref="K31:K32"/>
    <mergeCell ref="A20:A30"/>
    <mergeCell ref="B20:B30"/>
    <mergeCell ref="C20:C30"/>
    <mergeCell ref="H20:H30"/>
    <mergeCell ref="I20:I30"/>
    <mergeCell ref="J20:J30"/>
    <mergeCell ref="K33:K34"/>
    <mergeCell ref="A35:A38"/>
    <mergeCell ref="B35:B38"/>
    <mergeCell ref="C35:C38"/>
    <mergeCell ref="H35:H38"/>
    <mergeCell ref="I35:I38"/>
    <mergeCell ref="J35:J38"/>
    <mergeCell ref="K35:K38"/>
    <mergeCell ref="A33:A34"/>
    <mergeCell ref="B33:B34"/>
    <mergeCell ref="C33:C34"/>
    <mergeCell ref="H33:H34"/>
    <mergeCell ref="I33:I34"/>
    <mergeCell ref="J33:J34"/>
    <mergeCell ref="K39:K43"/>
    <mergeCell ref="A46:A48"/>
    <mergeCell ref="B46:B48"/>
    <mergeCell ref="C46:C48"/>
    <mergeCell ref="H46:H48"/>
    <mergeCell ref="I46:I48"/>
    <mergeCell ref="J46:J48"/>
    <mergeCell ref="K46:K48"/>
    <mergeCell ref="A39:A43"/>
    <mergeCell ref="B39:B43"/>
    <mergeCell ref="C39:C43"/>
    <mergeCell ref="H39:H43"/>
    <mergeCell ref="I39:I43"/>
    <mergeCell ref="J39:J43"/>
    <mergeCell ref="K57:K58"/>
    <mergeCell ref="A57:A58"/>
    <mergeCell ref="B57:B58"/>
    <mergeCell ref="C57:C58"/>
    <mergeCell ref="H57:H58"/>
    <mergeCell ref="I57:I58"/>
    <mergeCell ref="J57:J58"/>
    <mergeCell ref="J51:J52"/>
    <mergeCell ref="K51:K52"/>
    <mergeCell ref="C51:C52"/>
    <mergeCell ref="B51:B52"/>
    <mergeCell ref="A51:A52"/>
    <mergeCell ref="H51:H52"/>
    <mergeCell ref="I51:I52"/>
  </mergeCells>
  <conditionalFormatting sqref="B59">
    <cfRule type="expression" dxfId="9" priority="132">
      <formula>$C59="ABONO"</formula>
    </cfRule>
  </conditionalFormatting>
  <conditionalFormatting sqref="B59">
    <cfRule type="expression" dxfId="8" priority="129">
      <formula>$C59="ANEXO A CREDITO"</formula>
    </cfRule>
    <cfRule type="expression" dxfId="7" priority="130">
      <formula>$C59="CIERRE DE CREDITO"</formula>
    </cfRule>
    <cfRule type="expression" dxfId="6" priority="131">
      <formula>$C59="APERTURA DE CREDITO"</formula>
    </cfRule>
  </conditionalFormatting>
  <conditionalFormatting sqref="B60">
    <cfRule type="expression" dxfId="5" priority="128">
      <formula>$C60="ABONO"</formula>
    </cfRule>
  </conditionalFormatting>
  <conditionalFormatting sqref="B60">
    <cfRule type="expression" dxfId="4" priority="125">
      <formula>$C60="ANEXO A CREDITO"</formula>
    </cfRule>
    <cfRule type="expression" dxfId="3" priority="126">
      <formula>$C60="CIERRE DE CREDITO"</formula>
    </cfRule>
    <cfRule type="expression" dxfId="2" priority="127">
      <formula>$C60="APERTURA DE CREDITO"</formula>
    </cfRule>
  </conditionalFormatting>
  <conditionalFormatting sqref="G3:G98">
    <cfRule type="expression" dxfId="1" priority="123">
      <formula>G3="VIGENTE"</formula>
    </cfRule>
    <cfRule type="expression" dxfId="0" priority="124">
      <formula>G3="VENCIDA"</formula>
    </cfRule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142"/>
  <sheetViews>
    <sheetView topLeftCell="A33" zoomScaleNormal="100" workbookViewId="0">
      <selection activeCell="I52" sqref="I52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286"/>
      <c r="B2" s="285" t="s">
        <v>296</v>
      </c>
      <c r="C2" s="863" t="s">
        <v>304</v>
      </c>
      <c r="D2" s="863"/>
      <c r="E2" s="863"/>
      <c r="F2" s="863"/>
      <c r="G2" s="286"/>
      <c r="H2" s="286"/>
    </row>
    <row r="3" spans="1:8" hidden="1" x14ac:dyDescent="0.25">
      <c r="A3" s="286"/>
      <c r="B3" s="285" t="s">
        <v>297</v>
      </c>
      <c r="C3" s="864">
        <v>44830</v>
      </c>
      <c r="D3" s="863"/>
      <c r="E3" s="863"/>
      <c r="F3" s="863"/>
      <c r="G3" s="286"/>
      <c r="H3" s="286"/>
    </row>
    <row r="4" spans="1:8" hidden="1" x14ac:dyDescent="0.25">
      <c r="A4" s="286"/>
      <c r="B4" s="286"/>
      <c r="C4" s="286"/>
      <c r="D4" s="286"/>
      <c r="E4" s="286"/>
      <c r="F4" s="286"/>
      <c r="G4" s="286"/>
      <c r="H4" s="286"/>
    </row>
    <row r="5" spans="1:8" hidden="1" x14ac:dyDescent="0.25">
      <c r="A5" s="286"/>
      <c r="B5" s="287" t="s">
        <v>298</v>
      </c>
      <c r="C5" s="862" t="s">
        <v>2</v>
      </c>
      <c r="D5" s="862"/>
      <c r="E5" s="862"/>
      <c r="F5" s="862"/>
      <c r="G5" s="287" t="s">
        <v>299</v>
      </c>
      <c r="H5" s="287" t="s">
        <v>239</v>
      </c>
    </row>
    <row r="6" spans="1:8" hidden="1" x14ac:dyDescent="0.25">
      <c r="A6" s="286"/>
      <c r="B6" s="287">
        <v>1</v>
      </c>
      <c r="C6" s="862" t="s">
        <v>305</v>
      </c>
      <c r="D6" s="862"/>
      <c r="E6" s="862"/>
      <c r="F6" s="862"/>
      <c r="G6" s="287">
        <v>80</v>
      </c>
      <c r="H6" s="287">
        <f>G6*B6</f>
        <v>80</v>
      </c>
    </row>
    <row r="7" spans="1:8" hidden="1" x14ac:dyDescent="0.25">
      <c r="A7" s="286"/>
      <c r="B7" s="287"/>
      <c r="C7" s="862"/>
      <c r="D7" s="862"/>
      <c r="E7" s="862"/>
      <c r="F7" s="862"/>
      <c r="G7" s="287"/>
      <c r="H7" s="287">
        <f t="shared" ref="H7:H15" si="0">G7*B7</f>
        <v>0</v>
      </c>
    </row>
    <row r="8" spans="1:8" hidden="1" x14ac:dyDescent="0.25">
      <c r="A8" s="286"/>
      <c r="B8" s="287"/>
      <c r="C8" s="862"/>
      <c r="D8" s="862"/>
      <c r="E8" s="862"/>
      <c r="F8" s="862"/>
      <c r="G8" s="287"/>
      <c r="H8" s="287">
        <f t="shared" si="0"/>
        <v>0</v>
      </c>
    </row>
    <row r="9" spans="1:8" hidden="1" x14ac:dyDescent="0.25">
      <c r="A9" s="286"/>
      <c r="B9" s="287"/>
      <c r="C9" s="862"/>
      <c r="D9" s="862"/>
      <c r="E9" s="862"/>
      <c r="F9" s="862"/>
      <c r="G9" s="287"/>
      <c r="H9" s="287">
        <f t="shared" si="0"/>
        <v>0</v>
      </c>
    </row>
    <row r="10" spans="1:8" hidden="1" x14ac:dyDescent="0.25">
      <c r="A10" s="286"/>
      <c r="B10" s="287"/>
      <c r="C10" s="862"/>
      <c r="D10" s="862"/>
      <c r="E10" s="862"/>
      <c r="F10" s="862"/>
      <c r="G10" s="287"/>
      <c r="H10" s="287">
        <f t="shared" si="0"/>
        <v>0</v>
      </c>
    </row>
    <row r="11" spans="1:8" hidden="1" x14ac:dyDescent="0.25">
      <c r="A11" s="286"/>
      <c r="B11" s="287"/>
      <c r="C11" s="862"/>
      <c r="D11" s="862"/>
      <c r="E11" s="862"/>
      <c r="F11" s="862"/>
      <c r="G11" s="287"/>
      <c r="H11" s="287">
        <f t="shared" si="0"/>
        <v>0</v>
      </c>
    </row>
    <row r="12" spans="1:8" hidden="1" x14ac:dyDescent="0.25">
      <c r="A12" s="286"/>
      <c r="B12" s="287"/>
      <c r="C12" s="862"/>
      <c r="D12" s="862"/>
      <c r="E12" s="862"/>
      <c r="F12" s="862"/>
      <c r="G12" s="287"/>
      <c r="H12" s="287">
        <f t="shared" si="0"/>
        <v>0</v>
      </c>
    </row>
    <row r="13" spans="1:8" hidden="1" x14ac:dyDescent="0.25">
      <c r="A13" s="286"/>
      <c r="B13" s="287"/>
      <c r="C13" s="862"/>
      <c r="D13" s="862"/>
      <c r="E13" s="862"/>
      <c r="F13" s="862"/>
      <c r="G13" s="287"/>
      <c r="H13" s="287">
        <f t="shared" si="0"/>
        <v>0</v>
      </c>
    </row>
    <row r="14" spans="1:8" hidden="1" x14ac:dyDescent="0.25">
      <c r="A14" s="286"/>
      <c r="B14" s="287"/>
      <c r="C14" s="862"/>
      <c r="D14" s="862"/>
      <c r="E14" s="862"/>
      <c r="F14" s="862"/>
      <c r="G14" s="287"/>
      <c r="H14" s="287">
        <f t="shared" si="0"/>
        <v>0</v>
      </c>
    </row>
    <row r="15" spans="1:8" hidden="1" x14ac:dyDescent="0.25">
      <c r="A15" s="286"/>
      <c r="B15" s="287"/>
      <c r="C15" s="862"/>
      <c r="D15" s="862"/>
      <c r="E15" s="862"/>
      <c r="F15" s="862"/>
      <c r="G15" s="287"/>
      <c r="H15" s="287">
        <f t="shared" si="0"/>
        <v>0</v>
      </c>
    </row>
    <row r="16" spans="1:8" hidden="1" x14ac:dyDescent="0.25">
      <c r="A16" s="286"/>
      <c r="B16" s="288"/>
      <c r="C16" s="288"/>
      <c r="D16" s="288"/>
      <c r="E16" s="288"/>
      <c r="F16" s="288"/>
      <c r="G16" s="288"/>
      <c r="H16" s="287">
        <f>SUM(H6:H15)</f>
        <v>80</v>
      </c>
    </row>
    <row r="17" spans="1:8" hidden="1" x14ac:dyDescent="0.25"/>
    <row r="18" spans="1:8" hidden="1" x14ac:dyDescent="0.25">
      <c r="A18" s="286"/>
      <c r="B18" s="285" t="s">
        <v>296</v>
      </c>
      <c r="C18" s="863" t="s">
        <v>291</v>
      </c>
      <c r="D18" s="863"/>
      <c r="E18" s="863"/>
      <c r="F18" s="863"/>
      <c r="G18" s="286"/>
      <c r="H18" s="286"/>
    </row>
    <row r="19" spans="1:8" hidden="1" x14ac:dyDescent="0.25">
      <c r="A19" s="286"/>
      <c r="B19" s="285" t="s">
        <v>297</v>
      </c>
      <c r="C19" s="864">
        <v>44855</v>
      </c>
      <c r="D19" s="863"/>
      <c r="E19" s="863"/>
      <c r="F19" s="863"/>
      <c r="G19" s="286"/>
      <c r="H19" s="286"/>
    </row>
    <row r="20" spans="1:8" hidden="1" x14ac:dyDescent="0.25">
      <c r="A20" s="286"/>
      <c r="B20" s="286"/>
      <c r="C20" s="286"/>
      <c r="D20" s="286"/>
      <c r="E20" s="286"/>
      <c r="F20" s="286"/>
      <c r="G20" s="286"/>
      <c r="H20" s="286"/>
    </row>
    <row r="21" spans="1:8" hidden="1" x14ac:dyDescent="0.25">
      <c r="A21" s="286"/>
      <c r="B21" s="287" t="s">
        <v>298</v>
      </c>
      <c r="C21" s="862" t="s">
        <v>2</v>
      </c>
      <c r="D21" s="862"/>
      <c r="E21" s="862"/>
      <c r="F21" s="862"/>
      <c r="G21" s="287" t="s">
        <v>299</v>
      </c>
      <c r="H21" s="287" t="s">
        <v>239</v>
      </c>
    </row>
    <row r="22" spans="1:8" hidden="1" x14ac:dyDescent="0.25">
      <c r="A22" s="286"/>
      <c r="B22" s="287">
        <v>1</v>
      </c>
      <c r="C22" s="862" t="s">
        <v>309</v>
      </c>
      <c r="D22" s="862"/>
      <c r="E22" s="862"/>
      <c r="F22" s="862"/>
      <c r="G22" s="287">
        <v>9</v>
      </c>
      <c r="H22" s="287">
        <f>G22*B22</f>
        <v>9</v>
      </c>
    </row>
    <row r="23" spans="1:8" hidden="1" x14ac:dyDescent="0.25">
      <c r="A23" s="286"/>
      <c r="B23" s="287"/>
      <c r="C23" s="862"/>
      <c r="D23" s="862"/>
      <c r="E23" s="862"/>
      <c r="F23" s="862"/>
      <c r="G23" s="287"/>
      <c r="H23" s="287">
        <f t="shared" ref="H23:H31" si="1">G23*B23</f>
        <v>0</v>
      </c>
    </row>
    <row r="24" spans="1:8" hidden="1" x14ac:dyDescent="0.25">
      <c r="A24" s="286"/>
      <c r="B24" s="287"/>
      <c r="C24" s="862"/>
      <c r="D24" s="862"/>
      <c r="E24" s="862"/>
      <c r="F24" s="862"/>
      <c r="G24" s="287"/>
      <c r="H24" s="287">
        <f t="shared" si="1"/>
        <v>0</v>
      </c>
    </row>
    <row r="25" spans="1:8" hidden="1" x14ac:dyDescent="0.25">
      <c r="A25" s="286"/>
      <c r="B25" s="287"/>
      <c r="C25" s="862"/>
      <c r="D25" s="862"/>
      <c r="E25" s="862"/>
      <c r="F25" s="862"/>
      <c r="G25" s="287"/>
      <c r="H25" s="287">
        <f t="shared" si="1"/>
        <v>0</v>
      </c>
    </row>
    <row r="26" spans="1:8" hidden="1" x14ac:dyDescent="0.25">
      <c r="A26" s="286"/>
      <c r="B26" s="287"/>
      <c r="C26" s="862"/>
      <c r="D26" s="862"/>
      <c r="E26" s="862"/>
      <c r="F26" s="862"/>
      <c r="G26" s="287"/>
      <c r="H26" s="287">
        <f t="shared" si="1"/>
        <v>0</v>
      </c>
    </row>
    <row r="27" spans="1:8" hidden="1" x14ac:dyDescent="0.25">
      <c r="A27" s="286"/>
      <c r="B27" s="287"/>
      <c r="C27" s="862"/>
      <c r="D27" s="862"/>
      <c r="E27" s="862"/>
      <c r="F27" s="862"/>
      <c r="G27" s="287"/>
      <c r="H27" s="287">
        <f t="shared" si="1"/>
        <v>0</v>
      </c>
    </row>
    <row r="28" spans="1:8" hidden="1" x14ac:dyDescent="0.25">
      <c r="A28" s="286"/>
      <c r="B28" s="287"/>
      <c r="C28" s="862"/>
      <c r="D28" s="862"/>
      <c r="E28" s="862"/>
      <c r="F28" s="862"/>
      <c r="G28" s="287"/>
      <c r="H28" s="287">
        <f t="shared" si="1"/>
        <v>0</v>
      </c>
    </row>
    <row r="29" spans="1:8" hidden="1" x14ac:dyDescent="0.25">
      <c r="A29" s="286"/>
      <c r="B29" s="287"/>
      <c r="C29" s="862"/>
      <c r="D29" s="862"/>
      <c r="E29" s="862"/>
      <c r="F29" s="862"/>
      <c r="G29" s="287"/>
      <c r="H29" s="287">
        <f t="shared" si="1"/>
        <v>0</v>
      </c>
    </row>
    <row r="30" spans="1:8" hidden="1" x14ac:dyDescent="0.25">
      <c r="A30" s="286"/>
      <c r="B30" s="287"/>
      <c r="C30" s="862"/>
      <c r="D30" s="862"/>
      <c r="E30" s="862"/>
      <c r="F30" s="862"/>
      <c r="G30" s="287"/>
      <c r="H30" s="287">
        <f t="shared" si="1"/>
        <v>0</v>
      </c>
    </row>
    <row r="31" spans="1:8" hidden="1" x14ac:dyDescent="0.25">
      <c r="A31" s="286"/>
      <c r="B31" s="287"/>
      <c r="C31" s="862"/>
      <c r="D31" s="862"/>
      <c r="E31" s="862"/>
      <c r="F31" s="862"/>
      <c r="G31" s="287"/>
      <c r="H31" s="287">
        <f t="shared" si="1"/>
        <v>0</v>
      </c>
    </row>
    <row r="32" spans="1:8" hidden="1" x14ac:dyDescent="0.25">
      <c r="A32" s="286"/>
      <c r="B32" s="288"/>
      <c r="C32" s="288"/>
      <c r="D32" s="288"/>
      <c r="E32" s="288"/>
      <c r="F32" s="288"/>
      <c r="G32" s="288"/>
      <c r="H32" s="287">
        <f>SUM(H22:H31)</f>
        <v>9</v>
      </c>
    </row>
    <row r="34" spans="1:8" x14ac:dyDescent="0.25">
      <c r="A34" s="286"/>
      <c r="B34" s="285" t="s">
        <v>296</v>
      </c>
      <c r="C34" s="863" t="s">
        <v>292</v>
      </c>
      <c r="D34" s="863"/>
      <c r="E34" s="863"/>
      <c r="F34" s="863"/>
      <c r="G34" s="286"/>
      <c r="H34" s="286"/>
    </row>
    <row r="35" spans="1:8" x14ac:dyDescent="0.25">
      <c r="A35" s="286"/>
      <c r="B35" s="285" t="s">
        <v>297</v>
      </c>
      <c r="C35" s="864"/>
      <c r="D35" s="863"/>
      <c r="E35" s="863"/>
      <c r="F35" s="863"/>
      <c r="G35" s="286"/>
      <c r="H35" s="286"/>
    </row>
    <row r="36" spans="1:8" x14ac:dyDescent="0.25">
      <c r="A36" s="286"/>
      <c r="B36" s="286"/>
      <c r="C36" s="286"/>
      <c r="D36" s="286"/>
      <c r="E36" s="286"/>
      <c r="F36" s="286"/>
      <c r="G36" s="286"/>
      <c r="H36" s="286"/>
    </row>
    <row r="37" spans="1:8" x14ac:dyDescent="0.25">
      <c r="A37" s="286"/>
      <c r="B37" s="287" t="s">
        <v>298</v>
      </c>
      <c r="C37" s="862" t="s">
        <v>2</v>
      </c>
      <c r="D37" s="862"/>
      <c r="E37" s="862"/>
      <c r="F37" s="862"/>
      <c r="G37" s="287" t="s">
        <v>299</v>
      </c>
      <c r="H37" s="287" t="s">
        <v>239</v>
      </c>
    </row>
    <row r="38" spans="1:8" x14ac:dyDescent="0.25">
      <c r="A38" s="286"/>
      <c r="B38" s="287">
        <v>2</v>
      </c>
      <c r="C38" s="862" t="s">
        <v>308</v>
      </c>
      <c r="D38" s="862"/>
      <c r="E38" s="862"/>
      <c r="F38" s="862"/>
      <c r="G38" s="287">
        <v>130</v>
      </c>
      <c r="H38" s="287">
        <f>G38*B38</f>
        <v>260</v>
      </c>
    </row>
    <row r="39" spans="1:8" x14ac:dyDescent="0.25">
      <c r="A39" s="286"/>
      <c r="B39" s="287"/>
      <c r="C39" s="862"/>
      <c r="D39" s="862"/>
      <c r="E39" s="862"/>
      <c r="F39" s="862"/>
      <c r="G39" s="287"/>
      <c r="H39" s="287">
        <f t="shared" ref="H39:H47" si="2">G39*B39</f>
        <v>0</v>
      </c>
    </row>
    <row r="40" spans="1:8" x14ac:dyDescent="0.25">
      <c r="A40" s="286"/>
      <c r="B40" s="287"/>
      <c r="C40" s="862"/>
      <c r="D40" s="862"/>
      <c r="E40" s="862"/>
      <c r="F40" s="862"/>
      <c r="G40" s="287"/>
      <c r="H40" s="287">
        <f t="shared" si="2"/>
        <v>0</v>
      </c>
    </row>
    <row r="41" spans="1:8" x14ac:dyDescent="0.25">
      <c r="A41" s="286"/>
      <c r="B41" s="287"/>
      <c r="C41" s="862"/>
      <c r="D41" s="862"/>
      <c r="E41" s="862"/>
      <c r="F41" s="862"/>
      <c r="G41" s="287"/>
      <c r="H41" s="287">
        <f t="shared" si="2"/>
        <v>0</v>
      </c>
    </row>
    <row r="42" spans="1:8" x14ac:dyDescent="0.25">
      <c r="A42" s="286"/>
      <c r="B42" s="287"/>
      <c r="C42" s="862"/>
      <c r="D42" s="862"/>
      <c r="E42" s="862"/>
      <c r="F42" s="862"/>
      <c r="G42" s="287"/>
      <c r="H42" s="287">
        <f t="shared" si="2"/>
        <v>0</v>
      </c>
    </row>
    <row r="43" spans="1:8" x14ac:dyDescent="0.25">
      <c r="A43" s="286"/>
      <c r="B43" s="287"/>
      <c r="C43" s="862"/>
      <c r="D43" s="862"/>
      <c r="E43" s="862"/>
      <c r="F43" s="862"/>
      <c r="G43" s="287"/>
      <c r="H43" s="287">
        <f t="shared" si="2"/>
        <v>0</v>
      </c>
    </row>
    <row r="44" spans="1:8" x14ac:dyDescent="0.25">
      <c r="A44" s="286"/>
      <c r="B44" s="287"/>
      <c r="C44" s="862"/>
      <c r="D44" s="862"/>
      <c r="E44" s="862"/>
      <c r="F44" s="862"/>
      <c r="G44" s="287"/>
      <c r="H44" s="287">
        <f t="shared" si="2"/>
        <v>0</v>
      </c>
    </row>
    <row r="45" spans="1:8" x14ac:dyDescent="0.25">
      <c r="A45" s="286"/>
      <c r="B45" s="287"/>
      <c r="C45" s="862"/>
      <c r="D45" s="862"/>
      <c r="E45" s="862"/>
      <c r="F45" s="862"/>
      <c r="G45" s="287"/>
      <c r="H45" s="287">
        <f t="shared" si="2"/>
        <v>0</v>
      </c>
    </row>
    <row r="46" spans="1:8" x14ac:dyDescent="0.25">
      <c r="A46" s="286"/>
      <c r="B46" s="287"/>
      <c r="C46" s="862"/>
      <c r="D46" s="862"/>
      <c r="E46" s="862"/>
      <c r="F46" s="862"/>
      <c r="G46" s="287"/>
      <c r="H46" s="287">
        <f t="shared" si="2"/>
        <v>0</v>
      </c>
    </row>
    <row r="47" spans="1:8" x14ac:dyDescent="0.25">
      <c r="A47" s="286"/>
      <c r="B47" s="287"/>
      <c r="C47" s="862"/>
      <c r="D47" s="862"/>
      <c r="E47" s="862"/>
      <c r="F47" s="862"/>
      <c r="G47" s="287"/>
      <c r="H47" s="287">
        <f t="shared" si="2"/>
        <v>0</v>
      </c>
    </row>
    <row r="48" spans="1:8" x14ac:dyDescent="0.25">
      <c r="A48" s="286"/>
      <c r="B48" s="288"/>
      <c r="C48" s="288"/>
      <c r="D48" s="288"/>
      <c r="E48" s="288"/>
      <c r="F48" s="288"/>
      <c r="G48" s="288"/>
      <c r="H48" s="287">
        <f>SUM(H38:H47)</f>
        <v>260</v>
      </c>
    </row>
    <row r="50" spans="1:8" x14ac:dyDescent="0.25">
      <c r="A50" s="289"/>
      <c r="B50" s="314" t="s">
        <v>296</v>
      </c>
      <c r="C50" s="865" t="s">
        <v>292</v>
      </c>
      <c r="D50" s="865"/>
      <c r="E50" s="865"/>
      <c r="F50" s="865"/>
      <c r="G50" s="289"/>
      <c r="H50" s="289"/>
    </row>
    <row r="51" spans="1:8" x14ac:dyDescent="0.25">
      <c r="A51" s="289"/>
      <c r="B51" s="314" t="s">
        <v>297</v>
      </c>
      <c r="C51" s="866">
        <v>44841</v>
      </c>
      <c r="D51" s="865"/>
      <c r="E51" s="865"/>
      <c r="F51" s="865"/>
      <c r="G51" s="289"/>
      <c r="H51" s="289"/>
    </row>
    <row r="52" spans="1:8" x14ac:dyDescent="0.25">
      <c r="A52" s="289"/>
      <c r="B52" s="289"/>
      <c r="C52" s="289"/>
      <c r="D52" s="289"/>
      <c r="E52" s="289"/>
      <c r="F52" s="289"/>
      <c r="G52" s="289"/>
      <c r="H52" s="289"/>
    </row>
    <row r="53" spans="1:8" x14ac:dyDescent="0.25">
      <c r="A53" s="289"/>
      <c r="B53" s="313" t="s">
        <v>298</v>
      </c>
      <c r="C53" s="867" t="s">
        <v>2</v>
      </c>
      <c r="D53" s="867"/>
      <c r="E53" s="867"/>
      <c r="F53" s="867"/>
      <c r="G53" s="313" t="s">
        <v>299</v>
      </c>
      <c r="H53" s="313" t="s">
        <v>239</v>
      </c>
    </row>
    <row r="54" spans="1:8" x14ac:dyDescent="0.25">
      <c r="A54" s="289"/>
      <c r="B54" s="313">
        <v>1</v>
      </c>
      <c r="C54" s="867" t="s">
        <v>308</v>
      </c>
      <c r="D54" s="867"/>
      <c r="E54" s="867"/>
      <c r="F54" s="867"/>
      <c r="G54" s="313">
        <v>135</v>
      </c>
      <c r="H54" s="313">
        <f>G54*B54</f>
        <v>135</v>
      </c>
    </row>
    <row r="55" spans="1:8" x14ac:dyDescent="0.25">
      <c r="A55" s="289"/>
      <c r="B55" s="313">
        <v>1</v>
      </c>
      <c r="C55" s="867" t="s">
        <v>302</v>
      </c>
      <c r="D55" s="867"/>
      <c r="E55" s="867"/>
      <c r="F55" s="867"/>
      <c r="G55" s="313">
        <v>15</v>
      </c>
      <c r="H55" s="313">
        <f t="shared" ref="H55:H63" si="3">G55*B55</f>
        <v>15</v>
      </c>
    </row>
    <row r="56" spans="1:8" x14ac:dyDescent="0.25">
      <c r="A56" s="289"/>
      <c r="B56" s="313"/>
      <c r="C56" s="867"/>
      <c r="D56" s="867"/>
      <c r="E56" s="867"/>
      <c r="F56" s="867"/>
      <c r="G56" s="313"/>
      <c r="H56" s="313">
        <f t="shared" si="3"/>
        <v>0</v>
      </c>
    </row>
    <row r="57" spans="1:8" x14ac:dyDescent="0.25">
      <c r="A57" s="289"/>
      <c r="B57" s="313"/>
      <c r="C57" s="867"/>
      <c r="D57" s="867"/>
      <c r="E57" s="867"/>
      <c r="F57" s="867"/>
      <c r="G57" s="313"/>
      <c r="H57" s="313">
        <f t="shared" si="3"/>
        <v>0</v>
      </c>
    </row>
    <row r="58" spans="1:8" x14ac:dyDescent="0.25">
      <c r="A58" s="289"/>
      <c r="B58" s="313"/>
      <c r="C58" s="867"/>
      <c r="D58" s="867"/>
      <c r="E58" s="867"/>
      <c r="F58" s="867"/>
      <c r="G58" s="313"/>
      <c r="H58" s="313">
        <f t="shared" si="3"/>
        <v>0</v>
      </c>
    </row>
    <row r="59" spans="1:8" x14ac:dyDescent="0.25">
      <c r="A59" s="289"/>
      <c r="B59" s="313"/>
      <c r="C59" s="867"/>
      <c r="D59" s="867"/>
      <c r="E59" s="867"/>
      <c r="F59" s="867"/>
      <c r="G59" s="313"/>
      <c r="H59" s="313">
        <f t="shared" si="3"/>
        <v>0</v>
      </c>
    </row>
    <row r="60" spans="1:8" x14ac:dyDescent="0.25">
      <c r="A60" s="289"/>
      <c r="B60" s="313"/>
      <c r="C60" s="867"/>
      <c r="D60" s="867"/>
      <c r="E60" s="867"/>
      <c r="F60" s="867"/>
      <c r="G60" s="313"/>
      <c r="H60" s="313">
        <f t="shared" si="3"/>
        <v>0</v>
      </c>
    </row>
    <row r="61" spans="1:8" x14ac:dyDescent="0.25">
      <c r="A61" s="289"/>
      <c r="B61" s="313"/>
      <c r="C61" s="867"/>
      <c r="D61" s="867"/>
      <c r="E61" s="867"/>
      <c r="F61" s="867"/>
      <c r="G61" s="313"/>
      <c r="H61" s="313">
        <f t="shared" si="3"/>
        <v>0</v>
      </c>
    </row>
    <row r="62" spans="1:8" x14ac:dyDescent="0.25">
      <c r="A62" s="289"/>
      <c r="B62" s="313"/>
      <c r="C62" s="867"/>
      <c r="D62" s="867"/>
      <c r="E62" s="867"/>
      <c r="F62" s="867"/>
      <c r="G62" s="313"/>
      <c r="H62" s="313">
        <f t="shared" si="3"/>
        <v>0</v>
      </c>
    </row>
    <row r="63" spans="1:8" x14ac:dyDescent="0.25">
      <c r="A63" s="289"/>
      <c r="B63" s="313"/>
      <c r="C63" s="867"/>
      <c r="D63" s="867"/>
      <c r="E63" s="867"/>
      <c r="F63" s="867"/>
      <c r="G63" s="313"/>
      <c r="H63" s="313">
        <f t="shared" si="3"/>
        <v>0</v>
      </c>
    </row>
    <row r="64" spans="1:8" x14ac:dyDescent="0.25">
      <c r="A64" s="289"/>
      <c r="B64" s="292"/>
      <c r="C64" s="292"/>
      <c r="D64" s="292"/>
      <c r="E64" s="292"/>
      <c r="F64" s="292"/>
      <c r="G64" s="292"/>
      <c r="H64" s="313">
        <f>SUM(H54:H63)</f>
        <v>150</v>
      </c>
    </row>
    <row r="66" spans="1:8" x14ac:dyDescent="0.25">
      <c r="A66" s="286"/>
      <c r="B66" s="285" t="s">
        <v>296</v>
      </c>
      <c r="C66" s="863" t="s">
        <v>311</v>
      </c>
      <c r="D66" s="863"/>
      <c r="E66" s="863"/>
      <c r="F66" s="863"/>
      <c r="G66" s="286"/>
      <c r="H66" s="286"/>
    </row>
    <row r="67" spans="1:8" x14ac:dyDescent="0.25">
      <c r="A67" s="286"/>
      <c r="B67" s="285" t="s">
        <v>297</v>
      </c>
      <c r="C67" s="864">
        <v>44823</v>
      </c>
      <c r="D67" s="863"/>
      <c r="E67" s="863"/>
      <c r="F67" s="863"/>
      <c r="G67" s="286"/>
      <c r="H67" s="286"/>
    </row>
    <row r="68" spans="1:8" x14ac:dyDescent="0.25">
      <c r="A68" s="286"/>
      <c r="B68" s="286"/>
      <c r="C68" s="286"/>
      <c r="D68" s="286"/>
      <c r="E68" s="286"/>
      <c r="F68" s="286"/>
      <c r="G68" s="286"/>
      <c r="H68" s="286"/>
    </row>
    <row r="69" spans="1:8" x14ac:dyDescent="0.25">
      <c r="A69" s="286"/>
      <c r="B69" s="287" t="s">
        <v>298</v>
      </c>
      <c r="C69" s="862" t="s">
        <v>2</v>
      </c>
      <c r="D69" s="862"/>
      <c r="E69" s="862"/>
      <c r="F69" s="862"/>
      <c r="G69" s="287" t="s">
        <v>299</v>
      </c>
      <c r="H69" s="287" t="s">
        <v>239</v>
      </c>
    </row>
    <row r="70" spans="1:8" x14ac:dyDescent="0.25">
      <c r="A70" s="286"/>
      <c r="B70" s="287">
        <v>4</v>
      </c>
      <c r="C70" s="862" t="s">
        <v>312</v>
      </c>
      <c r="D70" s="862"/>
      <c r="E70" s="862"/>
      <c r="F70" s="862"/>
      <c r="G70" s="287">
        <f>14</f>
        <v>14</v>
      </c>
      <c r="H70" s="287">
        <f>G70*B70</f>
        <v>56</v>
      </c>
    </row>
    <row r="71" spans="1:8" x14ac:dyDescent="0.25">
      <c r="A71" s="286"/>
      <c r="B71" s="287">
        <v>4</v>
      </c>
      <c r="C71" s="862" t="s">
        <v>302</v>
      </c>
      <c r="D71" s="862"/>
      <c r="E71" s="862"/>
      <c r="F71" s="862"/>
      <c r="G71" s="287">
        <v>15</v>
      </c>
      <c r="H71" s="287">
        <f t="shared" ref="H71:H79" si="4">G71*B71</f>
        <v>60</v>
      </c>
    </row>
    <row r="72" spans="1:8" x14ac:dyDescent="0.25">
      <c r="A72" s="286"/>
      <c r="B72" s="287">
        <v>2</v>
      </c>
      <c r="C72" s="862" t="s">
        <v>313</v>
      </c>
      <c r="D72" s="862"/>
      <c r="E72" s="862"/>
      <c r="F72" s="862"/>
      <c r="G72" s="287">
        <v>34</v>
      </c>
      <c r="H72" s="287">
        <f t="shared" si="4"/>
        <v>68</v>
      </c>
    </row>
    <row r="73" spans="1:8" x14ac:dyDescent="0.25">
      <c r="A73" s="286"/>
      <c r="B73" s="287">
        <v>1</v>
      </c>
      <c r="C73" s="862" t="s">
        <v>301</v>
      </c>
      <c r="D73" s="862"/>
      <c r="E73" s="862"/>
      <c r="F73" s="862"/>
      <c r="G73" s="287">
        <v>113</v>
      </c>
      <c r="H73" s="287">
        <f t="shared" si="4"/>
        <v>113</v>
      </c>
    </row>
    <row r="74" spans="1:8" x14ac:dyDescent="0.25">
      <c r="A74" s="286"/>
      <c r="B74" s="287"/>
      <c r="C74" s="862"/>
      <c r="D74" s="862"/>
      <c r="E74" s="862"/>
      <c r="F74" s="862"/>
      <c r="G74" s="287"/>
      <c r="H74" s="287">
        <f t="shared" si="4"/>
        <v>0</v>
      </c>
    </row>
    <row r="75" spans="1:8" x14ac:dyDescent="0.25">
      <c r="A75" s="286"/>
      <c r="B75" s="287"/>
      <c r="C75" s="862"/>
      <c r="D75" s="862"/>
      <c r="E75" s="862"/>
      <c r="F75" s="862"/>
      <c r="G75" s="287"/>
      <c r="H75" s="287">
        <f t="shared" si="4"/>
        <v>0</v>
      </c>
    </row>
    <row r="76" spans="1:8" x14ac:dyDescent="0.25">
      <c r="A76" s="286"/>
      <c r="B76" s="287"/>
      <c r="C76" s="862"/>
      <c r="D76" s="862"/>
      <c r="E76" s="862"/>
      <c r="F76" s="862"/>
      <c r="G76" s="287"/>
      <c r="H76" s="287">
        <f t="shared" si="4"/>
        <v>0</v>
      </c>
    </row>
    <row r="77" spans="1:8" x14ac:dyDescent="0.25">
      <c r="A77" s="286"/>
      <c r="B77" s="287"/>
      <c r="C77" s="862"/>
      <c r="D77" s="862"/>
      <c r="E77" s="862"/>
      <c r="F77" s="862"/>
      <c r="G77" s="287"/>
      <c r="H77" s="287">
        <f t="shared" si="4"/>
        <v>0</v>
      </c>
    </row>
    <row r="78" spans="1:8" x14ac:dyDescent="0.25">
      <c r="A78" s="286"/>
      <c r="B78" s="287"/>
      <c r="C78" s="862"/>
      <c r="D78" s="862"/>
      <c r="E78" s="862"/>
      <c r="F78" s="862"/>
      <c r="G78" s="287"/>
      <c r="H78" s="287">
        <f t="shared" si="4"/>
        <v>0</v>
      </c>
    </row>
    <row r="79" spans="1:8" x14ac:dyDescent="0.25">
      <c r="A79" s="286"/>
      <c r="B79" s="287"/>
      <c r="C79" s="862"/>
      <c r="D79" s="862"/>
      <c r="E79" s="862"/>
      <c r="F79" s="862"/>
      <c r="G79" s="287"/>
      <c r="H79" s="287">
        <f t="shared" si="4"/>
        <v>0</v>
      </c>
    </row>
    <row r="80" spans="1:8" x14ac:dyDescent="0.25">
      <c r="A80" s="286"/>
      <c r="B80" s="288"/>
      <c r="C80" s="288"/>
      <c r="D80" s="288"/>
      <c r="E80" s="288"/>
      <c r="F80" s="288"/>
      <c r="G80" s="288"/>
      <c r="H80" s="287">
        <f>SUM(H70:H79)</f>
        <v>297</v>
      </c>
    </row>
    <row r="82" spans="1:8" x14ac:dyDescent="0.25">
      <c r="A82" s="286"/>
      <c r="B82" s="285" t="s">
        <v>296</v>
      </c>
      <c r="C82" s="863" t="s">
        <v>311</v>
      </c>
      <c r="D82" s="863"/>
      <c r="E82" s="863"/>
      <c r="F82" s="863"/>
      <c r="G82" s="286"/>
      <c r="H82" s="286"/>
    </row>
    <row r="83" spans="1:8" x14ac:dyDescent="0.25">
      <c r="A83" s="286"/>
      <c r="B83" s="285" t="s">
        <v>297</v>
      </c>
      <c r="C83" s="864">
        <v>44828</v>
      </c>
      <c r="D83" s="863"/>
      <c r="E83" s="863"/>
      <c r="F83" s="863"/>
      <c r="G83" s="286"/>
      <c r="H83" s="286"/>
    </row>
    <row r="84" spans="1:8" x14ac:dyDescent="0.25">
      <c r="A84" s="286"/>
      <c r="B84" s="286"/>
      <c r="C84" s="286"/>
      <c r="D84" s="286"/>
      <c r="E84" s="286"/>
      <c r="F84" s="286"/>
      <c r="G84" s="286"/>
      <c r="H84" s="286"/>
    </row>
    <row r="85" spans="1:8" x14ac:dyDescent="0.25">
      <c r="A85" s="286"/>
      <c r="B85" s="287" t="s">
        <v>298</v>
      </c>
      <c r="C85" s="862" t="s">
        <v>2</v>
      </c>
      <c r="D85" s="862"/>
      <c r="E85" s="862"/>
      <c r="F85" s="862"/>
      <c r="G85" s="287" t="s">
        <v>299</v>
      </c>
      <c r="H85" s="287" t="s">
        <v>239</v>
      </c>
    </row>
    <row r="86" spans="1:8" x14ac:dyDescent="0.25">
      <c r="A86" s="286"/>
      <c r="B86" s="287">
        <v>8</v>
      </c>
      <c r="C86" s="862" t="s">
        <v>302</v>
      </c>
      <c r="D86" s="862"/>
      <c r="E86" s="862"/>
      <c r="F86" s="862"/>
      <c r="G86" s="287">
        <v>15</v>
      </c>
      <c r="H86" s="287">
        <f>G86*B86</f>
        <v>120</v>
      </c>
    </row>
    <row r="87" spans="1:8" x14ac:dyDescent="0.25">
      <c r="A87" s="286"/>
      <c r="B87" s="287">
        <v>12</v>
      </c>
      <c r="C87" s="862" t="s">
        <v>314</v>
      </c>
      <c r="D87" s="862"/>
      <c r="E87" s="862"/>
      <c r="F87" s="862"/>
      <c r="G87" s="287">
        <v>8</v>
      </c>
      <c r="H87" s="287">
        <f t="shared" ref="H87:H95" si="5">G87*B87</f>
        <v>96</v>
      </c>
    </row>
    <row r="88" spans="1:8" x14ac:dyDescent="0.25">
      <c r="A88" s="286"/>
      <c r="B88" s="287">
        <v>1</v>
      </c>
      <c r="C88" s="862" t="s">
        <v>307</v>
      </c>
      <c r="D88" s="862"/>
      <c r="E88" s="862"/>
      <c r="F88" s="862"/>
      <c r="G88" s="287">
        <v>42</v>
      </c>
      <c r="H88" s="287">
        <f t="shared" si="5"/>
        <v>42</v>
      </c>
    </row>
    <row r="89" spans="1:8" x14ac:dyDescent="0.25">
      <c r="A89" s="286"/>
      <c r="B89" s="287">
        <v>1</v>
      </c>
      <c r="C89" s="862" t="s">
        <v>306</v>
      </c>
      <c r="D89" s="862"/>
      <c r="E89" s="862"/>
      <c r="F89" s="862"/>
      <c r="G89" s="287">
        <v>33</v>
      </c>
      <c r="H89" s="287">
        <f t="shared" si="5"/>
        <v>33</v>
      </c>
    </row>
    <row r="90" spans="1:8" x14ac:dyDescent="0.25">
      <c r="A90" s="286"/>
      <c r="B90" s="287"/>
      <c r="C90" s="862"/>
      <c r="D90" s="862"/>
      <c r="E90" s="862"/>
      <c r="F90" s="862"/>
      <c r="G90" s="287"/>
      <c r="H90" s="287">
        <f t="shared" si="5"/>
        <v>0</v>
      </c>
    </row>
    <row r="91" spans="1:8" x14ac:dyDescent="0.25">
      <c r="A91" s="286"/>
      <c r="B91" s="287"/>
      <c r="C91" s="862"/>
      <c r="D91" s="862"/>
      <c r="E91" s="862"/>
      <c r="F91" s="862"/>
      <c r="G91" s="287"/>
      <c r="H91" s="287">
        <f t="shared" si="5"/>
        <v>0</v>
      </c>
    </row>
    <row r="92" spans="1:8" x14ac:dyDescent="0.25">
      <c r="A92" s="286"/>
      <c r="B92" s="287"/>
      <c r="C92" s="862"/>
      <c r="D92" s="862"/>
      <c r="E92" s="862"/>
      <c r="F92" s="862"/>
      <c r="G92" s="287"/>
      <c r="H92" s="287">
        <f t="shared" si="5"/>
        <v>0</v>
      </c>
    </row>
    <row r="93" spans="1:8" x14ac:dyDescent="0.25">
      <c r="A93" s="286"/>
      <c r="B93" s="287"/>
      <c r="C93" s="862"/>
      <c r="D93" s="862"/>
      <c r="E93" s="862"/>
      <c r="F93" s="862"/>
      <c r="G93" s="287"/>
      <c r="H93" s="287">
        <f t="shared" si="5"/>
        <v>0</v>
      </c>
    </row>
    <row r="94" spans="1:8" x14ac:dyDescent="0.25">
      <c r="A94" s="286"/>
      <c r="B94" s="287"/>
      <c r="C94" s="862"/>
      <c r="D94" s="862"/>
      <c r="E94" s="862"/>
      <c r="F94" s="862"/>
      <c r="G94" s="287"/>
      <c r="H94" s="287">
        <f t="shared" si="5"/>
        <v>0</v>
      </c>
    </row>
    <row r="95" spans="1:8" x14ac:dyDescent="0.25">
      <c r="A95" s="286"/>
      <c r="B95" s="287"/>
      <c r="C95" s="862"/>
      <c r="D95" s="862"/>
      <c r="E95" s="862"/>
      <c r="F95" s="862"/>
      <c r="G95" s="287"/>
      <c r="H95" s="287">
        <f t="shared" si="5"/>
        <v>0</v>
      </c>
    </row>
    <row r="96" spans="1:8" x14ac:dyDescent="0.25">
      <c r="A96" s="286"/>
      <c r="B96" s="288"/>
      <c r="C96" s="288"/>
      <c r="D96" s="288"/>
      <c r="E96" s="288"/>
      <c r="F96" s="288"/>
      <c r="G96" s="288"/>
      <c r="H96" s="287">
        <f>SUM(H86:H95)</f>
        <v>291</v>
      </c>
    </row>
    <row r="98" spans="1:8" x14ac:dyDescent="0.25">
      <c r="A98" s="289"/>
      <c r="B98" s="290" t="s">
        <v>296</v>
      </c>
      <c r="C98" s="865" t="s">
        <v>311</v>
      </c>
      <c r="D98" s="865"/>
      <c r="E98" s="865"/>
      <c r="F98" s="865"/>
      <c r="G98" s="289"/>
      <c r="H98" s="289"/>
    </row>
    <row r="99" spans="1:8" x14ac:dyDescent="0.25">
      <c r="A99" s="289"/>
      <c r="B99" s="290" t="s">
        <v>297</v>
      </c>
      <c r="C99" s="866">
        <v>44802</v>
      </c>
      <c r="D99" s="865"/>
      <c r="E99" s="865"/>
      <c r="F99" s="865"/>
      <c r="G99" s="289"/>
      <c r="H99" s="289"/>
    </row>
    <row r="100" spans="1:8" x14ac:dyDescent="0.25">
      <c r="A100" s="289"/>
      <c r="B100" s="289"/>
      <c r="C100" s="289"/>
      <c r="D100" s="289"/>
      <c r="E100" s="289"/>
      <c r="F100" s="289"/>
      <c r="G100" s="289"/>
      <c r="H100" s="289"/>
    </row>
    <row r="101" spans="1:8" x14ac:dyDescent="0.25">
      <c r="A101" s="289"/>
      <c r="B101" s="291" t="s">
        <v>298</v>
      </c>
      <c r="C101" s="867" t="s">
        <v>2</v>
      </c>
      <c r="D101" s="867"/>
      <c r="E101" s="867"/>
      <c r="F101" s="867"/>
      <c r="G101" s="291" t="s">
        <v>299</v>
      </c>
      <c r="H101" s="291" t="s">
        <v>239</v>
      </c>
    </row>
    <row r="102" spans="1:8" x14ac:dyDescent="0.25">
      <c r="A102" s="289"/>
      <c r="B102" s="291">
        <v>10</v>
      </c>
      <c r="C102" s="867" t="s">
        <v>302</v>
      </c>
      <c r="D102" s="867"/>
      <c r="E102" s="867"/>
      <c r="F102" s="867"/>
      <c r="G102" s="291">
        <v>15</v>
      </c>
      <c r="H102" s="291">
        <f>G102*B102</f>
        <v>150</v>
      </c>
    </row>
    <row r="103" spans="1:8" x14ac:dyDescent="0.25">
      <c r="A103" s="289"/>
      <c r="B103" s="291">
        <v>3</v>
      </c>
      <c r="C103" s="867" t="s">
        <v>307</v>
      </c>
      <c r="D103" s="867"/>
      <c r="E103" s="867"/>
      <c r="F103" s="867"/>
      <c r="G103" s="291">
        <v>39</v>
      </c>
      <c r="H103" s="291">
        <f t="shared" ref="H103:H111" si="6">G103*B103</f>
        <v>117</v>
      </c>
    </row>
    <row r="104" spans="1:8" x14ac:dyDescent="0.25">
      <c r="A104" s="289"/>
      <c r="B104" s="291">
        <v>10</v>
      </c>
      <c r="C104" s="867" t="s">
        <v>312</v>
      </c>
      <c r="D104" s="867"/>
      <c r="E104" s="867"/>
      <c r="F104" s="867"/>
      <c r="G104" s="291">
        <v>14</v>
      </c>
      <c r="H104" s="291">
        <f t="shared" si="6"/>
        <v>140</v>
      </c>
    </row>
    <row r="105" spans="1:8" x14ac:dyDescent="0.25">
      <c r="A105" s="289"/>
      <c r="B105" s="291">
        <v>10</v>
      </c>
      <c r="C105" s="867" t="s">
        <v>315</v>
      </c>
      <c r="D105" s="867"/>
      <c r="E105" s="867"/>
      <c r="F105" s="867"/>
      <c r="G105" s="291">
        <v>11</v>
      </c>
      <c r="H105" s="291">
        <f t="shared" si="6"/>
        <v>110</v>
      </c>
    </row>
    <row r="106" spans="1:8" x14ac:dyDescent="0.25">
      <c r="A106" s="289"/>
      <c r="B106" s="291">
        <v>2</v>
      </c>
      <c r="C106" s="867" t="s">
        <v>313</v>
      </c>
      <c r="D106" s="867"/>
      <c r="E106" s="867"/>
      <c r="F106" s="867"/>
      <c r="G106" s="291">
        <v>31</v>
      </c>
      <c r="H106" s="291">
        <f t="shared" si="6"/>
        <v>62</v>
      </c>
    </row>
    <row r="107" spans="1:8" x14ac:dyDescent="0.25">
      <c r="A107" s="289"/>
      <c r="B107" s="291"/>
      <c r="C107" s="867"/>
      <c r="D107" s="867"/>
      <c r="E107" s="867"/>
      <c r="F107" s="867"/>
      <c r="G107" s="291"/>
      <c r="H107" s="291">
        <f t="shared" si="6"/>
        <v>0</v>
      </c>
    </row>
    <row r="108" spans="1:8" x14ac:dyDescent="0.25">
      <c r="A108" s="289"/>
      <c r="B108" s="291"/>
      <c r="C108" s="867"/>
      <c r="D108" s="867"/>
      <c r="E108" s="867"/>
      <c r="F108" s="867"/>
      <c r="G108" s="291"/>
      <c r="H108" s="291">
        <f t="shared" si="6"/>
        <v>0</v>
      </c>
    </row>
    <row r="109" spans="1:8" x14ac:dyDescent="0.25">
      <c r="A109" s="289"/>
      <c r="B109" s="291"/>
      <c r="C109" s="867"/>
      <c r="D109" s="867"/>
      <c r="E109" s="867"/>
      <c r="F109" s="867"/>
      <c r="G109" s="291"/>
      <c r="H109" s="291">
        <f t="shared" si="6"/>
        <v>0</v>
      </c>
    </row>
    <row r="110" spans="1:8" x14ac:dyDescent="0.25">
      <c r="A110" s="289"/>
      <c r="B110" s="291"/>
      <c r="C110" s="867"/>
      <c r="D110" s="867"/>
      <c r="E110" s="867"/>
      <c r="F110" s="867"/>
      <c r="G110" s="291"/>
      <c r="H110" s="291">
        <f t="shared" si="6"/>
        <v>0</v>
      </c>
    </row>
    <row r="111" spans="1:8" x14ac:dyDescent="0.25">
      <c r="A111" s="289"/>
      <c r="B111" s="291"/>
      <c r="C111" s="867"/>
      <c r="D111" s="867"/>
      <c r="E111" s="867"/>
      <c r="F111" s="867"/>
      <c r="G111" s="291"/>
      <c r="H111" s="291">
        <f t="shared" si="6"/>
        <v>0</v>
      </c>
    </row>
    <row r="112" spans="1:8" x14ac:dyDescent="0.25">
      <c r="A112" s="289"/>
      <c r="B112" s="292"/>
      <c r="C112" s="292"/>
      <c r="D112" s="292"/>
      <c r="E112" s="292"/>
      <c r="F112" s="292"/>
      <c r="G112" s="292"/>
      <c r="H112" s="291">
        <f>SUM(H102:H111)</f>
        <v>579</v>
      </c>
    </row>
    <row r="114" spans="2:8" x14ac:dyDescent="0.25">
      <c r="B114" s="396" t="s">
        <v>296</v>
      </c>
      <c r="C114" s="773" t="s">
        <v>278</v>
      </c>
      <c r="D114" s="773"/>
      <c r="E114" s="773"/>
      <c r="F114" s="773"/>
    </row>
    <row r="115" spans="2:8" x14ac:dyDescent="0.25">
      <c r="B115" s="396" t="s">
        <v>297</v>
      </c>
      <c r="C115" s="861">
        <v>44998</v>
      </c>
      <c r="D115" s="773"/>
      <c r="E115" s="773"/>
      <c r="F115" s="773"/>
    </row>
    <row r="117" spans="2:8" x14ac:dyDescent="0.25">
      <c r="B117" s="397" t="s">
        <v>298</v>
      </c>
      <c r="C117" s="665" t="s">
        <v>2</v>
      </c>
      <c r="D117" s="665"/>
      <c r="E117" s="665"/>
      <c r="F117" s="665"/>
      <c r="G117" s="397" t="s">
        <v>299</v>
      </c>
      <c r="H117" s="397" t="s">
        <v>239</v>
      </c>
    </row>
    <row r="118" spans="2:8" x14ac:dyDescent="0.25">
      <c r="B118" s="397">
        <v>1</v>
      </c>
      <c r="C118" s="665" t="s">
        <v>470</v>
      </c>
      <c r="D118" s="665"/>
      <c r="E118" s="665"/>
      <c r="F118" s="665"/>
      <c r="G118" s="397">
        <v>13</v>
      </c>
      <c r="H118" s="397">
        <f>G118*B118</f>
        <v>13</v>
      </c>
    </row>
    <row r="119" spans="2:8" x14ac:dyDescent="0.25">
      <c r="B119" s="397">
        <v>1</v>
      </c>
      <c r="C119" s="665" t="s">
        <v>471</v>
      </c>
      <c r="D119" s="665"/>
      <c r="E119" s="665"/>
      <c r="F119" s="665"/>
      <c r="G119" s="397">
        <v>16</v>
      </c>
      <c r="H119" s="397">
        <f t="shared" ref="H119:H126" si="7">G119*B119</f>
        <v>16</v>
      </c>
    </row>
    <row r="120" spans="2:8" x14ac:dyDescent="0.25">
      <c r="B120" s="397"/>
      <c r="C120" s="665"/>
      <c r="D120" s="665"/>
      <c r="E120" s="665"/>
      <c r="F120" s="665"/>
      <c r="G120" s="397"/>
      <c r="H120" s="397">
        <f t="shared" si="7"/>
        <v>0</v>
      </c>
    </row>
    <row r="121" spans="2:8" x14ac:dyDescent="0.25">
      <c r="B121" s="397"/>
      <c r="C121" s="665"/>
      <c r="D121" s="665"/>
      <c r="E121" s="665"/>
      <c r="F121" s="665"/>
      <c r="G121" s="397"/>
      <c r="H121" s="397">
        <f t="shared" si="7"/>
        <v>0</v>
      </c>
    </row>
    <row r="122" spans="2:8" x14ac:dyDescent="0.25">
      <c r="B122" s="397"/>
      <c r="C122" s="665"/>
      <c r="D122" s="665"/>
      <c r="E122" s="665"/>
      <c r="F122" s="665"/>
      <c r="G122" s="397"/>
      <c r="H122" s="397">
        <f t="shared" si="7"/>
        <v>0</v>
      </c>
    </row>
    <row r="123" spans="2:8" x14ac:dyDescent="0.25">
      <c r="B123" s="397"/>
      <c r="C123" s="665"/>
      <c r="D123" s="665"/>
      <c r="E123" s="665"/>
      <c r="F123" s="665"/>
      <c r="G123" s="397"/>
      <c r="H123" s="397">
        <f t="shared" si="7"/>
        <v>0</v>
      </c>
    </row>
    <row r="124" spans="2:8" x14ac:dyDescent="0.25">
      <c r="B124" s="397"/>
      <c r="C124" s="665"/>
      <c r="D124" s="665"/>
      <c r="E124" s="665"/>
      <c r="F124" s="665"/>
      <c r="G124" s="397"/>
      <c r="H124" s="397">
        <f t="shared" si="7"/>
        <v>0</v>
      </c>
    </row>
    <row r="125" spans="2:8" x14ac:dyDescent="0.25">
      <c r="B125" s="397"/>
      <c r="C125" s="665"/>
      <c r="D125" s="665"/>
      <c r="E125" s="665"/>
      <c r="F125" s="665"/>
      <c r="G125" s="397"/>
      <c r="H125" s="397">
        <f t="shared" si="7"/>
        <v>0</v>
      </c>
    </row>
    <row r="126" spans="2:8" x14ac:dyDescent="0.25">
      <c r="B126" s="397"/>
      <c r="C126" s="665"/>
      <c r="D126" s="665"/>
      <c r="E126" s="665"/>
      <c r="F126" s="665"/>
      <c r="G126" s="397"/>
      <c r="H126" s="397">
        <f t="shared" si="7"/>
        <v>0</v>
      </c>
    </row>
    <row r="127" spans="2:8" x14ac:dyDescent="0.25">
      <c r="B127" s="397"/>
      <c r="C127" s="665"/>
      <c r="D127" s="665"/>
      <c r="E127" s="665"/>
      <c r="F127" s="665"/>
      <c r="G127" s="397"/>
      <c r="H127" s="397">
        <f>SUM(H118:H126)</f>
        <v>29</v>
      </c>
    </row>
    <row r="129" spans="2:8" x14ac:dyDescent="0.25">
      <c r="B129" s="415" t="s">
        <v>296</v>
      </c>
      <c r="C129" s="611" t="s">
        <v>278</v>
      </c>
      <c r="D129" s="612"/>
      <c r="E129" s="612"/>
      <c r="F129" s="613"/>
    </row>
    <row r="130" spans="2:8" x14ac:dyDescent="0.25">
      <c r="B130" s="415" t="s">
        <v>297</v>
      </c>
      <c r="C130" s="868">
        <v>45012</v>
      </c>
      <c r="D130" s="869"/>
      <c r="E130" s="869"/>
      <c r="F130" s="870"/>
    </row>
    <row r="132" spans="2:8" x14ac:dyDescent="0.25">
      <c r="B132" s="414" t="s">
        <v>298</v>
      </c>
      <c r="C132" s="662" t="s">
        <v>2</v>
      </c>
      <c r="D132" s="663"/>
      <c r="E132" s="663"/>
      <c r="F132" s="664"/>
      <c r="G132" s="414" t="s">
        <v>299</v>
      </c>
      <c r="H132" s="414" t="s">
        <v>239</v>
      </c>
    </row>
    <row r="133" spans="2:8" x14ac:dyDescent="0.25">
      <c r="B133" s="414">
        <v>1</v>
      </c>
      <c r="C133" s="662" t="s">
        <v>479</v>
      </c>
      <c r="D133" s="663"/>
      <c r="E133" s="663"/>
      <c r="F133" s="664"/>
      <c r="G133" s="414">
        <v>100</v>
      </c>
      <c r="H133" s="414">
        <f>G133*B133</f>
        <v>100</v>
      </c>
    </row>
    <row r="134" spans="2:8" x14ac:dyDescent="0.25">
      <c r="B134" s="414">
        <v>1</v>
      </c>
      <c r="C134" s="662" t="s">
        <v>474</v>
      </c>
      <c r="D134" s="663"/>
      <c r="E134" s="663"/>
      <c r="F134" s="664"/>
      <c r="G134" s="414">
        <v>25</v>
      </c>
      <c r="H134" s="414">
        <f t="shared" ref="H134:H141" si="8">G134*B134</f>
        <v>25</v>
      </c>
    </row>
    <row r="135" spans="2:8" x14ac:dyDescent="0.25">
      <c r="B135" s="414"/>
      <c r="C135" s="662"/>
      <c r="D135" s="663"/>
      <c r="E135" s="663"/>
      <c r="F135" s="664"/>
      <c r="G135" s="414"/>
      <c r="H135" s="414">
        <f t="shared" si="8"/>
        <v>0</v>
      </c>
    </row>
    <row r="136" spans="2:8" x14ac:dyDescent="0.25">
      <c r="B136" s="414"/>
      <c r="C136" s="662"/>
      <c r="D136" s="663"/>
      <c r="E136" s="663"/>
      <c r="F136" s="664"/>
      <c r="G136" s="414"/>
      <c r="H136" s="414">
        <f t="shared" si="8"/>
        <v>0</v>
      </c>
    </row>
    <row r="137" spans="2:8" x14ac:dyDescent="0.25">
      <c r="B137" s="414"/>
      <c r="C137" s="662"/>
      <c r="D137" s="663"/>
      <c r="E137" s="663"/>
      <c r="F137" s="664"/>
      <c r="G137" s="414"/>
      <c r="H137" s="414">
        <f t="shared" si="8"/>
        <v>0</v>
      </c>
    </row>
    <row r="138" spans="2:8" x14ac:dyDescent="0.25">
      <c r="B138" s="414"/>
      <c r="C138" s="662"/>
      <c r="D138" s="663"/>
      <c r="E138" s="663"/>
      <c r="F138" s="664"/>
      <c r="G138" s="414"/>
      <c r="H138" s="414">
        <f t="shared" si="8"/>
        <v>0</v>
      </c>
    </row>
    <row r="139" spans="2:8" x14ac:dyDescent="0.25">
      <c r="B139" s="414"/>
      <c r="C139" s="662"/>
      <c r="D139" s="663"/>
      <c r="E139" s="663"/>
      <c r="F139" s="664"/>
      <c r="G139" s="414"/>
      <c r="H139" s="414">
        <f t="shared" si="8"/>
        <v>0</v>
      </c>
    </row>
    <row r="140" spans="2:8" x14ac:dyDescent="0.25">
      <c r="B140" s="414"/>
      <c r="C140" s="662"/>
      <c r="D140" s="663"/>
      <c r="E140" s="663"/>
      <c r="F140" s="664"/>
      <c r="G140" s="414"/>
      <c r="H140" s="414">
        <f t="shared" si="8"/>
        <v>0</v>
      </c>
    </row>
    <row r="141" spans="2:8" x14ac:dyDescent="0.25">
      <c r="B141" s="414"/>
      <c r="C141" s="662"/>
      <c r="D141" s="663"/>
      <c r="E141" s="663"/>
      <c r="F141" s="664"/>
      <c r="G141" s="414"/>
      <c r="H141" s="414">
        <f t="shared" si="8"/>
        <v>0</v>
      </c>
    </row>
    <row r="142" spans="2:8" x14ac:dyDescent="0.25">
      <c r="B142" s="414"/>
      <c r="C142" s="662"/>
      <c r="D142" s="663"/>
      <c r="E142" s="663"/>
      <c r="F142" s="664"/>
      <c r="G142" s="414"/>
      <c r="H142" s="414">
        <f>SUM(H133:H141)</f>
        <v>125</v>
      </c>
    </row>
  </sheetData>
  <mergeCells count="117">
    <mergeCell ref="C139:F139"/>
    <mergeCell ref="C140:F140"/>
    <mergeCell ref="C141:F141"/>
    <mergeCell ref="C142:F142"/>
    <mergeCell ref="C129:F129"/>
    <mergeCell ref="C130:F130"/>
    <mergeCell ref="C132:F132"/>
    <mergeCell ref="C133:F133"/>
    <mergeCell ref="C134:F134"/>
    <mergeCell ref="C135:F135"/>
    <mergeCell ref="C136:F136"/>
    <mergeCell ref="C137:F137"/>
    <mergeCell ref="C138:F138"/>
    <mergeCell ref="C111:F111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24:F124"/>
    <mergeCell ref="C125:F125"/>
    <mergeCell ref="C126:F126"/>
    <mergeCell ref="C127:F127"/>
    <mergeCell ref="C114:F114"/>
    <mergeCell ref="C115:F115"/>
    <mergeCell ref="C117:F117"/>
    <mergeCell ref="C118:F118"/>
    <mergeCell ref="C119:F119"/>
    <mergeCell ref="C120:F120"/>
    <mergeCell ref="C121:F121"/>
    <mergeCell ref="C122:F122"/>
    <mergeCell ref="C123:F1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INVENTARIO</vt:lpstr>
      <vt:lpstr>DETALLE DE VENTAS</vt:lpstr>
      <vt:lpstr>DETALLE DE VENTAS - OTRO</vt:lpstr>
      <vt:lpstr>GANANCIA DIARIA</vt:lpstr>
      <vt:lpstr>INGRESO DIARIO</vt:lpstr>
      <vt:lpstr>DETALLE DE CREDITOS</vt:lpstr>
      <vt:lpstr>CREDITOS</vt:lpstr>
      <vt:lpstr>NOTAS DE CREDITOS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2023-12-17T16:51:53Z</cp:lastPrinted>
  <dcterms:created xsi:type="dcterms:W3CDTF">2022-05-21T14:50:08Z</dcterms:created>
  <dcterms:modified xsi:type="dcterms:W3CDTF">2023-12-17T16:52:12Z</dcterms:modified>
</cp:coreProperties>
</file>